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5095" windowHeight="12615" tabRatio="782"/>
  </bookViews>
  <sheets>
    <sheet name="2019" sheetId="36" r:id="rId1"/>
    <sheet name="2018" sheetId="35" r:id="rId2"/>
    <sheet name="2017" sheetId="34" r:id="rId3"/>
    <sheet name="2016" sheetId="32" r:id="rId4"/>
    <sheet name="2015" sheetId="30" r:id="rId5"/>
    <sheet name="2014" sheetId="28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calcPr calcId="152511"/>
</workbook>
</file>

<file path=xl/calcChain.xml><?xml version="1.0" encoding="utf-8"?>
<calcChain xmlns="http://schemas.openxmlformats.org/spreadsheetml/2006/main">
  <c r="D74" i="36" l="1"/>
  <c r="D73" i="36"/>
  <c r="D72" i="36"/>
  <c r="D70" i="36" l="1"/>
  <c r="D69" i="36" l="1"/>
  <c r="D68" i="36" l="1"/>
  <c r="D67" i="36" l="1"/>
  <c r="D66" i="36"/>
  <c r="D65" i="36"/>
  <c r="P62" i="36" l="1"/>
  <c r="AF63" i="36" l="1"/>
  <c r="AE63" i="36"/>
  <c r="AD63" i="36"/>
  <c r="Z63" i="36"/>
  <c r="S63" i="36"/>
  <c r="R63" i="36"/>
  <c r="Q63" i="36"/>
  <c r="P63" i="36"/>
  <c r="O63" i="36"/>
  <c r="N63" i="36"/>
  <c r="AA35" i="36" l="1"/>
  <c r="D62" i="36" l="1"/>
  <c r="D61" i="36"/>
  <c r="D60" i="36"/>
  <c r="D59" i="36"/>
  <c r="D58" i="36"/>
  <c r="D57" i="36"/>
  <c r="D55" i="36" l="1"/>
  <c r="D54" i="36" l="1"/>
  <c r="D53" i="36"/>
  <c r="D52" i="36" l="1"/>
  <c r="D51" i="36"/>
  <c r="D50" i="36"/>
  <c r="M46" i="36" l="1"/>
  <c r="D47" i="36"/>
  <c r="D46" i="36"/>
  <c r="D40" i="36"/>
  <c r="D41" i="36"/>
  <c r="D42" i="36"/>
  <c r="D43" i="36"/>
  <c r="D44" i="36"/>
  <c r="D45" i="36"/>
  <c r="D39" i="36"/>
  <c r="D38" i="36"/>
  <c r="D37" i="36"/>
  <c r="AF35" i="36" l="1"/>
  <c r="AE35" i="36"/>
  <c r="AD35" i="36"/>
  <c r="Z35" i="36"/>
  <c r="N35" i="36"/>
  <c r="O35" i="36"/>
  <c r="P35" i="36"/>
  <c r="D34" i="36" l="1"/>
  <c r="N32" i="36" l="1"/>
  <c r="D33" i="36"/>
  <c r="D32" i="36" l="1"/>
  <c r="D31" i="36" l="1"/>
  <c r="D30" i="36"/>
  <c r="D29" i="36"/>
  <c r="D22" i="36" l="1"/>
  <c r="D26" i="36"/>
  <c r="D25" i="36"/>
  <c r="D24" i="36"/>
  <c r="D23" i="36"/>
  <c r="D18" i="36" l="1"/>
  <c r="D17" i="36" l="1"/>
  <c r="D16" i="36"/>
  <c r="D15" i="36"/>
  <c r="D14" i="36" l="1"/>
  <c r="E14" i="36"/>
  <c r="C14" i="36"/>
  <c r="D13" i="36" l="1"/>
  <c r="D12" i="36" l="1"/>
  <c r="D11" i="36" l="1"/>
  <c r="D10" i="36"/>
  <c r="D9" i="36"/>
  <c r="D8" i="36"/>
  <c r="P370" i="36" l="1"/>
  <c r="O370" i="36"/>
  <c r="N370" i="36"/>
  <c r="P339" i="36"/>
  <c r="O339" i="36"/>
  <c r="N339" i="36"/>
  <c r="P309" i="36"/>
  <c r="O309" i="36"/>
  <c r="N309" i="36"/>
  <c r="P278" i="36"/>
  <c r="O278" i="36"/>
  <c r="N278" i="36"/>
  <c r="N279" i="36"/>
  <c r="N280" i="36"/>
  <c r="P248" i="36"/>
  <c r="O248" i="36"/>
  <c r="N248" i="36"/>
  <c r="P217" i="36"/>
  <c r="O217" i="36"/>
  <c r="N217" i="36"/>
  <c r="P186" i="36"/>
  <c r="O186" i="36"/>
  <c r="N186" i="36"/>
  <c r="P156" i="36"/>
  <c r="O156" i="36"/>
  <c r="N156" i="36"/>
  <c r="P125" i="36"/>
  <c r="O125" i="36"/>
  <c r="N125" i="36"/>
  <c r="C372" i="36"/>
  <c r="D5" i="36" l="1"/>
  <c r="D6" i="36"/>
  <c r="E5" i="36" l="1"/>
  <c r="J5" i="36" s="1"/>
  <c r="AB384" i="36"/>
  <c r="L384" i="36"/>
  <c r="K384" i="36"/>
  <c r="I384" i="36"/>
  <c r="H384" i="36"/>
  <c r="G384" i="36"/>
  <c r="F384" i="36"/>
  <c r="AB383" i="36"/>
  <c r="L383" i="36"/>
  <c r="K383" i="36"/>
  <c r="I383" i="36"/>
  <c r="H383" i="36"/>
  <c r="G383" i="36"/>
  <c r="F383" i="36"/>
  <c r="AB382" i="36"/>
  <c r="L382" i="36"/>
  <c r="K382" i="36"/>
  <c r="I382" i="36"/>
  <c r="H382" i="36"/>
  <c r="G382" i="36"/>
  <c r="F382" i="36"/>
  <c r="AB381" i="36"/>
  <c r="L381" i="36"/>
  <c r="K381" i="36"/>
  <c r="I381" i="36"/>
  <c r="H381" i="36"/>
  <c r="G381" i="36"/>
  <c r="F381" i="36"/>
  <c r="AB380" i="36"/>
  <c r="Z380" i="36"/>
  <c r="L380" i="36"/>
  <c r="K380" i="36"/>
  <c r="I380" i="36"/>
  <c r="H380" i="36"/>
  <c r="G380" i="36"/>
  <c r="F380" i="36"/>
  <c r="AB379" i="36"/>
  <c r="L379" i="36"/>
  <c r="K379" i="36"/>
  <c r="I379" i="36"/>
  <c r="H379" i="36"/>
  <c r="G379" i="36"/>
  <c r="F379" i="36"/>
  <c r="AB378" i="36"/>
  <c r="L378" i="36"/>
  <c r="K378" i="36"/>
  <c r="I378" i="36"/>
  <c r="H378" i="36"/>
  <c r="G378" i="36"/>
  <c r="F378" i="36"/>
  <c r="AB377" i="36"/>
  <c r="Z377" i="36"/>
  <c r="L377" i="36"/>
  <c r="K377" i="36"/>
  <c r="I377" i="36"/>
  <c r="H377" i="36"/>
  <c r="G377" i="36"/>
  <c r="F377" i="36"/>
  <c r="AB376" i="36"/>
  <c r="L376" i="36"/>
  <c r="K376" i="36"/>
  <c r="I376" i="36"/>
  <c r="H376" i="36"/>
  <c r="G376" i="36"/>
  <c r="F376" i="36"/>
  <c r="AB375" i="36"/>
  <c r="L375" i="36"/>
  <c r="K375" i="36"/>
  <c r="I375" i="36"/>
  <c r="H375" i="36"/>
  <c r="G375" i="36"/>
  <c r="F375" i="36"/>
  <c r="L372" i="36"/>
  <c r="K372" i="36"/>
  <c r="I372" i="36"/>
  <c r="H372" i="36"/>
  <c r="G372" i="36"/>
  <c r="F372" i="36"/>
  <c r="L371" i="36"/>
  <c r="K371" i="36"/>
  <c r="I371" i="36"/>
  <c r="H371" i="36"/>
  <c r="G371" i="36"/>
  <c r="F371" i="36"/>
  <c r="AF370" i="36"/>
  <c r="AE370" i="36"/>
  <c r="AD370" i="36"/>
  <c r="AA370" i="36"/>
  <c r="AC370" i="36" s="1"/>
  <c r="S370" i="36"/>
  <c r="Y370" i="36" s="1"/>
  <c r="R370" i="36"/>
  <c r="X370" i="36" s="1"/>
  <c r="Q370" i="36"/>
  <c r="W370" i="36" s="1"/>
  <c r="V370" i="36"/>
  <c r="U370" i="36"/>
  <c r="T370" i="36"/>
  <c r="J370" i="36"/>
  <c r="M370" i="36" s="1"/>
  <c r="J369" i="36"/>
  <c r="M369" i="36" s="1"/>
  <c r="J368" i="36"/>
  <c r="M368" i="36" s="1"/>
  <c r="J367" i="36"/>
  <c r="M367" i="36" s="1"/>
  <c r="J366" i="36"/>
  <c r="M366" i="36" s="1"/>
  <c r="J365" i="36"/>
  <c r="M365" i="36" s="1"/>
  <c r="J364" i="36"/>
  <c r="M364" i="36" s="1"/>
  <c r="J363" i="36"/>
  <c r="M363" i="36" s="1"/>
  <c r="J362" i="36"/>
  <c r="M362" i="36" s="1"/>
  <c r="J361" i="36"/>
  <c r="M361" i="36" s="1"/>
  <c r="J360" i="36"/>
  <c r="M360" i="36" s="1"/>
  <c r="J359" i="36"/>
  <c r="M359" i="36" s="1"/>
  <c r="J358" i="36"/>
  <c r="M358" i="36" s="1"/>
  <c r="J357" i="36"/>
  <c r="M357" i="36" s="1"/>
  <c r="J356" i="36"/>
  <c r="M356" i="36" s="1"/>
  <c r="J355" i="36"/>
  <c r="M355" i="36" s="1"/>
  <c r="J354" i="36"/>
  <c r="M354" i="36" s="1"/>
  <c r="J353" i="36"/>
  <c r="M353" i="36" s="1"/>
  <c r="J352" i="36"/>
  <c r="M352" i="36" s="1"/>
  <c r="J351" i="36"/>
  <c r="M351" i="36" s="1"/>
  <c r="J350" i="36"/>
  <c r="M350" i="36" s="1"/>
  <c r="J349" i="36"/>
  <c r="M349" i="36" s="1"/>
  <c r="J348" i="36"/>
  <c r="M348" i="36" s="1"/>
  <c r="J347" i="36"/>
  <c r="M347" i="36" s="1"/>
  <c r="J346" i="36"/>
  <c r="M346" i="36" s="1"/>
  <c r="J345" i="36"/>
  <c r="M345" i="36" s="1"/>
  <c r="J344" i="36"/>
  <c r="M344" i="36" s="1"/>
  <c r="J343" i="36"/>
  <c r="M343" i="36" s="1"/>
  <c r="J342" i="36"/>
  <c r="M342" i="36" s="1"/>
  <c r="J341" i="36"/>
  <c r="M341" i="36" s="1"/>
  <c r="P340" i="36"/>
  <c r="V340" i="36" s="1"/>
  <c r="O340" i="36"/>
  <c r="U340" i="36" s="1"/>
  <c r="N340" i="36"/>
  <c r="T340" i="36" s="1"/>
  <c r="J340" i="36"/>
  <c r="M340" i="36" s="1"/>
  <c r="AF339" i="36"/>
  <c r="AF340" i="36" s="1"/>
  <c r="AF341" i="36" s="1"/>
  <c r="AF342" i="36" s="1"/>
  <c r="AF343" i="36" s="1"/>
  <c r="AF344" i="36" s="1"/>
  <c r="AF345" i="36" s="1"/>
  <c r="AF346" i="36" s="1"/>
  <c r="AF347" i="36" s="1"/>
  <c r="AF348" i="36" s="1"/>
  <c r="AF349" i="36" s="1"/>
  <c r="AF350" i="36" s="1"/>
  <c r="AF351" i="36" s="1"/>
  <c r="AF352" i="36" s="1"/>
  <c r="AF353" i="36" s="1"/>
  <c r="AF354" i="36" s="1"/>
  <c r="AF355" i="36" s="1"/>
  <c r="AF356" i="36" s="1"/>
  <c r="AF357" i="36" s="1"/>
  <c r="AF358" i="36" s="1"/>
  <c r="AF359" i="36" s="1"/>
  <c r="AF360" i="36" s="1"/>
  <c r="AF361" i="36" s="1"/>
  <c r="AF362" i="36" s="1"/>
  <c r="AF363" i="36" s="1"/>
  <c r="AF364" i="36" s="1"/>
  <c r="AF365" i="36" s="1"/>
  <c r="AF366" i="36" s="1"/>
  <c r="AF367" i="36" s="1"/>
  <c r="AF368" i="36" s="1"/>
  <c r="AF369" i="36" s="1"/>
  <c r="AE339" i="36"/>
  <c r="AD339" i="36"/>
  <c r="AA339" i="36"/>
  <c r="AC339" i="36" s="1"/>
  <c r="S339" i="36"/>
  <c r="R339" i="36"/>
  <c r="Q339" i="36"/>
  <c r="J339" i="36"/>
  <c r="M339" i="36" s="1"/>
  <c r="J338" i="36"/>
  <c r="M338" i="36" s="1"/>
  <c r="J337" i="36"/>
  <c r="M337" i="36" s="1"/>
  <c r="J335" i="36"/>
  <c r="M335" i="36" s="1"/>
  <c r="J333" i="36"/>
  <c r="M333" i="36" s="1"/>
  <c r="J332" i="36"/>
  <c r="M332" i="36" s="1"/>
  <c r="J331" i="36"/>
  <c r="M331" i="36" s="1"/>
  <c r="J330" i="36"/>
  <c r="M330" i="36" s="1"/>
  <c r="J329" i="36"/>
  <c r="J327" i="36"/>
  <c r="M327" i="36" s="1"/>
  <c r="J326" i="36"/>
  <c r="M326" i="36" s="1"/>
  <c r="J324" i="36"/>
  <c r="M324" i="36" s="1"/>
  <c r="J323" i="36"/>
  <c r="M323" i="36" s="1"/>
  <c r="J322" i="36"/>
  <c r="M322" i="36" s="1"/>
  <c r="J320" i="36"/>
  <c r="M320" i="36" s="1"/>
  <c r="J317" i="36"/>
  <c r="M317" i="36" s="1"/>
  <c r="J316" i="36"/>
  <c r="M316" i="36" s="1"/>
  <c r="J315" i="36"/>
  <c r="M315" i="36" s="1"/>
  <c r="J314" i="36"/>
  <c r="M314" i="36" s="1"/>
  <c r="J313" i="36"/>
  <c r="M313" i="36" s="1"/>
  <c r="J312" i="36"/>
  <c r="M312" i="36" s="1"/>
  <c r="J311" i="36"/>
  <c r="M311" i="36" s="1"/>
  <c r="P310" i="36"/>
  <c r="V310" i="36" s="1"/>
  <c r="O310" i="36"/>
  <c r="U310" i="36" s="1"/>
  <c r="J310" i="36"/>
  <c r="M310" i="36" s="1"/>
  <c r="N310" i="36"/>
  <c r="T310" i="36" s="1"/>
  <c r="AF309" i="36"/>
  <c r="AF310" i="36" s="1"/>
  <c r="AF311" i="36" s="1"/>
  <c r="AF312" i="36" s="1"/>
  <c r="AF313" i="36" s="1"/>
  <c r="AF314" i="36" s="1"/>
  <c r="AF315" i="36" s="1"/>
  <c r="AF316" i="36" s="1"/>
  <c r="AF317" i="36" s="1"/>
  <c r="AF318" i="36" s="1"/>
  <c r="AF319" i="36" s="1"/>
  <c r="AF320" i="36" s="1"/>
  <c r="AF321" i="36" s="1"/>
  <c r="AF322" i="36" s="1"/>
  <c r="AF323" i="36" s="1"/>
  <c r="AF324" i="36" s="1"/>
  <c r="AF325" i="36" s="1"/>
  <c r="AF326" i="36" s="1"/>
  <c r="AF327" i="36" s="1"/>
  <c r="AF328" i="36" s="1"/>
  <c r="AF329" i="36" s="1"/>
  <c r="AF330" i="36" s="1"/>
  <c r="AF331" i="36" s="1"/>
  <c r="AF332" i="36" s="1"/>
  <c r="AF333" i="36" s="1"/>
  <c r="AF334" i="36" s="1"/>
  <c r="AF335" i="36" s="1"/>
  <c r="AF336" i="36" s="1"/>
  <c r="AF337" i="36" s="1"/>
  <c r="AF338" i="36" s="1"/>
  <c r="AE309" i="36"/>
  <c r="AE310" i="36" s="1"/>
  <c r="AE311" i="36" s="1"/>
  <c r="AE312" i="36" s="1"/>
  <c r="AE313" i="36" s="1"/>
  <c r="AE314" i="36" s="1"/>
  <c r="AE315" i="36" s="1"/>
  <c r="AE316" i="36" s="1"/>
  <c r="AE317" i="36" s="1"/>
  <c r="AE318" i="36" s="1"/>
  <c r="AE319" i="36" s="1"/>
  <c r="AE320" i="36" s="1"/>
  <c r="AE321" i="36" s="1"/>
  <c r="AE322" i="36" s="1"/>
  <c r="AE323" i="36" s="1"/>
  <c r="AE324" i="36" s="1"/>
  <c r="AE325" i="36" s="1"/>
  <c r="AE326" i="36" s="1"/>
  <c r="AE327" i="36" s="1"/>
  <c r="AE328" i="36" s="1"/>
  <c r="AE329" i="36" s="1"/>
  <c r="AE330" i="36" s="1"/>
  <c r="AE331" i="36" s="1"/>
  <c r="AE332" i="36" s="1"/>
  <c r="AE333" i="36" s="1"/>
  <c r="AE334" i="36" s="1"/>
  <c r="AE335" i="36" s="1"/>
  <c r="AE336" i="36" s="1"/>
  <c r="AE337" i="36" s="1"/>
  <c r="AE338" i="36" s="1"/>
  <c r="AD309" i="36"/>
  <c r="AA309" i="36"/>
  <c r="AC309" i="36" s="1"/>
  <c r="S309" i="36"/>
  <c r="R309" i="36"/>
  <c r="Q309" i="36"/>
  <c r="J309" i="36"/>
  <c r="J307" i="36"/>
  <c r="M307" i="36" s="1"/>
  <c r="J305" i="36"/>
  <c r="M305" i="36" s="1"/>
  <c r="J304" i="36"/>
  <c r="M304" i="36" s="1"/>
  <c r="J303" i="36"/>
  <c r="M303" i="36" s="1"/>
  <c r="J302" i="36"/>
  <c r="M302" i="36" s="1"/>
  <c r="J301" i="36"/>
  <c r="M301" i="36" s="1"/>
  <c r="J300" i="36"/>
  <c r="M300" i="36" s="1"/>
  <c r="J299" i="36"/>
  <c r="M299" i="36" s="1"/>
  <c r="J298" i="36"/>
  <c r="M298" i="36" s="1"/>
  <c r="J297" i="36"/>
  <c r="M297" i="36" s="1"/>
  <c r="J294" i="36"/>
  <c r="M294" i="36" s="1"/>
  <c r="J291" i="36"/>
  <c r="M291" i="36" s="1"/>
  <c r="J290" i="36"/>
  <c r="M290" i="36" s="1"/>
  <c r="J289" i="36"/>
  <c r="J288" i="36"/>
  <c r="M288" i="36" s="1"/>
  <c r="J287" i="36"/>
  <c r="M287" i="36" s="1"/>
  <c r="J286" i="36"/>
  <c r="M286" i="36" s="1"/>
  <c r="J285" i="36"/>
  <c r="M285" i="36" s="1"/>
  <c r="J284" i="36"/>
  <c r="M284" i="36" s="1"/>
  <c r="J282" i="36"/>
  <c r="M282" i="36" s="1"/>
  <c r="J280" i="36"/>
  <c r="M280" i="36" s="1"/>
  <c r="P279" i="36"/>
  <c r="V279" i="36" s="1"/>
  <c r="O279" i="36"/>
  <c r="U279" i="36" s="1"/>
  <c r="T279" i="36"/>
  <c r="J279" i="36"/>
  <c r="M279" i="36" s="1"/>
  <c r="S278" i="36"/>
  <c r="R278" i="36"/>
  <c r="Q278" i="36"/>
  <c r="J278" i="36"/>
  <c r="M278" i="36" s="1"/>
  <c r="J275" i="36"/>
  <c r="M275" i="36" s="1"/>
  <c r="J274" i="36"/>
  <c r="M274" i="36" s="1"/>
  <c r="J273" i="36"/>
  <c r="M273" i="36" s="1"/>
  <c r="J272" i="36"/>
  <c r="M272" i="36" s="1"/>
  <c r="J271" i="36"/>
  <c r="M271" i="36" s="1"/>
  <c r="J268" i="36"/>
  <c r="M268" i="36" s="1"/>
  <c r="J265" i="36"/>
  <c r="M265" i="36" s="1"/>
  <c r="J263" i="36"/>
  <c r="M263" i="36" s="1"/>
  <c r="J262" i="36"/>
  <c r="M262" i="36" s="1"/>
  <c r="J261" i="36"/>
  <c r="J260" i="36"/>
  <c r="M260" i="36" s="1"/>
  <c r="J259" i="36"/>
  <c r="M259" i="36" s="1"/>
  <c r="J258" i="36"/>
  <c r="M258" i="36" s="1"/>
  <c r="J255" i="36"/>
  <c r="M255" i="36" s="1"/>
  <c r="J252" i="36"/>
  <c r="M252" i="36" s="1"/>
  <c r="J250" i="36"/>
  <c r="M250" i="36" s="1"/>
  <c r="P249" i="36"/>
  <c r="N249" i="36"/>
  <c r="T249" i="36" s="1"/>
  <c r="J249" i="36"/>
  <c r="M249" i="36" s="1"/>
  <c r="O249" i="36"/>
  <c r="U249" i="36" s="1"/>
  <c r="AF248" i="36"/>
  <c r="AF249" i="36" s="1"/>
  <c r="AF250" i="36" s="1"/>
  <c r="AF251" i="36" s="1"/>
  <c r="AF252" i="36" s="1"/>
  <c r="AF253" i="36" s="1"/>
  <c r="AF254" i="36" s="1"/>
  <c r="AF255" i="36" s="1"/>
  <c r="AF256" i="36" s="1"/>
  <c r="AF257" i="36" s="1"/>
  <c r="AF258" i="36" s="1"/>
  <c r="AF259" i="36" s="1"/>
  <c r="AF260" i="36" s="1"/>
  <c r="AF261" i="36" s="1"/>
  <c r="AF262" i="36" s="1"/>
  <c r="AF263" i="36" s="1"/>
  <c r="AF264" i="36" s="1"/>
  <c r="AF265" i="36" s="1"/>
  <c r="AF266" i="36" s="1"/>
  <c r="AF267" i="36" s="1"/>
  <c r="AF268" i="36" s="1"/>
  <c r="AF269" i="36" s="1"/>
  <c r="AF270" i="36" s="1"/>
  <c r="AF271" i="36" s="1"/>
  <c r="AF272" i="36" s="1"/>
  <c r="AF273" i="36" s="1"/>
  <c r="AF274" i="36" s="1"/>
  <c r="AF275" i="36" s="1"/>
  <c r="AF276" i="36" s="1"/>
  <c r="AF277" i="36" s="1"/>
  <c r="AF278" i="36" s="1"/>
  <c r="AF279" i="36" s="1"/>
  <c r="AF280" i="36" s="1"/>
  <c r="AF281" i="36" s="1"/>
  <c r="AF282" i="36" s="1"/>
  <c r="AF283" i="36" s="1"/>
  <c r="AF284" i="36" s="1"/>
  <c r="AF285" i="36" s="1"/>
  <c r="AF286" i="36" s="1"/>
  <c r="AF287" i="36" s="1"/>
  <c r="AF288" i="36" s="1"/>
  <c r="AF289" i="36" s="1"/>
  <c r="AF290" i="36" s="1"/>
  <c r="AF291" i="36" s="1"/>
  <c r="AF292" i="36" s="1"/>
  <c r="AF293" i="36" s="1"/>
  <c r="AF294" i="36" s="1"/>
  <c r="AF295" i="36" s="1"/>
  <c r="AF296" i="36" s="1"/>
  <c r="AF297" i="36" s="1"/>
  <c r="AF298" i="36" s="1"/>
  <c r="AF299" i="36" s="1"/>
  <c r="AF300" i="36" s="1"/>
  <c r="AF301" i="36" s="1"/>
  <c r="AF302" i="36" s="1"/>
  <c r="AF303" i="36" s="1"/>
  <c r="AF304" i="36" s="1"/>
  <c r="AF305" i="36" s="1"/>
  <c r="AF306" i="36" s="1"/>
  <c r="AF307" i="36" s="1"/>
  <c r="AF308" i="36" s="1"/>
  <c r="AE248" i="36"/>
  <c r="AE249" i="36" s="1"/>
  <c r="AE250" i="36" s="1"/>
  <c r="AE251" i="36" s="1"/>
  <c r="AE252" i="36" s="1"/>
  <c r="AE253" i="36" s="1"/>
  <c r="AE254" i="36" s="1"/>
  <c r="AE255" i="36" s="1"/>
  <c r="AE256" i="36" s="1"/>
  <c r="AE257" i="36" s="1"/>
  <c r="AE258" i="36" s="1"/>
  <c r="AE259" i="36" s="1"/>
  <c r="AE260" i="36" s="1"/>
  <c r="AE261" i="36" s="1"/>
  <c r="AE262" i="36" s="1"/>
  <c r="AE263" i="36" s="1"/>
  <c r="AE264" i="36" s="1"/>
  <c r="AE265" i="36" s="1"/>
  <c r="AE266" i="36" s="1"/>
  <c r="AE267" i="36" s="1"/>
  <c r="AE268" i="36" s="1"/>
  <c r="AE269" i="36" s="1"/>
  <c r="AE270" i="36" s="1"/>
  <c r="AE271" i="36" s="1"/>
  <c r="AE272" i="36" s="1"/>
  <c r="AE273" i="36" s="1"/>
  <c r="AE274" i="36" s="1"/>
  <c r="AE275" i="36" s="1"/>
  <c r="AE276" i="36" s="1"/>
  <c r="AE277" i="36" s="1"/>
  <c r="AE278" i="36" s="1"/>
  <c r="AD248" i="36"/>
  <c r="Z382" i="36"/>
  <c r="S248" i="36"/>
  <c r="R248" i="36"/>
  <c r="Q248" i="36"/>
  <c r="J248" i="36"/>
  <c r="M248" i="36" s="1"/>
  <c r="J247" i="36"/>
  <c r="J246" i="36"/>
  <c r="M246" i="36" s="1"/>
  <c r="J245" i="36"/>
  <c r="M245" i="36" s="1"/>
  <c r="J244" i="36"/>
  <c r="M244" i="36" s="1"/>
  <c r="J243" i="36"/>
  <c r="M243" i="36" s="1"/>
  <c r="J242" i="36"/>
  <c r="M242" i="36" s="1"/>
  <c r="J241" i="36"/>
  <c r="M241" i="36" s="1"/>
  <c r="J240" i="36"/>
  <c r="M240" i="36" s="1"/>
  <c r="J239" i="36"/>
  <c r="M239" i="36" s="1"/>
  <c r="J238" i="36"/>
  <c r="M238" i="36" s="1"/>
  <c r="J237" i="36"/>
  <c r="M237" i="36" s="1"/>
  <c r="J236" i="36"/>
  <c r="M236" i="36" s="1"/>
  <c r="J235" i="36"/>
  <c r="M235" i="36" s="1"/>
  <c r="J234" i="36"/>
  <c r="M234" i="36" s="1"/>
  <c r="J233" i="36"/>
  <c r="M233" i="36" s="1"/>
  <c r="J232" i="36"/>
  <c r="M232" i="36" s="1"/>
  <c r="J231" i="36"/>
  <c r="M231" i="36" s="1"/>
  <c r="J230" i="36"/>
  <c r="M230" i="36" s="1"/>
  <c r="J229" i="36"/>
  <c r="M229" i="36" s="1"/>
  <c r="J228" i="36"/>
  <c r="M228" i="36" s="1"/>
  <c r="J227" i="36"/>
  <c r="M227" i="36" s="1"/>
  <c r="J225" i="36"/>
  <c r="M225" i="36" s="1"/>
  <c r="J224" i="36"/>
  <c r="M224" i="36" s="1"/>
  <c r="J223" i="36"/>
  <c r="M223" i="36" s="1"/>
  <c r="J222" i="36"/>
  <c r="M222" i="36" s="1"/>
  <c r="J221" i="36"/>
  <c r="M221" i="36" s="1"/>
  <c r="J220" i="36"/>
  <c r="M220" i="36" s="1"/>
  <c r="J219" i="36"/>
  <c r="M219" i="36" s="1"/>
  <c r="P218" i="36"/>
  <c r="V218" i="36" s="1"/>
  <c r="O218" i="36"/>
  <c r="U218" i="36" s="1"/>
  <c r="N218" i="36"/>
  <c r="T218" i="36" s="1"/>
  <c r="J218" i="36"/>
  <c r="M218" i="36" s="1"/>
  <c r="AA217" i="36"/>
  <c r="S217" i="36"/>
  <c r="Y217" i="36" s="1"/>
  <c r="R217" i="36"/>
  <c r="X217" i="36" s="1"/>
  <c r="Q217" i="36"/>
  <c r="W217" i="36" s="1"/>
  <c r="V217" i="36"/>
  <c r="U217" i="36"/>
  <c r="T217" i="36"/>
  <c r="J217" i="36"/>
  <c r="M217" i="36" s="1"/>
  <c r="J216" i="36"/>
  <c r="M216" i="36" s="1"/>
  <c r="J215" i="36"/>
  <c r="M215" i="36" s="1"/>
  <c r="J214" i="36"/>
  <c r="M214" i="36" s="1"/>
  <c r="J211" i="36"/>
  <c r="M211" i="36" s="1"/>
  <c r="J210" i="36"/>
  <c r="M210" i="36" s="1"/>
  <c r="J209" i="36"/>
  <c r="M209" i="36" s="1"/>
  <c r="J207" i="36"/>
  <c r="M207" i="36" s="1"/>
  <c r="J206" i="36"/>
  <c r="M206" i="36" s="1"/>
  <c r="J205" i="36"/>
  <c r="M205" i="36" s="1"/>
  <c r="J204" i="36"/>
  <c r="M204" i="36" s="1"/>
  <c r="J203" i="36"/>
  <c r="M203" i="36" s="1"/>
  <c r="J202" i="36"/>
  <c r="M202" i="36" s="1"/>
  <c r="J201" i="36"/>
  <c r="M201" i="36" s="1"/>
  <c r="J200" i="36"/>
  <c r="J198" i="36"/>
  <c r="M198" i="36" s="1"/>
  <c r="J197" i="36"/>
  <c r="M197" i="36" s="1"/>
  <c r="J192" i="36"/>
  <c r="M192" i="36" s="1"/>
  <c r="J189" i="36"/>
  <c r="M189" i="36" s="1"/>
  <c r="P187" i="36"/>
  <c r="V187" i="36" s="1"/>
  <c r="O187" i="36"/>
  <c r="N187" i="36"/>
  <c r="T187" i="36" s="1"/>
  <c r="J187" i="36"/>
  <c r="M187" i="36" s="1"/>
  <c r="S186" i="36"/>
  <c r="R186" i="36"/>
  <c r="Q186" i="36"/>
  <c r="J186" i="36"/>
  <c r="M186" i="36" s="1"/>
  <c r="J185" i="36"/>
  <c r="M185" i="36" s="1"/>
  <c r="J184" i="36"/>
  <c r="M184" i="36" s="1"/>
  <c r="J183" i="36"/>
  <c r="M183" i="36" s="1"/>
  <c r="J182" i="36"/>
  <c r="M182" i="36" s="1"/>
  <c r="J181" i="36"/>
  <c r="M181" i="36" s="1"/>
  <c r="J180" i="36"/>
  <c r="M180" i="36" s="1"/>
  <c r="J179" i="36"/>
  <c r="M179" i="36" s="1"/>
  <c r="J178" i="36"/>
  <c r="M178" i="36" s="1"/>
  <c r="J177" i="36"/>
  <c r="M177" i="36" s="1"/>
  <c r="J176" i="36"/>
  <c r="M176" i="36" s="1"/>
  <c r="J175" i="36"/>
  <c r="M175" i="36" s="1"/>
  <c r="J174" i="36"/>
  <c r="M174" i="36" s="1"/>
  <c r="J173" i="36"/>
  <c r="M173" i="36" s="1"/>
  <c r="J172" i="36"/>
  <c r="M172" i="36" s="1"/>
  <c r="J171" i="36"/>
  <c r="M171" i="36" s="1"/>
  <c r="J169" i="36"/>
  <c r="M169" i="36" s="1"/>
  <c r="J168" i="36"/>
  <c r="M168" i="36" s="1"/>
  <c r="J167" i="36"/>
  <c r="M167" i="36" s="1"/>
  <c r="J166" i="36"/>
  <c r="M166" i="36" s="1"/>
  <c r="J165" i="36"/>
  <c r="M165" i="36" s="1"/>
  <c r="J164" i="36"/>
  <c r="M164" i="36" s="1"/>
  <c r="E380" i="36"/>
  <c r="C380" i="36"/>
  <c r="J162" i="36"/>
  <c r="M162" i="36" s="1"/>
  <c r="J161" i="36"/>
  <c r="M161" i="36" s="1"/>
  <c r="J160" i="36"/>
  <c r="M160" i="36" s="1"/>
  <c r="J159" i="36"/>
  <c r="M159" i="36" s="1"/>
  <c r="J158" i="36"/>
  <c r="M158" i="36" s="1"/>
  <c r="P157" i="36"/>
  <c r="V157" i="36" s="1"/>
  <c r="N157" i="36"/>
  <c r="T157" i="36" s="1"/>
  <c r="J157" i="36"/>
  <c r="M157" i="36" s="1"/>
  <c r="AG156" i="36"/>
  <c r="AF156" i="36"/>
  <c r="AF157" i="36" s="1"/>
  <c r="AF158" i="36" s="1"/>
  <c r="AF159" i="36" s="1"/>
  <c r="AF160" i="36" s="1"/>
  <c r="AF161" i="36" s="1"/>
  <c r="AF162" i="36" s="1"/>
  <c r="AF163" i="36" s="1"/>
  <c r="AF164" i="36" s="1"/>
  <c r="AF165" i="36" s="1"/>
  <c r="AF166" i="36" s="1"/>
  <c r="AF167" i="36" s="1"/>
  <c r="AF168" i="36" s="1"/>
  <c r="AF169" i="36" s="1"/>
  <c r="AF170" i="36" s="1"/>
  <c r="AF171" i="36" s="1"/>
  <c r="AF172" i="36" s="1"/>
  <c r="AF173" i="36" s="1"/>
  <c r="AF174" i="36" s="1"/>
  <c r="AF175" i="36" s="1"/>
  <c r="AF176" i="36" s="1"/>
  <c r="AF177" i="36" s="1"/>
  <c r="AF178" i="36" s="1"/>
  <c r="AF179" i="36" s="1"/>
  <c r="AF180" i="36" s="1"/>
  <c r="AF181" i="36" s="1"/>
  <c r="AF182" i="36" s="1"/>
  <c r="AF183" i="36" s="1"/>
  <c r="AF184" i="36" s="1"/>
  <c r="AF185" i="36" s="1"/>
  <c r="AF186" i="36" s="1"/>
  <c r="AF187" i="36" s="1"/>
  <c r="AF188" i="36" s="1"/>
  <c r="AF189" i="36" s="1"/>
  <c r="AF190" i="36" s="1"/>
  <c r="AF191" i="36" s="1"/>
  <c r="AF192" i="36" s="1"/>
  <c r="AF193" i="36" s="1"/>
  <c r="AF194" i="36" s="1"/>
  <c r="AF195" i="36" s="1"/>
  <c r="AF196" i="36" s="1"/>
  <c r="AF197" i="36" s="1"/>
  <c r="AF198" i="36" s="1"/>
  <c r="AF199" i="36" s="1"/>
  <c r="AF200" i="36" s="1"/>
  <c r="AF201" i="36" s="1"/>
  <c r="AF202" i="36" s="1"/>
  <c r="AF203" i="36" s="1"/>
  <c r="AF204" i="36" s="1"/>
  <c r="AF205" i="36" s="1"/>
  <c r="AF206" i="36" s="1"/>
  <c r="AF207" i="36" s="1"/>
  <c r="AF208" i="36" s="1"/>
  <c r="AF209" i="36" s="1"/>
  <c r="AF210" i="36" s="1"/>
  <c r="AF211" i="36" s="1"/>
  <c r="AF212" i="36" s="1"/>
  <c r="AF213" i="36" s="1"/>
  <c r="AF214" i="36" s="1"/>
  <c r="AF215" i="36" s="1"/>
  <c r="AF216" i="36" s="1"/>
  <c r="AF217" i="36" s="1"/>
  <c r="AF218" i="36" s="1"/>
  <c r="AF219" i="36" s="1"/>
  <c r="AF220" i="36" s="1"/>
  <c r="AF221" i="36" s="1"/>
  <c r="AF222" i="36" s="1"/>
  <c r="AF223" i="36" s="1"/>
  <c r="AF224" i="36" s="1"/>
  <c r="AF225" i="36" s="1"/>
  <c r="AF226" i="36" s="1"/>
  <c r="AF227" i="36" s="1"/>
  <c r="AF228" i="36" s="1"/>
  <c r="AF229" i="36" s="1"/>
  <c r="AF230" i="36" s="1"/>
  <c r="AF231" i="36" s="1"/>
  <c r="AF232" i="36" s="1"/>
  <c r="AF233" i="36" s="1"/>
  <c r="AF234" i="36" s="1"/>
  <c r="AF235" i="36" s="1"/>
  <c r="AF236" i="36" s="1"/>
  <c r="AF237" i="36" s="1"/>
  <c r="AF238" i="36" s="1"/>
  <c r="AF239" i="36" s="1"/>
  <c r="AF240" i="36" s="1"/>
  <c r="AF241" i="36" s="1"/>
  <c r="AF242" i="36" s="1"/>
  <c r="AF243" i="36" s="1"/>
  <c r="AF244" i="36" s="1"/>
  <c r="AF245" i="36" s="1"/>
  <c r="AF246" i="36" s="1"/>
  <c r="AF247" i="36" s="1"/>
  <c r="AE156" i="36"/>
  <c r="AE157" i="36" s="1"/>
  <c r="AE158" i="36" s="1"/>
  <c r="AE159" i="36" s="1"/>
  <c r="AE160" i="36" s="1"/>
  <c r="AE161" i="36" s="1"/>
  <c r="AE162" i="36" s="1"/>
  <c r="AE163" i="36" s="1"/>
  <c r="AE164" i="36" s="1"/>
  <c r="AE165" i="36" s="1"/>
  <c r="AE166" i="36" s="1"/>
  <c r="AE167" i="36" s="1"/>
  <c r="AE168" i="36" s="1"/>
  <c r="AE169" i="36" s="1"/>
  <c r="AE170" i="36" s="1"/>
  <c r="AE171" i="36" s="1"/>
  <c r="AE172" i="36" s="1"/>
  <c r="AE173" i="36" s="1"/>
  <c r="AE174" i="36" s="1"/>
  <c r="AE175" i="36" s="1"/>
  <c r="AE176" i="36" s="1"/>
  <c r="AE177" i="36" s="1"/>
  <c r="AE178" i="36" s="1"/>
  <c r="AE179" i="36" s="1"/>
  <c r="AE180" i="36" s="1"/>
  <c r="AE181" i="36" s="1"/>
  <c r="AE182" i="36" s="1"/>
  <c r="AE183" i="36" s="1"/>
  <c r="AE184" i="36" s="1"/>
  <c r="AE185" i="36" s="1"/>
  <c r="AE186" i="36" s="1"/>
  <c r="AE187" i="36" s="1"/>
  <c r="AE188" i="36" s="1"/>
  <c r="AE189" i="36" s="1"/>
  <c r="AE190" i="36" s="1"/>
  <c r="AE191" i="36" s="1"/>
  <c r="AE192" i="36" s="1"/>
  <c r="AE193" i="36" s="1"/>
  <c r="AE194" i="36" s="1"/>
  <c r="AE195" i="36" s="1"/>
  <c r="AE196" i="36" s="1"/>
  <c r="AE197" i="36" s="1"/>
  <c r="AE198" i="36" s="1"/>
  <c r="AE199" i="36" s="1"/>
  <c r="AE200" i="36" s="1"/>
  <c r="AE201" i="36" s="1"/>
  <c r="AE202" i="36" s="1"/>
  <c r="AE203" i="36" s="1"/>
  <c r="AE204" i="36" s="1"/>
  <c r="AE205" i="36" s="1"/>
  <c r="AE206" i="36" s="1"/>
  <c r="AE207" i="36" s="1"/>
  <c r="AE208" i="36" s="1"/>
  <c r="AE209" i="36" s="1"/>
  <c r="AE210" i="36" s="1"/>
  <c r="AE211" i="36" s="1"/>
  <c r="AE212" i="36" s="1"/>
  <c r="AE213" i="36" s="1"/>
  <c r="AE214" i="36" s="1"/>
  <c r="AE215" i="36" s="1"/>
  <c r="AE216" i="36" s="1"/>
  <c r="AE217" i="36" s="1"/>
  <c r="AE218" i="36" s="1"/>
  <c r="AE219" i="36" s="1"/>
  <c r="AE220" i="36" s="1"/>
  <c r="AE221" i="36" s="1"/>
  <c r="AE222" i="36" s="1"/>
  <c r="AE223" i="36" s="1"/>
  <c r="AE224" i="36" s="1"/>
  <c r="AE225" i="36" s="1"/>
  <c r="AE226" i="36" s="1"/>
  <c r="AE227" i="36" s="1"/>
  <c r="AE228" i="36" s="1"/>
  <c r="AE229" i="36" s="1"/>
  <c r="AE230" i="36" s="1"/>
  <c r="AE231" i="36" s="1"/>
  <c r="AE232" i="36" s="1"/>
  <c r="AE233" i="36" s="1"/>
  <c r="AE234" i="36" s="1"/>
  <c r="AE235" i="36" s="1"/>
  <c r="AE236" i="36" s="1"/>
  <c r="AE237" i="36" s="1"/>
  <c r="AE238" i="36" s="1"/>
  <c r="AE239" i="36" s="1"/>
  <c r="AE240" i="36" s="1"/>
  <c r="AE241" i="36" s="1"/>
  <c r="AE242" i="36" s="1"/>
  <c r="AE243" i="36" s="1"/>
  <c r="AE244" i="36" s="1"/>
  <c r="AE245" i="36" s="1"/>
  <c r="AE246" i="36" s="1"/>
  <c r="AE247" i="36" s="1"/>
  <c r="AD156" i="36"/>
  <c r="AA156" i="36"/>
  <c r="AC156" i="36" s="1"/>
  <c r="Z379" i="36"/>
  <c r="S156" i="36"/>
  <c r="R156" i="36"/>
  <c r="Q156" i="36"/>
  <c r="J156" i="36"/>
  <c r="M156" i="36" s="1"/>
  <c r="J154" i="36"/>
  <c r="M154" i="36" s="1"/>
  <c r="J153" i="36"/>
  <c r="M153" i="36" s="1"/>
  <c r="J152" i="36"/>
  <c r="M152" i="36" s="1"/>
  <c r="J151" i="36"/>
  <c r="M151" i="36" s="1"/>
  <c r="J150" i="36"/>
  <c r="M150" i="36" s="1"/>
  <c r="J149" i="36"/>
  <c r="M149" i="36" s="1"/>
  <c r="J148" i="36"/>
  <c r="M148" i="36" s="1"/>
  <c r="J147" i="36"/>
  <c r="M147" i="36" s="1"/>
  <c r="J146" i="36"/>
  <c r="M146" i="36" s="1"/>
  <c r="J145" i="36"/>
  <c r="M145" i="36" s="1"/>
  <c r="J144" i="36"/>
  <c r="M144" i="36" s="1"/>
  <c r="J143" i="36"/>
  <c r="M143" i="36" s="1"/>
  <c r="J142" i="36"/>
  <c r="M142" i="36" s="1"/>
  <c r="J141" i="36"/>
  <c r="M141" i="36" s="1"/>
  <c r="J140" i="36"/>
  <c r="M140" i="36" s="1"/>
  <c r="J139" i="36"/>
  <c r="M139" i="36" s="1"/>
  <c r="J138" i="36"/>
  <c r="M138" i="36" s="1"/>
  <c r="J137" i="36"/>
  <c r="M137" i="36" s="1"/>
  <c r="J136" i="36"/>
  <c r="M136" i="36" s="1"/>
  <c r="J134" i="36"/>
  <c r="J133" i="36"/>
  <c r="M133" i="36" s="1"/>
  <c r="J132" i="36"/>
  <c r="M132" i="36" s="1"/>
  <c r="J131" i="36"/>
  <c r="M131" i="36" s="1"/>
  <c r="J130" i="36"/>
  <c r="M130" i="36" s="1"/>
  <c r="J128" i="36"/>
  <c r="J127" i="36"/>
  <c r="M127" i="36" s="1"/>
  <c r="AF126" i="36"/>
  <c r="AF127" i="36" s="1"/>
  <c r="AF128" i="36" s="1"/>
  <c r="AF129" i="36" s="1"/>
  <c r="AF130" i="36" s="1"/>
  <c r="AF131" i="36" s="1"/>
  <c r="AF132" i="36" s="1"/>
  <c r="AF133" i="36" s="1"/>
  <c r="AF134" i="36" s="1"/>
  <c r="AF135" i="36" s="1"/>
  <c r="AF136" i="36" s="1"/>
  <c r="AF137" i="36" s="1"/>
  <c r="AF138" i="36" s="1"/>
  <c r="AF139" i="36" s="1"/>
  <c r="AF140" i="36" s="1"/>
  <c r="AF141" i="36" s="1"/>
  <c r="AF142" i="36" s="1"/>
  <c r="AF143" i="36" s="1"/>
  <c r="AF144" i="36" s="1"/>
  <c r="AF145" i="36" s="1"/>
  <c r="AF146" i="36" s="1"/>
  <c r="AF147" i="36" s="1"/>
  <c r="AF148" i="36" s="1"/>
  <c r="AF149" i="36" s="1"/>
  <c r="AF150" i="36" s="1"/>
  <c r="AF151" i="36" s="1"/>
  <c r="AF152" i="36" s="1"/>
  <c r="AF153" i="36" s="1"/>
  <c r="AF154" i="36" s="1"/>
  <c r="AF155" i="36" s="1"/>
  <c r="N126" i="36"/>
  <c r="T126" i="36" s="1"/>
  <c r="AG125" i="36"/>
  <c r="AF125" i="36"/>
  <c r="AE125" i="36"/>
  <c r="AE126" i="36" s="1"/>
  <c r="AE127" i="36" s="1"/>
  <c r="AE128" i="36" s="1"/>
  <c r="AE129" i="36" s="1"/>
  <c r="AE130" i="36" s="1"/>
  <c r="AE131" i="36" s="1"/>
  <c r="AE132" i="36" s="1"/>
  <c r="AE133" i="36" s="1"/>
  <c r="AE134" i="36" s="1"/>
  <c r="AE135" i="36" s="1"/>
  <c r="AE136" i="36" s="1"/>
  <c r="AE137" i="36" s="1"/>
  <c r="AE138" i="36" s="1"/>
  <c r="AE139" i="36" s="1"/>
  <c r="AE140" i="36" s="1"/>
  <c r="AE141" i="36" s="1"/>
  <c r="AE142" i="36" s="1"/>
  <c r="AE143" i="36" s="1"/>
  <c r="AE144" i="36" s="1"/>
  <c r="AE145" i="36" s="1"/>
  <c r="AE146" i="36" s="1"/>
  <c r="AE147" i="36" s="1"/>
  <c r="AE148" i="36" s="1"/>
  <c r="AE149" i="36" s="1"/>
  <c r="AE150" i="36" s="1"/>
  <c r="AE151" i="36" s="1"/>
  <c r="AE152" i="36" s="1"/>
  <c r="AE153" i="36" s="1"/>
  <c r="AE154" i="36" s="1"/>
  <c r="AE155" i="36" s="1"/>
  <c r="AD125" i="36"/>
  <c r="Z378" i="36"/>
  <c r="S125" i="36"/>
  <c r="Y125" i="36" s="1"/>
  <c r="R125" i="36"/>
  <c r="X125" i="36" s="1"/>
  <c r="Q125" i="36"/>
  <c r="W125" i="36" s="1"/>
  <c r="V125" i="36"/>
  <c r="U125" i="36"/>
  <c r="T125" i="36"/>
  <c r="J125" i="36"/>
  <c r="M125" i="36" s="1"/>
  <c r="J124" i="36"/>
  <c r="M124" i="36" s="1"/>
  <c r="J123" i="36"/>
  <c r="M123" i="36" s="1"/>
  <c r="J122" i="36"/>
  <c r="M122" i="36" s="1"/>
  <c r="J121" i="36"/>
  <c r="M121" i="36" s="1"/>
  <c r="J120" i="36"/>
  <c r="M120" i="36" s="1"/>
  <c r="J119" i="36"/>
  <c r="M119" i="36" s="1"/>
  <c r="J118" i="36"/>
  <c r="M118" i="36" s="1"/>
  <c r="J117" i="36"/>
  <c r="M117" i="36" s="1"/>
  <c r="J116" i="36"/>
  <c r="M116" i="36" s="1"/>
  <c r="J115" i="36"/>
  <c r="M115" i="36" s="1"/>
  <c r="J114" i="36"/>
  <c r="M114" i="36" s="1"/>
  <c r="J113" i="36"/>
  <c r="M113" i="36" s="1"/>
  <c r="J112" i="36"/>
  <c r="M112" i="36" s="1"/>
  <c r="J111" i="36"/>
  <c r="M111" i="36" s="1"/>
  <c r="J110" i="36"/>
  <c r="M110" i="36" s="1"/>
  <c r="J109" i="36"/>
  <c r="M109" i="36" s="1"/>
  <c r="J108" i="36"/>
  <c r="M108" i="36" s="1"/>
  <c r="J107" i="36"/>
  <c r="J106" i="36"/>
  <c r="M106" i="36" s="1"/>
  <c r="J105" i="36"/>
  <c r="M105" i="36" s="1"/>
  <c r="J104" i="36"/>
  <c r="M104" i="36" s="1"/>
  <c r="J103" i="36"/>
  <c r="M103" i="36" s="1"/>
  <c r="J102" i="36"/>
  <c r="M102" i="36" s="1"/>
  <c r="J101" i="36"/>
  <c r="M101" i="36" s="1"/>
  <c r="J100" i="36"/>
  <c r="M100" i="36" s="1"/>
  <c r="J99" i="36"/>
  <c r="M99" i="36" s="1"/>
  <c r="N97" i="36"/>
  <c r="P96" i="36"/>
  <c r="V96" i="36" s="1"/>
  <c r="N96" i="36"/>
  <c r="T96" i="36" s="1"/>
  <c r="J95" i="36"/>
  <c r="M95" i="36" s="1"/>
  <c r="J94" i="36"/>
  <c r="M94" i="36" s="1"/>
  <c r="J92" i="36"/>
  <c r="M92" i="36" s="1"/>
  <c r="J91" i="36"/>
  <c r="M91" i="36" s="1"/>
  <c r="J90" i="36"/>
  <c r="M90" i="36" s="1"/>
  <c r="J89" i="36"/>
  <c r="M89" i="36" s="1"/>
  <c r="J88" i="36"/>
  <c r="M88" i="36" s="1"/>
  <c r="J87" i="36"/>
  <c r="M87" i="36" s="1"/>
  <c r="J86" i="36"/>
  <c r="M86" i="36" s="1"/>
  <c r="J85" i="36"/>
  <c r="M85" i="36" s="1"/>
  <c r="J84" i="36"/>
  <c r="M84" i="36" s="1"/>
  <c r="J83" i="36"/>
  <c r="M83" i="36" s="1"/>
  <c r="J82" i="36"/>
  <c r="M82" i="36" s="1"/>
  <c r="J81" i="36"/>
  <c r="M81" i="36" s="1"/>
  <c r="J79" i="36"/>
  <c r="M79" i="36" s="1"/>
  <c r="J78" i="36"/>
  <c r="M78" i="36" s="1"/>
  <c r="J77" i="36"/>
  <c r="M77" i="36" s="1"/>
  <c r="J76" i="36"/>
  <c r="M76" i="36" s="1"/>
  <c r="J75" i="36"/>
  <c r="M75" i="36" s="1"/>
  <c r="J74" i="36"/>
  <c r="M74" i="36" s="1"/>
  <c r="J73" i="36"/>
  <c r="M73" i="36" s="1"/>
  <c r="AJ72" i="36"/>
  <c r="J72" i="36"/>
  <c r="M72" i="36" s="1"/>
  <c r="J71" i="36"/>
  <c r="J70" i="36"/>
  <c r="M70" i="36" s="1"/>
  <c r="J69" i="36"/>
  <c r="M69" i="36" s="1"/>
  <c r="J68" i="36"/>
  <c r="M68" i="36" s="1"/>
  <c r="J66" i="36"/>
  <c r="M66" i="36" s="1"/>
  <c r="P65" i="36"/>
  <c r="N65" i="36"/>
  <c r="J63" i="36"/>
  <c r="M63" i="36" s="1"/>
  <c r="J62" i="36"/>
  <c r="M62" i="36" s="1"/>
  <c r="J61" i="36"/>
  <c r="M61" i="36" s="1"/>
  <c r="J60" i="36"/>
  <c r="M60" i="36" s="1"/>
  <c r="J59" i="36"/>
  <c r="M59" i="36" s="1"/>
  <c r="J58" i="36"/>
  <c r="M58" i="36" s="1"/>
  <c r="J57" i="36"/>
  <c r="M57" i="36" s="1"/>
  <c r="J56" i="36"/>
  <c r="M56" i="36" s="1"/>
  <c r="J55" i="36"/>
  <c r="M55" i="36" s="1"/>
  <c r="J54" i="36"/>
  <c r="M54" i="36" s="1"/>
  <c r="J53" i="36"/>
  <c r="M53" i="36" s="1"/>
  <c r="J52" i="36"/>
  <c r="M52" i="36" s="1"/>
  <c r="J51" i="36"/>
  <c r="M51" i="36" s="1"/>
  <c r="Z376" i="36"/>
  <c r="J50" i="36"/>
  <c r="M50" i="36" s="1"/>
  <c r="J49" i="36"/>
  <c r="M49" i="36" s="1"/>
  <c r="J48" i="36"/>
  <c r="M48" i="36" s="1"/>
  <c r="J47" i="36"/>
  <c r="M47" i="36" s="1"/>
  <c r="J46" i="36"/>
  <c r="J45" i="36"/>
  <c r="M45" i="36" s="1"/>
  <c r="J44" i="36"/>
  <c r="M44" i="36" s="1"/>
  <c r="J43" i="36"/>
  <c r="M43" i="36" s="1"/>
  <c r="J42" i="36"/>
  <c r="M42" i="36" s="1"/>
  <c r="J41" i="36"/>
  <c r="M41" i="36" s="1"/>
  <c r="J40" i="36"/>
  <c r="M40" i="36" s="1"/>
  <c r="J39" i="36"/>
  <c r="M39" i="36" s="1"/>
  <c r="J37" i="36"/>
  <c r="M37" i="36" s="1"/>
  <c r="P36" i="36"/>
  <c r="V36" i="36" s="1"/>
  <c r="O36" i="36"/>
  <c r="U36" i="36" s="1"/>
  <c r="N36" i="36"/>
  <c r="J36" i="36"/>
  <c r="M36" i="36" s="1"/>
  <c r="AF36" i="36"/>
  <c r="AF37" i="36" s="1"/>
  <c r="AF38" i="36" s="1"/>
  <c r="AF39" i="36" s="1"/>
  <c r="AF40" i="36" s="1"/>
  <c r="AF41" i="36" s="1"/>
  <c r="AF42" i="36" s="1"/>
  <c r="AF43" i="36" s="1"/>
  <c r="AF44" i="36" s="1"/>
  <c r="AF45" i="36" s="1"/>
  <c r="AF46" i="36" s="1"/>
  <c r="AF47" i="36" s="1"/>
  <c r="AF48" i="36" s="1"/>
  <c r="AF49" i="36" s="1"/>
  <c r="AF50" i="36" s="1"/>
  <c r="AF51" i="36" s="1"/>
  <c r="AF52" i="36" s="1"/>
  <c r="AF53" i="36" s="1"/>
  <c r="AF54" i="36" s="1"/>
  <c r="AF55" i="36" s="1"/>
  <c r="AF56" i="36" s="1"/>
  <c r="AF57" i="36" s="1"/>
  <c r="AF58" i="36" s="1"/>
  <c r="AF59" i="36" s="1"/>
  <c r="AF60" i="36" s="1"/>
  <c r="AF61" i="36" s="1"/>
  <c r="AF62" i="36" s="1"/>
  <c r="AF65" i="36" s="1"/>
  <c r="AF66" i="36" s="1"/>
  <c r="AF67" i="36" s="1"/>
  <c r="AF68" i="36" s="1"/>
  <c r="AF69" i="36" s="1"/>
  <c r="AF70" i="36" s="1"/>
  <c r="AF71" i="36" s="1"/>
  <c r="AF72" i="36" s="1"/>
  <c r="AF73" i="36" s="1"/>
  <c r="AF74" i="36" s="1"/>
  <c r="AF75" i="36" s="1"/>
  <c r="AF76" i="36" s="1"/>
  <c r="AF77" i="36" s="1"/>
  <c r="AF78" i="36" s="1"/>
  <c r="AF79" i="36" s="1"/>
  <c r="AF80" i="36" s="1"/>
  <c r="AF81" i="36" s="1"/>
  <c r="AF82" i="36" s="1"/>
  <c r="AF83" i="36" s="1"/>
  <c r="AF84" i="36" s="1"/>
  <c r="AF85" i="36" s="1"/>
  <c r="AF86" i="36" s="1"/>
  <c r="AF87" i="36" s="1"/>
  <c r="AF88" i="36" s="1"/>
  <c r="AF89" i="36" s="1"/>
  <c r="AF90" i="36" s="1"/>
  <c r="AF91" i="36" s="1"/>
  <c r="AF92" i="36" s="1"/>
  <c r="AF93" i="36" s="1"/>
  <c r="AF94" i="36" s="1"/>
  <c r="AF95" i="36" s="1"/>
  <c r="AF96" i="36" s="1"/>
  <c r="AF97" i="36" s="1"/>
  <c r="AF98" i="36" s="1"/>
  <c r="AF99" i="36" s="1"/>
  <c r="AF100" i="36" s="1"/>
  <c r="AF101" i="36" s="1"/>
  <c r="AF102" i="36" s="1"/>
  <c r="AF103" i="36" s="1"/>
  <c r="AF104" i="36" s="1"/>
  <c r="AF105" i="36" s="1"/>
  <c r="AF106" i="36" s="1"/>
  <c r="AF107" i="36" s="1"/>
  <c r="AF108" i="36" s="1"/>
  <c r="AF109" i="36" s="1"/>
  <c r="AF110" i="36" s="1"/>
  <c r="AF111" i="36" s="1"/>
  <c r="AF112" i="36" s="1"/>
  <c r="AF113" i="36" s="1"/>
  <c r="AF114" i="36" s="1"/>
  <c r="AF115" i="36" s="1"/>
  <c r="AF116" i="36" s="1"/>
  <c r="AF117" i="36" s="1"/>
  <c r="AF118" i="36" s="1"/>
  <c r="AF119" i="36" s="1"/>
  <c r="AF120" i="36" s="1"/>
  <c r="AF121" i="36" s="1"/>
  <c r="AF122" i="36" s="1"/>
  <c r="AF123" i="36" s="1"/>
  <c r="AF124" i="36" s="1"/>
  <c r="AE36" i="36"/>
  <c r="AE37" i="36" s="1"/>
  <c r="AE38" i="36" s="1"/>
  <c r="AE39" i="36" s="1"/>
  <c r="AE40" i="36" s="1"/>
  <c r="AE41" i="36" s="1"/>
  <c r="AE42" i="36" s="1"/>
  <c r="Z375" i="36"/>
  <c r="J35" i="36"/>
  <c r="M35" i="36" s="1"/>
  <c r="J34" i="36"/>
  <c r="M34" i="36" s="1"/>
  <c r="J33" i="36"/>
  <c r="M33" i="36" s="1"/>
  <c r="J32" i="36"/>
  <c r="M32" i="36" s="1"/>
  <c r="J31" i="36"/>
  <c r="M31" i="36" s="1"/>
  <c r="J30" i="36"/>
  <c r="M30" i="36" s="1"/>
  <c r="J29" i="36"/>
  <c r="M29" i="36" s="1"/>
  <c r="J28" i="36"/>
  <c r="M28" i="36" s="1"/>
  <c r="J27" i="36"/>
  <c r="M27" i="36" s="1"/>
  <c r="J26" i="36"/>
  <c r="M26" i="36" s="1"/>
  <c r="J25" i="36"/>
  <c r="M25" i="36" s="1"/>
  <c r="J24" i="36"/>
  <c r="J23" i="36"/>
  <c r="M23" i="36" s="1"/>
  <c r="J22" i="36"/>
  <c r="M22" i="36" s="1"/>
  <c r="J21" i="36"/>
  <c r="M21" i="36" s="1"/>
  <c r="J20" i="36"/>
  <c r="M20" i="36" s="1"/>
  <c r="J19" i="36"/>
  <c r="M19" i="36" s="1"/>
  <c r="J18" i="36"/>
  <c r="M18" i="36" s="1"/>
  <c r="J17" i="36"/>
  <c r="M17" i="36" s="1"/>
  <c r="J16" i="36"/>
  <c r="M16" i="36" s="1"/>
  <c r="J15" i="36"/>
  <c r="M15" i="36" s="1"/>
  <c r="J14" i="36"/>
  <c r="M14" i="36" s="1"/>
  <c r="J13" i="36"/>
  <c r="M13" i="36" s="1"/>
  <c r="J12" i="36"/>
  <c r="M12" i="36" s="1"/>
  <c r="J11" i="36"/>
  <c r="M11" i="36" s="1"/>
  <c r="J10" i="36"/>
  <c r="M10" i="36" s="1"/>
  <c r="J9" i="36"/>
  <c r="M9" i="36" s="1"/>
  <c r="J8" i="36"/>
  <c r="M8" i="36" s="1"/>
  <c r="J7" i="36"/>
  <c r="M7" i="36" s="1"/>
  <c r="J6" i="36"/>
  <c r="M6" i="36" s="1"/>
  <c r="AF5" i="36"/>
  <c r="AF6" i="36" s="1"/>
  <c r="AF7" i="36" s="1"/>
  <c r="AF8" i="36" s="1"/>
  <c r="AF9" i="36" s="1"/>
  <c r="AF10" i="36" s="1"/>
  <c r="AF11" i="36" s="1"/>
  <c r="AF12" i="36" s="1"/>
  <c r="AF13" i="36" s="1"/>
  <c r="AF14" i="36" s="1"/>
  <c r="AF15" i="36" s="1"/>
  <c r="AF16" i="36" s="1"/>
  <c r="AF17" i="36" s="1"/>
  <c r="AF18" i="36" s="1"/>
  <c r="AF19" i="36" s="1"/>
  <c r="AF20" i="36" s="1"/>
  <c r="AF21" i="36" s="1"/>
  <c r="AF22" i="36" s="1"/>
  <c r="AF23" i="36" s="1"/>
  <c r="AF24" i="36" s="1"/>
  <c r="AF25" i="36" s="1"/>
  <c r="AF26" i="36" s="1"/>
  <c r="AF27" i="36" s="1"/>
  <c r="AF28" i="36" s="1"/>
  <c r="AF29" i="36" s="1"/>
  <c r="AF30" i="36" s="1"/>
  <c r="AF31" i="36" s="1"/>
  <c r="AF32" i="36" s="1"/>
  <c r="AF33" i="36" s="1"/>
  <c r="AF34" i="36" s="1"/>
  <c r="AE5" i="36"/>
  <c r="AE6" i="36" s="1"/>
  <c r="AE7" i="36" s="1"/>
  <c r="P5" i="36"/>
  <c r="V5" i="36" s="1"/>
  <c r="O5" i="36"/>
  <c r="U5" i="36" s="1"/>
  <c r="N5" i="36"/>
  <c r="Q5" i="36" s="1"/>
  <c r="AA5" i="36" s="1"/>
  <c r="AE43" i="36" l="1"/>
  <c r="AE44" i="36" s="1"/>
  <c r="AE45" i="36" s="1"/>
  <c r="AE46" i="36" s="1"/>
  <c r="AE47" i="36" s="1"/>
  <c r="AE48" i="36" s="1"/>
  <c r="AE49" i="36" s="1"/>
  <c r="AE50" i="36" s="1"/>
  <c r="AE51" i="36" s="1"/>
  <c r="AE52" i="36" s="1"/>
  <c r="AE53" i="36" s="1"/>
  <c r="AE54" i="36" s="1"/>
  <c r="AE55" i="36" s="1"/>
  <c r="AE56" i="36" s="1"/>
  <c r="I374" i="36"/>
  <c r="O37" i="36"/>
  <c r="U37" i="36" s="1"/>
  <c r="AE8" i="36"/>
  <c r="AE9" i="36" s="1"/>
  <c r="AE10" i="36" s="1"/>
  <c r="AE11" i="36" s="1"/>
  <c r="AE12" i="36" s="1"/>
  <c r="AE13" i="36" s="1"/>
  <c r="AE14" i="36" s="1"/>
  <c r="AE15" i="36" s="1"/>
  <c r="AE16" i="36" s="1"/>
  <c r="AE17" i="36" s="1"/>
  <c r="AE18" i="36" s="1"/>
  <c r="AE19" i="36" s="1"/>
  <c r="AE20" i="36" s="1"/>
  <c r="AE21" i="36" s="1"/>
  <c r="AA186" i="36"/>
  <c r="R249" i="36"/>
  <c r="P250" i="36"/>
  <c r="V250" i="36" s="1"/>
  <c r="V249" i="36"/>
  <c r="AG370" i="36"/>
  <c r="T5" i="36"/>
  <c r="N98" i="36"/>
  <c r="T98" i="36" s="1"/>
  <c r="T97" i="36"/>
  <c r="P37" i="36"/>
  <c r="T36" i="36"/>
  <c r="P66" i="36"/>
  <c r="V65" i="36"/>
  <c r="P158" i="36"/>
  <c r="V158" i="36" s="1"/>
  <c r="N66" i="36"/>
  <c r="T66" i="36" s="1"/>
  <c r="T65" i="36"/>
  <c r="O188" i="36"/>
  <c r="U188" i="36" s="1"/>
  <c r="U187" i="36"/>
  <c r="AD186" i="36"/>
  <c r="AD278" i="36"/>
  <c r="AG278" i="36" s="1"/>
  <c r="Q187" i="36"/>
  <c r="W5" i="36"/>
  <c r="N6" i="36"/>
  <c r="T6" i="36" s="1"/>
  <c r="R340" i="36"/>
  <c r="S157" i="36"/>
  <c r="P280" i="36"/>
  <c r="R5" i="36"/>
  <c r="X5" i="36" s="1"/>
  <c r="O250" i="36"/>
  <c r="U250" i="36" s="1"/>
  <c r="N311" i="36"/>
  <c r="O6" i="36"/>
  <c r="U6" i="36" s="1"/>
  <c r="O341" i="36"/>
  <c r="U341" i="36" s="1"/>
  <c r="S218" i="36"/>
  <c r="Y218" i="36" s="1"/>
  <c r="AD217" i="36"/>
  <c r="AG217" i="36" s="1"/>
  <c r="J293" i="36"/>
  <c r="M293" i="36" s="1"/>
  <c r="M24" i="36"/>
  <c r="D377" i="36"/>
  <c r="J65" i="36"/>
  <c r="S5" i="36"/>
  <c r="Y5" i="36" s="1"/>
  <c r="D371" i="36"/>
  <c r="D375" i="36"/>
  <c r="D372" i="36"/>
  <c r="N37" i="36"/>
  <c r="T37" i="36" s="1"/>
  <c r="P188" i="36"/>
  <c r="V188" i="36" s="1"/>
  <c r="J256" i="36"/>
  <c r="M256" i="36" s="1"/>
  <c r="D379" i="36"/>
  <c r="O126" i="36"/>
  <c r="U126" i="36" s="1"/>
  <c r="AA187" i="36"/>
  <c r="J296" i="36"/>
  <c r="M296" i="36" s="1"/>
  <c r="J375" i="36"/>
  <c r="M5" i="36"/>
  <c r="E379" i="36"/>
  <c r="P126" i="36"/>
  <c r="V126" i="36" s="1"/>
  <c r="J126" i="36"/>
  <c r="J129" i="36"/>
  <c r="M129" i="36" s="1"/>
  <c r="J67" i="36"/>
  <c r="M67" i="36" s="1"/>
  <c r="AA125" i="36"/>
  <c r="AC125" i="36" s="1"/>
  <c r="M200" i="36"/>
  <c r="D378" i="36"/>
  <c r="O96" i="36"/>
  <c r="U96" i="36" s="1"/>
  <c r="J98" i="36"/>
  <c r="M98" i="36" s="1"/>
  <c r="J188" i="36"/>
  <c r="J194" i="36"/>
  <c r="M194" i="36" s="1"/>
  <c r="E376" i="36"/>
  <c r="P6" i="36"/>
  <c r="V6" i="36" s="1"/>
  <c r="J38" i="36"/>
  <c r="M38" i="36" s="1"/>
  <c r="J96" i="36"/>
  <c r="M134" i="36"/>
  <c r="J208" i="36"/>
  <c r="M208" i="36" s="1"/>
  <c r="P251" i="36"/>
  <c r="AG186" i="36"/>
  <c r="J93" i="36"/>
  <c r="M93" i="36" s="1"/>
  <c r="E378" i="36"/>
  <c r="P97" i="36"/>
  <c r="V97" i="36" s="1"/>
  <c r="J97" i="36"/>
  <c r="M97" i="36" s="1"/>
  <c r="M128" i="36"/>
  <c r="R187" i="36"/>
  <c r="Q310" i="36"/>
  <c r="O65" i="36"/>
  <c r="U65" i="36" s="1"/>
  <c r="M107" i="36"/>
  <c r="J193" i="36"/>
  <c r="M193" i="36" s="1"/>
  <c r="AE279" i="36"/>
  <c r="AE280" i="36" s="1"/>
  <c r="AE281" i="36" s="1"/>
  <c r="AE282" i="36" s="1"/>
  <c r="AE283" i="36" s="1"/>
  <c r="AE284" i="36" s="1"/>
  <c r="AE285" i="36" s="1"/>
  <c r="AE286" i="36" s="1"/>
  <c r="AE287" i="36" s="1"/>
  <c r="AE288" i="36" s="1"/>
  <c r="AE289" i="36" s="1"/>
  <c r="AE290" i="36" s="1"/>
  <c r="AE291" i="36" s="1"/>
  <c r="AE292" i="36" s="1"/>
  <c r="AE293" i="36" s="1"/>
  <c r="AE294" i="36" s="1"/>
  <c r="AE295" i="36" s="1"/>
  <c r="AE296" i="36" s="1"/>
  <c r="AE297" i="36" s="1"/>
  <c r="AE298" i="36" s="1"/>
  <c r="AE299" i="36" s="1"/>
  <c r="AE300" i="36" s="1"/>
  <c r="AE301" i="36" s="1"/>
  <c r="AE302" i="36" s="1"/>
  <c r="AE303" i="36" s="1"/>
  <c r="AE304" i="36" s="1"/>
  <c r="AE305" i="36" s="1"/>
  <c r="AE306" i="36" s="1"/>
  <c r="AE307" i="36" s="1"/>
  <c r="AE308" i="36" s="1"/>
  <c r="J295" i="36"/>
  <c r="M295" i="36" s="1"/>
  <c r="J155" i="36"/>
  <c r="M155" i="36" s="1"/>
  <c r="J196" i="36"/>
  <c r="M196" i="36" s="1"/>
  <c r="J269" i="36"/>
  <c r="M269" i="36" s="1"/>
  <c r="O280" i="36"/>
  <c r="U280" i="36" s="1"/>
  <c r="R279" i="36"/>
  <c r="J254" i="36"/>
  <c r="M254" i="36" s="1"/>
  <c r="AE340" i="36"/>
  <c r="AE341" i="36" s="1"/>
  <c r="AE342" i="36" s="1"/>
  <c r="AE343" i="36" s="1"/>
  <c r="AE344" i="36" s="1"/>
  <c r="AE345" i="36" s="1"/>
  <c r="AE346" i="36" s="1"/>
  <c r="AE347" i="36" s="1"/>
  <c r="AE348" i="36" s="1"/>
  <c r="AE349" i="36" s="1"/>
  <c r="AE350" i="36" s="1"/>
  <c r="AE351" i="36" s="1"/>
  <c r="AE352" i="36" s="1"/>
  <c r="AE353" i="36" s="1"/>
  <c r="AE354" i="36" s="1"/>
  <c r="AE355" i="36" s="1"/>
  <c r="AE356" i="36" s="1"/>
  <c r="AE357" i="36" s="1"/>
  <c r="AE358" i="36" s="1"/>
  <c r="AE359" i="36" s="1"/>
  <c r="AE360" i="36" s="1"/>
  <c r="AE361" i="36" s="1"/>
  <c r="AE362" i="36" s="1"/>
  <c r="AE363" i="36" s="1"/>
  <c r="AE364" i="36" s="1"/>
  <c r="AE365" i="36" s="1"/>
  <c r="AE366" i="36" s="1"/>
  <c r="AE367" i="36" s="1"/>
  <c r="AE368" i="36" s="1"/>
  <c r="AE369" i="36" s="1"/>
  <c r="AG339" i="36"/>
  <c r="C371" i="36"/>
  <c r="C375" i="36"/>
  <c r="C376" i="36"/>
  <c r="C377" i="36"/>
  <c r="J135" i="36"/>
  <c r="M135" i="36" s="1"/>
  <c r="S187" i="36"/>
  <c r="J213" i="36"/>
  <c r="M213" i="36" s="1"/>
  <c r="O219" i="36"/>
  <c r="U219" i="36" s="1"/>
  <c r="J267" i="36"/>
  <c r="M267" i="36" s="1"/>
  <c r="D376" i="36"/>
  <c r="P159" i="36"/>
  <c r="V159" i="36" s="1"/>
  <c r="S158" i="36"/>
  <c r="E383" i="36"/>
  <c r="E381" i="36"/>
  <c r="E384" i="36"/>
  <c r="J191" i="36"/>
  <c r="J212" i="36"/>
  <c r="M212" i="36" s="1"/>
  <c r="P219" i="36"/>
  <c r="V219" i="36" s="1"/>
  <c r="J334" i="36"/>
  <c r="M334" i="36" s="1"/>
  <c r="E375" i="36"/>
  <c r="E371" i="36"/>
  <c r="E372" i="36"/>
  <c r="E377" i="36"/>
  <c r="J80" i="36"/>
  <c r="M80" i="36" s="1"/>
  <c r="D380" i="36"/>
  <c r="O157" i="36"/>
  <c r="U157" i="36" s="1"/>
  <c r="J163" i="36"/>
  <c r="M163" i="36" s="1"/>
  <c r="J170" i="36"/>
  <c r="M170" i="36" s="1"/>
  <c r="R218" i="36"/>
  <c r="X218" i="36" s="1"/>
  <c r="Q218" i="36"/>
  <c r="W218" i="36" s="1"/>
  <c r="N250" i="36"/>
  <c r="T250" i="36" s="1"/>
  <c r="J292" i="36"/>
  <c r="M292" i="36" s="1"/>
  <c r="N188" i="36"/>
  <c r="T188" i="36" s="1"/>
  <c r="Z383" i="36"/>
  <c r="Z381" i="36"/>
  <c r="Z384" i="36"/>
  <c r="N219" i="36"/>
  <c r="T219" i="36" s="1"/>
  <c r="J257" i="36"/>
  <c r="M257" i="36" s="1"/>
  <c r="Q126" i="36"/>
  <c r="W126" i="36" s="1"/>
  <c r="N127" i="36"/>
  <c r="T127" i="36" s="1"/>
  <c r="Q157" i="36"/>
  <c r="N158" i="36"/>
  <c r="T158" i="36" s="1"/>
  <c r="D384" i="36"/>
  <c r="J283" i="36"/>
  <c r="M283" i="36" s="1"/>
  <c r="C378" i="36"/>
  <c r="J190" i="36"/>
  <c r="J195" i="36"/>
  <c r="M195" i="36" s="1"/>
  <c r="J199" i="36"/>
  <c r="M199" i="36" s="1"/>
  <c r="J253" i="36"/>
  <c r="M253" i="36" s="1"/>
  <c r="J266" i="36"/>
  <c r="M266" i="36" s="1"/>
  <c r="AG309" i="36"/>
  <c r="P311" i="36"/>
  <c r="V311" i="36" s="1"/>
  <c r="J319" i="36"/>
  <c r="M319" i="36" s="1"/>
  <c r="J325" i="36"/>
  <c r="M325" i="36" s="1"/>
  <c r="Q249" i="36"/>
  <c r="AA248" i="36"/>
  <c r="AC248" i="36" s="1"/>
  <c r="R310" i="36"/>
  <c r="D381" i="36"/>
  <c r="D383" i="36"/>
  <c r="C383" i="36"/>
  <c r="C381" i="36"/>
  <c r="C384" i="36"/>
  <c r="S310" i="36"/>
  <c r="C379" i="36"/>
  <c r="C382" i="36"/>
  <c r="M247" i="36"/>
  <c r="O251" i="36"/>
  <c r="U251" i="36" s="1"/>
  <c r="J251" i="36"/>
  <c r="M251" i="36" s="1"/>
  <c r="M289" i="36"/>
  <c r="J321" i="36"/>
  <c r="M321" i="36" s="1"/>
  <c r="E382" i="36"/>
  <c r="J226" i="36"/>
  <c r="AG248" i="36"/>
  <c r="AH248" i="36" s="1"/>
  <c r="J264" i="36"/>
  <c r="M264" i="36" s="1"/>
  <c r="Q280" i="36"/>
  <c r="J281" i="36"/>
  <c r="M281" i="36" s="1"/>
  <c r="J308" i="36"/>
  <c r="M308" i="36" s="1"/>
  <c r="D382" i="36"/>
  <c r="S249" i="36"/>
  <c r="M261" i="36"/>
  <c r="J270" i="36"/>
  <c r="M270" i="36" s="1"/>
  <c r="M309" i="36"/>
  <c r="O311" i="36"/>
  <c r="J276" i="36"/>
  <c r="M276" i="36" s="1"/>
  <c r="M329" i="36"/>
  <c r="J277" i="36"/>
  <c r="M277" i="36" s="1"/>
  <c r="J306" i="36"/>
  <c r="M306" i="36" s="1"/>
  <c r="N341" i="36"/>
  <c r="T341" i="36" s="1"/>
  <c r="J318" i="36"/>
  <c r="M318" i="36" s="1"/>
  <c r="P341" i="36"/>
  <c r="V341" i="36" s="1"/>
  <c r="AA278" i="36"/>
  <c r="AC278" i="36" s="1"/>
  <c r="S279" i="36"/>
  <c r="Q279" i="36"/>
  <c r="J336" i="36"/>
  <c r="M336" i="36" s="1"/>
  <c r="J328" i="36"/>
  <c r="M328" i="36" s="1"/>
  <c r="S340" i="36"/>
  <c r="Q340" i="36"/>
  <c r="AF370" i="35"/>
  <c r="AE370" i="35"/>
  <c r="AE57" i="36" l="1"/>
  <c r="AE58" i="36" s="1"/>
  <c r="AE59" i="36" s="1"/>
  <c r="AE60" i="36" s="1"/>
  <c r="AE61" i="36" s="1"/>
  <c r="AE62" i="36" s="1"/>
  <c r="AE65" i="36" s="1"/>
  <c r="AE66" i="36" s="1"/>
  <c r="AE67" i="36" s="1"/>
  <c r="AE68" i="36" s="1"/>
  <c r="AE69" i="36" s="1"/>
  <c r="AE70" i="36" s="1"/>
  <c r="AE71" i="36" s="1"/>
  <c r="AE72" i="36" s="1"/>
  <c r="AE73" i="36" s="1"/>
  <c r="AE74" i="36" s="1"/>
  <c r="AE75" i="36" s="1"/>
  <c r="AE76" i="36" s="1"/>
  <c r="AE77" i="36" s="1"/>
  <c r="AE78" i="36" s="1"/>
  <c r="AE79" i="36" s="1"/>
  <c r="AE80" i="36" s="1"/>
  <c r="AE81" i="36" s="1"/>
  <c r="AE82" i="36" s="1"/>
  <c r="AE83" i="36" s="1"/>
  <c r="AE84" i="36" s="1"/>
  <c r="AE85" i="36" s="1"/>
  <c r="AE86" i="36" s="1"/>
  <c r="AE87" i="36" s="1"/>
  <c r="AE88" i="36" s="1"/>
  <c r="AE89" i="36" s="1"/>
  <c r="AE90" i="36" s="1"/>
  <c r="AE91" i="36" s="1"/>
  <c r="AE92" i="36" s="1"/>
  <c r="AE93" i="36" s="1"/>
  <c r="AE94" i="36" s="1"/>
  <c r="AE95" i="36" s="1"/>
  <c r="AE96" i="36" s="1"/>
  <c r="AE97" i="36" s="1"/>
  <c r="AE98" i="36" s="1"/>
  <c r="AE99" i="36" s="1"/>
  <c r="AE100" i="36" s="1"/>
  <c r="AE101" i="36" s="1"/>
  <c r="AE102" i="36" s="1"/>
  <c r="AE103" i="36" s="1"/>
  <c r="AE104" i="36" s="1"/>
  <c r="AE105" i="36" s="1"/>
  <c r="AE106" i="36" s="1"/>
  <c r="AE107" i="36" s="1"/>
  <c r="AE108" i="36" s="1"/>
  <c r="AE109" i="36" s="1"/>
  <c r="AE110" i="36" s="1"/>
  <c r="AE111" i="36" s="1"/>
  <c r="AE112" i="36" s="1"/>
  <c r="AE113" i="36" s="1"/>
  <c r="AE114" i="36" s="1"/>
  <c r="AE115" i="36" s="1"/>
  <c r="AE116" i="36" s="1"/>
  <c r="AE117" i="36" s="1"/>
  <c r="AE118" i="36" s="1"/>
  <c r="AE119" i="36" s="1"/>
  <c r="AE120" i="36" s="1"/>
  <c r="AE121" i="36" s="1"/>
  <c r="AE122" i="36" s="1"/>
  <c r="AE123" i="36" s="1"/>
  <c r="AE124" i="36" s="1"/>
  <c r="O38" i="36"/>
  <c r="U38" i="36" s="1"/>
  <c r="AE22" i="36"/>
  <c r="AE23" i="36" s="1"/>
  <c r="AE24" i="36" s="1"/>
  <c r="AE25" i="36" s="1"/>
  <c r="AE26" i="36" s="1"/>
  <c r="AE27" i="36" s="1"/>
  <c r="AE28" i="36" s="1"/>
  <c r="AE29" i="36" s="1"/>
  <c r="AE30" i="36" s="1"/>
  <c r="AE31" i="36" s="1"/>
  <c r="AE32" i="36" s="1"/>
  <c r="AE33" i="36" s="1"/>
  <c r="AE34" i="36" s="1"/>
  <c r="R341" i="36"/>
  <c r="R219" i="36"/>
  <c r="X219" i="36" s="1"/>
  <c r="S311" i="36"/>
  <c r="S188" i="36"/>
  <c r="N67" i="36"/>
  <c r="T67" i="36" s="1"/>
  <c r="S251" i="36"/>
  <c r="V251" i="36"/>
  <c r="N99" i="36"/>
  <c r="T99" i="36" s="1"/>
  <c r="Q311" i="36"/>
  <c r="AA311" i="36" s="1"/>
  <c r="T311" i="36"/>
  <c r="V37" i="36"/>
  <c r="S250" i="36"/>
  <c r="N312" i="36"/>
  <c r="N313" i="36" s="1"/>
  <c r="T313" i="36" s="1"/>
  <c r="P38" i="36"/>
  <c r="V38" i="36" s="1"/>
  <c r="P67" i="36"/>
  <c r="V66" i="36"/>
  <c r="R311" i="36"/>
  <c r="U311" i="36"/>
  <c r="J376" i="36"/>
  <c r="Q6" i="36"/>
  <c r="W6" i="36" s="1"/>
  <c r="N281" i="36"/>
  <c r="T280" i="36"/>
  <c r="N7" i="36"/>
  <c r="T7" i="36" s="1"/>
  <c r="R188" i="36"/>
  <c r="O189" i="36"/>
  <c r="S280" i="36"/>
  <c r="V280" i="36"/>
  <c r="O7" i="36"/>
  <c r="U7" i="36" s="1"/>
  <c r="O342" i="36"/>
  <c r="U342" i="36" s="1"/>
  <c r="R250" i="36"/>
  <c r="P281" i="36"/>
  <c r="R280" i="36"/>
  <c r="R6" i="36"/>
  <c r="X6" i="36" s="1"/>
  <c r="AA157" i="36"/>
  <c r="Q127" i="36"/>
  <c r="W127" i="36" s="1"/>
  <c r="N128" i="36"/>
  <c r="T128" i="36" s="1"/>
  <c r="Q188" i="36"/>
  <c r="N189" i="36"/>
  <c r="T189" i="36" s="1"/>
  <c r="AA218" i="36"/>
  <c r="P98" i="36"/>
  <c r="V98" i="36" s="1"/>
  <c r="N342" i="36"/>
  <c r="T342" i="36" s="1"/>
  <c r="Q341" i="36"/>
  <c r="AD249" i="36"/>
  <c r="AG249" i="36" s="1"/>
  <c r="J383" i="36"/>
  <c r="N159" i="36"/>
  <c r="T159" i="36" s="1"/>
  <c r="Q158" i="36"/>
  <c r="AA126" i="36"/>
  <c r="N220" i="36"/>
  <c r="T220" i="36" s="1"/>
  <c r="Q219" i="36"/>
  <c r="W219" i="36" s="1"/>
  <c r="AA6" i="36"/>
  <c r="J371" i="36"/>
  <c r="AA340" i="36"/>
  <c r="AA249" i="36"/>
  <c r="O97" i="36"/>
  <c r="U97" i="36" s="1"/>
  <c r="O127" i="36"/>
  <c r="U127" i="36" s="1"/>
  <c r="R126" i="36"/>
  <c r="X126" i="36" s="1"/>
  <c r="AD5" i="36"/>
  <c r="AG5" i="36" s="1"/>
  <c r="O8" i="36"/>
  <c r="U8" i="36" s="1"/>
  <c r="R7" i="36"/>
  <c r="AD340" i="36"/>
  <c r="AG340" i="36" s="1"/>
  <c r="S341" i="36"/>
  <c r="P342" i="36"/>
  <c r="V342" i="36" s="1"/>
  <c r="O158" i="36"/>
  <c r="U158" i="36" s="1"/>
  <c r="P220" i="36"/>
  <c r="V220" i="36" s="1"/>
  <c r="AA310" i="36"/>
  <c r="J379" i="36"/>
  <c r="M126" i="36"/>
  <c r="P189" i="36"/>
  <c r="V189" i="36" s="1"/>
  <c r="N38" i="36"/>
  <c r="T38" i="36" s="1"/>
  <c r="O281" i="36"/>
  <c r="U281" i="36" s="1"/>
  <c r="P160" i="36"/>
  <c r="V160" i="36" s="1"/>
  <c r="S159" i="36"/>
  <c r="P252" i="36"/>
  <c r="V252" i="36" s="1"/>
  <c r="P127" i="36"/>
  <c r="V127" i="36" s="1"/>
  <c r="S126" i="36"/>
  <c r="Y126" i="36" s="1"/>
  <c r="S219" i="36"/>
  <c r="Y219" i="36" s="1"/>
  <c r="M226" i="36"/>
  <c r="J382" i="36"/>
  <c r="AD310" i="36"/>
  <c r="AG310" i="36" s="1"/>
  <c r="P312" i="36"/>
  <c r="V312" i="36" s="1"/>
  <c r="M191" i="36"/>
  <c r="O220" i="36"/>
  <c r="U220" i="36" s="1"/>
  <c r="N100" i="36"/>
  <c r="T100" i="36" s="1"/>
  <c r="AD218" i="36"/>
  <c r="AG218" i="36" s="1"/>
  <c r="AA279" i="36"/>
  <c r="AA280" i="36"/>
  <c r="O252" i="36"/>
  <c r="U252" i="36" s="1"/>
  <c r="R251" i="36"/>
  <c r="N251" i="36"/>
  <c r="T251" i="36" s="1"/>
  <c r="Q250" i="36"/>
  <c r="J378" i="36"/>
  <c r="M96" i="36"/>
  <c r="J377" i="36"/>
  <c r="M65" i="36"/>
  <c r="R157" i="36"/>
  <c r="J384" i="36"/>
  <c r="M190" i="36"/>
  <c r="M188" i="36"/>
  <c r="J381" i="36"/>
  <c r="J380" i="36"/>
  <c r="AD279" i="36"/>
  <c r="AG279" i="36" s="1"/>
  <c r="O312" i="36"/>
  <c r="U312" i="36" s="1"/>
  <c r="AD187" i="36"/>
  <c r="AG187" i="36" s="1"/>
  <c r="O66" i="36"/>
  <c r="U66" i="36" s="1"/>
  <c r="P7" i="36"/>
  <c r="V7" i="36" s="1"/>
  <c r="S6" i="36"/>
  <c r="Y6" i="36" s="1"/>
  <c r="J372" i="36"/>
  <c r="AD370" i="35"/>
  <c r="AA370" i="35"/>
  <c r="S370" i="35"/>
  <c r="R370" i="35"/>
  <c r="Q370" i="35"/>
  <c r="P370" i="35"/>
  <c r="O370" i="35"/>
  <c r="N370" i="35"/>
  <c r="P39" i="36" l="1"/>
  <c r="V39" i="36" s="1"/>
  <c r="O39" i="36"/>
  <c r="U39" i="36" s="1"/>
  <c r="N68" i="36"/>
  <c r="T68" i="36" s="1"/>
  <c r="T281" i="36"/>
  <c r="Q281" i="36"/>
  <c r="N282" i="36"/>
  <c r="X7" i="36"/>
  <c r="V67" i="36"/>
  <c r="P68" i="36"/>
  <c r="Q7" i="36"/>
  <c r="AA7" i="36" s="1"/>
  <c r="AD311" i="36"/>
  <c r="AG311" i="36" s="1"/>
  <c r="P282" i="36"/>
  <c r="V281" i="36"/>
  <c r="N8" i="36"/>
  <c r="T8" i="36" s="1"/>
  <c r="AD188" i="36"/>
  <c r="AG188" i="36" s="1"/>
  <c r="U189" i="36"/>
  <c r="O190" i="36"/>
  <c r="R189" i="36"/>
  <c r="Q312" i="36"/>
  <c r="T312" i="36"/>
  <c r="AD280" i="36"/>
  <c r="AG280" i="36" s="1"/>
  <c r="M372" i="36"/>
  <c r="S281" i="36"/>
  <c r="AD250" i="36"/>
  <c r="AG250" i="36" s="1"/>
  <c r="R342" i="36"/>
  <c r="O343" i="36"/>
  <c r="U343" i="36" s="1"/>
  <c r="AD341" i="36"/>
  <c r="AG341" i="36" s="1"/>
  <c r="O9" i="36"/>
  <c r="U9" i="36" s="1"/>
  <c r="R8" i="36"/>
  <c r="X8" i="36" s="1"/>
  <c r="P40" i="36"/>
  <c r="V40" i="36" s="1"/>
  <c r="O159" i="36"/>
  <c r="U159" i="36" s="1"/>
  <c r="R158" i="36"/>
  <c r="O98" i="36"/>
  <c r="U98" i="36" s="1"/>
  <c r="P8" i="36"/>
  <c r="V8" i="36" s="1"/>
  <c r="S7" i="36"/>
  <c r="R252" i="36"/>
  <c r="O253" i="36"/>
  <c r="U253" i="36" s="1"/>
  <c r="N190" i="36"/>
  <c r="T190" i="36" s="1"/>
  <c r="Q189" i="36"/>
  <c r="AD219" i="36"/>
  <c r="AG219" i="36" s="1"/>
  <c r="AD126" i="36"/>
  <c r="AG126" i="36" s="1"/>
  <c r="O282" i="36"/>
  <c r="U282" i="36" s="1"/>
  <c r="R281" i="36"/>
  <c r="P190" i="36"/>
  <c r="V190" i="36" s="1"/>
  <c r="S189" i="36"/>
  <c r="AA188" i="36"/>
  <c r="AD251" i="36"/>
  <c r="AA250" i="36"/>
  <c r="P313" i="36"/>
  <c r="V313" i="36" s="1"/>
  <c r="S312" i="36"/>
  <c r="P161" i="36"/>
  <c r="V161" i="36" s="1"/>
  <c r="S160" i="36"/>
  <c r="AA158" i="36"/>
  <c r="AA341" i="36"/>
  <c r="M371" i="36"/>
  <c r="N101" i="36"/>
  <c r="T101" i="36" s="1"/>
  <c r="R127" i="36"/>
  <c r="X127" i="36" s="1"/>
  <c r="O128" i="36"/>
  <c r="U128" i="36" s="1"/>
  <c r="N160" i="36"/>
  <c r="T160" i="36" s="1"/>
  <c r="Q159" i="36"/>
  <c r="Q342" i="36"/>
  <c r="N343" i="36"/>
  <c r="T343" i="36" s="1"/>
  <c r="AA127" i="36"/>
  <c r="AD157" i="36"/>
  <c r="AG157" i="36" s="1"/>
  <c r="P253" i="36"/>
  <c r="V253" i="36" s="1"/>
  <c r="S252" i="36"/>
  <c r="AD6" i="36"/>
  <c r="AG6" i="36" s="1"/>
  <c r="N314" i="36"/>
  <c r="T314" i="36" s="1"/>
  <c r="Q313" i="36"/>
  <c r="O221" i="36"/>
  <c r="U221" i="36" s="1"/>
  <c r="R220" i="36"/>
  <c r="X220" i="36" s="1"/>
  <c r="N221" i="36"/>
  <c r="T221" i="36" s="1"/>
  <c r="Q220" i="36"/>
  <c r="W220" i="36" s="1"/>
  <c r="N39" i="36"/>
  <c r="T39" i="36" s="1"/>
  <c r="O67" i="36"/>
  <c r="U67" i="36" s="1"/>
  <c r="S127" i="36"/>
  <c r="Y127" i="36" s="1"/>
  <c r="P128" i="36"/>
  <c r="V128" i="36" s="1"/>
  <c r="N129" i="36"/>
  <c r="T129" i="36" s="1"/>
  <c r="Q128" i="36"/>
  <c r="W128" i="36" s="1"/>
  <c r="O313" i="36"/>
  <c r="U313" i="36" s="1"/>
  <c r="R312" i="36"/>
  <c r="N252" i="36"/>
  <c r="T252" i="36" s="1"/>
  <c r="Q251" i="36"/>
  <c r="P221" i="36"/>
  <c r="V221" i="36" s="1"/>
  <c r="S220" i="36"/>
  <c r="Y220" i="36" s="1"/>
  <c r="P343" i="36"/>
  <c r="V343" i="36" s="1"/>
  <c r="S342" i="36"/>
  <c r="AA219" i="36"/>
  <c r="P99" i="36"/>
  <c r="V99" i="36" s="1"/>
  <c r="Z370" i="35"/>
  <c r="D391" i="35"/>
  <c r="E391" i="35"/>
  <c r="C391" i="35"/>
  <c r="D370" i="35"/>
  <c r="E370" i="35"/>
  <c r="C370" i="35"/>
  <c r="D369" i="35"/>
  <c r="E369" i="35"/>
  <c r="C369" i="35"/>
  <c r="D368" i="35"/>
  <c r="E368" i="35"/>
  <c r="C368" i="35"/>
  <c r="D367" i="35"/>
  <c r="E367" i="35"/>
  <c r="C367" i="35"/>
  <c r="N69" i="36" l="1"/>
  <c r="T69" i="36" s="1"/>
  <c r="O40" i="36"/>
  <c r="U40" i="36" s="1"/>
  <c r="AA312" i="36"/>
  <c r="AC7" i="36"/>
  <c r="Q8" i="36"/>
  <c r="W8" i="36" s="1"/>
  <c r="W7" i="36"/>
  <c r="AA281" i="36"/>
  <c r="P283" i="36"/>
  <c r="V282" i="36"/>
  <c r="S282" i="36"/>
  <c r="R190" i="36"/>
  <c r="U190" i="36"/>
  <c r="O191" i="36"/>
  <c r="T282" i="36"/>
  <c r="N283" i="36"/>
  <c r="Q282" i="36"/>
  <c r="Y7" i="36"/>
  <c r="N9" i="36"/>
  <c r="T9" i="36" s="1"/>
  <c r="V68" i="36"/>
  <c r="P69" i="36"/>
  <c r="O344" i="36"/>
  <c r="U344" i="36" s="1"/>
  <c r="R343" i="36"/>
  <c r="AD281" i="36"/>
  <c r="AG281" i="36" s="1"/>
  <c r="O283" i="36"/>
  <c r="U283" i="36" s="1"/>
  <c r="R282" i="36"/>
  <c r="N191" i="36"/>
  <c r="T191" i="36" s="1"/>
  <c r="Q190" i="36"/>
  <c r="P41" i="36"/>
  <c r="V41" i="36" s="1"/>
  <c r="O68" i="36"/>
  <c r="U68" i="36" s="1"/>
  <c r="AA220" i="36"/>
  <c r="N315" i="36"/>
  <c r="T315" i="36" s="1"/>
  <c r="Q314" i="36"/>
  <c r="N344" i="36"/>
  <c r="T344" i="36" s="1"/>
  <c r="Q343" i="36"/>
  <c r="N70" i="36"/>
  <c r="T70" i="36" s="1"/>
  <c r="O99" i="36"/>
  <c r="U99" i="36" s="1"/>
  <c r="O314" i="36"/>
  <c r="U314" i="36" s="1"/>
  <c r="R313" i="36"/>
  <c r="P254" i="36"/>
  <c r="V254" i="36" s="1"/>
  <c r="S253" i="36"/>
  <c r="AA342" i="36"/>
  <c r="P162" i="36"/>
  <c r="V162" i="36" s="1"/>
  <c r="S161" i="36"/>
  <c r="AD189" i="36"/>
  <c r="AG189" i="36" s="1"/>
  <c r="AD7" i="36"/>
  <c r="N10" i="36"/>
  <c r="T10" i="36" s="1"/>
  <c r="N222" i="36"/>
  <c r="T222" i="36" s="1"/>
  <c r="Q221" i="36"/>
  <c r="W221" i="36" s="1"/>
  <c r="AA159" i="36"/>
  <c r="R253" i="36"/>
  <c r="O254" i="36"/>
  <c r="U254" i="36" s="1"/>
  <c r="P9" i="36"/>
  <c r="V9" i="36" s="1"/>
  <c r="S8" i="36"/>
  <c r="Y8" i="36" s="1"/>
  <c r="AD158" i="36"/>
  <c r="AG158" i="36" s="1"/>
  <c r="P100" i="36"/>
  <c r="V100" i="36" s="1"/>
  <c r="AD342" i="36"/>
  <c r="AG342" i="36" s="1"/>
  <c r="AA251" i="36"/>
  <c r="N102" i="36"/>
  <c r="T102" i="36" s="1"/>
  <c r="AD312" i="36"/>
  <c r="AG312" i="36" s="1"/>
  <c r="S190" i="36"/>
  <c r="P191" i="36"/>
  <c r="V191" i="36" s="1"/>
  <c r="O160" i="36"/>
  <c r="U160" i="36" s="1"/>
  <c r="R159" i="36"/>
  <c r="P344" i="36"/>
  <c r="V344" i="36" s="1"/>
  <c r="S343" i="36"/>
  <c r="N253" i="36"/>
  <c r="T253" i="36" s="1"/>
  <c r="Q252" i="36"/>
  <c r="S128" i="36"/>
  <c r="Y128" i="36" s="1"/>
  <c r="P129" i="36"/>
  <c r="V129" i="36" s="1"/>
  <c r="N161" i="36"/>
  <c r="T161" i="36" s="1"/>
  <c r="Q160" i="36"/>
  <c r="AG251" i="36"/>
  <c r="O10" i="36"/>
  <c r="U10" i="36" s="1"/>
  <c r="R9" i="36"/>
  <c r="X9" i="36" s="1"/>
  <c r="AD220" i="36"/>
  <c r="AG220" i="36" s="1"/>
  <c r="AA128" i="36"/>
  <c r="AD127" i="36"/>
  <c r="AG127" i="36" s="1"/>
  <c r="N40" i="36"/>
  <c r="T40" i="36" s="1"/>
  <c r="O222" i="36"/>
  <c r="U222" i="36" s="1"/>
  <c r="R221" i="36"/>
  <c r="X221" i="36" s="1"/>
  <c r="P314" i="36"/>
  <c r="V314" i="36" s="1"/>
  <c r="S313" i="36"/>
  <c r="AA189" i="36"/>
  <c r="P222" i="36"/>
  <c r="V222" i="36" s="1"/>
  <c r="S221" i="36"/>
  <c r="Y221" i="36" s="1"/>
  <c r="AA313" i="36"/>
  <c r="N130" i="36"/>
  <c r="T130" i="36" s="1"/>
  <c r="Q129" i="36"/>
  <c r="W129" i="36" s="1"/>
  <c r="AD252" i="36"/>
  <c r="R128" i="36"/>
  <c r="X128" i="36" s="1"/>
  <c r="O129" i="36"/>
  <c r="U129" i="36" s="1"/>
  <c r="D366" i="35"/>
  <c r="D365" i="35"/>
  <c r="O41" i="36" l="1"/>
  <c r="U41" i="36" s="1"/>
  <c r="AA8" i="36"/>
  <c r="Q9" i="36"/>
  <c r="W9" i="36" s="1"/>
  <c r="AG7" i="36"/>
  <c r="AA282" i="36"/>
  <c r="V283" i="36"/>
  <c r="P284" i="36"/>
  <c r="S283" i="36"/>
  <c r="T283" i="36"/>
  <c r="Q283" i="36"/>
  <c r="N284" i="36"/>
  <c r="U191" i="36"/>
  <c r="R191" i="36"/>
  <c r="O192" i="36"/>
  <c r="V69" i="36"/>
  <c r="P70" i="36"/>
  <c r="AG252" i="36"/>
  <c r="R344" i="36"/>
  <c r="O345" i="36"/>
  <c r="U345" i="36" s="1"/>
  <c r="P223" i="36"/>
  <c r="V223" i="36" s="1"/>
  <c r="S222" i="36"/>
  <c r="Y222" i="36" s="1"/>
  <c r="P192" i="36"/>
  <c r="V192" i="36" s="1"/>
  <c r="S191" i="36"/>
  <c r="AD190" i="36"/>
  <c r="AG190" i="36" s="1"/>
  <c r="AD313" i="36"/>
  <c r="AG313" i="36" s="1"/>
  <c r="AA160" i="36"/>
  <c r="P345" i="36"/>
  <c r="V345" i="36" s="1"/>
  <c r="S344" i="36"/>
  <c r="O100" i="36"/>
  <c r="U100" i="36" s="1"/>
  <c r="O284" i="36"/>
  <c r="U284" i="36" s="1"/>
  <c r="R283" i="36"/>
  <c r="N41" i="36"/>
  <c r="T41" i="36" s="1"/>
  <c r="N162" i="36"/>
  <c r="T162" i="36" s="1"/>
  <c r="Q161" i="36"/>
  <c r="P130" i="36"/>
  <c r="V130" i="36" s="1"/>
  <c r="S129" i="36"/>
  <c r="Y129" i="36" s="1"/>
  <c r="AD8" i="36"/>
  <c r="AG8" i="36" s="1"/>
  <c r="AA221" i="36"/>
  <c r="N11" i="36"/>
  <c r="T11" i="36" s="1"/>
  <c r="Q10" i="36"/>
  <c r="W10" i="36" s="1"/>
  <c r="O315" i="36"/>
  <c r="U315" i="36" s="1"/>
  <c r="R314" i="36"/>
  <c r="O130" i="36"/>
  <c r="U130" i="36" s="1"/>
  <c r="R129" i="36"/>
  <c r="X129" i="36" s="1"/>
  <c r="N131" i="36"/>
  <c r="T131" i="36" s="1"/>
  <c r="Q130" i="36"/>
  <c r="W130" i="36" s="1"/>
  <c r="AD128" i="36"/>
  <c r="AG128" i="36" s="1"/>
  <c r="P10" i="36"/>
  <c r="V10" i="36" s="1"/>
  <c r="S9" i="36"/>
  <c r="Y9" i="36" s="1"/>
  <c r="P163" i="36"/>
  <c r="V163" i="36" s="1"/>
  <c r="S162" i="36"/>
  <c r="N71" i="36"/>
  <c r="T71" i="36" s="1"/>
  <c r="AA343" i="36"/>
  <c r="O11" i="36"/>
  <c r="U11" i="36" s="1"/>
  <c r="R10" i="36"/>
  <c r="X10" i="36" s="1"/>
  <c r="AA252" i="36"/>
  <c r="AD159" i="36"/>
  <c r="AG159" i="36" s="1"/>
  <c r="O255" i="36"/>
  <c r="U255" i="36" s="1"/>
  <c r="R254" i="36"/>
  <c r="N223" i="36"/>
  <c r="T223" i="36" s="1"/>
  <c r="Q222" i="36"/>
  <c r="W222" i="36" s="1"/>
  <c r="N345" i="36"/>
  <c r="T345" i="36" s="1"/>
  <c r="Q344" i="36"/>
  <c r="AD343" i="36"/>
  <c r="AG343" i="36" s="1"/>
  <c r="AD253" i="36"/>
  <c r="P42" i="36"/>
  <c r="V42" i="36" s="1"/>
  <c r="P255" i="36"/>
  <c r="V255" i="36" s="1"/>
  <c r="S254" i="36"/>
  <c r="AD282" i="36"/>
  <c r="AG282" i="36" s="1"/>
  <c r="AA129" i="36"/>
  <c r="N103" i="36"/>
  <c r="T103" i="36" s="1"/>
  <c r="P315" i="36"/>
  <c r="V315" i="36" s="1"/>
  <c r="S314" i="36"/>
  <c r="AD221" i="36"/>
  <c r="AG221" i="36" s="1"/>
  <c r="N254" i="36"/>
  <c r="T254" i="36" s="1"/>
  <c r="Q253" i="36"/>
  <c r="P101" i="36"/>
  <c r="V101" i="36" s="1"/>
  <c r="AA314" i="36"/>
  <c r="O69" i="36"/>
  <c r="U69" i="36" s="1"/>
  <c r="AA190" i="36"/>
  <c r="O223" i="36"/>
  <c r="U223" i="36" s="1"/>
  <c r="R222" i="36"/>
  <c r="X222" i="36" s="1"/>
  <c r="O161" i="36"/>
  <c r="U161" i="36" s="1"/>
  <c r="R160" i="36"/>
  <c r="N316" i="36"/>
  <c r="T316" i="36" s="1"/>
  <c r="Q315" i="36"/>
  <c r="N192" i="36"/>
  <c r="T192" i="36" s="1"/>
  <c r="Q191" i="36"/>
  <c r="D364" i="35"/>
  <c r="O42" i="36" l="1"/>
  <c r="U42" i="36" s="1"/>
  <c r="AA9" i="36"/>
  <c r="V284" i="36"/>
  <c r="S284" i="36"/>
  <c r="P285" i="36"/>
  <c r="T284" i="36"/>
  <c r="Q284" i="36"/>
  <c r="N285" i="36"/>
  <c r="U192" i="36"/>
  <c r="O193" i="36"/>
  <c r="R192" i="36"/>
  <c r="AA283" i="36"/>
  <c r="V70" i="36"/>
  <c r="P71" i="36"/>
  <c r="O346" i="36"/>
  <c r="U346" i="36" s="1"/>
  <c r="R345" i="36"/>
  <c r="O70" i="36"/>
  <c r="U70" i="36" s="1"/>
  <c r="AA253" i="36"/>
  <c r="AA10" i="36"/>
  <c r="N42" i="36"/>
  <c r="T42" i="36" s="1"/>
  <c r="P224" i="36"/>
  <c r="V224" i="36" s="1"/>
  <c r="S223" i="36"/>
  <c r="Y223" i="36" s="1"/>
  <c r="AA315" i="36"/>
  <c r="P11" i="36"/>
  <c r="V11" i="36" s="1"/>
  <c r="S10" i="36"/>
  <c r="Y10" i="36" s="1"/>
  <c r="N12" i="36"/>
  <c r="T12" i="36" s="1"/>
  <c r="Q11" i="36"/>
  <c r="W11" i="36" s="1"/>
  <c r="R255" i="36"/>
  <c r="O256" i="36"/>
  <c r="U256" i="36" s="1"/>
  <c r="N72" i="36"/>
  <c r="T72" i="36" s="1"/>
  <c r="O316" i="36"/>
  <c r="U316" i="36" s="1"/>
  <c r="R315" i="36"/>
  <c r="AA191" i="36"/>
  <c r="AG253" i="36"/>
  <c r="Q192" i="36"/>
  <c r="N193" i="36"/>
  <c r="T193" i="36" s="1"/>
  <c r="AD314" i="36"/>
  <c r="AG314" i="36" s="1"/>
  <c r="N104" i="36"/>
  <c r="T104" i="36" s="1"/>
  <c r="P256" i="36"/>
  <c r="V256" i="36" s="1"/>
  <c r="S255" i="36"/>
  <c r="N163" i="36"/>
  <c r="T163" i="36" s="1"/>
  <c r="Q162" i="36"/>
  <c r="AD283" i="36"/>
  <c r="AG283" i="36" s="1"/>
  <c r="AD344" i="36"/>
  <c r="AG344" i="36" s="1"/>
  <c r="P193" i="36"/>
  <c r="V193" i="36" s="1"/>
  <c r="S192" i="36"/>
  <c r="AA222" i="36"/>
  <c r="S163" i="36"/>
  <c r="P164" i="36"/>
  <c r="V164" i="36" s="1"/>
  <c r="AA130" i="36"/>
  <c r="P346" i="36"/>
  <c r="V346" i="36" s="1"/>
  <c r="S345" i="36"/>
  <c r="O224" i="36"/>
  <c r="U224" i="36" s="1"/>
  <c r="R223" i="36"/>
  <c r="X223" i="36" s="1"/>
  <c r="P316" i="36"/>
  <c r="V316" i="36" s="1"/>
  <c r="S315" i="36"/>
  <c r="N224" i="36"/>
  <c r="T224" i="36" s="1"/>
  <c r="Q223" i="36"/>
  <c r="W223" i="36" s="1"/>
  <c r="AD9" i="36"/>
  <c r="AG9" i="36" s="1"/>
  <c r="N132" i="36"/>
  <c r="T132" i="36" s="1"/>
  <c r="Q131" i="36"/>
  <c r="W131" i="36" s="1"/>
  <c r="O285" i="36"/>
  <c r="U285" i="36" s="1"/>
  <c r="R284" i="36"/>
  <c r="AD222" i="36"/>
  <c r="AG222" i="36" s="1"/>
  <c r="N255" i="36"/>
  <c r="T255" i="36" s="1"/>
  <c r="Q254" i="36"/>
  <c r="AD129" i="36"/>
  <c r="AG129" i="36" s="1"/>
  <c r="AD160" i="36"/>
  <c r="AG160" i="36" s="1"/>
  <c r="P102" i="36"/>
  <c r="V102" i="36" s="1"/>
  <c r="P43" i="36"/>
  <c r="V43" i="36" s="1"/>
  <c r="O162" i="36"/>
  <c r="U162" i="36" s="1"/>
  <c r="R161" i="36"/>
  <c r="AA344" i="36"/>
  <c r="P131" i="36"/>
  <c r="V131" i="36" s="1"/>
  <c r="S130" i="36"/>
  <c r="Y130" i="36" s="1"/>
  <c r="O101" i="36"/>
  <c r="U101" i="36" s="1"/>
  <c r="N317" i="36"/>
  <c r="T317" i="36" s="1"/>
  <c r="Q316" i="36"/>
  <c r="N346" i="36"/>
  <c r="T346" i="36" s="1"/>
  <c r="Q345" i="36"/>
  <c r="R11" i="36"/>
  <c r="X11" i="36" s="1"/>
  <c r="O12" i="36"/>
  <c r="U12" i="36" s="1"/>
  <c r="O131" i="36"/>
  <c r="U131" i="36" s="1"/>
  <c r="R130" i="36"/>
  <c r="X130" i="36" s="1"/>
  <c r="AA161" i="36"/>
  <c r="AD191" i="36"/>
  <c r="AG191" i="36" s="1"/>
  <c r="AD254" i="36"/>
  <c r="D363" i="35"/>
  <c r="O43" i="36" l="1"/>
  <c r="U43" i="36" s="1"/>
  <c r="AA284" i="36"/>
  <c r="U193" i="36"/>
  <c r="O194" i="36"/>
  <c r="R193" i="36"/>
  <c r="V71" i="36"/>
  <c r="P72" i="36"/>
  <c r="T285" i="36"/>
  <c r="Q285" i="36"/>
  <c r="N286" i="36"/>
  <c r="V285" i="36"/>
  <c r="P286" i="36"/>
  <c r="S285" i="36"/>
  <c r="AG254" i="36"/>
  <c r="O347" i="36"/>
  <c r="U347" i="36" s="1"/>
  <c r="R346" i="36"/>
  <c r="AA254" i="36"/>
  <c r="AA223" i="36"/>
  <c r="AD10" i="36"/>
  <c r="AG10" i="36" s="1"/>
  <c r="P103" i="36"/>
  <c r="V103" i="36" s="1"/>
  <c r="N256" i="36"/>
  <c r="T256" i="36" s="1"/>
  <c r="Q255" i="36"/>
  <c r="O225" i="36"/>
  <c r="U225" i="36" s="1"/>
  <c r="R224" i="36"/>
  <c r="X224" i="36" s="1"/>
  <c r="O13" i="36"/>
  <c r="U13" i="36" s="1"/>
  <c r="R12" i="36"/>
  <c r="X12" i="36" s="1"/>
  <c r="P194" i="36"/>
  <c r="V194" i="36" s="1"/>
  <c r="S193" i="36"/>
  <c r="AA162" i="36"/>
  <c r="AD161" i="36"/>
  <c r="AG161" i="36" s="1"/>
  <c r="AD315" i="36"/>
  <c r="AG315" i="36" s="1"/>
  <c r="AA11" i="36"/>
  <c r="AA345" i="36"/>
  <c r="Q132" i="36"/>
  <c r="W132" i="36" s="1"/>
  <c r="N133" i="36"/>
  <c r="T133" i="36" s="1"/>
  <c r="Q163" i="36"/>
  <c r="N164" i="36"/>
  <c r="T164" i="36" s="1"/>
  <c r="N318" i="36"/>
  <c r="T318" i="36" s="1"/>
  <c r="Q317" i="36"/>
  <c r="S131" i="36"/>
  <c r="Y131" i="36" s="1"/>
  <c r="P132" i="36"/>
  <c r="V132" i="36" s="1"/>
  <c r="O163" i="36"/>
  <c r="U163" i="36" s="1"/>
  <c r="R162" i="36"/>
  <c r="P44" i="36"/>
  <c r="V44" i="36" s="1"/>
  <c r="AD284" i="36"/>
  <c r="AG284" i="36" s="1"/>
  <c r="P317" i="36"/>
  <c r="V317" i="36" s="1"/>
  <c r="S316" i="36"/>
  <c r="Q193" i="36"/>
  <c r="N194" i="36"/>
  <c r="T194" i="36" s="1"/>
  <c r="O257" i="36"/>
  <c r="U257" i="36" s="1"/>
  <c r="R256" i="36"/>
  <c r="P225" i="36"/>
  <c r="V225" i="36" s="1"/>
  <c r="S224" i="36"/>
  <c r="Y224" i="36" s="1"/>
  <c r="R131" i="36"/>
  <c r="X131" i="36" s="1"/>
  <c r="O132" i="36"/>
  <c r="U132" i="36" s="1"/>
  <c r="O102" i="36"/>
  <c r="U102" i="36" s="1"/>
  <c r="AD192" i="36"/>
  <c r="AG192" i="36" s="1"/>
  <c r="AD255" i="36"/>
  <c r="O317" i="36"/>
  <c r="U317" i="36" s="1"/>
  <c r="R316" i="36"/>
  <c r="S11" i="36"/>
  <c r="Y11" i="36" s="1"/>
  <c r="P12" i="36"/>
  <c r="V12" i="36" s="1"/>
  <c r="O71" i="36"/>
  <c r="U71" i="36" s="1"/>
  <c r="AA131" i="36"/>
  <c r="N225" i="36"/>
  <c r="T225" i="36" s="1"/>
  <c r="Q224" i="36"/>
  <c r="W224" i="36" s="1"/>
  <c r="P165" i="36"/>
  <c r="V165" i="36" s="1"/>
  <c r="S164" i="36"/>
  <c r="N43" i="36"/>
  <c r="T43" i="36" s="1"/>
  <c r="AD345" i="36"/>
  <c r="P257" i="36"/>
  <c r="V257" i="36" s="1"/>
  <c r="S256" i="36"/>
  <c r="AA316" i="36"/>
  <c r="AD130" i="36"/>
  <c r="AG130" i="36" s="1"/>
  <c r="P347" i="36"/>
  <c r="V347" i="36" s="1"/>
  <c r="S346" i="36"/>
  <c r="N105" i="36"/>
  <c r="T105" i="36" s="1"/>
  <c r="N13" i="36"/>
  <c r="T13" i="36" s="1"/>
  <c r="Q12" i="36"/>
  <c r="W12" i="36" s="1"/>
  <c r="N347" i="36"/>
  <c r="T347" i="36" s="1"/>
  <c r="Q346" i="36"/>
  <c r="O286" i="36"/>
  <c r="U286" i="36" s="1"/>
  <c r="R285" i="36"/>
  <c r="AA192" i="36"/>
  <c r="N73" i="36"/>
  <c r="T73" i="36" s="1"/>
  <c r="AD223" i="36"/>
  <c r="AG223" i="36" s="1"/>
  <c r="D362" i="35"/>
  <c r="D361" i="35"/>
  <c r="D360" i="35"/>
  <c r="O44" i="36" l="1"/>
  <c r="U44" i="36" s="1"/>
  <c r="V72" i="36"/>
  <c r="P73" i="36"/>
  <c r="U194" i="36"/>
  <c r="R194" i="36"/>
  <c r="O195" i="36"/>
  <c r="T286" i="36"/>
  <c r="N287" i="36"/>
  <c r="Q286" i="36"/>
  <c r="AA285" i="36"/>
  <c r="V286" i="36"/>
  <c r="S286" i="36"/>
  <c r="P287" i="36"/>
  <c r="AG255" i="36"/>
  <c r="O348" i="36"/>
  <c r="U348" i="36" s="1"/>
  <c r="R347" i="36"/>
  <c r="N74" i="36"/>
  <c r="T74" i="36" s="1"/>
  <c r="AA193" i="36"/>
  <c r="O164" i="36"/>
  <c r="U164" i="36" s="1"/>
  <c r="R163" i="36"/>
  <c r="P166" i="36"/>
  <c r="V166" i="36" s="1"/>
  <c r="S165" i="36"/>
  <c r="O103" i="36"/>
  <c r="U103" i="36" s="1"/>
  <c r="AD224" i="36"/>
  <c r="AG224" i="36" s="1"/>
  <c r="N165" i="36"/>
  <c r="T165" i="36" s="1"/>
  <c r="Q164" i="36"/>
  <c r="O14" i="36"/>
  <c r="U14" i="36" s="1"/>
  <c r="R13" i="36"/>
  <c r="X13" i="36" s="1"/>
  <c r="N106" i="36"/>
  <c r="T106" i="36" s="1"/>
  <c r="AA224" i="36"/>
  <c r="P226" i="36"/>
  <c r="V226" i="36" s="1"/>
  <c r="S225" i="36"/>
  <c r="Y225" i="36" s="1"/>
  <c r="AD316" i="36"/>
  <c r="AG316" i="36" s="1"/>
  <c r="AA163" i="36"/>
  <c r="AD285" i="36"/>
  <c r="AG285" i="36" s="1"/>
  <c r="N226" i="36"/>
  <c r="T226" i="36" s="1"/>
  <c r="Q225" i="36"/>
  <c r="W225" i="36" s="1"/>
  <c r="P318" i="36"/>
  <c r="V318" i="36" s="1"/>
  <c r="S317" i="36"/>
  <c r="P45" i="36"/>
  <c r="V45" i="36" s="1"/>
  <c r="AD131" i="36"/>
  <c r="AG131" i="36" s="1"/>
  <c r="N348" i="36"/>
  <c r="T348" i="36" s="1"/>
  <c r="Q347" i="36"/>
  <c r="AD346" i="36"/>
  <c r="AG346" i="36" s="1"/>
  <c r="Q133" i="36"/>
  <c r="W133" i="36" s="1"/>
  <c r="N134" i="36"/>
  <c r="T134" i="36" s="1"/>
  <c r="N14" i="36"/>
  <c r="T14" i="36" s="1"/>
  <c r="Q13" i="36"/>
  <c r="W13" i="36" s="1"/>
  <c r="S347" i="36"/>
  <c r="P348" i="36"/>
  <c r="V348" i="36" s="1"/>
  <c r="AD193" i="36"/>
  <c r="AG193" i="36" s="1"/>
  <c r="AD256" i="36"/>
  <c r="N44" i="36"/>
  <c r="T44" i="36" s="1"/>
  <c r="R317" i="36"/>
  <c r="O318" i="36"/>
  <c r="U318" i="36" s="1"/>
  <c r="R132" i="36"/>
  <c r="X132" i="36" s="1"/>
  <c r="O133" i="36"/>
  <c r="U133" i="36" s="1"/>
  <c r="AD162" i="36"/>
  <c r="AG162" i="36" s="1"/>
  <c r="S194" i="36"/>
  <c r="P195" i="36"/>
  <c r="V195" i="36" s="1"/>
  <c r="P104" i="36"/>
  <c r="V104" i="36" s="1"/>
  <c r="P258" i="36"/>
  <c r="V258" i="36" s="1"/>
  <c r="S257" i="36"/>
  <c r="O226" i="36"/>
  <c r="U226" i="36" s="1"/>
  <c r="R225" i="36"/>
  <c r="X225" i="36" s="1"/>
  <c r="P133" i="36"/>
  <c r="V133" i="36" s="1"/>
  <c r="S132" i="36"/>
  <c r="Y132" i="36" s="1"/>
  <c r="AA255" i="36"/>
  <c r="AA346" i="36"/>
  <c r="AG345" i="36"/>
  <c r="AH345" i="36"/>
  <c r="P13" i="36"/>
  <c r="V13" i="36" s="1"/>
  <c r="S12" i="36"/>
  <c r="Y12" i="36" s="1"/>
  <c r="N257" i="36"/>
  <c r="T257" i="36" s="1"/>
  <c r="Q256" i="36"/>
  <c r="R286" i="36"/>
  <c r="O287" i="36"/>
  <c r="U287" i="36" s="1"/>
  <c r="AA12" i="36"/>
  <c r="AD11" i="36"/>
  <c r="AG11" i="36" s="1"/>
  <c r="AA317" i="36"/>
  <c r="O258" i="36"/>
  <c r="U258" i="36" s="1"/>
  <c r="R257" i="36"/>
  <c r="N319" i="36"/>
  <c r="T319" i="36" s="1"/>
  <c r="Q318" i="36"/>
  <c r="AA132" i="36"/>
  <c r="O72" i="36"/>
  <c r="U72" i="36" s="1"/>
  <c r="N195" i="36"/>
  <c r="T195" i="36" s="1"/>
  <c r="Q194" i="36"/>
  <c r="D359" i="35"/>
  <c r="O45" i="36" l="1"/>
  <c r="U45" i="36" s="1"/>
  <c r="U195" i="36"/>
  <c r="O196" i="36"/>
  <c r="R195" i="36"/>
  <c r="T287" i="36"/>
  <c r="N288" i="36"/>
  <c r="Q287" i="36"/>
  <c r="V73" i="36"/>
  <c r="P74" i="36"/>
  <c r="V287" i="36"/>
  <c r="S287" i="36"/>
  <c r="P288" i="36"/>
  <c r="AA286" i="36"/>
  <c r="AG256" i="36"/>
  <c r="O349" i="36"/>
  <c r="U349" i="36" s="1"/>
  <c r="R348" i="36"/>
  <c r="AA318" i="36"/>
  <c r="P46" i="36"/>
  <c r="V46" i="36" s="1"/>
  <c r="N320" i="36"/>
  <c r="T320" i="36" s="1"/>
  <c r="Q319" i="36"/>
  <c r="O227" i="36"/>
  <c r="U227" i="36" s="1"/>
  <c r="R226" i="36"/>
  <c r="X226" i="36" s="1"/>
  <c r="AA13" i="36"/>
  <c r="AD257" i="36"/>
  <c r="N15" i="36"/>
  <c r="T15" i="36" s="1"/>
  <c r="Q14" i="36"/>
  <c r="W14" i="36" s="1"/>
  <c r="N349" i="36"/>
  <c r="T349" i="36" s="1"/>
  <c r="Q348" i="36"/>
  <c r="P134" i="36"/>
  <c r="V134" i="36" s="1"/>
  <c r="S133" i="36"/>
  <c r="Y133" i="36" s="1"/>
  <c r="R133" i="36"/>
  <c r="X133" i="36" s="1"/>
  <c r="O134" i="36"/>
  <c r="U134" i="36" s="1"/>
  <c r="AA133" i="36"/>
  <c r="P167" i="36"/>
  <c r="V167" i="36" s="1"/>
  <c r="S166" i="36"/>
  <c r="P349" i="36"/>
  <c r="V349" i="36" s="1"/>
  <c r="S348" i="36"/>
  <c r="AA225" i="36"/>
  <c r="P227" i="36"/>
  <c r="V227" i="36" s="1"/>
  <c r="S226" i="36"/>
  <c r="Y226" i="36" s="1"/>
  <c r="O165" i="36"/>
  <c r="U165" i="36" s="1"/>
  <c r="R164" i="36"/>
  <c r="P105" i="36"/>
  <c r="V105" i="36" s="1"/>
  <c r="N45" i="36"/>
  <c r="T45" i="36" s="1"/>
  <c r="AA194" i="36"/>
  <c r="O104" i="36"/>
  <c r="U104" i="36" s="1"/>
  <c r="AD132" i="36"/>
  <c r="AG132" i="36" s="1"/>
  <c r="R318" i="36"/>
  <c r="O319" i="36"/>
  <c r="U319" i="36" s="1"/>
  <c r="N135" i="36"/>
  <c r="T135" i="36" s="1"/>
  <c r="Q134" i="36"/>
  <c r="W134" i="36" s="1"/>
  <c r="P319" i="36"/>
  <c r="V319" i="36" s="1"/>
  <c r="S318" i="36"/>
  <c r="N107" i="36"/>
  <c r="T107" i="36" s="1"/>
  <c r="N166" i="36"/>
  <c r="T166" i="36" s="1"/>
  <c r="Q165" i="36"/>
  <c r="N196" i="36"/>
  <c r="T196" i="36" s="1"/>
  <c r="Q195" i="36"/>
  <c r="O259" i="36"/>
  <c r="U259" i="36" s="1"/>
  <c r="R258" i="36"/>
  <c r="AA256" i="36"/>
  <c r="S258" i="36"/>
  <c r="P259" i="36"/>
  <c r="V259" i="36" s="1"/>
  <c r="AD225" i="36"/>
  <c r="AG225" i="36" s="1"/>
  <c r="O288" i="36"/>
  <c r="U288" i="36" s="1"/>
  <c r="R287" i="36"/>
  <c r="N258" i="36"/>
  <c r="T258" i="36" s="1"/>
  <c r="Q257" i="36"/>
  <c r="S195" i="36"/>
  <c r="P196" i="36"/>
  <c r="V196" i="36" s="1"/>
  <c r="AD347" i="36"/>
  <c r="AG347" i="36" s="1"/>
  <c r="AD12" i="36"/>
  <c r="AG12" i="36" s="1"/>
  <c r="O73" i="36"/>
  <c r="U73" i="36" s="1"/>
  <c r="S13" i="36"/>
  <c r="Y13" i="36" s="1"/>
  <c r="P14" i="36"/>
  <c r="V14" i="36" s="1"/>
  <c r="AA347" i="36"/>
  <c r="AA164" i="36"/>
  <c r="AD317" i="36"/>
  <c r="AG317" i="36" s="1"/>
  <c r="AD286" i="36"/>
  <c r="AG286" i="36" s="1"/>
  <c r="AD194" i="36"/>
  <c r="AG194" i="36" s="1"/>
  <c r="N227" i="36"/>
  <c r="T227" i="36" s="1"/>
  <c r="Q226" i="36"/>
  <c r="W226" i="36" s="1"/>
  <c r="R14" i="36"/>
  <c r="X14" i="36" s="1"/>
  <c r="O15" i="36"/>
  <c r="U15" i="36" s="1"/>
  <c r="AD163" i="36"/>
  <c r="AG163" i="36" s="1"/>
  <c r="N75" i="36"/>
  <c r="T75" i="36" s="1"/>
  <c r="D358" i="35"/>
  <c r="O46" i="36" l="1"/>
  <c r="U46" i="36" s="1"/>
  <c r="AA287" i="36"/>
  <c r="T288" i="36"/>
  <c r="Q288" i="36"/>
  <c r="N289" i="36"/>
  <c r="V288" i="36"/>
  <c r="S288" i="36"/>
  <c r="P289" i="36"/>
  <c r="U196" i="36"/>
  <c r="R196" i="36"/>
  <c r="O197" i="36"/>
  <c r="V74" i="36"/>
  <c r="P75" i="36"/>
  <c r="O350" i="36"/>
  <c r="U350" i="36" s="1"/>
  <c r="R349" i="36"/>
  <c r="O47" i="36"/>
  <c r="U47" i="36" s="1"/>
  <c r="N197" i="36"/>
  <c r="T197" i="36" s="1"/>
  <c r="Q196" i="36"/>
  <c r="AD133" i="36"/>
  <c r="AG133" i="36" s="1"/>
  <c r="N46" i="36"/>
  <c r="T46" i="36" s="1"/>
  <c r="AA14" i="36"/>
  <c r="AC14" i="36" s="1"/>
  <c r="P47" i="36"/>
  <c r="V47" i="36" s="1"/>
  <c r="AA257" i="36"/>
  <c r="N16" i="36"/>
  <c r="T16" i="36" s="1"/>
  <c r="Q15" i="36"/>
  <c r="W15" i="36" s="1"/>
  <c r="N259" i="36"/>
  <c r="T259" i="36" s="1"/>
  <c r="Q258" i="36"/>
  <c r="AA165" i="36"/>
  <c r="N228" i="36"/>
  <c r="T228" i="36" s="1"/>
  <c r="Q227" i="36"/>
  <c r="W227" i="36" s="1"/>
  <c r="AD13" i="36"/>
  <c r="AG13" i="36" s="1"/>
  <c r="AD195" i="36"/>
  <c r="AG195" i="36" s="1"/>
  <c r="R288" i="36"/>
  <c r="O289" i="36"/>
  <c r="U289" i="36" s="1"/>
  <c r="AA195" i="36"/>
  <c r="N136" i="36"/>
  <c r="T136" i="36" s="1"/>
  <c r="Q135" i="36"/>
  <c r="W135" i="36" s="1"/>
  <c r="N350" i="36"/>
  <c r="T350" i="36" s="1"/>
  <c r="Q349" i="36"/>
  <c r="N321" i="36"/>
  <c r="T321" i="36" s="1"/>
  <c r="Q320" i="36"/>
  <c r="O320" i="36"/>
  <c r="U320" i="36" s="1"/>
  <c r="R319" i="36"/>
  <c r="O16" i="36"/>
  <c r="U16" i="36" s="1"/>
  <c r="R15" i="36"/>
  <c r="X15" i="36" s="1"/>
  <c r="AD318" i="36"/>
  <c r="AG318" i="36" s="1"/>
  <c r="O166" i="36"/>
  <c r="U166" i="36" s="1"/>
  <c r="R165" i="36"/>
  <c r="S134" i="36"/>
  <c r="Y134" i="36" s="1"/>
  <c r="P135" i="36"/>
  <c r="V135" i="36" s="1"/>
  <c r="O228" i="36"/>
  <c r="U228" i="36" s="1"/>
  <c r="R227" i="36"/>
  <c r="X227" i="36" s="1"/>
  <c r="AG257" i="36"/>
  <c r="P15" i="36"/>
  <c r="V15" i="36" s="1"/>
  <c r="S14" i="36"/>
  <c r="Y14" i="36" s="1"/>
  <c r="P260" i="36"/>
  <c r="V260" i="36" s="1"/>
  <c r="S259" i="36"/>
  <c r="N167" i="36"/>
  <c r="T167" i="36" s="1"/>
  <c r="Q166" i="36"/>
  <c r="AA134" i="36"/>
  <c r="O105" i="36"/>
  <c r="U105" i="36" s="1"/>
  <c r="AD226" i="36"/>
  <c r="AG226" i="36" s="1"/>
  <c r="P350" i="36"/>
  <c r="V350" i="36" s="1"/>
  <c r="S349" i="36"/>
  <c r="AA319" i="36"/>
  <c r="O74" i="36"/>
  <c r="U74" i="36" s="1"/>
  <c r="AD164" i="36"/>
  <c r="AG164" i="36" s="1"/>
  <c r="N108" i="36"/>
  <c r="T108" i="36" s="1"/>
  <c r="P168" i="36"/>
  <c r="V168" i="36" s="1"/>
  <c r="S167" i="36"/>
  <c r="O260" i="36"/>
  <c r="U260" i="36" s="1"/>
  <c r="R259" i="36"/>
  <c r="P320" i="36"/>
  <c r="V320" i="36" s="1"/>
  <c r="S319" i="36"/>
  <c r="AD348" i="36"/>
  <c r="AG348" i="36" s="1"/>
  <c r="N76" i="36"/>
  <c r="T76" i="36" s="1"/>
  <c r="AA226" i="36"/>
  <c r="P197" i="36"/>
  <c r="V197" i="36" s="1"/>
  <c r="S196" i="36"/>
  <c r="AD287" i="36"/>
  <c r="AG287" i="36" s="1"/>
  <c r="AD258" i="36"/>
  <c r="P106" i="36"/>
  <c r="V106" i="36" s="1"/>
  <c r="P228" i="36"/>
  <c r="V228" i="36" s="1"/>
  <c r="S227" i="36"/>
  <c r="Y227" i="36" s="1"/>
  <c r="R134" i="36"/>
  <c r="X134" i="36" s="1"/>
  <c r="O135" i="36"/>
  <c r="U135" i="36" s="1"/>
  <c r="AA348" i="36"/>
  <c r="D357" i="35"/>
  <c r="V289" i="36" l="1"/>
  <c r="P290" i="36"/>
  <c r="S289" i="36"/>
  <c r="U197" i="36"/>
  <c r="O198" i="36"/>
  <c r="R197" i="36"/>
  <c r="V75" i="36"/>
  <c r="P76" i="36"/>
  <c r="T289" i="36"/>
  <c r="N290" i="36"/>
  <c r="Q289" i="36"/>
  <c r="AA288" i="36"/>
  <c r="AG258" i="36"/>
  <c r="R350" i="36"/>
  <c r="O351" i="36"/>
  <c r="U351" i="36" s="1"/>
  <c r="N168" i="36"/>
  <c r="T168" i="36" s="1"/>
  <c r="Q167" i="36"/>
  <c r="AA320" i="36"/>
  <c r="O290" i="36"/>
  <c r="U290" i="36" s="1"/>
  <c r="R289" i="36"/>
  <c r="P107" i="36"/>
  <c r="V107" i="36" s="1"/>
  <c r="AD259" i="36"/>
  <c r="O167" i="36"/>
  <c r="U167" i="36" s="1"/>
  <c r="R166" i="36"/>
  <c r="N322" i="36"/>
  <c r="T322" i="36" s="1"/>
  <c r="Q321" i="36"/>
  <c r="N229" i="36"/>
  <c r="T229" i="36" s="1"/>
  <c r="Q228" i="36"/>
  <c r="W228" i="36" s="1"/>
  <c r="N109" i="36"/>
  <c r="T109" i="36" s="1"/>
  <c r="O136" i="36"/>
  <c r="U136" i="36" s="1"/>
  <c r="R135" i="36"/>
  <c r="X135" i="36" s="1"/>
  <c r="AD349" i="36"/>
  <c r="AG349" i="36" s="1"/>
  <c r="O229" i="36"/>
  <c r="U229" i="36" s="1"/>
  <c r="R228" i="36"/>
  <c r="X228" i="36" s="1"/>
  <c r="P229" i="36"/>
  <c r="V229" i="36" s="1"/>
  <c r="S228" i="36"/>
  <c r="Y228" i="36" s="1"/>
  <c r="P136" i="36"/>
  <c r="V136" i="36" s="1"/>
  <c r="S135" i="36"/>
  <c r="Y135" i="36" s="1"/>
  <c r="N260" i="36"/>
  <c r="T260" i="36" s="1"/>
  <c r="Q259" i="36"/>
  <c r="N47" i="36"/>
  <c r="T47" i="36" s="1"/>
  <c r="AA196" i="36"/>
  <c r="N77" i="36"/>
  <c r="T77" i="36" s="1"/>
  <c r="AA227" i="36"/>
  <c r="Q197" i="36"/>
  <c r="N198" i="36"/>
  <c r="T198" i="36" s="1"/>
  <c r="AD165" i="36"/>
  <c r="AG165" i="36" s="1"/>
  <c r="P48" i="36"/>
  <c r="V48" i="36" s="1"/>
  <c r="AD196" i="36"/>
  <c r="AG196" i="36" s="1"/>
  <c r="AD288" i="36"/>
  <c r="AG288" i="36" s="1"/>
  <c r="O261" i="36"/>
  <c r="U261" i="36" s="1"/>
  <c r="R260" i="36"/>
  <c r="O17" i="36"/>
  <c r="U17" i="36" s="1"/>
  <c r="R16" i="36"/>
  <c r="X16" i="36" s="1"/>
  <c r="P198" i="36"/>
  <c r="V198" i="36" s="1"/>
  <c r="S197" i="36"/>
  <c r="O48" i="36"/>
  <c r="U48" i="36" s="1"/>
  <c r="S320" i="36"/>
  <c r="P321" i="36"/>
  <c r="V321" i="36" s="1"/>
  <c r="O75" i="36"/>
  <c r="U75" i="36" s="1"/>
  <c r="S350" i="36"/>
  <c r="P351" i="36"/>
  <c r="V351" i="36" s="1"/>
  <c r="AD14" i="36"/>
  <c r="AG14" i="36" s="1"/>
  <c r="Q136" i="36"/>
  <c r="W136" i="36" s="1"/>
  <c r="N137" i="36"/>
  <c r="T137" i="36" s="1"/>
  <c r="AA258" i="36"/>
  <c r="N17" i="36"/>
  <c r="T17" i="36" s="1"/>
  <c r="Q16" i="36"/>
  <c r="W16" i="36" s="1"/>
  <c r="AD134" i="36"/>
  <c r="AG134" i="36" s="1"/>
  <c r="O106" i="36"/>
  <c r="U106" i="36" s="1"/>
  <c r="AA135" i="36"/>
  <c r="AD319" i="36"/>
  <c r="AG319" i="36" s="1"/>
  <c r="P261" i="36"/>
  <c r="V261" i="36" s="1"/>
  <c r="S260" i="36"/>
  <c r="AA349" i="36"/>
  <c r="AA15" i="36"/>
  <c r="AD227" i="36"/>
  <c r="AG227" i="36" s="1"/>
  <c r="P169" i="36"/>
  <c r="V169" i="36" s="1"/>
  <c r="S168" i="36"/>
  <c r="AA166" i="36"/>
  <c r="S15" i="36"/>
  <c r="Y15" i="36" s="1"/>
  <c r="P16" i="36"/>
  <c r="V16" i="36" s="1"/>
  <c r="R320" i="36"/>
  <c r="O321" i="36"/>
  <c r="U321" i="36" s="1"/>
  <c r="N351" i="36"/>
  <c r="T351" i="36" s="1"/>
  <c r="Q350" i="36"/>
  <c r="D356" i="35"/>
  <c r="U198" i="36" l="1"/>
  <c r="R198" i="36"/>
  <c r="O199" i="36"/>
  <c r="AA289" i="36"/>
  <c r="T290" i="36"/>
  <c r="N291" i="36"/>
  <c r="Q290" i="36"/>
  <c r="V290" i="36"/>
  <c r="S290" i="36"/>
  <c r="P291" i="36"/>
  <c r="V76" i="36"/>
  <c r="P77" i="36"/>
  <c r="AG259" i="36"/>
  <c r="R351" i="36"/>
  <c r="O352" i="36"/>
  <c r="U352" i="36" s="1"/>
  <c r="O322" i="36"/>
  <c r="U322" i="36" s="1"/>
  <c r="R321" i="36"/>
  <c r="AA197" i="36"/>
  <c r="P352" i="36"/>
  <c r="V352" i="36" s="1"/>
  <c r="S351" i="36"/>
  <c r="P322" i="36"/>
  <c r="V322" i="36" s="1"/>
  <c r="S321" i="36"/>
  <c r="AD135" i="36"/>
  <c r="AG135" i="36" s="1"/>
  <c r="AA321" i="36"/>
  <c r="AD350" i="36"/>
  <c r="AG350" i="36" s="1"/>
  <c r="N323" i="36"/>
  <c r="T323" i="36" s="1"/>
  <c r="Q322" i="36"/>
  <c r="N352" i="36"/>
  <c r="T352" i="36" s="1"/>
  <c r="Q351" i="36"/>
  <c r="O107" i="36"/>
  <c r="U107" i="36" s="1"/>
  <c r="AA16" i="36"/>
  <c r="O18" i="36"/>
  <c r="U18" i="36" s="1"/>
  <c r="R17" i="36"/>
  <c r="X17" i="36" s="1"/>
  <c r="Q198" i="36"/>
  <c r="N199" i="36"/>
  <c r="T199" i="36" s="1"/>
  <c r="AA259" i="36"/>
  <c r="AD228" i="36"/>
  <c r="AG228" i="36" s="1"/>
  <c r="AA228" i="36"/>
  <c r="O168" i="36"/>
  <c r="U168" i="36" s="1"/>
  <c r="R167" i="36"/>
  <c r="Q260" i="36"/>
  <c r="N261" i="36"/>
  <c r="T261" i="36" s="1"/>
  <c r="N230" i="36"/>
  <c r="T230" i="36" s="1"/>
  <c r="Q229" i="36"/>
  <c r="W229" i="36" s="1"/>
  <c r="AD260" i="36"/>
  <c r="AD320" i="36"/>
  <c r="AG320" i="36" s="1"/>
  <c r="P49" i="36"/>
  <c r="V49" i="36" s="1"/>
  <c r="P137" i="36"/>
  <c r="V137" i="36" s="1"/>
  <c r="S136" i="36"/>
  <c r="Y136" i="36" s="1"/>
  <c r="O137" i="36"/>
  <c r="U137" i="36" s="1"/>
  <c r="R136" i="36"/>
  <c r="X136" i="36" s="1"/>
  <c r="P108" i="36"/>
  <c r="V108" i="36" s="1"/>
  <c r="P170" i="36"/>
  <c r="V170" i="36" s="1"/>
  <c r="S169" i="36"/>
  <c r="Q137" i="36"/>
  <c r="W137" i="36" s="1"/>
  <c r="N138" i="36"/>
  <c r="T138" i="36" s="1"/>
  <c r="P199" i="36"/>
  <c r="V199" i="36" s="1"/>
  <c r="S198" i="36"/>
  <c r="P262" i="36"/>
  <c r="V262" i="36" s="1"/>
  <c r="S261" i="36"/>
  <c r="AA136" i="36"/>
  <c r="N48" i="36"/>
  <c r="T48" i="36" s="1"/>
  <c r="N110" i="36"/>
  <c r="T110" i="36" s="1"/>
  <c r="AD166" i="36"/>
  <c r="AG166" i="36" s="1"/>
  <c r="AD289" i="36"/>
  <c r="AG289" i="36" s="1"/>
  <c r="AA167" i="36"/>
  <c r="N18" i="36"/>
  <c r="T18" i="36" s="1"/>
  <c r="Q17" i="36"/>
  <c r="W17" i="36" s="1"/>
  <c r="P230" i="36"/>
  <c r="V230" i="36" s="1"/>
  <c r="S229" i="36"/>
  <c r="Y229" i="36" s="1"/>
  <c r="S16" i="36"/>
  <c r="Y16" i="36" s="1"/>
  <c r="P17" i="36"/>
  <c r="V17" i="36" s="1"/>
  <c r="AD197" i="36"/>
  <c r="AG197" i="36" s="1"/>
  <c r="AA350" i="36"/>
  <c r="AD15" i="36"/>
  <c r="AG15" i="36" s="1"/>
  <c r="O76" i="36"/>
  <c r="U76" i="36" s="1"/>
  <c r="O49" i="36"/>
  <c r="U49" i="36" s="1"/>
  <c r="O262" i="36"/>
  <c r="U262" i="36" s="1"/>
  <c r="R261" i="36"/>
  <c r="N78" i="36"/>
  <c r="T78" i="36" s="1"/>
  <c r="O230" i="36"/>
  <c r="U230" i="36" s="1"/>
  <c r="R229" i="36"/>
  <c r="X229" i="36" s="1"/>
  <c r="R290" i="36"/>
  <c r="O291" i="36"/>
  <c r="U291" i="36" s="1"/>
  <c r="N169" i="36"/>
  <c r="T169" i="36" s="1"/>
  <c r="Q168" i="36"/>
  <c r="D355" i="35"/>
  <c r="D354" i="35"/>
  <c r="D353" i="35"/>
  <c r="AG260" i="36" l="1"/>
  <c r="T291" i="36"/>
  <c r="Q291" i="36"/>
  <c r="N292" i="36"/>
  <c r="V77" i="36"/>
  <c r="P78" i="36"/>
  <c r="V291" i="36"/>
  <c r="S291" i="36"/>
  <c r="P292" i="36"/>
  <c r="AA290" i="36"/>
  <c r="U199" i="36"/>
  <c r="O200" i="36"/>
  <c r="R199" i="36"/>
  <c r="R352" i="36"/>
  <c r="O353" i="36"/>
  <c r="U353" i="36" s="1"/>
  <c r="O231" i="36"/>
  <c r="U231" i="36" s="1"/>
  <c r="R230" i="36"/>
  <c r="X230" i="36" s="1"/>
  <c r="P50" i="36"/>
  <c r="V50" i="36" s="1"/>
  <c r="N262" i="36"/>
  <c r="T262" i="36" s="1"/>
  <c r="Q261" i="36"/>
  <c r="AA198" i="36"/>
  <c r="AA322" i="36"/>
  <c r="P353" i="36"/>
  <c r="V353" i="36" s="1"/>
  <c r="S352" i="36"/>
  <c r="AA168" i="36"/>
  <c r="P231" i="36"/>
  <c r="V231" i="36" s="1"/>
  <c r="S230" i="36"/>
  <c r="Y230" i="36" s="1"/>
  <c r="Q169" i="36"/>
  <c r="N170" i="36"/>
  <c r="T170" i="36" s="1"/>
  <c r="N79" i="36"/>
  <c r="T79" i="36" s="1"/>
  <c r="AA17" i="36"/>
  <c r="O138" i="36"/>
  <c r="U138" i="36" s="1"/>
  <c r="R137" i="36"/>
  <c r="X137" i="36" s="1"/>
  <c r="N353" i="36"/>
  <c r="T353" i="36" s="1"/>
  <c r="Q352" i="36"/>
  <c r="AD16" i="36"/>
  <c r="AG16" i="36" s="1"/>
  <c r="AD261" i="36"/>
  <c r="P200" i="36"/>
  <c r="V200" i="36" s="1"/>
  <c r="S199" i="36"/>
  <c r="S137" i="36"/>
  <c r="Y137" i="36" s="1"/>
  <c r="P138" i="36"/>
  <c r="V138" i="36" s="1"/>
  <c r="O169" i="36"/>
  <c r="U169" i="36" s="1"/>
  <c r="R168" i="36"/>
  <c r="P323" i="36"/>
  <c r="V323" i="36" s="1"/>
  <c r="S322" i="36"/>
  <c r="O263" i="36"/>
  <c r="U263" i="36" s="1"/>
  <c r="R262" i="36"/>
  <c r="Q199" i="36"/>
  <c r="N200" i="36"/>
  <c r="T200" i="36" s="1"/>
  <c r="AD351" i="36"/>
  <c r="AG351" i="36" s="1"/>
  <c r="AD229" i="36"/>
  <c r="AG229" i="36" s="1"/>
  <c r="N139" i="36"/>
  <c r="T139" i="36" s="1"/>
  <c r="Q138" i="36"/>
  <c r="W138" i="36" s="1"/>
  <c r="N324" i="36"/>
  <c r="T324" i="36" s="1"/>
  <c r="Q323" i="36"/>
  <c r="R291" i="36"/>
  <c r="O292" i="36"/>
  <c r="U292" i="36" s="1"/>
  <c r="O77" i="36"/>
  <c r="U77" i="36" s="1"/>
  <c r="N19" i="36"/>
  <c r="T19" i="36" s="1"/>
  <c r="Q18" i="36"/>
  <c r="W18" i="36" s="1"/>
  <c r="N111" i="36"/>
  <c r="T111" i="36" s="1"/>
  <c r="AD136" i="36"/>
  <c r="AG136" i="36" s="1"/>
  <c r="R18" i="36"/>
  <c r="X18" i="36" s="1"/>
  <c r="O19" i="36"/>
  <c r="U19" i="36" s="1"/>
  <c r="P263" i="36"/>
  <c r="V263" i="36" s="1"/>
  <c r="S262" i="36"/>
  <c r="P109" i="36"/>
  <c r="V109" i="36" s="1"/>
  <c r="O108" i="36"/>
  <c r="U108" i="36" s="1"/>
  <c r="O50" i="36"/>
  <c r="U50" i="36" s="1"/>
  <c r="N49" i="36"/>
  <c r="T49" i="36" s="1"/>
  <c r="AA260" i="36"/>
  <c r="AA137" i="36"/>
  <c r="AA351" i="36"/>
  <c r="AA229" i="36"/>
  <c r="O323" i="36"/>
  <c r="U323" i="36" s="1"/>
  <c r="R322" i="36"/>
  <c r="AD290" i="36"/>
  <c r="AG290" i="36" s="1"/>
  <c r="P18" i="36"/>
  <c r="V18" i="36" s="1"/>
  <c r="S17" i="36"/>
  <c r="Y17" i="36" s="1"/>
  <c r="AD198" i="36"/>
  <c r="AG198" i="36" s="1"/>
  <c r="S170" i="36"/>
  <c r="P171" i="36"/>
  <c r="V171" i="36" s="1"/>
  <c r="N231" i="36"/>
  <c r="T231" i="36" s="1"/>
  <c r="Q230" i="36"/>
  <c r="W230" i="36" s="1"/>
  <c r="AD167" i="36"/>
  <c r="AG167" i="36" s="1"/>
  <c r="AD321" i="36"/>
  <c r="AG321" i="36" s="1"/>
  <c r="D352" i="35"/>
  <c r="E352" i="35"/>
  <c r="C352" i="35"/>
  <c r="T292" i="36" l="1"/>
  <c r="N293" i="36"/>
  <c r="Q292" i="36"/>
  <c r="V78" i="36"/>
  <c r="P79" i="36"/>
  <c r="AA291" i="36"/>
  <c r="U200" i="36"/>
  <c r="O201" i="36"/>
  <c r="R200" i="36"/>
  <c r="V292" i="36"/>
  <c r="P293" i="36"/>
  <c r="S292" i="36"/>
  <c r="R353" i="36"/>
  <c r="O354" i="36"/>
  <c r="U354" i="36" s="1"/>
  <c r="O20" i="36"/>
  <c r="U20" i="36" s="1"/>
  <c r="R19" i="36"/>
  <c r="X19" i="36" s="1"/>
  <c r="O170" i="36"/>
  <c r="U170" i="36" s="1"/>
  <c r="R169" i="36"/>
  <c r="N171" i="36"/>
  <c r="T171" i="36" s="1"/>
  <c r="Q170" i="36"/>
  <c r="R323" i="36"/>
  <c r="O324" i="36"/>
  <c r="U324" i="36" s="1"/>
  <c r="R263" i="36"/>
  <c r="O264" i="36"/>
  <c r="U264" i="36" s="1"/>
  <c r="P139" i="36"/>
  <c r="V139" i="36" s="1"/>
  <c r="S138" i="36"/>
  <c r="Y138" i="36" s="1"/>
  <c r="P354" i="36"/>
  <c r="V354" i="36" s="1"/>
  <c r="S353" i="36"/>
  <c r="AD230" i="36"/>
  <c r="AG230" i="36" s="1"/>
  <c r="P324" i="36"/>
  <c r="V324" i="36" s="1"/>
  <c r="S323" i="36"/>
  <c r="O109" i="36"/>
  <c r="U109" i="36" s="1"/>
  <c r="AA18" i="36"/>
  <c r="O78" i="36"/>
  <c r="U78" i="36" s="1"/>
  <c r="AA199" i="36"/>
  <c r="AD199" i="36"/>
  <c r="AG199" i="36" s="1"/>
  <c r="N50" i="36"/>
  <c r="T50" i="36" s="1"/>
  <c r="N20" i="36"/>
  <c r="T20" i="36" s="1"/>
  <c r="Q19" i="36"/>
  <c r="W19" i="36" s="1"/>
  <c r="O139" i="36"/>
  <c r="U139" i="36" s="1"/>
  <c r="R138" i="36"/>
  <c r="X138" i="36" s="1"/>
  <c r="AD352" i="36"/>
  <c r="AG352" i="36" s="1"/>
  <c r="AD17" i="36"/>
  <c r="AG17" i="36" s="1"/>
  <c r="AA323" i="36"/>
  <c r="AG261" i="36"/>
  <c r="P19" i="36"/>
  <c r="V19" i="36" s="1"/>
  <c r="S18" i="36"/>
  <c r="Y18" i="36" s="1"/>
  <c r="O51" i="36"/>
  <c r="U51" i="36" s="1"/>
  <c r="AD322" i="36"/>
  <c r="AG322" i="36" s="1"/>
  <c r="P51" i="36"/>
  <c r="V51" i="36" s="1"/>
  <c r="P264" i="36"/>
  <c r="V264" i="36" s="1"/>
  <c r="S263" i="36"/>
  <c r="N112" i="36"/>
  <c r="T112" i="36" s="1"/>
  <c r="AA138" i="36"/>
  <c r="Q200" i="36"/>
  <c r="N201" i="36"/>
  <c r="T201" i="36" s="1"/>
  <c r="AA352" i="36"/>
  <c r="P232" i="36"/>
  <c r="V232" i="36" s="1"/>
  <c r="S231" i="36"/>
  <c r="Y231" i="36" s="1"/>
  <c r="R292" i="36"/>
  <c r="O293" i="36"/>
  <c r="U293" i="36" s="1"/>
  <c r="P201" i="36"/>
  <c r="V201" i="36" s="1"/>
  <c r="S200" i="36"/>
  <c r="AA261" i="36"/>
  <c r="AA230" i="36"/>
  <c r="AD291" i="36"/>
  <c r="AG291" i="36" s="1"/>
  <c r="AA169" i="36"/>
  <c r="N263" i="36"/>
  <c r="T263" i="36" s="1"/>
  <c r="Q262" i="36"/>
  <c r="N232" i="36"/>
  <c r="T232" i="36" s="1"/>
  <c r="Q231" i="36"/>
  <c r="W231" i="36" s="1"/>
  <c r="P110" i="36"/>
  <c r="V110" i="36" s="1"/>
  <c r="N325" i="36"/>
  <c r="T325" i="36" s="1"/>
  <c r="Q324" i="36"/>
  <c r="AD137" i="36"/>
  <c r="AG137" i="36" s="1"/>
  <c r="P172" i="36"/>
  <c r="V172" i="36" s="1"/>
  <c r="S171" i="36"/>
  <c r="AD262" i="36"/>
  <c r="O232" i="36"/>
  <c r="U232" i="36" s="1"/>
  <c r="R231" i="36"/>
  <c r="X231" i="36" s="1"/>
  <c r="Q139" i="36"/>
  <c r="W139" i="36" s="1"/>
  <c r="N140" i="36"/>
  <c r="T140" i="36" s="1"/>
  <c r="AD168" i="36"/>
  <c r="AG168" i="36" s="1"/>
  <c r="N354" i="36"/>
  <c r="T354" i="36" s="1"/>
  <c r="Q353" i="36"/>
  <c r="N80" i="36"/>
  <c r="T80" i="36" s="1"/>
  <c r="D351" i="35"/>
  <c r="E351" i="35"/>
  <c r="C351" i="35"/>
  <c r="V293" i="36" l="1"/>
  <c r="P294" i="36"/>
  <c r="S293" i="36"/>
  <c r="AA292" i="36"/>
  <c r="U201" i="36"/>
  <c r="R201" i="36"/>
  <c r="O202" i="36"/>
  <c r="T293" i="36"/>
  <c r="Q293" i="36"/>
  <c r="N294" i="36"/>
  <c r="V79" i="36"/>
  <c r="P80" i="36"/>
  <c r="R354" i="36"/>
  <c r="O355" i="36"/>
  <c r="U355" i="36" s="1"/>
  <c r="AD231" i="36"/>
  <c r="AG231" i="36" s="1"/>
  <c r="P355" i="36"/>
  <c r="V355" i="36" s="1"/>
  <c r="S354" i="36"/>
  <c r="S324" i="36"/>
  <c r="P325" i="36"/>
  <c r="V325" i="36" s="1"/>
  <c r="R293" i="36"/>
  <c r="O294" i="36"/>
  <c r="U294" i="36" s="1"/>
  <c r="N355" i="36"/>
  <c r="T355" i="36" s="1"/>
  <c r="Q354" i="36"/>
  <c r="AD18" i="36"/>
  <c r="AG18" i="36" s="1"/>
  <c r="P140" i="36"/>
  <c r="V140" i="36" s="1"/>
  <c r="S139" i="36"/>
  <c r="Y139" i="36" s="1"/>
  <c r="Q140" i="36"/>
  <c r="W140" i="36" s="1"/>
  <c r="N141" i="36"/>
  <c r="T141" i="36" s="1"/>
  <c r="AG262" i="36"/>
  <c r="Q325" i="36"/>
  <c r="N326" i="36"/>
  <c r="T326" i="36" s="1"/>
  <c r="AA231" i="36"/>
  <c r="N202" i="36"/>
  <c r="T202" i="36" s="1"/>
  <c r="Q201" i="36"/>
  <c r="AD263" i="36"/>
  <c r="R139" i="36"/>
  <c r="X139" i="36" s="1"/>
  <c r="O140" i="36"/>
  <c r="U140" i="36" s="1"/>
  <c r="O79" i="36"/>
  <c r="U79" i="36" s="1"/>
  <c r="AD353" i="36"/>
  <c r="AG353" i="36" s="1"/>
  <c r="N81" i="36"/>
  <c r="T81" i="36" s="1"/>
  <c r="AD200" i="36"/>
  <c r="AG200" i="36" s="1"/>
  <c r="O325" i="36"/>
  <c r="U325" i="36" s="1"/>
  <c r="R324" i="36"/>
  <c r="P265" i="36"/>
  <c r="V265" i="36" s="1"/>
  <c r="S264" i="36"/>
  <c r="AA353" i="36"/>
  <c r="AA262" i="36"/>
  <c r="S172" i="36"/>
  <c r="P173" i="36"/>
  <c r="V173" i="36" s="1"/>
  <c r="N264" i="36"/>
  <c r="T264" i="36" s="1"/>
  <c r="Q263" i="36"/>
  <c r="AD138" i="36"/>
  <c r="AG138" i="36" s="1"/>
  <c r="Q20" i="36"/>
  <c r="W20" i="36" s="1"/>
  <c r="N21" i="36"/>
  <c r="T21" i="36" s="1"/>
  <c r="AD292" i="36"/>
  <c r="AG292" i="36" s="1"/>
  <c r="N113" i="36"/>
  <c r="T113" i="36" s="1"/>
  <c r="P52" i="36"/>
  <c r="V52" i="36" s="1"/>
  <c r="P20" i="36"/>
  <c r="V20" i="36" s="1"/>
  <c r="S19" i="36"/>
  <c r="Y19" i="36" s="1"/>
  <c r="O110" i="36"/>
  <c r="U110" i="36" s="1"/>
  <c r="O265" i="36"/>
  <c r="U265" i="36" s="1"/>
  <c r="R264" i="36"/>
  <c r="N172" i="36"/>
  <c r="T172" i="36" s="1"/>
  <c r="Q171" i="36"/>
  <c r="AA200" i="36"/>
  <c r="N51" i="36"/>
  <c r="T51" i="36" s="1"/>
  <c r="AD323" i="36"/>
  <c r="AG323" i="36" s="1"/>
  <c r="O171" i="36"/>
  <c r="U171" i="36" s="1"/>
  <c r="R170" i="36"/>
  <c r="AA139" i="36"/>
  <c r="N233" i="36"/>
  <c r="T233" i="36" s="1"/>
  <c r="Q232" i="36"/>
  <c r="W232" i="36" s="1"/>
  <c r="P202" i="36"/>
  <c r="V202" i="36" s="1"/>
  <c r="S201" i="36"/>
  <c r="P233" i="36"/>
  <c r="V233" i="36" s="1"/>
  <c r="S232" i="36"/>
  <c r="Y232" i="36" s="1"/>
  <c r="O52" i="36"/>
  <c r="U52" i="36" s="1"/>
  <c r="O233" i="36"/>
  <c r="U233" i="36" s="1"/>
  <c r="R232" i="36"/>
  <c r="X232" i="36" s="1"/>
  <c r="AA19" i="36"/>
  <c r="AA170" i="36"/>
  <c r="AA324" i="36"/>
  <c r="P111" i="36"/>
  <c r="V111" i="36" s="1"/>
  <c r="AD169" i="36"/>
  <c r="AG169" i="36" s="1"/>
  <c r="R20" i="36"/>
  <c r="X20" i="36" s="1"/>
  <c r="O21" i="36"/>
  <c r="U21" i="36" s="1"/>
  <c r="D350" i="35"/>
  <c r="T294" i="36" l="1"/>
  <c r="Q294" i="36"/>
  <c r="N295" i="36"/>
  <c r="U202" i="36"/>
  <c r="O203" i="36"/>
  <c r="R202" i="36"/>
  <c r="AA293" i="36"/>
  <c r="V294" i="36"/>
  <c r="P295" i="36"/>
  <c r="S294" i="36"/>
  <c r="V80" i="36"/>
  <c r="P81" i="36"/>
  <c r="AG263" i="36"/>
  <c r="R355" i="36"/>
  <c r="O356" i="36"/>
  <c r="U356" i="36" s="1"/>
  <c r="S325" i="36"/>
  <c r="P326" i="36"/>
  <c r="V326" i="36" s="1"/>
  <c r="O22" i="36"/>
  <c r="U22" i="36" s="1"/>
  <c r="R21" i="36"/>
  <c r="AD170" i="36"/>
  <c r="AG170" i="36" s="1"/>
  <c r="AA263" i="36"/>
  <c r="AD324" i="36"/>
  <c r="AG324" i="36" s="1"/>
  <c r="AA325" i="36"/>
  <c r="O172" i="36"/>
  <c r="U172" i="36" s="1"/>
  <c r="R171" i="36"/>
  <c r="O111" i="36"/>
  <c r="U111" i="36" s="1"/>
  <c r="AA20" i="36"/>
  <c r="AD139" i="36"/>
  <c r="AG139" i="36" s="1"/>
  <c r="AD293" i="36"/>
  <c r="AG293" i="36" s="1"/>
  <c r="O234" i="36"/>
  <c r="U234" i="36" s="1"/>
  <c r="R233" i="36"/>
  <c r="X233" i="36" s="1"/>
  <c r="AA232" i="36"/>
  <c r="N173" i="36"/>
  <c r="T173" i="36" s="1"/>
  <c r="Q172" i="36"/>
  <c r="P266" i="36"/>
  <c r="V266" i="36" s="1"/>
  <c r="S265" i="36"/>
  <c r="P141" i="36"/>
  <c r="V141" i="36" s="1"/>
  <c r="S140" i="36"/>
  <c r="Y140" i="36" s="1"/>
  <c r="N52" i="36"/>
  <c r="T52" i="36" s="1"/>
  <c r="O266" i="36"/>
  <c r="U266" i="36" s="1"/>
  <c r="R265" i="36"/>
  <c r="O326" i="36"/>
  <c r="U326" i="36" s="1"/>
  <c r="R325" i="36"/>
  <c r="AA354" i="36"/>
  <c r="AD354" i="36"/>
  <c r="AG354" i="36" s="1"/>
  <c r="P53" i="36"/>
  <c r="V53" i="36" s="1"/>
  <c r="O80" i="36"/>
  <c r="U80" i="36" s="1"/>
  <c r="Q326" i="36"/>
  <c r="N327" i="36"/>
  <c r="T327" i="36" s="1"/>
  <c r="N114" i="36"/>
  <c r="T114" i="36" s="1"/>
  <c r="AD232" i="36"/>
  <c r="AG232" i="36" s="1"/>
  <c r="AD264" i="36"/>
  <c r="AA201" i="36"/>
  <c r="AD19" i="36"/>
  <c r="AG19" i="36" s="1"/>
  <c r="N82" i="36"/>
  <c r="T82" i="36" s="1"/>
  <c r="R140" i="36"/>
  <c r="X140" i="36" s="1"/>
  <c r="O141" i="36"/>
  <c r="U141" i="36" s="1"/>
  <c r="N203" i="36"/>
  <c r="T203" i="36" s="1"/>
  <c r="Q202" i="36"/>
  <c r="N142" i="36"/>
  <c r="T142" i="36" s="1"/>
  <c r="Q141" i="36"/>
  <c r="W141" i="36" s="1"/>
  <c r="P203" i="36"/>
  <c r="V203" i="36" s="1"/>
  <c r="S202" i="36"/>
  <c r="P356" i="36"/>
  <c r="V356" i="36" s="1"/>
  <c r="S355" i="36"/>
  <c r="P112" i="36"/>
  <c r="V112" i="36" s="1"/>
  <c r="O53" i="36"/>
  <c r="U53" i="36" s="1"/>
  <c r="N356" i="36"/>
  <c r="T356" i="36" s="1"/>
  <c r="Q355" i="36"/>
  <c r="N22" i="36"/>
  <c r="T22" i="36" s="1"/>
  <c r="Q21" i="36"/>
  <c r="O295" i="36"/>
  <c r="U295" i="36" s="1"/>
  <c r="R294" i="36"/>
  <c r="AA171" i="36"/>
  <c r="N265" i="36"/>
  <c r="T265" i="36" s="1"/>
  <c r="Q264" i="36"/>
  <c r="P234" i="36"/>
  <c r="V234" i="36" s="1"/>
  <c r="S233" i="36"/>
  <c r="Y233" i="36" s="1"/>
  <c r="P174" i="36"/>
  <c r="V174" i="36" s="1"/>
  <c r="S173" i="36"/>
  <c r="AD201" i="36"/>
  <c r="AG201" i="36" s="1"/>
  <c r="N234" i="36"/>
  <c r="T234" i="36" s="1"/>
  <c r="Q233" i="36"/>
  <c r="W233" i="36" s="1"/>
  <c r="P21" i="36"/>
  <c r="V21" i="36" s="1"/>
  <c r="S20" i="36"/>
  <c r="Y20" i="36" s="1"/>
  <c r="AA140" i="36"/>
  <c r="D349" i="35"/>
  <c r="W21" i="36" l="1"/>
  <c r="X21" i="36"/>
  <c r="U203" i="36"/>
  <c r="O204" i="36"/>
  <c r="R203" i="36"/>
  <c r="T295" i="36"/>
  <c r="Q295" i="36"/>
  <c r="N296" i="36"/>
  <c r="V295" i="36"/>
  <c r="P296" i="36"/>
  <c r="S295" i="36"/>
  <c r="AA294" i="36"/>
  <c r="V81" i="36"/>
  <c r="P82" i="36"/>
  <c r="AG264" i="36"/>
  <c r="O357" i="36"/>
  <c r="U357" i="36" s="1"/>
  <c r="R356" i="36"/>
  <c r="P357" i="36"/>
  <c r="V357" i="36" s="1"/>
  <c r="S356" i="36"/>
  <c r="O54" i="36"/>
  <c r="U54" i="36" s="1"/>
  <c r="AD265" i="36"/>
  <c r="O173" i="36"/>
  <c r="U173" i="36" s="1"/>
  <c r="R172" i="36"/>
  <c r="AA264" i="36"/>
  <c r="O235" i="36"/>
  <c r="U235" i="36" s="1"/>
  <c r="R234" i="36"/>
  <c r="X234" i="36" s="1"/>
  <c r="N266" i="36"/>
  <c r="T266" i="36" s="1"/>
  <c r="Q265" i="36"/>
  <c r="Q22" i="36"/>
  <c r="W22" i="36" s="1"/>
  <c r="N23" i="36"/>
  <c r="T23" i="36" s="1"/>
  <c r="AA141" i="36"/>
  <c r="Q142" i="36"/>
  <c r="W142" i="36" s="1"/>
  <c r="N143" i="36"/>
  <c r="T143" i="36" s="1"/>
  <c r="P22" i="36"/>
  <c r="V22" i="36" s="1"/>
  <c r="S21" i="36"/>
  <c r="AD233" i="36"/>
  <c r="AG233" i="36" s="1"/>
  <c r="AD294" i="36"/>
  <c r="AG294" i="36" s="1"/>
  <c r="O327" i="36"/>
  <c r="U327" i="36" s="1"/>
  <c r="R326" i="36"/>
  <c r="AD140" i="36"/>
  <c r="AG140" i="36" s="1"/>
  <c r="AD171" i="36"/>
  <c r="AG171" i="36" s="1"/>
  <c r="S141" i="36"/>
  <c r="Y141" i="36" s="1"/>
  <c r="P142" i="36"/>
  <c r="V142" i="36" s="1"/>
  <c r="P235" i="36"/>
  <c r="V235" i="36" s="1"/>
  <c r="S234" i="36"/>
  <c r="Y234" i="36" s="1"/>
  <c r="R266" i="36"/>
  <c r="O267" i="36"/>
  <c r="U267" i="36" s="1"/>
  <c r="R22" i="36"/>
  <c r="X22" i="36" s="1"/>
  <c r="O23" i="36"/>
  <c r="U23" i="36" s="1"/>
  <c r="AA233" i="36"/>
  <c r="O81" i="36"/>
  <c r="U81" i="36" s="1"/>
  <c r="N83" i="36"/>
  <c r="T83" i="36" s="1"/>
  <c r="N235" i="36"/>
  <c r="T235" i="36" s="1"/>
  <c r="Q234" i="36"/>
  <c r="W234" i="36" s="1"/>
  <c r="AA355" i="36"/>
  <c r="P113" i="36"/>
  <c r="V113" i="36" s="1"/>
  <c r="AD202" i="36"/>
  <c r="AG202" i="36" s="1"/>
  <c r="AA202" i="36"/>
  <c r="N174" i="36"/>
  <c r="T174" i="36" s="1"/>
  <c r="Q173" i="36"/>
  <c r="AD325" i="36"/>
  <c r="AG325" i="36" s="1"/>
  <c r="O296" i="36"/>
  <c r="U296" i="36" s="1"/>
  <c r="R295" i="36"/>
  <c r="O142" i="36"/>
  <c r="U142" i="36" s="1"/>
  <c r="R141" i="36"/>
  <c r="X141" i="36" s="1"/>
  <c r="Q327" i="36"/>
  <c r="N328" i="36"/>
  <c r="T328" i="36" s="1"/>
  <c r="AA326" i="36"/>
  <c r="AA21" i="36"/>
  <c r="P267" i="36"/>
  <c r="V267" i="36" s="1"/>
  <c r="S266" i="36"/>
  <c r="N53" i="36"/>
  <c r="T53" i="36" s="1"/>
  <c r="AA172" i="36"/>
  <c r="O112" i="36"/>
  <c r="U112" i="36" s="1"/>
  <c r="P327" i="36"/>
  <c r="V327" i="36" s="1"/>
  <c r="S326" i="36"/>
  <c r="AD20" i="36"/>
  <c r="AG20" i="36" s="1"/>
  <c r="P175" i="36"/>
  <c r="V175" i="36" s="1"/>
  <c r="S174" i="36"/>
  <c r="N357" i="36"/>
  <c r="T357" i="36" s="1"/>
  <c r="Q356" i="36"/>
  <c r="AD355" i="36"/>
  <c r="AG355" i="36" s="1"/>
  <c r="P204" i="36"/>
  <c r="V204" i="36" s="1"/>
  <c r="S203" i="36"/>
  <c r="N204" i="36"/>
  <c r="T204" i="36" s="1"/>
  <c r="Q203" i="36"/>
  <c r="N115" i="36"/>
  <c r="T115" i="36" s="1"/>
  <c r="P54" i="36"/>
  <c r="V54" i="36" s="1"/>
  <c r="D348" i="35"/>
  <c r="D347" i="35"/>
  <c r="D346" i="35"/>
  <c r="AC21" i="36" l="1"/>
  <c r="Y21" i="36"/>
  <c r="AA295" i="36"/>
  <c r="T296" i="36"/>
  <c r="Q296" i="36"/>
  <c r="N297" i="36"/>
  <c r="V82" i="36"/>
  <c r="P83" i="36"/>
  <c r="U204" i="36"/>
  <c r="O205" i="36"/>
  <c r="R204" i="36"/>
  <c r="V296" i="36"/>
  <c r="P297" i="36"/>
  <c r="S296" i="36"/>
  <c r="AG265" i="36"/>
  <c r="O358" i="36"/>
  <c r="U358" i="36" s="1"/>
  <c r="R357" i="36"/>
  <c r="P176" i="36"/>
  <c r="V176" i="36" s="1"/>
  <c r="S175" i="36"/>
  <c r="S267" i="36"/>
  <c r="P268" i="36"/>
  <c r="V268" i="36" s="1"/>
  <c r="N175" i="36"/>
  <c r="T175" i="36" s="1"/>
  <c r="Q174" i="36"/>
  <c r="AD21" i="36"/>
  <c r="AG21" i="36" s="1"/>
  <c r="S204" i="36"/>
  <c r="P205" i="36"/>
  <c r="V205" i="36" s="1"/>
  <c r="R142" i="36"/>
  <c r="X142" i="36" s="1"/>
  <c r="O143" i="36"/>
  <c r="U143" i="36" s="1"/>
  <c r="O236" i="36"/>
  <c r="U236" i="36" s="1"/>
  <c r="R235" i="36"/>
  <c r="X235" i="36" s="1"/>
  <c r="R296" i="36"/>
  <c r="O297" i="36"/>
  <c r="U297" i="36" s="1"/>
  <c r="AA356" i="36"/>
  <c r="AA265" i="36"/>
  <c r="AD203" i="36"/>
  <c r="AG203" i="36" s="1"/>
  <c r="P328" i="36"/>
  <c r="V328" i="36" s="1"/>
  <c r="S327" i="36"/>
  <c r="AD266" i="36"/>
  <c r="AA173" i="36"/>
  <c r="N236" i="36"/>
  <c r="T236" i="36" s="1"/>
  <c r="Q235" i="36"/>
  <c r="W235" i="36" s="1"/>
  <c r="S142" i="36"/>
  <c r="Y142" i="36" s="1"/>
  <c r="P143" i="36"/>
  <c r="V143" i="36" s="1"/>
  <c r="O268" i="36"/>
  <c r="U268" i="36" s="1"/>
  <c r="R267" i="36"/>
  <c r="P23" i="36"/>
  <c r="V23" i="36" s="1"/>
  <c r="S22" i="36"/>
  <c r="Y22" i="36" s="1"/>
  <c r="AD295" i="36"/>
  <c r="AG295" i="36" s="1"/>
  <c r="N144" i="36"/>
  <c r="T144" i="36" s="1"/>
  <c r="Q143" i="36"/>
  <c r="W143" i="36" s="1"/>
  <c r="AA22" i="36"/>
  <c r="Q328" i="36"/>
  <c r="N329" i="36"/>
  <c r="T329" i="36" s="1"/>
  <c r="AD234" i="36"/>
  <c r="AG234" i="36" s="1"/>
  <c r="AD172" i="36"/>
  <c r="AG172" i="36" s="1"/>
  <c r="AD356" i="36"/>
  <c r="AG356" i="36" s="1"/>
  <c r="N205" i="36"/>
  <c r="T205" i="36" s="1"/>
  <c r="Q204" i="36"/>
  <c r="N358" i="36"/>
  <c r="T358" i="36" s="1"/>
  <c r="Q357" i="36"/>
  <c r="AA327" i="36"/>
  <c r="AA234" i="36"/>
  <c r="N84" i="36"/>
  <c r="T84" i="36" s="1"/>
  <c r="P236" i="36"/>
  <c r="V236" i="36" s="1"/>
  <c r="S235" i="36"/>
  <c r="Y235" i="36" s="1"/>
  <c r="N267" i="36"/>
  <c r="T267" i="36" s="1"/>
  <c r="Q266" i="36"/>
  <c r="O174" i="36"/>
  <c r="U174" i="36" s="1"/>
  <c r="R173" i="36"/>
  <c r="P358" i="36"/>
  <c r="V358" i="36" s="1"/>
  <c r="S357" i="36"/>
  <c r="P55" i="36"/>
  <c r="V55" i="36" s="1"/>
  <c r="P114" i="36"/>
  <c r="V114" i="36" s="1"/>
  <c r="AD141" i="36"/>
  <c r="AG141" i="36" s="1"/>
  <c r="O82" i="36"/>
  <c r="U82" i="36" s="1"/>
  <c r="N116" i="36"/>
  <c r="T116" i="36" s="1"/>
  <c r="O328" i="36"/>
  <c r="U328" i="36" s="1"/>
  <c r="R327" i="36"/>
  <c r="Q23" i="36"/>
  <c r="W23" i="36" s="1"/>
  <c r="N24" i="36"/>
  <c r="T24" i="36" s="1"/>
  <c r="O113" i="36"/>
  <c r="U113" i="36" s="1"/>
  <c r="AA203" i="36"/>
  <c r="AA142" i="36"/>
  <c r="O55" i="36"/>
  <c r="U55" i="36" s="1"/>
  <c r="AD326" i="36"/>
  <c r="AG326" i="36" s="1"/>
  <c r="N54" i="36"/>
  <c r="T54" i="36" s="1"/>
  <c r="R23" i="36"/>
  <c r="X23" i="36" s="1"/>
  <c r="O24" i="36"/>
  <c r="U24" i="36" s="1"/>
  <c r="D344" i="35"/>
  <c r="V297" i="36" l="1"/>
  <c r="P298" i="36"/>
  <c r="S297" i="36"/>
  <c r="T297" i="36"/>
  <c r="Q297" i="36"/>
  <c r="N298" i="36"/>
  <c r="AA296" i="36"/>
  <c r="V83" i="36"/>
  <c r="P84" i="36"/>
  <c r="U205" i="36"/>
  <c r="O206" i="36"/>
  <c r="R205" i="36"/>
  <c r="O359" i="36"/>
  <c r="U359" i="36" s="1"/>
  <c r="R358" i="36"/>
  <c r="N25" i="36"/>
  <c r="T25" i="36" s="1"/>
  <c r="Q24" i="36"/>
  <c r="W24" i="36" s="1"/>
  <c r="O237" i="36"/>
  <c r="U237" i="36" s="1"/>
  <c r="R236" i="36"/>
  <c r="X236" i="36" s="1"/>
  <c r="AD204" i="36"/>
  <c r="AG204" i="36" s="1"/>
  <c r="N55" i="36"/>
  <c r="T55" i="36" s="1"/>
  <c r="O175" i="36"/>
  <c r="U175" i="36" s="1"/>
  <c r="R174" i="36"/>
  <c r="AA143" i="36"/>
  <c r="N237" i="36"/>
  <c r="T237" i="36" s="1"/>
  <c r="Q236" i="36"/>
  <c r="W236" i="36" s="1"/>
  <c r="AA23" i="36"/>
  <c r="AA266" i="36"/>
  <c r="N85" i="36"/>
  <c r="T85" i="36" s="1"/>
  <c r="AA357" i="36"/>
  <c r="Q144" i="36"/>
  <c r="W144" i="36" s="1"/>
  <c r="N145" i="36"/>
  <c r="T145" i="36" s="1"/>
  <c r="P144" i="36"/>
  <c r="V144" i="36" s="1"/>
  <c r="S143" i="36"/>
  <c r="Y143" i="36" s="1"/>
  <c r="O25" i="36"/>
  <c r="U25" i="36" s="1"/>
  <c r="R24" i="36"/>
  <c r="X24" i="36" s="1"/>
  <c r="O56" i="36"/>
  <c r="U56" i="36" s="1"/>
  <c r="P115" i="36"/>
  <c r="V115" i="36" s="1"/>
  <c r="AD173" i="36"/>
  <c r="AG173" i="36" s="1"/>
  <c r="P237" i="36"/>
  <c r="V237" i="36" s="1"/>
  <c r="S236" i="36"/>
  <c r="Y236" i="36" s="1"/>
  <c r="AA328" i="36"/>
  <c r="AD22" i="36"/>
  <c r="AG22" i="36" s="1"/>
  <c r="AD327" i="36"/>
  <c r="AG327" i="36" s="1"/>
  <c r="O298" i="36"/>
  <c r="U298" i="36" s="1"/>
  <c r="R297" i="36"/>
  <c r="P206" i="36"/>
  <c r="V206" i="36" s="1"/>
  <c r="S205" i="36"/>
  <c r="P269" i="36"/>
  <c r="V269" i="36" s="1"/>
  <c r="S268" i="36"/>
  <c r="N117" i="36"/>
  <c r="T117" i="36" s="1"/>
  <c r="S23" i="36"/>
  <c r="Y23" i="36" s="1"/>
  <c r="P24" i="36"/>
  <c r="V24" i="36" s="1"/>
  <c r="AA235" i="36"/>
  <c r="AD267" i="36"/>
  <c r="P56" i="36"/>
  <c r="V56" i="36" s="1"/>
  <c r="O329" i="36"/>
  <c r="U329" i="36" s="1"/>
  <c r="R328" i="36"/>
  <c r="Q267" i="36"/>
  <c r="N268" i="36"/>
  <c r="T268" i="36" s="1"/>
  <c r="N359" i="36"/>
  <c r="T359" i="36" s="1"/>
  <c r="Q358" i="36"/>
  <c r="R268" i="36"/>
  <c r="O269" i="36"/>
  <c r="U269" i="36" s="1"/>
  <c r="O144" i="36"/>
  <c r="U144" i="36" s="1"/>
  <c r="R143" i="36"/>
  <c r="X143" i="36" s="1"/>
  <c r="O114" i="36"/>
  <c r="U114" i="36" s="1"/>
  <c r="P359" i="36"/>
  <c r="V359" i="36" s="1"/>
  <c r="S358" i="36"/>
  <c r="AD235" i="36"/>
  <c r="AG235" i="36" s="1"/>
  <c r="AA204" i="36"/>
  <c r="AG266" i="36"/>
  <c r="N176" i="36"/>
  <c r="T176" i="36" s="1"/>
  <c r="Q175" i="36"/>
  <c r="AD296" i="36"/>
  <c r="AG296" i="36" s="1"/>
  <c r="P329" i="36"/>
  <c r="V329" i="36" s="1"/>
  <c r="S328" i="36"/>
  <c r="O83" i="36"/>
  <c r="U83" i="36" s="1"/>
  <c r="AD357" i="36"/>
  <c r="AG357" i="36" s="1"/>
  <c r="AD142" i="36"/>
  <c r="AG142" i="36" s="1"/>
  <c r="AA174" i="36"/>
  <c r="N206" i="36"/>
  <c r="T206" i="36" s="1"/>
  <c r="Q205" i="36"/>
  <c r="N330" i="36"/>
  <c r="T330" i="36" s="1"/>
  <c r="Q329" i="36"/>
  <c r="P177" i="36"/>
  <c r="V177" i="36" s="1"/>
  <c r="S176" i="36"/>
  <c r="D343" i="35"/>
  <c r="T298" i="36" l="1"/>
  <c r="Q298" i="36"/>
  <c r="N299" i="36"/>
  <c r="U206" i="36"/>
  <c r="O207" i="36"/>
  <c r="R206" i="36"/>
  <c r="AA297" i="36"/>
  <c r="V298" i="36"/>
  <c r="P299" i="36"/>
  <c r="S298" i="36"/>
  <c r="V84" i="36"/>
  <c r="P85" i="36"/>
  <c r="O360" i="36"/>
  <c r="U360" i="36" s="1"/>
  <c r="R359" i="36"/>
  <c r="N360" i="36"/>
  <c r="T360" i="36" s="1"/>
  <c r="Q359" i="36"/>
  <c r="AA329" i="36"/>
  <c r="O84" i="36"/>
  <c r="U84" i="36" s="1"/>
  <c r="R269" i="36"/>
  <c r="O270" i="36"/>
  <c r="U270" i="36" s="1"/>
  <c r="P57" i="36"/>
  <c r="V57" i="36" s="1"/>
  <c r="AD205" i="36"/>
  <c r="AG205" i="36" s="1"/>
  <c r="P238" i="36"/>
  <c r="V238" i="36" s="1"/>
  <c r="S237" i="36"/>
  <c r="Y237" i="36" s="1"/>
  <c r="N238" i="36"/>
  <c r="T238" i="36" s="1"/>
  <c r="Q237" i="36"/>
  <c r="W237" i="36" s="1"/>
  <c r="P360" i="36"/>
  <c r="V360" i="36" s="1"/>
  <c r="S359" i="36"/>
  <c r="AA358" i="36"/>
  <c r="O330" i="36"/>
  <c r="U330" i="36" s="1"/>
  <c r="R329" i="36"/>
  <c r="S269" i="36"/>
  <c r="P270" i="36"/>
  <c r="V270" i="36" s="1"/>
  <c r="P178" i="36"/>
  <c r="V178" i="36" s="1"/>
  <c r="S177" i="36"/>
  <c r="R144" i="36"/>
  <c r="X144" i="36" s="1"/>
  <c r="O145" i="36"/>
  <c r="U145" i="36" s="1"/>
  <c r="O57" i="36"/>
  <c r="U57" i="36" s="1"/>
  <c r="O115" i="36"/>
  <c r="U115" i="36" s="1"/>
  <c r="N269" i="36"/>
  <c r="T269" i="36" s="1"/>
  <c r="Q268" i="36"/>
  <c r="AD23" i="36"/>
  <c r="AG23" i="36" s="1"/>
  <c r="AD143" i="36"/>
  <c r="AG143" i="36" s="1"/>
  <c r="N331" i="36"/>
  <c r="T331" i="36" s="1"/>
  <c r="Q330" i="36"/>
  <c r="AD328" i="36"/>
  <c r="AG328" i="36" s="1"/>
  <c r="P207" i="36"/>
  <c r="V207" i="36" s="1"/>
  <c r="S206" i="36"/>
  <c r="N86" i="36"/>
  <c r="T86" i="36" s="1"/>
  <c r="AA205" i="36"/>
  <c r="AG267" i="36"/>
  <c r="AD297" i="36"/>
  <c r="AG297" i="36" s="1"/>
  <c r="N146" i="36"/>
  <c r="T146" i="36" s="1"/>
  <c r="Q145" i="36"/>
  <c r="W145" i="36" s="1"/>
  <c r="N56" i="36"/>
  <c r="T56" i="36" s="1"/>
  <c r="N177" i="36"/>
  <c r="T177" i="36" s="1"/>
  <c r="Q176" i="36"/>
  <c r="N118" i="36"/>
  <c r="T118" i="36" s="1"/>
  <c r="AD174" i="36"/>
  <c r="AG174" i="36" s="1"/>
  <c r="Q25" i="36"/>
  <c r="W25" i="36" s="1"/>
  <c r="N26" i="36"/>
  <c r="T26" i="36" s="1"/>
  <c r="AD236" i="36"/>
  <c r="AG236" i="36" s="1"/>
  <c r="AA236" i="36"/>
  <c r="O238" i="36"/>
  <c r="U238" i="36" s="1"/>
  <c r="R237" i="36"/>
  <c r="X237" i="36" s="1"/>
  <c r="P25" i="36"/>
  <c r="V25" i="36" s="1"/>
  <c r="S24" i="36"/>
  <c r="Y24" i="36" s="1"/>
  <c r="AA267" i="36"/>
  <c r="S144" i="36"/>
  <c r="Y144" i="36" s="1"/>
  <c r="P145" i="36"/>
  <c r="V145" i="36" s="1"/>
  <c r="S329" i="36"/>
  <c r="P330" i="36"/>
  <c r="V330" i="36" s="1"/>
  <c r="AA175" i="36"/>
  <c r="O26" i="36"/>
  <c r="U26" i="36" s="1"/>
  <c r="R25" i="36"/>
  <c r="X25" i="36" s="1"/>
  <c r="AA24" i="36"/>
  <c r="N207" i="36"/>
  <c r="T207" i="36" s="1"/>
  <c r="Q206" i="36"/>
  <c r="AD358" i="36"/>
  <c r="AG358" i="36" s="1"/>
  <c r="AD268" i="36"/>
  <c r="O299" i="36"/>
  <c r="U299" i="36" s="1"/>
  <c r="R298" i="36"/>
  <c r="P116" i="36"/>
  <c r="V116" i="36" s="1"/>
  <c r="AA144" i="36"/>
  <c r="O176" i="36"/>
  <c r="U176" i="36" s="1"/>
  <c r="R175" i="36"/>
  <c r="D340" i="34"/>
  <c r="D342" i="35"/>
  <c r="T299" i="36" l="1"/>
  <c r="N300" i="36"/>
  <c r="Q299" i="36"/>
  <c r="V85" i="36"/>
  <c r="P86" i="36"/>
  <c r="V299" i="36"/>
  <c r="S299" i="36"/>
  <c r="P300" i="36"/>
  <c r="AA298" i="36"/>
  <c r="U207" i="36"/>
  <c r="O208" i="36"/>
  <c r="R207" i="36"/>
  <c r="O361" i="36"/>
  <c r="U361" i="36" s="1"/>
  <c r="R360" i="36"/>
  <c r="P146" i="36"/>
  <c r="V146" i="36" s="1"/>
  <c r="S145" i="36"/>
  <c r="Y145" i="36" s="1"/>
  <c r="N147" i="36"/>
  <c r="T147" i="36" s="1"/>
  <c r="Q146" i="36"/>
  <c r="W146" i="36" s="1"/>
  <c r="AA268" i="36"/>
  <c r="O331" i="36"/>
  <c r="U331" i="36" s="1"/>
  <c r="R330" i="36"/>
  <c r="AD298" i="36"/>
  <c r="AG298" i="36" s="1"/>
  <c r="O300" i="36"/>
  <c r="U300" i="36" s="1"/>
  <c r="R299" i="36"/>
  <c r="N332" i="36"/>
  <c r="T332" i="36" s="1"/>
  <c r="Q331" i="36"/>
  <c r="N119" i="36"/>
  <c r="T119" i="36" s="1"/>
  <c r="P179" i="36"/>
  <c r="V179" i="36" s="1"/>
  <c r="S178" i="36"/>
  <c r="AD175" i="36"/>
  <c r="AG175" i="36" s="1"/>
  <c r="N208" i="36"/>
  <c r="T208" i="36" s="1"/>
  <c r="Q207" i="36"/>
  <c r="Q26" i="36"/>
  <c r="W26" i="36" s="1"/>
  <c r="N27" i="36"/>
  <c r="T27" i="36" s="1"/>
  <c r="AA145" i="36"/>
  <c r="AA237" i="36"/>
  <c r="O85" i="36"/>
  <c r="U85" i="36" s="1"/>
  <c r="O177" i="36"/>
  <c r="U177" i="36" s="1"/>
  <c r="R176" i="36"/>
  <c r="AA330" i="36"/>
  <c r="N87" i="36"/>
  <c r="T87" i="36" s="1"/>
  <c r="AD24" i="36"/>
  <c r="AG24" i="36" s="1"/>
  <c r="S25" i="36"/>
  <c r="Y25" i="36" s="1"/>
  <c r="P26" i="36"/>
  <c r="V26" i="36" s="1"/>
  <c r="AD359" i="36"/>
  <c r="AG359" i="36" s="1"/>
  <c r="AD237" i="36"/>
  <c r="AG237" i="36" s="1"/>
  <c r="O271" i="36"/>
  <c r="U271" i="36" s="1"/>
  <c r="R270" i="36"/>
  <c r="P331" i="36"/>
  <c r="V331" i="36" s="1"/>
  <c r="S330" i="36"/>
  <c r="O116" i="36"/>
  <c r="U116" i="36" s="1"/>
  <c r="O146" i="36"/>
  <c r="U146" i="36" s="1"/>
  <c r="R145" i="36"/>
  <c r="X145" i="36" s="1"/>
  <c r="AD269" i="36"/>
  <c r="AA25" i="36"/>
  <c r="N239" i="36"/>
  <c r="T239" i="36" s="1"/>
  <c r="Q238" i="36"/>
  <c r="W238" i="36" s="1"/>
  <c r="AD144" i="36"/>
  <c r="AG144" i="36" s="1"/>
  <c r="N270" i="36"/>
  <c r="T270" i="36" s="1"/>
  <c r="Q269" i="36"/>
  <c r="AA176" i="36"/>
  <c r="P58" i="36"/>
  <c r="V58" i="36" s="1"/>
  <c r="N178" i="36"/>
  <c r="T178" i="36" s="1"/>
  <c r="Q177" i="36"/>
  <c r="AD206" i="36"/>
  <c r="AG206" i="36" s="1"/>
  <c r="P271" i="36"/>
  <c r="V271" i="36" s="1"/>
  <c r="S270" i="36"/>
  <c r="AA359" i="36"/>
  <c r="AG268" i="36"/>
  <c r="P117" i="36"/>
  <c r="V117" i="36" s="1"/>
  <c r="AA206" i="36"/>
  <c r="O27" i="36"/>
  <c r="U27" i="36" s="1"/>
  <c r="R26" i="36"/>
  <c r="X26" i="36" s="1"/>
  <c r="AD329" i="36"/>
  <c r="AG329" i="36" s="1"/>
  <c r="O239" i="36"/>
  <c r="U239" i="36" s="1"/>
  <c r="R238" i="36"/>
  <c r="X238" i="36" s="1"/>
  <c r="N57" i="36"/>
  <c r="T57" i="36" s="1"/>
  <c r="P208" i="36"/>
  <c r="V208" i="36" s="1"/>
  <c r="S207" i="36"/>
  <c r="O58" i="36"/>
  <c r="U58" i="36" s="1"/>
  <c r="P361" i="36"/>
  <c r="V361" i="36" s="1"/>
  <c r="S360" i="36"/>
  <c r="P239" i="36"/>
  <c r="V239" i="36" s="1"/>
  <c r="S238" i="36"/>
  <c r="Y238" i="36" s="1"/>
  <c r="N361" i="36"/>
  <c r="T361" i="36" s="1"/>
  <c r="Q360" i="36"/>
  <c r="AF339" i="35"/>
  <c r="AE339" i="35"/>
  <c r="AD339" i="35"/>
  <c r="AA339" i="35"/>
  <c r="Z339" i="35"/>
  <c r="S339" i="35"/>
  <c r="Y339" i="36" s="1"/>
  <c r="R339" i="35"/>
  <c r="X339" i="36" s="1"/>
  <c r="Q339" i="35"/>
  <c r="W339" i="36" s="1"/>
  <c r="P339" i="35"/>
  <c r="V339" i="36" s="1"/>
  <c r="O339" i="35"/>
  <c r="U339" i="36" s="1"/>
  <c r="N339" i="35"/>
  <c r="T339" i="36" s="1"/>
  <c r="AA299" i="36" l="1"/>
  <c r="T300" i="36"/>
  <c r="Q300" i="36"/>
  <c r="N301" i="36"/>
  <c r="V86" i="36"/>
  <c r="P87" i="36"/>
  <c r="V300" i="36"/>
  <c r="P301" i="36"/>
  <c r="S300" i="36"/>
  <c r="U208" i="36"/>
  <c r="R208" i="36"/>
  <c r="O209" i="36"/>
  <c r="AG269" i="36"/>
  <c r="O362" i="36"/>
  <c r="U362" i="36" s="1"/>
  <c r="R361" i="36"/>
  <c r="O117" i="36"/>
  <c r="U117" i="36" s="1"/>
  <c r="Q208" i="36"/>
  <c r="N209" i="36"/>
  <c r="T209" i="36" s="1"/>
  <c r="N58" i="36"/>
  <c r="T58" i="36" s="1"/>
  <c r="N179" i="36"/>
  <c r="T179" i="36" s="1"/>
  <c r="Q178" i="36"/>
  <c r="Q27" i="36"/>
  <c r="W27" i="36" s="1"/>
  <c r="N28" i="36"/>
  <c r="T28" i="36" s="1"/>
  <c r="AA331" i="36"/>
  <c r="P240" i="36"/>
  <c r="V240" i="36" s="1"/>
  <c r="S239" i="36"/>
  <c r="Y239" i="36" s="1"/>
  <c r="AD207" i="36"/>
  <c r="AG207" i="36" s="1"/>
  <c r="O272" i="36"/>
  <c r="U272" i="36" s="1"/>
  <c r="R271" i="36"/>
  <c r="AD176" i="36"/>
  <c r="AG176" i="36" s="1"/>
  <c r="AA207" i="36"/>
  <c r="AD299" i="36"/>
  <c r="AG299" i="36" s="1"/>
  <c r="O178" i="36"/>
  <c r="U178" i="36" s="1"/>
  <c r="R177" i="36"/>
  <c r="AD360" i="36"/>
  <c r="AG360" i="36" s="1"/>
  <c r="AA177" i="36"/>
  <c r="AD330" i="36"/>
  <c r="AG330" i="36" s="1"/>
  <c r="AA360" i="36"/>
  <c r="R27" i="36"/>
  <c r="X27" i="36" s="1"/>
  <c r="O28" i="36"/>
  <c r="U28" i="36" s="1"/>
  <c r="O86" i="36"/>
  <c r="U86" i="36" s="1"/>
  <c r="N148" i="36"/>
  <c r="T148" i="36" s="1"/>
  <c r="Q147" i="36"/>
  <c r="W147" i="36" s="1"/>
  <c r="N362" i="36"/>
  <c r="T362" i="36" s="1"/>
  <c r="Q361" i="36"/>
  <c r="AA269" i="36"/>
  <c r="O59" i="36"/>
  <c r="U59" i="36" s="1"/>
  <c r="AD270" i="36"/>
  <c r="O147" i="36"/>
  <c r="U147" i="36" s="1"/>
  <c r="R146" i="36"/>
  <c r="X146" i="36" s="1"/>
  <c r="P27" i="36"/>
  <c r="V27" i="36" s="1"/>
  <c r="S26" i="36"/>
  <c r="Y26" i="36" s="1"/>
  <c r="N88" i="36"/>
  <c r="T88" i="36" s="1"/>
  <c r="AA26" i="36"/>
  <c r="N333" i="36"/>
  <c r="T333" i="36" s="1"/>
  <c r="Q332" i="36"/>
  <c r="R331" i="36"/>
  <c r="O332" i="36"/>
  <c r="U332" i="36" s="1"/>
  <c r="AD145" i="36"/>
  <c r="AG145" i="36" s="1"/>
  <c r="P118" i="36"/>
  <c r="V118" i="36" s="1"/>
  <c r="R300" i="36"/>
  <c r="O301" i="36"/>
  <c r="U301" i="36" s="1"/>
  <c r="P209" i="36"/>
  <c r="V209" i="36" s="1"/>
  <c r="S208" i="36"/>
  <c r="N120" i="36"/>
  <c r="T120" i="36" s="1"/>
  <c r="AA146" i="36"/>
  <c r="P362" i="36"/>
  <c r="V362" i="36" s="1"/>
  <c r="S361" i="36"/>
  <c r="AA238" i="36"/>
  <c r="P332" i="36"/>
  <c r="V332" i="36" s="1"/>
  <c r="S331" i="36"/>
  <c r="N240" i="36"/>
  <c r="T240" i="36" s="1"/>
  <c r="Q239" i="36"/>
  <c r="W239" i="36" s="1"/>
  <c r="AD238" i="36"/>
  <c r="AG238" i="36" s="1"/>
  <c r="O240" i="36"/>
  <c r="U240" i="36" s="1"/>
  <c r="R239" i="36"/>
  <c r="X239" i="36" s="1"/>
  <c r="P272" i="36"/>
  <c r="V272" i="36" s="1"/>
  <c r="S271" i="36"/>
  <c r="P59" i="36"/>
  <c r="V59" i="36" s="1"/>
  <c r="N271" i="36"/>
  <c r="T271" i="36" s="1"/>
  <c r="Q270" i="36"/>
  <c r="AD25" i="36"/>
  <c r="AG25" i="36" s="1"/>
  <c r="S179" i="36"/>
  <c r="P180" i="36"/>
  <c r="V180" i="36" s="1"/>
  <c r="S146" i="36"/>
  <c r="Y146" i="36" s="1"/>
  <c r="P147" i="36"/>
  <c r="V147" i="36" s="1"/>
  <c r="D339" i="35"/>
  <c r="E339" i="35"/>
  <c r="C339" i="35"/>
  <c r="D340" i="35"/>
  <c r="E340" i="35"/>
  <c r="C340" i="35"/>
  <c r="D341" i="35"/>
  <c r="E341" i="35"/>
  <c r="C341" i="35"/>
  <c r="T301" i="36" l="1"/>
  <c r="Q301" i="36"/>
  <c r="N302" i="36"/>
  <c r="AA300" i="36"/>
  <c r="U209" i="36"/>
  <c r="O210" i="36"/>
  <c r="R209" i="36"/>
  <c r="V301" i="36"/>
  <c r="S301" i="36"/>
  <c r="P302" i="36"/>
  <c r="V87" i="36"/>
  <c r="P88" i="36"/>
  <c r="R362" i="36"/>
  <c r="O363" i="36"/>
  <c r="U363" i="36" s="1"/>
  <c r="N334" i="36"/>
  <c r="T334" i="36" s="1"/>
  <c r="Q333" i="36"/>
  <c r="AD26" i="36"/>
  <c r="AG26" i="36" s="1"/>
  <c r="O87" i="36"/>
  <c r="U87" i="36" s="1"/>
  <c r="AD361" i="36"/>
  <c r="AG361" i="36" s="1"/>
  <c r="N363" i="36"/>
  <c r="T363" i="36" s="1"/>
  <c r="Q362" i="36"/>
  <c r="AD177" i="36"/>
  <c r="AG177" i="36" s="1"/>
  <c r="AD146" i="36"/>
  <c r="AG146" i="36" s="1"/>
  <c r="O241" i="36"/>
  <c r="U241" i="36" s="1"/>
  <c r="R240" i="36"/>
  <c r="X240" i="36" s="1"/>
  <c r="S362" i="36"/>
  <c r="P363" i="36"/>
  <c r="V363" i="36" s="1"/>
  <c r="AD300" i="36"/>
  <c r="AG300" i="36" s="1"/>
  <c r="O29" i="36"/>
  <c r="U29" i="36" s="1"/>
  <c r="R28" i="36"/>
  <c r="X28" i="36" s="1"/>
  <c r="N59" i="36"/>
  <c r="T59" i="36" s="1"/>
  <c r="P273" i="36"/>
  <c r="V273" i="36" s="1"/>
  <c r="S272" i="36"/>
  <c r="AA332" i="36"/>
  <c r="AG270" i="36"/>
  <c r="AD239" i="36"/>
  <c r="AG239" i="36" s="1"/>
  <c r="N241" i="36"/>
  <c r="T241" i="36" s="1"/>
  <c r="Q240" i="36"/>
  <c r="W240" i="36" s="1"/>
  <c r="P210" i="36"/>
  <c r="V210" i="36" s="1"/>
  <c r="S209" i="36"/>
  <c r="P148" i="36"/>
  <c r="V148" i="36" s="1"/>
  <c r="S147" i="36"/>
  <c r="Y147" i="36" s="1"/>
  <c r="O302" i="36"/>
  <c r="U302" i="36" s="1"/>
  <c r="R301" i="36"/>
  <c r="P28" i="36"/>
  <c r="V28" i="36" s="1"/>
  <c r="S27" i="36"/>
  <c r="Y27" i="36" s="1"/>
  <c r="AA178" i="36"/>
  <c r="N180" i="36"/>
  <c r="T180" i="36" s="1"/>
  <c r="Q179" i="36"/>
  <c r="P181" i="36"/>
  <c r="V181" i="36" s="1"/>
  <c r="S180" i="36"/>
  <c r="N121" i="36"/>
  <c r="T121" i="36" s="1"/>
  <c r="AA147" i="36"/>
  <c r="O179" i="36"/>
  <c r="U179" i="36" s="1"/>
  <c r="R178" i="36"/>
  <c r="O273" i="36"/>
  <c r="U273" i="36" s="1"/>
  <c r="R272" i="36"/>
  <c r="P60" i="36"/>
  <c r="V60" i="36" s="1"/>
  <c r="R332" i="36"/>
  <c r="O333" i="36"/>
  <c r="U333" i="36" s="1"/>
  <c r="O148" i="36"/>
  <c r="U148" i="36" s="1"/>
  <c r="R147" i="36"/>
  <c r="X147" i="36" s="1"/>
  <c r="N210" i="36"/>
  <c r="T210" i="36" s="1"/>
  <c r="Q209" i="36"/>
  <c r="P333" i="36"/>
  <c r="V333" i="36" s="1"/>
  <c r="S332" i="36"/>
  <c r="N89" i="36"/>
  <c r="T89" i="36" s="1"/>
  <c r="Q148" i="36"/>
  <c r="W148" i="36" s="1"/>
  <c r="N149" i="36"/>
  <c r="T149" i="36" s="1"/>
  <c r="N29" i="36"/>
  <c r="T29" i="36" s="1"/>
  <c r="Q28" i="36"/>
  <c r="W28" i="36" s="1"/>
  <c r="AA208" i="36"/>
  <c r="AA270" i="36"/>
  <c r="P119" i="36"/>
  <c r="V119" i="36" s="1"/>
  <c r="AA361" i="36"/>
  <c r="O60" i="36"/>
  <c r="U60" i="36" s="1"/>
  <c r="P241" i="36"/>
  <c r="V241" i="36" s="1"/>
  <c r="S240" i="36"/>
  <c r="Y240" i="36" s="1"/>
  <c r="N272" i="36"/>
  <c r="T272" i="36" s="1"/>
  <c r="Q271" i="36"/>
  <c r="AD331" i="36"/>
  <c r="AG331" i="36" s="1"/>
  <c r="O118" i="36"/>
  <c r="U118" i="36" s="1"/>
  <c r="AD271" i="36"/>
  <c r="AA239" i="36"/>
  <c r="AD208" i="36"/>
  <c r="AG208" i="36" s="1"/>
  <c r="AA27" i="36"/>
  <c r="D336" i="35"/>
  <c r="E336" i="35"/>
  <c r="C336" i="35"/>
  <c r="D337" i="35"/>
  <c r="E337" i="35"/>
  <c r="C337" i="35"/>
  <c r="D338" i="35"/>
  <c r="E338" i="35"/>
  <c r="C338" i="35"/>
  <c r="V302" i="36" l="1"/>
  <c r="S302" i="36"/>
  <c r="P303" i="36"/>
  <c r="T302" i="36"/>
  <c r="Q302" i="36"/>
  <c r="N303" i="36"/>
  <c r="U210" i="36"/>
  <c r="O211" i="36"/>
  <c r="R210" i="36"/>
  <c r="AA301" i="36"/>
  <c r="V88" i="36"/>
  <c r="P89" i="36"/>
  <c r="AG271" i="36"/>
  <c r="R363" i="36"/>
  <c r="O364" i="36"/>
  <c r="U364" i="36" s="1"/>
  <c r="AD332" i="36"/>
  <c r="AG332" i="36" s="1"/>
  <c r="AD27" i="36"/>
  <c r="AG27" i="36" s="1"/>
  <c r="AA179" i="36"/>
  <c r="N364" i="36"/>
  <c r="T364" i="36" s="1"/>
  <c r="Q363" i="36"/>
  <c r="AD209" i="36"/>
  <c r="AG209" i="36" s="1"/>
  <c r="P242" i="36"/>
  <c r="V242" i="36" s="1"/>
  <c r="S241" i="36"/>
  <c r="Y241" i="36" s="1"/>
  <c r="R302" i="36"/>
  <c r="O303" i="36"/>
  <c r="U303" i="36" s="1"/>
  <c r="O30" i="36"/>
  <c r="U30" i="36" s="1"/>
  <c r="R29" i="36"/>
  <c r="X29" i="36" s="1"/>
  <c r="Q149" i="36"/>
  <c r="W149" i="36" s="1"/>
  <c r="N150" i="36"/>
  <c r="T150" i="36" s="1"/>
  <c r="N211" i="36"/>
  <c r="T211" i="36" s="1"/>
  <c r="Q210" i="36"/>
  <c r="O180" i="36"/>
  <c r="U180" i="36" s="1"/>
  <c r="R179" i="36"/>
  <c r="AD147" i="36"/>
  <c r="AG147" i="36" s="1"/>
  <c r="AD362" i="36"/>
  <c r="AG362" i="36" s="1"/>
  <c r="O88" i="36"/>
  <c r="U88" i="36" s="1"/>
  <c r="AA148" i="36"/>
  <c r="P149" i="36"/>
  <c r="V149" i="36" s="1"/>
  <c r="S148" i="36"/>
  <c r="Y148" i="36" s="1"/>
  <c r="N60" i="36"/>
  <c r="T60" i="36" s="1"/>
  <c r="O119" i="36"/>
  <c r="U119" i="36" s="1"/>
  <c r="P334" i="36"/>
  <c r="V334" i="36" s="1"/>
  <c r="S333" i="36"/>
  <c r="AD240" i="36"/>
  <c r="AG240" i="36" s="1"/>
  <c r="N181" i="36"/>
  <c r="T181" i="36" s="1"/>
  <c r="Q180" i="36"/>
  <c r="O149" i="36"/>
  <c r="U149" i="36" s="1"/>
  <c r="R148" i="36"/>
  <c r="X148" i="36" s="1"/>
  <c r="N122" i="36"/>
  <c r="T122" i="36" s="1"/>
  <c r="P211" i="36"/>
  <c r="V211" i="36" s="1"/>
  <c r="S210" i="36"/>
  <c r="AD272" i="36"/>
  <c r="O242" i="36"/>
  <c r="U242" i="36" s="1"/>
  <c r="R241" i="36"/>
  <c r="X241" i="36" s="1"/>
  <c r="AA28" i="36"/>
  <c r="AC28" i="36" s="1"/>
  <c r="N90" i="36"/>
  <c r="T90" i="36" s="1"/>
  <c r="R273" i="36"/>
  <c r="O274" i="36"/>
  <c r="U274" i="36" s="1"/>
  <c r="AA271" i="36"/>
  <c r="O61" i="36"/>
  <c r="U61" i="36" s="1"/>
  <c r="AA209" i="36"/>
  <c r="R333" i="36"/>
  <c r="O334" i="36"/>
  <c r="U334" i="36" s="1"/>
  <c r="AA240" i="36"/>
  <c r="P274" i="36"/>
  <c r="V274" i="36" s="1"/>
  <c r="S273" i="36"/>
  <c r="N335" i="36"/>
  <c r="T335" i="36" s="1"/>
  <c r="Q334" i="36"/>
  <c r="P61" i="36"/>
  <c r="V61" i="36" s="1"/>
  <c r="P182" i="36"/>
  <c r="V182" i="36" s="1"/>
  <c r="S181" i="36"/>
  <c r="AA362" i="36"/>
  <c r="S28" i="36"/>
  <c r="Y28" i="36" s="1"/>
  <c r="P29" i="36"/>
  <c r="V29" i="36" s="1"/>
  <c r="AD301" i="36"/>
  <c r="AG301" i="36" s="1"/>
  <c r="P120" i="36"/>
  <c r="V120" i="36" s="1"/>
  <c r="AA333" i="36"/>
  <c r="N273" i="36"/>
  <c r="T273" i="36" s="1"/>
  <c r="Q272" i="36"/>
  <c r="N30" i="36"/>
  <c r="T30" i="36" s="1"/>
  <c r="Q29" i="36"/>
  <c r="W29" i="36" s="1"/>
  <c r="AD178" i="36"/>
  <c r="AG178" i="36" s="1"/>
  <c r="N242" i="36"/>
  <c r="T242" i="36" s="1"/>
  <c r="Q241" i="36"/>
  <c r="W241" i="36" s="1"/>
  <c r="P364" i="36"/>
  <c r="V364" i="36" s="1"/>
  <c r="S363" i="36"/>
  <c r="D335" i="35"/>
  <c r="E335" i="35"/>
  <c r="C335" i="35"/>
  <c r="V89" i="36" l="1"/>
  <c r="P90" i="36"/>
  <c r="T303" i="36"/>
  <c r="Q303" i="36"/>
  <c r="N304" i="36"/>
  <c r="AA302" i="36"/>
  <c r="U211" i="36"/>
  <c r="O212" i="36"/>
  <c r="R211" i="36"/>
  <c r="V303" i="36"/>
  <c r="S303" i="36"/>
  <c r="P304" i="36"/>
  <c r="O365" i="36"/>
  <c r="U365" i="36" s="1"/>
  <c r="R364" i="36"/>
  <c r="P30" i="36"/>
  <c r="V30" i="36" s="1"/>
  <c r="S29" i="36"/>
  <c r="Y29" i="36" s="1"/>
  <c r="AD210" i="36"/>
  <c r="AG210" i="36" s="1"/>
  <c r="O31" i="36"/>
  <c r="U31" i="36" s="1"/>
  <c r="R30" i="36"/>
  <c r="X30" i="36" s="1"/>
  <c r="AA180" i="36"/>
  <c r="N212" i="36"/>
  <c r="T212" i="36" s="1"/>
  <c r="Q211" i="36"/>
  <c r="O304" i="36"/>
  <c r="U304" i="36" s="1"/>
  <c r="R303" i="36"/>
  <c r="N274" i="36"/>
  <c r="T274" i="36" s="1"/>
  <c r="Q273" i="36"/>
  <c r="N336" i="36"/>
  <c r="T336" i="36" s="1"/>
  <c r="Q335" i="36"/>
  <c r="AG272" i="36"/>
  <c r="S334" i="36"/>
  <c r="P335" i="36"/>
  <c r="V335" i="36" s="1"/>
  <c r="AD241" i="36"/>
  <c r="AG241" i="36" s="1"/>
  <c r="P365" i="36"/>
  <c r="V365" i="36" s="1"/>
  <c r="S364" i="36"/>
  <c r="O275" i="36"/>
  <c r="U275" i="36" s="1"/>
  <c r="R274" i="36"/>
  <c r="R149" i="36"/>
  <c r="X149" i="36" s="1"/>
  <c r="O150" i="36"/>
  <c r="U150" i="36" s="1"/>
  <c r="AD273" i="36"/>
  <c r="P183" i="36"/>
  <c r="V183" i="36" s="1"/>
  <c r="S182" i="36"/>
  <c r="P275" i="36"/>
  <c r="V275" i="36" s="1"/>
  <c r="S274" i="36"/>
  <c r="N31" i="36"/>
  <c r="T31" i="36" s="1"/>
  <c r="Q30" i="36"/>
  <c r="W30" i="36" s="1"/>
  <c r="P121" i="36"/>
  <c r="V121" i="36" s="1"/>
  <c r="N91" i="36"/>
  <c r="T91" i="36" s="1"/>
  <c r="O243" i="36"/>
  <c r="U243" i="36" s="1"/>
  <c r="R242" i="36"/>
  <c r="X242" i="36" s="1"/>
  <c r="AD148" i="36"/>
  <c r="AG148" i="36" s="1"/>
  <c r="O89" i="36"/>
  <c r="U89" i="36" s="1"/>
  <c r="AD179" i="36"/>
  <c r="AG179" i="36" s="1"/>
  <c r="AA149" i="36"/>
  <c r="AC379" i="36" s="1"/>
  <c r="N365" i="36"/>
  <c r="T365" i="36" s="1"/>
  <c r="Q364" i="36"/>
  <c r="N61" i="36"/>
  <c r="T61" i="36" s="1"/>
  <c r="AA210" i="36"/>
  <c r="P243" i="36"/>
  <c r="V243" i="36" s="1"/>
  <c r="S242" i="36"/>
  <c r="Y242" i="36" s="1"/>
  <c r="AA241" i="36"/>
  <c r="AD28" i="36"/>
  <c r="AG28" i="36" s="1"/>
  <c r="N243" i="36"/>
  <c r="T243" i="36" s="1"/>
  <c r="Q242" i="36"/>
  <c r="W242" i="36" s="1"/>
  <c r="P212" i="36"/>
  <c r="V212" i="36" s="1"/>
  <c r="S211" i="36"/>
  <c r="N182" i="36"/>
  <c r="T182" i="36" s="1"/>
  <c r="Q181" i="36"/>
  <c r="O120" i="36"/>
  <c r="U120" i="36" s="1"/>
  <c r="AD302" i="36"/>
  <c r="AG302" i="36" s="1"/>
  <c r="AA29" i="36"/>
  <c r="O62" i="36"/>
  <c r="N123" i="36"/>
  <c r="T123" i="36" s="1"/>
  <c r="N151" i="36"/>
  <c r="T151" i="36" s="1"/>
  <c r="Q150" i="36"/>
  <c r="W150" i="36" s="1"/>
  <c r="AA363" i="36"/>
  <c r="AD363" i="36"/>
  <c r="AG363" i="36" s="1"/>
  <c r="AA272" i="36"/>
  <c r="AA334" i="36"/>
  <c r="O335" i="36"/>
  <c r="U335" i="36" s="1"/>
  <c r="R334" i="36"/>
  <c r="AD333" i="36"/>
  <c r="AG333" i="36" s="1"/>
  <c r="S149" i="36"/>
  <c r="Y149" i="36" s="1"/>
  <c r="P150" i="36"/>
  <c r="V150" i="36" s="1"/>
  <c r="O181" i="36"/>
  <c r="U181" i="36" s="1"/>
  <c r="R180" i="36"/>
  <c r="D334" i="35"/>
  <c r="E334" i="35"/>
  <c r="C334" i="35"/>
  <c r="D333" i="35"/>
  <c r="E333" i="35"/>
  <c r="C333" i="35"/>
  <c r="D332" i="35"/>
  <c r="E332" i="35"/>
  <c r="C332" i="35"/>
  <c r="V62" i="36" l="1"/>
  <c r="V63" i="36"/>
  <c r="U62" i="36"/>
  <c r="U63" i="36"/>
  <c r="T304" i="36"/>
  <c r="N305" i="36"/>
  <c r="Q304" i="36"/>
  <c r="AA303" i="36"/>
  <c r="U212" i="36"/>
  <c r="O213" i="36"/>
  <c r="R212" i="36"/>
  <c r="V90" i="36"/>
  <c r="P91" i="36"/>
  <c r="V304" i="36"/>
  <c r="P305" i="36"/>
  <c r="S304" i="36"/>
  <c r="AG273" i="36"/>
  <c r="O366" i="36"/>
  <c r="U366" i="36" s="1"/>
  <c r="R365" i="36"/>
  <c r="AD180" i="36"/>
  <c r="AG180" i="36" s="1"/>
  <c r="N62" i="36"/>
  <c r="T32" i="36"/>
  <c r="Q31" i="36"/>
  <c r="W31" i="36" s="1"/>
  <c r="Q336" i="36"/>
  <c r="N337" i="36"/>
  <c r="T337" i="36" s="1"/>
  <c r="AD211" i="36"/>
  <c r="AG211" i="36" s="1"/>
  <c r="N92" i="36"/>
  <c r="T92" i="36" s="1"/>
  <c r="P151" i="36"/>
  <c r="V151" i="36" s="1"/>
  <c r="S150" i="36"/>
  <c r="Y150" i="36" s="1"/>
  <c r="P213" i="36"/>
  <c r="V213" i="36" s="1"/>
  <c r="S212" i="36"/>
  <c r="P336" i="36"/>
  <c r="V336" i="36" s="1"/>
  <c r="S335" i="36"/>
  <c r="AA242" i="36"/>
  <c r="Q151" i="36"/>
  <c r="W151" i="36" s="1"/>
  <c r="N152" i="36"/>
  <c r="T152" i="36" s="1"/>
  <c r="N183" i="36"/>
  <c r="T183" i="36" s="1"/>
  <c r="Q182" i="36"/>
  <c r="N366" i="36"/>
  <c r="T366" i="36" s="1"/>
  <c r="Q365" i="36"/>
  <c r="O244" i="36"/>
  <c r="U244" i="36" s="1"/>
  <c r="R243" i="36"/>
  <c r="X243" i="36" s="1"/>
  <c r="AA30" i="36"/>
  <c r="P366" i="36"/>
  <c r="V366" i="36" s="1"/>
  <c r="S365" i="36"/>
  <c r="AA335" i="36"/>
  <c r="N213" i="36"/>
  <c r="T213" i="36" s="1"/>
  <c r="Q212" i="36"/>
  <c r="S183" i="36"/>
  <c r="P184" i="36"/>
  <c r="V184" i="36" s="1"/>
  <c r="O182" i="36"/>
  <c r="U182" i="36" s="1"/>
  <c r="R181" i="36"/>
  <c r="AD303" i="36"/>
  <c r="AG303" i="36" s="1"/>
  <c r="O336" i="36"/>
  <c r="U336" i="36" s="1"/>
  <c r="R335" i="36"/>
  <c r="AD242" i="36"/>
  <c r="AG242" i="36" s="1"/>
  <c r="AD274" i="36"/>
  <c r="O276" i="36"/>
  <c r="U276" i="36" s="1"/>
  <c r="R275" i="36"/>
  <c r="N275" i="36"/>
  <c r="T275" i="36" s="1"/>
  <c r="Q274" i="36"/>
  <c r="AD149" i="36"/>
  <c r="AG149" i="36" s="1"/>
  <c r="O121" i="36"/>
  <c r="U121" i="36" s="1"/>
  <c r="P244" i="36"/>
  <c r="V244" i="36" s="1"/>
  <c r="S243" i="36"/>
  <c r="Y243" i="36" s="1"/>
  <c r="P122" i="36"/>
  <c r="V122" i="36" s="1"/>
  <c r="AA211" i="36"/>
  <c r="O32" i="36"/>
  <c r="U32" i="36" s="1"/>
  <c r="R31" i="36"/>
  <c r="X31" i="36" s="1"/>
  <c r="N124" i="36"/>
  <c r="T124" i="36" s="1"/>
  <c r="O90" i="36"/>
  <c r="U90" i="36" s="1"/>
  <c r="AA273" i="36"/>
  <c r="P276" i="36"/>
  <c r="V276" i="36" s="1"/>
  <c r="S275" i="36"/>
  <c r="AD334" i="36"/>
  <c r="AG334" i="36" s="1"/>
  <c r="R304" i="36"/>
  <c r="O305" i="36"/>
  <c r="U305" i="36" s="1"/>
  <c r="AD29" i="36"/>
  <c r="AA150" i="36"/>
  <c r="AA181" i="36"/>
  <c r="N244" i="36"/>
  <c r="T244" i="36" s="1"/>
  <c r="Q243" i="36"/>
  <c r="W243" i="36" s="1"/>
  <c r="AA364" i="36"/>
  <c r="O151" i="36"/>
  <c r="U151" i="36" s="1"/>
  <c r="R150" i="36"/>
  <c r="X150" i="36" s="1"/>
  <c r="AD364" i="36"/>
  <c r="AG364" i="36" s="1"/>
  <c r="S30" i="36"/>
  <c r="Y30" i="36" s="1"/>
  <c r="P31" i="36"/>
  <c r="V31" i="36" s="1"/>
  <c r="D330" i="35"/>
  <c r="D329" i="35"/>
  <c r="D328" i="35"/>
  <c r="E330" i="35"/>
  <c r="E329" i="35"/>
  <c r="E328" i="35"/>
  <c r="C330" i="35"/>
  <c r="C329" i="35"/>
  <c r="C328" i="35"/>
  <c r="E331" i="35"/>
  <c r="D331" i="35"/>
  <c r="P376" i="36" l="1"/>
  <c r="O376" i="36"/>
  <c r="T62" i="36"/>
  <c r="T63" i="36"/>
  <c r="V91" i="36"/>
  <c r="P92" i="36"/>
  <c r="AA304" i="36"/>
  <c r="T305" i="36"/>
  <c r="N306" i="36"/>
  <c r="Q305" i="36"/>
  <c r="U213" i="36"/>
  <c r="O214" i="36"/>
  <c r="R213" i="36"/>
  <c r="V305" i="36"/>
  <c r="S305" i="36"/>
  <c r="P306" i="36"/>
  <c r="AG274" i="36"/>
  <c r="O367" i="36"/>
  <c r="U367" i="36" s="1"/>
  <c r="R366" i="36"/>
  <c r="P245" i="36"/>
  <c r="V245" i="36" s="1"/>
  <c r="S244" i="36"/>
  <c r="Y244" i="36" s="1"/>
  <c r="O245" i="36"/>
  <c r="U245" i="36" s="1"/>
  <c r="R244" i="36"/>
  <c r="X244" i="36" s="1"/>
  <c r="N153" i="36"/>
  <c r="T153" i="36" s="1"/>
  <c r="Q152" i="36"/>
  <c r="W152" i="36" s="1"/>
  <c r="R32" i="36"/>
  <c r="X32" i="36" s="1"/>
  <c r="O33" i="36"/>
  <c r="U33" i="36" s="1"/>
  <c r="AA151" i="36"/>
  <c r="AD212" i="36"/>
  <c r="AG212" i="36" s="1"/>
  <c r="N338" i="36"/>
  <c r="T338" i="36" s="1"/>
  <c r="Q337" i="36"/>
  <c r="AA274" i="36"/>
  <c r="AA243" i="36"/>
  <c r="R151" i="36"/>
  <c r="X151" i="36" s="1"/>
  <c r="O152" i="36"/>
  <c r="U152" i="36" s="1"/>
  <c r="AD304" i="36"/>
  <c r="AG304" i="36" s="1"/>
  <c r="AD243" i="36"/>
  <c r="AG243" i="36" s="1"/>
  <c r="O277" i="36"/>
  <c r="U277" i="36" s="1"/>
  <c r="R276" i="36"/>
  <c r="P185" i="36"/>
  <c r="V185" i="36" s="1"/>
  <c r="S184" i="36"/>
  <c r="P152" i="36"/>
  <c r="V152" i="36" s="1"/>
  <c r="S151" i="36"/>
  <c r="Y151" i="36" s="1"/>
  <c r="Q32" i="36"/>
  <c r="W32" i="36" s="1"/>
  <c r="N33" i="36"/>
  <c r="T33" i="36" s="1"/>
  <c r="S31" i="36"/>
  <c r="Y31" i="36" s="1"/>
  <c r="P32" i="36"/>
  <c r="V32" i="36" s="1"/>
  <c r="AD365" i="36"/>
  <c r="AG365" i="36" s="1"/>
  <c r="O122" i="36"/>
  <c r="U122" i="36" s="1"/>
  <c r="N93" i="36"/>
  <c r="T93" i="36" s="1"/>
  <c r="AD275" i="36"/>
  <c r="N378" i="36"/>
  <c r="P123" i="36"/>
  <c r="V123" i="36" s="1"/>
  <c r="P367" i="36"/>
  <c r="V367" i="36" s="1"/>
  <c r="S366" i="36"/>
  <c r="AA336" i="36"/>
  <c r="AG29" i="36"/>
  <c r="AH29" i="36"/>
  <c r="N276" i="36"/>
  <c r="T276" i="36" s="1"/>
  <c r="Q275" i="36"/>
  <c r="AD181" i="36"/>
  <c r="AG181" i="36" s="1"/>
  <c r="AA182" i="36"/>
  <c r="P214" i="36"/>
  <c r="V214" i="36" s="1"/>
  <c r="S213" i="36"/>
  <c r="N245" i="36"/>
  <c r="T245" i="36" s="1"/>
  <c r="Q244" i="36"/>
  <c r="W244" i="36" s="1"/>
  <c r="O306" i="36"/>
  <c r="U306" i="36" s="1"/>
  <c r="R305" i="36"/>
  <c r="O183" i="36"/>
  <c r="U183" i="36" s="1"/>
  <c r="R182" i="36"/>
  <c r="N214" i="36"/>
  <c r="T214" i="36" s="1"/>
  <c r="Q213" i="36"/>
  <c r="N184" i="36"/>
  <c r="T184" i="36" s="1"/>
  <c r="Q183" i="36"/>
  <c r="P337" i="36"/>
  <c r="V337" i="36" s="1"/>
  <c r="S336" i="36"/>
  <c r="AD30" i="36"/>
  <c r="AG30" i="36" s="1"/>
  <c r="AA365" i="36"/>
  <c r="N367" i="36"/>
  <c r="T367" i="36" s="1"/>
  <c r="Q366" i="36"/>
  <c r="S276" i="36"/>
  <c r="P277" i="36"/>
  <c r="V277" i="36" s="1"/>
  <c r="AA212" i="36"/>
  <c r="AD335" i="36"/>
  <c r="AG335" i="36" s="1"/>
  <c r="O91" i="36"/>
  <c r="U91" i="36" s="1"/>
  <c r="O337" i="36"/>
  <c r="U337" i="36" s="1"/>
  <c r="R336" i="36"/>
  <c r="AD150" i="36"/>
  <c r="AG150" i="36" s="1"/>
  <c r="AA31" i="36"/>
  <c r="C331" i="35"/>
  <c r="N376" i="36" l="1"/>
  <c r="T306" i="36"/>
  <c r="Q306" i="36"/>
  <c r="N307" i="36"/>
  <c r="V306" i="36"/>
  <c r="P307" i="36"/>
  <c r="S306" i="36"/>
  <c r="V92" i="36"/>
  <c r="P93" i="36"/>
  <c r="U214" i="36"/>
  <c r="O215" i="36"/>
  <c r="R214" i="36"/>
  <c r="AA305" i="36"/>
  <c r="R367" i="36"/>
  <c r="O368" i="36"/>
  <c r="U368" i="36" s="1"/>
  <c r="AD276" i="36"/>
  <c r="R183" i="36"/>
  <c r="O184" i="36"/>
  <c r="U184" i="36" s="1"/>
  <c r="AA183" i="36"/>
  <c r="R277" i="36"/>
  <c r="AD305" i="36"/>
  <c r="AG305" i="36" s="1"/>
  <c r="AA337" i="36"/>
  <c r="R306" i="36"/>
  <c r="O307" i="36"/>
  <c r="U307" i="36" s="1"/>
  <c r="O246" i="36"/>
  <c r="U246" i="36" s="1"/>
  <c r="R245" i="36"/>
  <c r="X245" i="36" s="1"/>
  <c r="AA213" i="36"/>
  <c r="O92" i="36"/>
  <c r="U92" i="36" s="1"/>
  <c r="S277" i="36"/>
  <c r="S337" i="36"/>
  <c r="P338" i="36"/>
  <c r="V338" i="36" s="1"/>
  <c r="AD182" i="36"/>
  <c r="AG182" i="36" s="1"/>
  <c r="AA275" i="36"/>
  <c r="P124" i="36"/>
  <c r="V124" i="36" s="1"/>
  <c r="AD151" i="36"/>
  <c r="AG151" i="36" s="1"/>
  <c r="N154" i="36"/>
  <c r="T154" i="36" s="1"/>
  <c r="Q153" i="36"/>
  <c r="W153" i="36" s="1"/>
  <c r="Q276" i="36"/>
  <c r="N277" i="36"/>
  <c r="T277" i="36" s="1"/>
  <c r="N94" i="36"/>
  <c r="T94" i="36" s="1"/>
  <c r="S32" i="36"/>
  <c r="Y32" i="36" s="1"/>
  <c r="P33" i="36"/>
  <c r="V33" i="36" s="1"/>
  <c r="AA366" i="36"/>
  <c r="N185" i="36"/>
  <c r="T185" i="36" s="1"/>
  <c r="Q184" i="36"/>
  <c r="P215" i="36"/>
  <c r="V215" i="36" s="1"/>
  <c r="S214" i="36"/>
  <c r="O123" i="36"/>
  <c r="U123" i="36" s="1"/>
  <c r="AD366" i="36"/>
  <c r="AG366" i="36" s="1"/>
  <c r="AD31" i="36"/>
  <c r="AG31" i="36" s="1"/>
  <c r="P368" i="36"/>
  <c r="V368" i="36" s="1"/>
  <c r="S367" i="36"/>
  <c r="AD244" i="36"/>
  <c r="AG244" i="36" s="1"/>
  <c r="O338" i="36"/>
  <c r="U338" i="36" s="1"/>
  <c r="R337" i="36"/>
  <c r="AA244" i="36"/>
  <c r="AG275" i="36"/>
  <c r="N34" i="36"/>
  <c r="Q33" i="36"/>
  <c r="W33" i="36" s="1"/>
  <c r="P246" i="36"/>
  <c r="V246" i="36" s="1"/>
  <c r="S245" i="36"/>
  <c r="Y245" i="36" s="1"/>
  <c r="AD213" i="36"/>
  <c r="AG213" i="36" s="1"/>
  <c r="P153" i="36"/>
  <c r="V153" i="36" s="1"/>
  <c r="S152" i="36"/>
  <c r="Y152" i="36" s="1"/>
  <c r="O153" i="36"/>
  <c r="U153" i="36" s="1"/>
  <c r="R152" i="36"/>
  <c r="X152" i="36" s="1"/>
  <c r="O34" i="36"/>
  <c r="R33" i="36"/>
  <c r="X33" i="36" s="1"/>
  <c r="Q338" i="36"/>
  <c r="N368" i="36"/>
  <c r="T368" i="36" s="1"/>
  <c r="Q367" i="36"/>
  <c r="AC384" i="36"/>
  <c r="AC381" i="36"/>
  <c r="AC383" i="36"/>
  <c r="AD336" i="36"/>
  <c r="AG336" i="36" s="1"/>
  <c r="N215" i="36"/>
  <c r="T215" i="36" s="1"/>
  <c r="Q214" i="36"/>
  <c r="N246" i="36"/>
  <c r="T246" i="36" s="1"/>
  <c r="Q245" i="36"/>
  <c r="W245" i="36" s="1"/>
  <c r="AA32" i="36"/>
  <c r="S185" i="36"/>
  <c r="P380" i="36"/>
  <c r="AA152" i="36"/>
  <c r="D325" i="35"/>
  <c r="E325" i="35"/>
  <c r="C325" i="35"/>
  <c r="D326" i="35"/>
  <c r="E326" i="35"/>
  <c r="C326" i="35"/>
  <c r="D327" i="35"/>
  <c r="E327" i="35"/>
  <c r="C327" i="35"/>
  <c r="U34" i="36" l="1"/>
  <c r="O375" i="36"/>
  <c r="T34" i="36"/>
  <c r="N375" i="36"/>
  <c r="V307" i="36"/>
  <c r="S307" i="36"/>
  <c r="P308" i="36"/>
  <c r="T307" i="36"/>
  <c r="Q307" i="36"/>
  <c r="N308" i="36"/>
  <c r="AA306" i="36"/>
  <c r="U215" i="36"/>
  <c r="R215" i="36"/>
  <c r="O216" i="36"/>
  <c r="O384" i="36" s="1"/>
  <c r="V93" i="36"/>
  <c r="P94" i="36"/>
  <c r="R368" i="36"/>
  <c r="O369" i="36"/>
  <c r="U369" i="36" s="1"/>
  <c r="AD152" i="36"/>
  <c r="AG152" i="36" s="1"/>
  <c r="AA367" i="36"/>
  <c r="P154" i="36"/>
  <c r="V154" i="36" s="1"/>
  <c r="S153" i="36"/>
  <c r="Y153" i="36" s="1"/>
  <c r="N95" i="36"/>
  <c r="T95" i="36" s="1"/>
  <c r="S338" i="36"/>
  <c r="AA245" i="36"/>
  <c r="R34" i="36"/>
  <c r="X34" i="36" s="1"/>
  <c r="N216" i="36"/>
  <c r="T216" i="36" s="1"/>
  <c r="Q215" i="36"/>
  <c r="AD245" i="36"/>
  <c r="AG245" i="36" s="1"/>
  <c r="R338" i="36"/>
  <c r="P216" i="36"/>
  <c r="V216" i="36" s="1"/>
  <c r="S215" i="36"/>
  <c r="AD306" i="36"/>
  <c r="AG306" i="36" s="1"/>
  <c r="P247" i="36"/>
  <c r="V247" i="36" s="1"/>
  <c r="S246" i="36"/>
  <c r="Y246" i="36" s="1"/>
  <c r="O93" i="36"/>
  <c r="U93" i="36" s="1"/>
  <c r="N369" i="36"/>
  <c r="T369" i="36" s="1"/>
  <c r="Q368" i="36"/>
  <c r="O124" i="36"/>
  <c r="U124" i="36" s="1"/>
  <c r="P378" i="36"/>
  <c r="O247" i="36"/>
  <c r="U247" i="36" s="1"/>
  <c r="R246" i="36"/>
  <c r="X246" i="36" s="1"/>
  <c r="AD183" i="36"/>
  <c r="AG183" i="36" s="1"/>
  <c r="S380" i="36"/>
  <c r="N247" i="36"/>
  <c r="T247" i="36" s="1"/>
  <c r="Q246" i="36"/>
  <c r="W246" i="36" s="1"/>
  <c r="AA33" i="36"/>
  <c r="P369" i="36"/>
  <c r="V369" i="36" s="1"/>
  <c r="S368" i="36"/>
  <c r="AD214" i="36"/>
  <c r="AG214" i="36" s="1"/>
  <c r="S33" i="36"/>
  <c r="Y33" i="36" s="1"/>
  <c r="P34" i="36"/>
  <c r="AD277" i="36"/>
  <c r="O308" i="36"/>
  <c r="U308" i="36" s="1"/>
  <c r="R307" i="36"/>
  <c r="AG276" i="36"/>
  <c r="AA184" i="36"/>
  <c r="AC380" i="36" s="1"/>
  <c r="N155" i="36"/>
  <c r="T155" i="36" s="1"/>
  <c r="Q154" i="36"/>
  <c r="W154" i="36" s="1"/>
  <c r="Q185" i="36"/>
  <c r="N380" i="36"/>
  <c r="O185" i="36"/>
  <c r="U185" i="36" s="1"/>
  <c r="R184" i="36"/>
  <c r="AA338" i="36"/>
  <c r="AD367" i="36"/>
  <c r="AG367" i="36" s="1"/>
  <c r="Q277" i="36"/>
  <c r="AD337" i="36"/>
  <c r="AG337" i="36" s="1"/>
  <c r="AA276" i="36"/>
  <c r="AA214" i="36"/>
  <c r="O154" i="36"/>
  <c r="U154" i="36" s="1"/>
  <c r="R153" i="36"/>
  <c r="X153" i="36" s="1"/>
  <c r="Q34" i="36"/>
  <c r="W34" i="36" s="1"/>
  <c r="AD32" i="36"/>
  <c r="AG32" i="36" s="1"/>
  <c r="AA153" i="36"/>
  <c r="D324" i="35"/>
  <c r="E324" i="35"/>
  <c r="C324" i="35"/>
  <c r="V34" i="36" l="1"/>
  <c r="P375" i="36"/>
  <c r="R35" i="36"/>
  <c r="U35" i="36"/>
  <c r="Q35" i="36"/>
  <c r="AA63" i="36" s="1"/>
  <c r="AC63" i="36" s="1"/>
  <c r="T35" i="36"/>
  <c r="V94" i="36"/>
  <c r="P95" i="36"/>
  <c r="P377" i="36" s="1"/>
  <c r="V308" i="36"/>
  <c r="S308" i="36"/>
  <c r="T308" i="36"/>
  <c r="Q308" i="36"/>
  <c r="AA307" i="36"/>
  <c r="U216" i="36"/>
  <c r="O381" i="36"/>
  <c r="R216" i="36"/>
  <c r="O383" i="36"/>
  <c r="R369" i="36"/>
  <c r="AA34" i="36"/>
  <c r="O94" i="36"/>
  <c r="U94" i="36" s="1"/>
  <c r="AD153" i="36"/>
  <c r="AG153" i="36" s="1"/>
  <c r="S154" i="36"/>
  <c r="Y154" i="36" s="1"/>
  <c r="P155" i="36"/>
  <c r="V155" i="36" s="1"/>
  <c r="AA277" i="36"/>
  <c r="AD307" i="36"/>
  <c r="AG307" i="36" s="1"/>
  <c r="AD33" i="36"/>
  <c r="AG33" i="36" s="1"/>
  <c r="R154" i="36"/>
  <c r="X154" i="36" s="1"/>
  <c r="O155" i="36"/>
  <c r="U155" i="36" s="1"/>
  <c r="R308" i="36"/>
  <c r="S369" i="36"/>
  <c r="N377" i="36"/>
  <c r="Q247" i="36"/>
  <c r="W247" i="36" s="1"/>
  <c r="N382" i="36"/>
  <c r="AD246" i="36"/>
  <c r="AG246" i="36" s="1"/>
  <c r="AD338" i="36"/>
  <c r="AA185" i="36"/>
  <c r="AA380" i="36" s="1"/>
  <c r="Q380" i="36"/>
  <c r="AA154" i="36"/>
  <c r="AA368" i="36"/>
  <c r="S247" i="36"/>
  <c r="Y247" i="36" s="1"/>
  <c r="P382" i="36"/>
  <c r="AG277" i="36"/>
  <c r="AD368" i="36"/>
  <c r="AG368" i="36" s="1"/>
  <c r="Q369" i="36"/>
  <c r="S216" i="36"/>
  <c r="P381" i="36"/>
  <c r="P383" i="36"/>
  <c r="P384" i="36"/>
  <c r="Q216" i="36"/>
  <c r="N381" i="36"/>
  <c r="N383" i="36"/>
  <c r="N384" i="36"/>
  <c r="AD184" i="36"/>
  <c r="AG184" i="36" s="1"/>
  <c r="S34" i="36"/>
  <c r="Y34" i="36" s="1"/>
  <c r="R185" i="36"/>
  <c r="O380" i="36"/>
  <c r="AA246" i="36"/>
  <c r="O378" i="36"/>
  <c r="AA215" i="36"/>
  <c r="R247" i="36"/>
  <c r="X247" i="36" s="1"/>
  <c r="O382" i="36"/>
  <c r="AD215" i="36"/>
  <c r="AG215" i="36" s="1"/>
  <c r="Q155" i="36"/>
  <c r="W155" i="36" s="1"/>
  <c r="N379" i="36"/>
  <c r="D323" i="35"/>
  <c r="E323" i="35"/>
  <c r="C323" i="35"/>
  <c r="R375" i="36" l="1"/>
  <c r="R94" i="36"/>
  <c r="X94" i="36" s="1"/>
  <c r="W63" i="36"/>
  <c r="Q65" i="36"/>
  <c r="Q66" i="36"/>
  <c r="Q68" i="36"/>
  <c r="Q67" i="36"/>
  <c r="Q69" i="36"/>
  <c r="Q70" i="36"/>
  <c r="Q71" i="36"/>
  <c r="Q72" i="36"/>
  <c r="Q73" i="36"/>
  <c r="Q74" i="36"/>
  <c r="Q75" i="36"/>
  <c r="Q76" i="36"/>
  <c r="Q77" i="36"/>
  <c r="Q78" i="36"/>
  <c r="Q79" i="36"/>
  <c r="Q80" i="36"/>
  <c r="Q81" i="36"/>
  <c r="Q82" i="36"/>
  <c r="Q83" i="36"/>
  <c r="Q84" i="36"/>
  <c r="Q85" i="36"/>
  <c r="Q86" i="36"/>
  <c r="Q87" i="36"/>
  <c r="Q88" i="36"/>
  <c r="Q89" i="36"/>
  <c r="Q90" i="36"/>
  <c r="Q91" i="36"/>
  <c r="Q92" i="36"/>
  <c r="Q93" i="36"/>
  <c r="Q94" i="36"/>
  <c r="Q95" i="36"/>
  <c r="W95" i="36" s="1"/>
  <c r="Q375" i="36"/>
  <c r="AC35" i="36"/>
  <c r="AC375" i="36" s="1"/>
  <c r="S35" i="36"/>
  <c r="S62" i="36" s="1"/>
  <c r="V35" i="36"/>
  <c r="X35" i="36"/>
  <c r="R37" i="36"/>
  <c r="R36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W35" i="36"/>
  <c r="Q36" i="36"/>
  <c r="Q37" i="36"/>
  <c r="Q38" i="36"/>
  <c r="Q39" i="36"/>
  <c r="Q40" i="36"/>
  <c r="Q41" i="36"/>
  <c r="Q42" i="36"/>
  <c r="Q43" i="36"/>
  <c r="Q44" i="36"/>
  <c r="Q45" i="36"/>
  <c r="Q46" i="36"/>
  <c r="Q47" i="36"/>
  <c r="Q48" i="36"/>
  <c r="Q49" i="36"/>
  <c r="Q50" i="36"/>
  <c r="Q51" i="36"/>
  <c r="Q52" i="36"/>
  <c r="Q53" i="36"/>
  <c r="Q54" i="36"/>
  <c r="Q55" i="36"/>
  <c r="Q56" i="36"/>
  <c r="Q57" i="36"/>
  <c r="Q58" i="36"/>
  <c r="Q59" i="36"/>
  <c r="Q60" i="36"/>
  <c r="Q61" i="36"/>
  <c r="Q62" i="36"/>
  <c r="R384" i="36"/>
  <c r="R383" i="36"/>
  <c r="R381" i="36"/>
  <c r="AA308" i="36"/>
  <c r="V95" i="36"/>
  <c r="O95" i="36"/>
  <c r="U95" i="36" s="1"/>
  <c r="AA247" i="36"/>
  <c r="Q382" i="36"/>
  <c r="AA369" i="36"/>
  <c r="AD34" i="36"/>
  <c r="AG34" i="36" s="1"/>
  <c r="AD369" i="36"/>
  <c r="AG369" i="36" s="1"/>
  <c r="R382" i="36"/>
  <c r="AD247" i="36"/>
  <c r="AG247" i="36" s="1"/>
  <c r="S382" i="36"/>
  <c r="S155" i="36"/>
  <c r="Y155" i="36" s="1"/>
  <c r="P379" i="36"/>
  <c r="AD216" i="36"/>
  <c r="AG216" i="36" s="1"/>
  <c r="S381" i="36"/>
  <c r="S383" i="36"/>
  <c r="S384" i="36"/>
  <c r="AA216" i="36"/>
  <c r="Q381" i="36"/>
  <c r="Q383" i="36"/>
  <c r="Q384" i="36"/>
  <c r="AA155" i="36"/>
  <c r="AA379" i="36" s="1"/>
  <c r="Q379" i="36"/>
  <c r="R155" i="36"/>
  <c r="X155" i="36" s="1"/>
  <c r="O379" i="36"/>
  <c r="AD308" i="36"/>
  <c r="AG308" i="36" s="1"/>
  <c r="R380" i="36"/>
  <c r="AD185" i="36"/>
  <c r="AG185" i="36" s="1"/>
  <c r="AD154" i="36"/>
  <c r="AG154" i="36" s="1"/>
  <c r="AG338" i="36"/>
  <c r="AI345" i="36"/>
  <c r="E322" i="35"/>
  <c r="D322" i="35"/>
  <c r="C322" i="35"/>
  <c r="Q123" i="36" l="1"/>
  <c r="W123" i="36" s="1"/>
  <c r="Q122" i="36"/>
  <c r="W122" i="36" s="1"/>
  <c r="Q110" i="36"/>
  <c r="W110" i="36" s="1"/>
  <c r="Q105" i="36"/>
  <c r="W105" i="36" s="1"/>
  <c r="Q101" i="36"/>
  <c r="W101" i="36" s="1"/>
  <c r="Q99" i="36"/>
  <c r="W99" i="36" s="1"/>
  <c r="Q118" i="36"/>
  <c r="W118" i="36" s="1"/>
  <c r="Q113" i="36"/>
  <c r="W113" i="36" s="1"/>
  <c r="Q96" i="36"/>
  <c r="W96" i="36" s="1"/>
  <c r="Q121" i="36"/>
  <c r="W121" i="36" s="1"/>
  <c r="Q97" i="36"/>
  <c r="W97" i="36" s="1"/>
  <c r="Q112" i="36"/>
  <c r="W112" i="36" s="1"/>
  <c r="Q109" i="36"/>
  <c r="W109" i="36" s="1"/>
  <c r="Q117" i="36"/>
  <c r="W117" i="36" s="1"/>
  <c r="Q104" i="36"/>
  <c r="W104" i="36" s="1"/>
  <c r="Q115" i="36"/>
  <c r="W115" i="36" s="1"/>
  <c r="Q102" i="36"/>
  <c r="W102" i="36" s="1"/>
  <c r="Q120" i="36"/>
  <c r="W120" i="36" s="1"/>
  <c r="Q107" i="36"/>
  <c r="W107" i="36" s="1"/>
  <c r="Q114" i="36"/>
  <c r="W114" i="36" s="1"/>
  <c r="Q106" i="36"/>
  <c r="W106" i="36" s="1"/>
  <c r="Q98" i="36"/>
  <c r="W98" i="36" s="1"/>
  <c r="Q119" i="36"/>
  <c r="W119" i="36" s="1"/>
  <c r="Q111" i="36"/>
  <c r="W111" i="36" s="1"/>
  <c r="Q103" i="36"/>
  <c r="W103" i="36" s="1"/>
  <c r="AA95" i="36"/>
  <c r="Q124" i="36"/>
  <c r="W124" i="36" s="1"/>
  <c r="Q116" i="36"/>
  <c r="W116" i="36" s="1"/>
  <c r="Q108" i="36"/>
  <c r="W108" i="36" s="1"/>
  <c r="Q100" i="36"/>
  <c r="W100" i="36" s="1"/>
  <c r="W85" i="36"/>
  <c r="AA85" i="36"/>
  <c r="W91" i="36"/>
  <c r="AA91" i="36"/>
  <c r="W68" i="36"/>
  <c r="AA68" i="36"/>
  <c r="AG63" i="36"/>
  <c r="Y63" i="36"/>
  <c r="S65" i="36"/>
  <c r="S66" i="36"/>
  <c r="S67" i="36"/>
  <c r="S68" i="36"/>
  <c r="S69" i="36"/>
  <c r="S70" i="36"/>
  <c r="S71" i="36"/>
  <c r="S72" i="36"/>
  <c r="S73" i="36"/>
  <c r="S74" i="36"/>
  <c r="S75" i="36"/>
  <c r="S76" i="36"/>
  <c r="S77" i="36"/>
  <c r="S78" i="36"/>
  <c r="S79" i="36"/>
  <c r="S80" i="36"/>
  <c r="S81" i="36"/>
  <c r="S82" i="36"/>
  <c r="S83" i="36"/>
  <c r="S84" i="36"/>
  <c r="S85" i="36"/>
  <c r="S86" i="36"/>
  <c r="S87" i="36"/>
  <c r="S88" i="36"/>
  <c r="S89" i="36"/>
  <c r="S90" i="36"/>
  <c r="S91" i="36"/>
  <c r="S92" i="36"/>
  <c r="S93" i="36"/>
  <c r="S94" i="36"/>
  <c r="Y94" i="36" s="1"/>
  <c r="W82" i="36"/>
  <c r="AA82" i="36"/>
  <c r="S95" i="36"/>
  <c r="Y95" i="36" s="1"/>
  <c r="W89" i="36"/>
  <c r="AA89" i="36"/>
  <c r="W81" i="36"/>
  <c r="AA81" i="36"/>
  <c r="W73" i="36"/>
  <c r="AA73" i="36"/>
  <c r="W65" i="36"/>
  <c r="AA65" i="36"/>
  <c r="Q377" i="36"/>
  <c r="W88" i="36"/>
  <c r="AA88" i="36"/>
  <c r="W80" i="36"/>
  <c r="AA80" i="36"/>
  <c r="W72" i="36"/>
  <c r="AA72" i="36"/>
  <c r="W93" i="36"/>
  <c r="AA93" i="36"/>
  <c r="AC377" i="36" s="1"/>
  <c r="W69" i="36"/>
  <c r="AA69" i="36"/>
  <c r="W84" i="36"/>
  <c r="AA84" i="36"/>
  <c r="W67" i="36"/>
  <c r="AA67" i="36"/>
  <c r="W75" i="36"/>
  <c r="AA75" i="36"/>
  <c r="W90" i="36"/>
  <c r="AA90" i="36"/>
  <c r="W74" i="36"/>
  <c r="AA74" i="36"/>
  <c r="W87" i="36"/>
  <c r="AA87" i="36"/>
  <c r="W79" i="36"/>
  <c r="AA79" i="36"/>
  <c r="W71" i="36"/>
  <c r="AA71" i="36"/>
  <c r="AC71" i="36" s="1"/>
  <c r="X63" i="36"/>
  <c r="R65" i="36"/>
  <c r="X65" i="36" s="1"/>
  <c r="R66" i="36"/>
  <c r="X66" i="36" s="1"/>
  <c r="R67" i="36"/>
  <c r="X67" i="36" s="1"/>
  <c r="R68" i="36"/>
  <c r="X68" i="36" s="1"/>
  <c r="R69" i="36"/>
  <c r="X69" i="36" s="1"/>
  <c r="R70" i="36"/>
  <c r="X70" i="36" s="1"/>
  <c r="R71" i="36"/>
  <c r="X71" i="36" s="1"/>
  <c r="R72" i="36"/>
  <c r="X72" i="36" s="1"/>
  <c r="R73" i="36"/>
  <c r="X73" i="36" s="1"/>
  <c r="R74" i="36"/>
  <c r="X74" i="36" s="1"/>
  <c r="R75" i="36"/>
  <c r="X75" i="36" s="1"/>
  <c r="R76" i="36"/>
  <c r="X76" i="36" s="1"/>
  <c r="R77" i="36"/>
  <c r="X77" i="36" s="1"/>
  <c r="R78" i="36"/>
  <c r="X78" i="36" s="1"/>
  <c r="R79" i="36"/>
  <c r="X79" i="36" s="1"/>
  <c r="R80" i="36"/>
  <c r="X80" i="36" s="1"/>
  <c r="R81" i="36"/>
  <c r="X81" i="36" s="1"/>
  <c r="R82" i="36"/>
  <c r="X82" i="36" s="1"/>
  <c r="R83" i="36"/>
  <c r="X83" i="36" s="1"/>
  <c r="R84" i="36"/>
  <c r="X84" i="36" s="1"/>
  <c r="R85" i="36"/>
  <c r="X85" i="36" s="1"/>
  <c r="R86" i="36"/>
  <c r="X86" i="36" s="1"/>
  <c r="R87" i="36"/>
  <c r="X87" i="36" s="1"/>
  <c r="R88" i="36"/>
  <c r="X88" i="36" s="1"/>
  <c r="R89" i="36"/>
  <c r="X89" i="36" s="1"/>
  <c r="R90" i="36"/>
  <c r="X90" i="36" s="1"/>
  <c r="R91" i="36"/>
  <c r="X91" i="36" s="1"/>
  <c r="R92" i="36"/>
  <c r="X92" i="36" s="1"/>
  <c r="R93" i="36"/>
  <c r="X93" i="36" s="1"/>
  <c r="W77" i="36"/>
  <c r="AA77" i="36"/>
  <c r="W92" i="36"/>
  <c r="AA92" i="36"/>
  <c r="W76" i="36"/>
  <c r="AA76" i="36"/>
  <c r="W83" i="36"/>
  <c r="AA83" i="36"/>
  <c r="W66" i="36"/>
  <c r="AA66" i="36"/>
  <c r="W94" i="36"/>
  <c r="AA94" i="36"/>
  <c r="W86" i="36"/>
  <c r="AA86" i="36"/>
  <c r="W78" i="36"/>
  <c r="AA78" i="36"/>
  <c r="W70" i="36"/>
  <c r="AA70" i="36"/>
  <c r="AA375" i="36"/>
  <c r="S375" i="36"/>
  <c r="AG35" i="36"/>
  <c r="Y35" i="36"/>
  <c r="S36" i="36"/>
  <c r="AD36" i="36" s="1"/>
  <c r="S37" i="36"/>
  <c r="Y37" i="36" s="1"/>
  <c r="S38" i="36"/>
  <c r="Y38" i="36" s="1"/>
  <c r="S39" i="36"/>
  <c r="Y39" i="36" s="1"/>
  <c r="S40" i="36"/>
  <c r="Y40" i="36" s="1"/>
  <c r="S41" i="36"/>
  <c r="Y41" i="36" s="1"/>
  <c r="S42" i="36"/>
  <c r="Y42" i="36" s="1"/>
  <c r="S43" i="36"/>
  <c r="Y43" i="36" s="1"/>
  <c r="S44" i="36"/>
  <c r="Y44" i="36" s="1"/>
  <c r="S45" i="36"/>
  <c r="Y45" i="36" s="1"/>
  <c r="S46" i="36"/>
  <c r="Y46" i="36" s="1"/>
  <c r="S47" i="36"/>
  <c r="Y47" i="36" s="1"/>
  <c r="S48" i="36"/>
  <c r="Y48" i="36" s="1"/>
  <c r="S49" i="36"/>
  <c r="Y49" i="36" s="1"/>
  <c r="S50" i="36"/>
  <c r="Y50" i="36" s="1"/>
  <c r="S51" i="36"/>
  <c r="Y51" i="36" s="1"/>
  <c r="S52" i="36"/>
  <c r="Y52" i="36" s="1"/>
  <c r="S53" i="36"/>
  <c r="Y53" i="36" s="1"/>
  <c r="S54" i="36"/>
  <c r="Y54" i="36" s="1"/>
  <c r="S55" i="36"/>
  <c r="Y55" i="36" s="1"/>
  <c r="S56" i="36"/>
  <c r="S57" i="36"/>
  <c r="Y57" i="36" s="1"/>
  <c r="S58" i="36"/>
  <c r="Y58" i="36" s="1"/>
  <c r="S59" i="36"/>
  <c r="Y59" i="36" s="1"/>
  <c r="S60" i="36"/>
  <c r="Y60" i="36" s="1"/>
  <c r="S61" i="36"/>
  <c r="Y61" i="36" s="1"/>
  <c r="Y62" i="36"/>
  <c r="X50" i="36"/>
  <c r="X41" i="36"/>
  <c r="X56" i="36"/>
  <c r="X55" i="36"/>
  <c r="X39" i="36"/>
  <c r="X54" i="36"/>
  <c r="X46" i="36"/>
  <c r="X38" i="36"/>
  <c r="X61" i="36"/>
  <c r="X53" i="36"/>
  <c r="X45" i="36"/>
  <c r="X36" i="36"/>
  <c r="R376" i="36"/>
  <c r="X42" i="36"/>
  <c r="X49" i="36"/>
  <c r="X40" i="36"/>
  <c r="X47" i="36"/>
  <c r="X62" i="36"/>
  <c r="X60" i="36"/>
  <c r="X52" i="36"/>
  <c r="X44" i="36"/>
  <c r="X37" i="36"/>
  <c r="AD37" i="36"/>
  <c r="AG37" i="36" s="1"/>
  <c r="X58" i="36"/>
  <c r="X57" i="36"/>
  <c r="X48" i="36"/>
  <c r="X59" i="36"/>
  <c r="X51" i="36"/>
  <c r="X43" i="36"/>
  <c r="W58" i="36"/>
  <c r="AA58" i="36"/>
  <c r="W62" i="36"/>
  <c r="AA62" i="36"/>
  <c r="W54" i="36"/>
  <c r="AA54" i="36"/>
  <c r="W46" i="36"/>
  <c r="AA46" i="36"/>
  <c r="W38" i="36"/>
  <c r="AA38" i="36"/>
  <c r="W61" i="36"/>
  <c r="AA61" i="36"/>
  <c r="W53" i="36"/>
  <c r="AA53" i="36"/>
  <c r="W45" i="36"/>
  <c r="AA45" i="36"/>
  <c r="W37" i="36"/>
  <c r="AA37" i="36"/>
  <c r="W60" i="36"/>
  <c r="AA60" i="36"/>
  <c r="W52" i="36"/>
  <c r="AA52" i="36"/>
  <c r="W44" i="36"/>
  <c r="AA44" i="36"/>
  <c r="W36" i="36"/>
  <c r="AA36" i="36"/>
  <c r="Q376" i="36"/>
  <c r="W50" i="36"/>
  <c r="AA50" i="36"/>
  <c r="W42" i="36"/>
  <c r="AA42" i="36"/>
  <c r="AC42" i="36" s="1"/>
  <c r="W57" i="36"/>
  <c r="AA57" i="36"/>
  <c r="W49" i="36"/>
  <c r="AA49" i="36"/>
  <c r="AC49" i="36" s="1"/>
  <c r="W41" i="36"/>
  <c r="AA41" i="36"/>
  <c r="W56" i="36"/>
  <c r="AA56" i="36"/>
  <c r="W48" i="36"/>
  <c r="AA48" i="36"/>
  <c r="W40" i="36"/>
  <c r="AA40" i="36"/>
  <c r="W55" i="36"/>
  <c r="AA55" i="36"/>
  <c r="W47" i="36"/>
  <c r="AA47" i="36"/>
  <c r="W39" i="36"/>
  <c r="AA39" i="36"/>
  <c r="W59" i="36"/>
  <c r="AA59" i="36"/>
  <c r="W51" i="36"/>
  <c r="AA51" i="36"/>
  <c r="W43" i="36"/>
  <c r="AA43" i="36"/>
  <c r="AC382" i="36"/>
  <c r="AA382" i="36"/>
  <c r="AA381" i="36"/>
  <c r="AA383" i="36"/>
  <c r="AA384" i="36"/>
  <c r="AD155" i="36"/>
  <c r="AG155" i="36" s="1"/>
  <c r="S379" i="36"/>
  <c r="R379" i="36"/>
  <c r="R95" i="36"/>
  <c r="X95" i="36" s="1"/>
  <c r="O377" i="36"/>
  <c r="O319" i="35"/>
  <c r="O320" i="35" s="1"/>
  <c r="O321" i="35" s="1"/>
  <c r="O322" i="35" s="1"/>
  <c r="N321" i="35"/>
  <c r="M321" i="35"/>
  <c r="J321" i="35"/>
  <c r="J322" i="35"/>
  <c r="D321" i="35"/>
  <c r="E321" i="35"/>
  <c r="C321" i="35"/>
  <c r="AA123" i="36" l="1"/>
  <c r="AA96" i="36"/>
  <c r="S102" i="36"/>
  <c r="Y102" i="36" s="1"/>
  <c r="AA99" i="36"/>
  <c r="AA105" i="36"/>
  <c r="AA110" i="36"/>
  <c r="AA122" i="36"/>
  <c r="AA101" i="36"/>
  <c r="AA117" i="36"/>
  <c r="AA115" i="36"/>
  <c r="S122" i="36"/>
  <c r="Y122" i="36" s="1"/>
  <c r="AC56" i="36"/>
  <c r="AC376" i="36" s="1"/>
  <c r="Y56" i="36"/>
  <c r="AA119" i="36"/>
  <c r="AA118" i="36"/>
  <c r="AA104" i="36"/>
  <c r="S104" i="36"/>
  <c r="Y104" i="36" s="1"/>
  <c r="AA111" i="36"/>
  <c r="AA113" i="36"/>
  <c r="S121" i="36"/>
  <c r="Y121" i="36" s="1"/>
  <c r="S105" i="36"/>
  <c r="Y105" i="36" s="1"/>
  <c r="S119" i="36"/>
  <c r="Y119" i="36" s="1"/>
  <c r="S118" i="36"/>
  <c r="Y118" i="36" s="1"/>
  <c r="S117" i="36"/>
  <c r="Y117" i="36" s="1"/>
  <c r="S108" i="36"/>
  <c r="Y108" i="36" s="1"/>
  <c r="S107" i="36"/>
  <c r="Y107" i="36" s="1"/>
  <c r="S112" i="36"/>
  <c r="Y112" i="36" s="1"/>
  <c r="S111" i="36"/>
  <c r="Y111" i="36" s="1"/>
  <c r="S124" i="36"/>
  <c r="Y124" i="36" s="1"/>
  <c r="S123" i="36"/>
  <c r="Y123" i="36" s="1"/>
  <c r="S100" i="36"/>
  <c r="Y100" i="36" s="1"/>
  <c r="S113" i="36"/>
  <c r="Y113" i="36" s="1"/>
  <c r="S97" i="36"/>
  <c r="Y97" i="36" s="1"/>
  <c r="S106" i="36"/>
  <c r="Y106" i="36" s="1"/>
  <c r="S109" i="36"/>
  <c r="Y109" i="36" s="1"/>
  <c r="S99" i="36"/>
  <c r="Y99" i="36" s="1"/>
  <c r="S116" i="36"/>
  <c r="Y116" i="36" s="1"/>
  <c r="S110" i="36"/>
  <c r="Y110" i="36" s="1"/>
  <c r="S98" i="36"/>
  <c r="Y98" i="36" s="1"/>
  <c r="S101" i="36"/>
  <c r="Y101" i="36" s="1"/>
  <c r="S96" i="36"/>
  <c r="Y96" i="36" s="1"/>
  <c r="S114" i="36"/>
  <c r="Y114" i="36" s="1"/>
  <c r="S103" i="36"/>
  <c r="Y103" i="36" s="1"/>
  <c r="S120" i="36"/>
  <c r="Y120" i="36" s="1"/>
  <c r="S115" i="36"/>
  <c r="Y115" i="36" s="1"/>
  <c r="AA109" i="36"/>
  <c r="AA112" i="36"/>
  <c r="AA121" i="36"/>
  <c r="AA97" i="36"/>
  <c r="AA106" i="36"/>
  <c r="AA102" i="36"/>
  <c r="AA107" i="36"/>
  <c r="AI72" i="36"/>
  <c r="AA114" i="36"/>
  <c r="AA116" i="36"/>
  <c r="AA120" i="36"/>
  <c r="AA124" i="36"/>
  <c r="AA103" i="36"/>
  <c r="AA377" i="36"/>
  <c r="AA100" i="36"/>
  <c r="AA108" i="36"/>
  <c r="AA98" i="36"/>
  <c r="Q378" i="36"/>
  <c r="Y87" i="36"/>
  <c r="AD87" i="36"/>
  <c r="AG87" i="36" s="1"/>
  <c r="Y86" i="36"/>
  <c r="AD86" i="36"/>
  <c r="AG86" i="36" s="1"/>
  <c r="Y78" i="36"/>
  <c r="AD78" i="36"/>
  <c r="AG78" i="36" s="1"/>
  <c r="Y70" i="36"/>
  <c r="AD70" i="36"/>
  <c r="AG70" i="36" s="1"/>
  <c r="Y93" i="36"/>
  <c r="AD93" i="36"/>
  <c r="AG93" i="36" s="1"/>
  <c r="Y85" i="36"/>
  <c r="AD85" i="36"/>
  <c r="AG85" i="36" s="1"/>
  <c r="Y77" i="36"/>
  <c r="AD77" i="36"/>
  <c r="AG77" i="36" s="1"/>
  <c r="Y69" i="36"/>
  <c r="AD69" i="36"/>
  <c r="AG69" i="36" s="1"/>
  <c r="Y72" i="36"/>
  <c r="AD72" i="36"/>
  <c r="Y92" i="36"/>
  <c r="AD92" i="36"/>
  <c r="AG92" i="36" s="1"/>
  <c r="Y91" i="36"/>
  <c r="AD91" i="36"/>
  <c r="AG91" i="36" s="1"/>
  <c r="Y83" i="36"/>
  <c r="AD83" i="36"/>
  <c r="AG83" i="36" s="1"/>
  <c r="Y75" i="36"/>
  <c r="AD75" i="36"/>
  <c r="AG75" i="36" s="1"/>
  <c r="Y67" i="36"/>
  <c r="AD67" i="36"/>
  <c r="AG67" i="36" s="1"/>
  <c r="Y80" i="36"/>
  <c r="AD80" i="36"/>
  <c r="AG80" i="36" s="1"/>
  <c r="Y79" i="36"/>
  <c r="AD79" i="36"/>
  <c r="AG79" i="36" s="1"/>
  <c r="Y84" i="36"/>
  <c r="AD84" i="36"/>
  <c r="AG84" i="36" s="1"/>
  <c r="Y76" i="36"/>
  <c r="AD76" i="36"/>
  <c r="AG76" i="36" s="1"/>
  <c r="Y90" i="36"/>
  <c r="AD90" i="36"/>
  <c r="AG90" i="36" s="1"/>
  <c r="Y82" i="36"/>
  <c r="AD82" i="36"/>
  <c r="AG82" i="36" s="1"/>
  <c r="Y74" i="36"/>
  <c r="AD74" i="36"/>
  <c r="AG74" i="36" s="1"/>
  <c r="Y66" i="36"/>
  <c r="AD66" i="36"/>
  <c r="AG66" i="36" s="1"/>
  <c r="Y88" i="36"/>
  <c r="AD88" i="36"/>
  <c r="AG88" i="36" s="1"/>
  <c r="S377" i="36"/>
  <c r="Y71" i="36"/>
  <c r="AD71" i="36"/>
  <c r="AG71" i="36" s="1"/>
  <c r="Y68" i="36"/>
  <c r="AD68" i="36"/>
  <c r="AG68" i="36" s="1"/>
  <c r="AD94" i="36"/>
  <c r="AG94" i="36" s="1"/>
  <c r="Y89" i="36"/>
  <c r="AD89" i="36"/>
  <c r="AG89" i="36" s="1"/>
  <c r="Y81" i="36"/>
  <c r="AD81" i="36"/>
  <c r="AG81" i="36" s="1"/>
  <c r="Y73" i="36"/>
  <c r="AD73" i="36"/>
  <c r="AG73" i="36" s="1"/>
  <c r="Y65" i="36"/>
  <c r="AD65" i="36"/>
  <c r="AG65" i="36" s="1"/>
  <c r="AD41" i="36"/>
  <c r="AG41" i="36" s="1"/>
  <c r="AD43" i="36"/>
  <c r="AD54" i="36"/>
  <c r="AG54" i="36" s="1"/>
  <c r="AD59" i="36"/>
  <c r="AG59" i="36" s="1"/>
  <c r="AD62" i="36"/>
  <c r="AG62" i="36" s="1"/>
  <c r="AD53" i="36"/>
  <c r="AG53" i="36" s="1"/>
  <c r="AD47" i="36"/>
  <c r="AG47" i="36" s="1"/>
  <c r="AD39" i="36"/>
  <c r="AG39" i="36" s="1"/>
  <c r="AD51" i="36"/>
  <c r="AG51" i="36" s="1"/>
  <c r="AD61" i="36"/>
  <c r="AG61" i="36" s="1"/>
  <c r="AD55" i="36"/>
  <c r="AG55" i="36" s="1"/>
  <c r="AD44" i="36"/>
  <c r="AG44" i="36" s="1"/>
  <c r="AD52" i="36"/>
  <c r="AG52" i="36" s="1"/>
  <c r="AD38" i="36"/>
  <c r="AG38" i="36" s="1"/>
  <c r="AD42" i="36"/>
  <c r="AG42" i="36" s="1"/>
  <c r="AD50" i="36"/>
  <c r="AG50" i="36" s="1"/>
  <c r="AD48" i="36"/>
  <c r="AG48" i="36" s="1"/>
  <c r="AD40" i="36"/>
  <c r="AG40" i="36" s="1"/>
  <c r="AD45" i="36"/>
  <c r="AG45" i="36" s="1"/>
  <c r="AD46" i="36"/>
  <c r="AG46" i="36" s="1"/>
  <c r="AD56" i="36"/>
  <c r="AG56" i="36" s="1"/>
  <c r="Y36" i="36"/>
  <c r="S376" i="36"/>
  <c r="AD57" i="36"/>
  <c r="AG57" i="36" s="1"/>
  <c r="AD58" i="36"/>
  <c r="AG58" i="36" s="1"/>
  <c r="AD60" i="36"/>
  <c r="AG60" i="36" s="1"/>
  <c r="AD49" i="36"/>
  <c r="AG49" i="36" s="1"/>
  <c r="AG36" i="36"/>
  <c r="AI50" i="36"/>
  <c r="AA376" i="36"/>
  <c r="AI57" i="36"/>
  <c r="AI65" i="36"/>
  <c r="AI43" i="36"/>
  <c r="AC378" i="36"/>
  <c r="R96" i="36"/>
  <c r="X96" i="36" s="1"/>
  <c r="R97" i="36"/>
  <c r="X97" i="36" s="1"/>
  <c r="R98" i="36"/>
  <c r="X98" i="36" s="1"/>
  <c r="R99" i="36"/>
  <c r="X99" i="36" s="1"/>
  <c r="R100" i="36"/>
  <c r="X100" i="36" s="1"/>
  <c r="R377" i="36"/>
  <c r="R101" i="36"/>
  <c r="X101" i="36" s="1"/>
  <c r="R102" i="36"/>
  <c r="X102" i="36" s="1"/>
  <c r="R103" i="36"/>
  <c r="X103" i="36" s="1"/>
  <c r="R104" i="36"/>
  <c r="X104" i="36" s="1"/>
  <c r="R105" i="36"/>
  <c r="X105" i="36" s="1"/>
  <c r="R106" i="36"/>
  <c r="X106" i="36" s="1"/>
  <c r="R107" i="36"/>
  <c r="X107" i="36" s="1"/>
  <c r="R108" i="36"/>
  <c r="X108" i="36" s="1"/>
  <c r="R109" i="36"/>
  <c r="X109" i="36" s="1"/>
  <c r="R110" i="36"/>
  <c r="X110" i="36" s="1"/>
  <c r="R111" i="36"/>
  <c r="X111" i="36" s="1"/>
  <c r="R112" i="36"/>
  <c r="X112" i="36" s="1"/>
  <c r="R113" i="36"/>
  <c r="X113" i="36" s="1"/>
  <c r="R114" i="36"/>
  <c r="X114" i="36" s="1"/>
  <c r="R115" i="36"/>
  <c r="X115" i="36" s="1"/>
  <c r="R116" i="36"/>
  <c r="X116" i="36" s="1"/>
  <c r="R117" i="36"/>
  <c r="X117" i="36" s="1"/>
  <c r="R118" i="36"/>
  <c r="X118" i="36" s="1"/>
  <c r="R119" i="36"/>
  <c r="X119" i="36" s="1"/>
  <c r="R120" i="36"/>
  <c r="X120" i="36" s="1"/>
  <c r="R121" i="36"/>
  <c r="X121" i="36" s="1"/>
  <c r="R122" i="36"/>
  <c r="X122" i="36" s="1"/>
  <c r="R123" i="36"/>
  <c r="X123" i="36" s="1"/>
  <c r="AD95" i="36"/>
  <c r="AG95" i="36" s="1"/>
  <c r="R124" i="36"/>
  <c r="X124" i="36" s="1"/>
  <c r="O323" i="35"/>
  <c r="O324" i="35" s="1"/>
  <c r="O325" i="35" s="1"/>
  <c r="O326" i="35" s="1"/>
  <c r="O327" i="35" s="1"/>
  <c r="O328" i="35" s="1"/>
  <c r="O329" i="35" s="1"/>
  <c r="O330" i="35" s="1"/>
  <c r="O331" i="35" s="1"/>
  <c r="D318" i="35"/>
  <c r="E318" i="35"/>
  <c r="C318" i="35"/>
  <c r="D319" i="35"/>
  <c r="E319" i="35"/>
  <c r="C319" i="35"/>
  <c r="D320" i="35"/>
  <c r="E320" i="35"/>
  <c r="C320" i="35"/>
  <c r="S378" i="36" l="1"/>
  <c r="AA378" i="36"/>
  <c r="AG72" i="36"/>
  <c r="AH72" i="36"/>
  <c r="AG43" i="36"/>
  <c r="AD123" i="36"/>
  <c r="AG123" i="36" s="1"/>
  <c r="AD100" i="36"/>
  <c r="AG100" i="36" s="1"/>
  <c r="AD114" i="36"/>
  <c r="AG114" i="36" s="1"/>
  <c r="AD116" i="36"/>
  <c r="AG116" i="36" s="1"/>
  <c r="AD108" i="36"/>
  <c r="AG108" i="36" s="1"/>
  <c r="AD115" i="36"/>
  <c r="AG115" i="36" s="1"/>
  <c r="AD122" i="36"/>
  <c r="AG122" i="36" s="1"/>
  <c r="AD99" i="36"/>
  <c r="AG99" i="36" s="1"/>
  <c r="AD121" i="36"/>
  <c r="AG121" i="36" s="1"/>
  <c r="AD105" i="36"/>
  <c r="AG105" i="36" s="1"/>
  <c r="AD120" i="36"/>
  <c r="AG120" i="36" s="1"/>
  <c r="AD104" i="36"/>
  <c r="AG104" i="36" s="1"/>
  <c r="AD119" i="36"/>
  <c r="AG119" i="36" s="1"/>
  <c r="R378" i="36"/>
  <c r="AD96" i="36"/>
  <c r="AG96" i="36" s="1"/>
  <c r="AD118" i="36"/>
  <c r="AG118" i="36" s="1"/>
  <c r="AD110" i="36"/>
  <c r="AG110" i="36" s="1"/>
  <c r="AD102" i="36"/>
  <c r="AG102" i="36" s="1"/>
  <c r="AD107" i="36"/>
  <c r="AG107" i="36" s="1"/>
  <c r="AD106" i="36"/>
  <c r="AG106" i="36" s="1"/>
  <c r="AD113" i="36"/>
  <c r="AG113" i="36" s="1"/>
  <c r="AD98" i="36"/>
  <c r="AG98" i="36" s="1"/>
  <c r="AD112" i="36"/>
  <c r="AG112" i="36" s="1"/>
  <c r="AD97" i="36"/>
  <c r="AG97" i="36" s="1"/>
  <c r="AD111" i="36"/>
  <c r="AG111" i="36" s="1"/>
  <c r="AD103" i="36"/>
  <c r="AG103" i="36" s="1"/>
  <c r="AD124" i="36"/>
  <c r="AG124" i="36" s="1"/>
  <c r="AD117" i="36"/>
  <c r="AG117" i="36" s="1"/>
  <c r="AD109" i="36"/>
  <c r="AG109" i="36" s="1"/>
  <c r="AD101" i="36"/>
  <c r="AG101" i="36" s="1"/>
  <c r="D315" i="35"/>
  <c r="D314" i="35"/>
  <c r="D313" i="35" l="1"/>
  <c r="D312" i="35"/>
  <c r="D311" i="35"/>
  <c r="AA309" i="35" l="1"/>
  <c r="AF309" i="35"/>
  <c r="AE309" i="35"/>
  <c r="AD309" i="35"/>
  <c r="Z309" i="35" l="1"/>
  <c r="S309" i="35"/>
  <c r="Y309" i="36" s="1"/>
  <c r="R309" i="35"/>
  <c r="Q309" i="35"/>
  <c r="W309" i="36" s="1"/>
  <c r="N309" i="35"/>
  <c r="T309" i="36" s="1"/>
  <c r="O309" i="35"/>
  <c r="U309" i="36" s="1"/>
  <c r="P309" i="35"/>
  <c r="V309" i="36" s="1"/>
  <c r="D308" i="35"/>
  <c r="E308" i="35"/>
  <c r="C308" i="35"/>
  <c r="D309" i="35"/>
  <c r="E309" i="35"/>
  <c r="C309" i="35"/>
  <c r="D310" i="35"/>
  <c r="E310" i="35"/>
  <c r="C310" i="35"/>
  <c r="R322" i="35" l="1"/>
  <c r="X322" i="36" s="1"/>
  <c r="X309" i="36"/>
  <c r="D307" i="35"/>
  <c r="D306" i="35"/>
  <c r="D305" i="35"/>
  <c r="D304" i="35"/>
  <c r="D301" i="35" l="1"/>
  <c r="D300" i="35"/>
  <c r="D299" i="35" l="1"/>
  <c r="D298" i="35"/>
  <c r="D297" i="35"/>
  <c r="D296" i="35" l="1"/>
  <c r="E296" i="35"/>
  <c r="C296" i="35"/>
  <c r="D295" i="35" l="1"/>
  <c r="D294" i="35"/>
  <c r="D293" i="35"/>
  <c r="D292" i="35" l="1"/>
  <c r="D291" i="35"/>
  <c r="D290" i="35"/>
  <c r="D289" i="35" l="1"/>
  <c r="E289" i="35"/>
  <c r="C289" i="35"/>
  <c r="D288" i="35" l="1"/>
  <c r="D287" i="35"/>
  <c r="D286" i="35"/>
  <c r="D285" i="35"/>
  <c r="Z278" i="35" l="1"/>
  <c r="Z282" i="35" s="1"/>
  <c r="S278" i="35" l="1"/>
  <c r="Y278" i="36" s="1"/>
  <c r="R278" i="35"/>
  <c r="X278" i="36" s="1"/>
  <c r="Q278" i="35"/>
  <c r="W278" i="36" s="1"/>
  <c r="N278" i="35"/>
  <c r="T278" i="36" s="1"/>
  <c r="O278" i="35"/>
  <c r="U278" i="36" s="1"/>
  <c r="P278" i="35"/>
  <c r="V278" i="36" s="1"/>
  <c r="D284" i="35"/>
  <c r="E284" i="35"/>
  <c r="C284" i="35"/>
  <c r="E283" i="35"/>
  <c r="C283" i="35"/>
  <c r="D282" i="35"/>
  <c r="E282" i="35"/>
  <c r="C282" i="35"/>
  <c r="D281" i="35"/>
  <c r="E281" i="35"/>
  <c r="C281" i="35"/>
  <c r="D280" i="35"/>
  <c r="E280" i="35"/>
  <c r="C280" i="35"/>
  <c r="D279" i="35"/>
  <c r="E279" i="35"/>
  <c r="C279" i="35"/>
  <c r="D278" i="35"/>
  <c r="E278" i="35"/>
  <c r="C278" i="35"/>
  <c r="D277" i="35" l="1"/>
  <c r="E277" i="35"/>
  <c r="C277" i="35"/>
  <c r="D276" i="35" l="1"/>
  <c r="D262" i="35" l="1"/>
  <c r="M275" i="35" l="1"/>
  <c r="J275" i="35"/>
  <c r="D275" i="35"/>
  <c r="E275" i="35"/>
  <c r="C275" i="35"/>
  <c r="D274" i="35" l="1"/>
  <c r="E274" i="35"/>
  <c r="C274" i="35"/>
  <c r="D272" i="35"/>
  <c r="E272" i="35"/>
  <c r="C272" i="35"/>
  <c r="E271" i="35"/>
  <c r="D271" i="35"/>
  <c r="C271" i="35"/>
  <c r="D270" i="35"/>
  <c r="E270" i="35"/>
  <c r="C270" i="35"/>
  <c r="D269" i="35"/>
  <c r="E269" i="35"/>
  <c r="C269" i="35"/>
  <c r="D273" i="35" l="1"/>
  <c r="D268" i="35" l="1"/>
  <c r="E268" i="35"/>
  <c r="C268" i="35"/>
  <c r="D267" i="35" l="1"/>
  <c r="D266" i="35" l="1"/>
  <c r="D265" i="35"/>
  <c r="D264" i="35" l="1"/>
  <c r="D263" i="35"/>
  <c r="D261" i="35" l="1"/>
  <c r="E261" i="35"/>
  <c r="C261" i="35"/>
  <c r="D260" i="35" l="1"/>
  <c r="D259" i="35" l="1"/>
  <c r="D258" i="35" l="1"/>
  <c r="D257" i="35"/>
  <c r="D256" i="35"/>
  <c r="D255" i="35"/>
  <c r="P254" i="35" l="1"/>
  <c r="V254" i="35" l="1"/>
  <c r="D254" i="35" l="1"/>
  <c r="E254" i="35"/>
  <c r="C254" i="35"/>
  <c r="D253" i="35" l="1"/>
  <c r="D252" i="35" l="1"/>
  <c r="D251" i="35" l="1"/>
  <c r="AF248" i="35" l="1"/>
  <c r="AE248" i="35"/>
  <c r="AD248" i="35"/>
  <c r="Z248" i="35"/>
  <c r="S248" i="35"/>
  <c r="Y248" i="36" s="1"/>
  <c r="R248" i="35"/>
  <c r="X248" i="36" s="1"/>
  <c r="Q248" i="35"/>
  <c r="N248" i="35"/>
  <c r="T248" i="36" s="1"/>
  <c r="P248" i="35"/>
  <c r="V248" i="36" s="1"/>
  <c r="O248" i="35"/>
  <c r="U248" i="36" s="1"/>
  <c r="D250" i="35"/>
  <c r="D249" i="35"/>
  <c r="D248" i="35"/>
  <c r="Q250" i="35" l="1"/>
  <c r="W250" i="36" s="1"/>
  <c r="W248" i="36"/>
  <c r="Q249" i="35"/>
  <c r="W249" i="36" s="1"/>
  <c r="D247" i="35"/>
  <c r="E247" i="35"/>
  <c r="C247" i="35"/>
  <c r="D246" i="35" l="1"/>
  <c r="D245" i="35"/>
  <c r="D244" i="35" l="1"/>
  <c r="D243" i="35" l="1"/>
  <c r="D242" i="35"/>
  <c r="D241" i="35"/>
  <c r="E239" i="35" l="1"/>
  <c r="D239" i="35"/>
  <c r="D238" i="35" l="1"/>
  <c r="D237" i="35" l="1"/>
  <c r="D236" i="35" l="1"/>
  <c r="D235" i="35"/>
  <c r="D234" i="35"/>
  <c r="D233" i="35" l="1"/>
  <c r="E233" i="35"/>
  <c r="C233" i="35" l="1"/>
  <c r="D232" i="35"/>
  <c r="D231" i="35" l="1"/>
  <c r="D230" i="35" l="1"/>
  <c r="I374" i="28" l="1"/>
  <c r="G374" i="28"/>
  <c r="F371" i="28"/>
  <c r="E371" i="28"/>
  <c r="D371" i="28"/>
  <c r="C371" i="28"/>
  <c r="V370" i="28"/>
  <c r="J370" i="28"/>
  <c r="K370" i="28" s="1"/>
  <c r="K369" i="28"/>
  <c r="J369" i="28"/>
  <c r="K368" i="28"/>
  <c r="J368" i="28"/>
  <c r="J367" i="28"/>
  <c r="K367" i="28" s="1"/>
  <c r="K366" i="28"/>
  <c r="J366" i="28"/>
  <c r="J365" i="28"/>
  <c r="K365" i="28" s="1"/>
  <c r="J364" i="28"/>
  <c r="K364" i="28" s="1"/>
  <c r="J363" i="28"/>
  <c r="K363" i="28" s="1"/>
  <c r="J362" i="28"/>
  <c r="K362" i="28" s="1"/>
  <c r="J361" i="28"/>
  <c r="K361" i="28" s="1"/>
  <c r="J360" i="28"/>
  <c r="K360" i="28" s="1"/>
  <c r="J359" i="28"/>
  <c r="K359" i="28" s="1"/>
  <c r="J358" i="28"/>
  <c r="K358" i="28" s="1"/>
  <c r="J357" i="28"/>
  <c r="K357" i="28" s="1"/>
  <c r="M356" i="28"/>
  <c r="M357" i="28" s="1"/>
  <c r="M358" i="28" s="1"/>
  <c r="J356" i="28"/>
  <c r="K356" i="28" s="1"/>
  <c r="J355" i="28"/>
  <c r="K355" i="28" s="1"/>
  <c r="M354" i="28"/>
  <c r="M355" i="28" s="1"/>
  <c r="J354" i="28"/>
  <c r="K354" i="28" s="1"/>
  <c r="J353" i="28"/>
  <c r="K353" i="28" s="1"/>
  <c r="M352" i="28"/>
  <c r="M353" i="28" s="1"/>
  <c r="J352" i="28"/>
  <c r="K352" i="28" s="1"/>
  <c r="J351" i="28"/>
  <c r="K351" i="28" s="1"/>
  <c r="O350" i="28"/>
  <c r="O351" i="28" s="1"/>
  <c r="O352" i="28" s="1"/>
  <c r="O353" i="28" s="1"/>
  <c r="O354" i="28" s="1"/>
  <c r="O355" i="28" s="1"/>
  <c r="O356" i="28" s="1"/>
  <c r="O357" i="28" s="1"/>
  <c r="O358" i="28" s="1"/>
  <c r="O359" i="28" s="1"/>
  <c r="O360" i="28" s="1"/>
  <c r="O361" i="28" s="1"/>
  <c r="O362" i="28" s="1"/>
  <c r="O363" i="28" s="1"/>
  <c r="O364" i="28" s="1"/>
  <c r="O365" i="28" s="1"/>
  <c r="O366" i="28" s="1"/>
  <c r="O367" i="28" s="1"/>
  <c r="O368" i="28" s="1"/>
  <c r="O369" i="28" s="1"/>
  <c r="O370" i="28" s="1"/>
  <c r="N350" i="28"/>
  <c r="N351" i="28" s="1"/>
  <c r="N352" i="28" s="1"/>
  <c r="N353" i="28" s="1"/>
  <c r="N354" i="28" s="1"/>
  <c r="N355" i="28" s="1"/>
  <c r="N356" i="28" s="1"/>
  <c r="N357" i="28" s="1"/>
  <c r="N358" i="28" s="1"/>
  <c r="N359" i="28" s="1"/>
  <c r="N360" i="28" s="1"/>
  <c r="N361" i="28" s="1"/>
  <c r="N362" i="28" s="1"/>
  <c r="N363" i="28" s="1"/>
  <c r="N364" i="28" s="1"/>
  <c r="N365" i="28" s="1"/>
  <c r="N366" i="28" s="1"/>
  <c r="N367" i="28" s="1"/>
  <c r="N368" i="28" s="1"/>
  <c r="N369" i="28" s="1"/>
  <c r="N370" i="28" s="1"/>
  <c r="M350" i="28"/>
  <c r="M351" i="28" s="1"/>
  <c r="J350" i="28"/>
  <c r="K350" i="28" s="1"/>
  <c r="K349" i="28"/>
  <c r="J349" i="28"/>
  <c r="K348" i="28"/>
  <c r="J348" i="28"/>
  <c r="K347" i="28"/>
  <c r="J347" i="28"/>
  <c r="K346" i="28"/>
  <c r="J346" i="28"/>
  <c r="K345" i="28"/>
  <c r="J345" i="28"/>
  <c r="K344" i="28"/>
  <c r="J344" i="28"/>
  <c r="K343" i="28"/>
  <c r="J343" i="28"/>
  <c r="K342" i="28"/>
  <c r="J342" i="28"/>
  <c r="N341" i="28"/>
  <c r="N342" i="28" s="1"/>
  <c r="N343" i="28" s="1"/>
  <c r="N344" i="28" s="1"/>
  <c r="N345" i="28" s="1"/>
  <c r="N346" i="28" s="1"/>
  <c r="N347" i="28" s="1"/>
  <c r="N348" i="28" s="1"/>
  <c r="M341" i="28"/>
  <c r="K341" i="28"/>
  <c r="J341" i="28"/>
  <c r="O340" i="28"/>
  <c r="O341" i="28" s="1"/>
  <c r="O342" i="28" s="1"/>
  <c r="O343" i="28" s="1"/>
  <c r="O344" i="28" s="1"/>
  <c r="O345" i="28" s="1"/>
  <c r="O346" i="28" s="1"/>
  <c r="O347" i="28" s="1"/>
  <c r="O348" i="28" s="1"/>
  <c r="N340" i="28"/>
  <c r="M340" i="28"/>
  <c r="P340" i="28" s="1"/>
  <c r="K340" i="28"/>
  <c r="J340" i="28"/>
  <c r="P339" i="28"/>
  <c r="J339" i="28"/>
  <c r="K339" i="28" s="1"/>
  <c r="O338" i="28"/>
  <c r="K338" i="28"/>
  <c r="J338" i="28"/>
  <c r="J337" i="28"/>
  <c r="K337" i="28" s="1"/>
  <c r="J336" i="28"/>
  <c r="K336" i="28" s="1"/>
  <c r="J335" i="28"/>
  <c r="K335" i="28" s="1"/>
  <c r="J334" i="28"/>
  <c r="K334" i="28" s="1"/>
  <c r="J333" i="28"/>
  <c r="K333" i="28" s="1"/>
  <c r="J332" i="28"/>
  <c r="K332" i="28" s="1"/>
  <c r="J331" i="28"/>
  <c r="K331" i="28" s="1"/>
  <c r="J330" i="28"/>
  <c r="K330" i="28" s="1"/>
  <c r="T329" i="28"/>
  <c r="V329" i="28" s="1"/>
  <c r="K329" i="28"/>
  <c r="J329" i="28"/>
  <c r="K328" i="28"/>
  <c r="J328" i="28"/>
  <c r="N327" i="28"/>
  <c r="N328" i="28" s="1"/>
  <c r="N329" i="28" s="1"/>
  <c r="N330" i="28" s="1"/>
  <c r="N331" i="28" s="1"/>
  <c r="N332" i="28" s="1"/>
  <c r="N333" i="28" s="1"/>
  <c r="N334" i="28" s="1"/>
  <c r="N335" i="28" s="1"/>
  <c r="N336" i="28" s="1"/>
  <c r="N337" i="28" s="1"/>
  <c r="N338" i="28" s="1"/>
  <c r="K327" i="28"/>
  <c r="J327" i="28"/>
  <c r="K326" i="28"/>
  <c r="J326" i="28"/>
  <c r="K325" i="28"/>
  <c r="J325" i="28"/>
  <c r="K324" i="28"/>
  <c r="J324" i="28"/>
  <c r="O323" i="28"/>
  <c r="O324" i="28" s="1"/>
  <c r="O325" i="28" s="1"/>
  <c r="O326" i="28" s="1"/>
  <c r="O327" i="28" s="1"/>
  <c r="O328" i="28" s="1"/>
  <c r="O329" i="28" s="1"/>
  <c r="O330" i="28" s="1"/>
  <c r="O331" i="28" s="1"/>
  <c r="O332" i="28" s="1"/>
  <c r="O333" i="28" s="1"/>
  <c r="O334" i="28" s="1"/>
  <c r="O335" i="28" s="1"/>
  <c r="O336" i="28" s="1"/>
  <c r="O337" i="28" s="1"/>
  <c r="N323" i="28"/>
  <c r="N324" i="28" s="1"/>
  <c r="N325" i="28" s="1"/>
  <c r="N326" i="28" s="1"/>
  <c r="K323" i="28"/>
  <c r="J323" i="28"/>
  <c r="N322" i="28"/>
  <c r="K322" i="28"/>
  <c r="J322" i="28"/>
  <c r="N321" i="28"/>
  <c r="K321" i="28"/>
  <c r="J321" i="28"/>
  <c r="P320" i="28"/>
  <c r="O320" i="28"/>
  <c r="O321" i="28" s="1"/>
  <c r="O322" i="28" s="1"/>
  <c r="N320" i="28"/>
  <c r="M320" i="28"/>
  <c r="M321" i="28" s="1"/>
  <c r="K320" i="28"/>
  <c r="J320" i="28"/>
  <c r="V319" i="28"/>
  <c r="T319" i="28"/>
  <c r="K319" i="28"/>
  <c r="J319" i="28"/>
  <c r="P318" i="28"/>
  <c r="K318" i="28"/>
  <c r="J318" i="28"/>
  <c r="P317" i="28"/>
  <c r="K317" i="28"/>
  <c r="J317" i="28"/>
  <c r="P316" i="28"/>
  <c r="K316" i="28"/>
  <c r="J316" i="28"/>
  <c r="P315" i="28"/>
  <c r="T315" i="28" s="1"/>
  <c r="V315" i="28" s="1"/>
  <c r="K315" i="28"/>
  <c r="J315" i="28"/>
  <c r="P314" i="28"/>
  <c r="K314" i="28"/>
  <c r="J314" i="28"/>
  <c r="P313" i="28"/>
  <c r="N313" i="28"/>
  <c r="N314" i="28" s="1"/>
  <c r="N315" i="28" s="1"/>
  <c r="N316" i="28" s="1"/>
  <c r="N317" i="28" s="1"/>
  <c r="N318" i="28" s="1"/>
  <c r="K313" i="28"/>
  <c r="J313" i="28"/>
  <c r="P312" i="28"/>
  <c r="K312" i="28"/>
  <c r="J312" i="28"/>
  <c r="P311" i="28"/>
  <c r="K311" i="28"/>
  <c r="J311" i="28"/>
  <c r="P310" i="28"/>
  <c r="O310" i="28"/>
  <c r="O311" i="28" s="1"/>
  <c r="O312" i="28" s="1"/>
  <c r="O313" i="28" s="1"/>
  <c r="O314" i="28" s="1"/>
  <c r="O315" i="28" s="1"/>
  <c r="O316" i="28" s="1"/>
  <c r="O317" i="28" s="1"/>
  <c r="O318" i="28" s="1"/>
  <c r="N310" i="28"/>
  <c r="N311" i="28" s="1"/>
  <c r="N312" i="28" s="1"/>
  <c r="M310" i="28"/>
  <c r="M311" i="28" s="1"/>
  <c r="M312" i="28" s="1"/>
  <c r="M313" i="28" s="1"/>
  <c r="M314" i="28" s="1"/>
  <c r="M315" i="28" s="1"/>
  <c r="M316" i="28" s="1"/>
  <c r="M317" i="28" s="1"/>
  <c r="M318" i="28" s="1"/>
  <c r="K310" i="28"/>
  <c r="J310" i="28"/>
  <c r="T309" i="28"/>
  <c r="V309" i="28" s="1"/>
  <c r="J309" i="28"/>
  <c r="K309" i="28" s="1"/>
  <c r="J308" i="28"/>
  <c r="K308" i="28" s="1"/>
  <c r="K307" i="28"/>
  <c r="J307" i="28"/>
  <c r="J306" i="28"/>
  <c r="K306" i="28" s="1"/>
  <c r="J305" i="28"/>
  <c r="K305" i="28" s="1"/>
  <c r="K304" i="28"/>
  <c r="J304" i="28"/>
  <c r="K303" i="28"/>
  <c r="J303" i="28"/>
  <c r="J302" i="28"/>
  <c r="K302" i="28" s="1"/>
  <c r="J301" i="28"/>
  <c r="K301" i="28" s="1"/>
  <c r="J300" i="28"/>
  <c r="K300" i="28" s="1"/>
  <c r="J299" i="28"/>
  <c r="K299" i="28" s="1"/>
  <c r="J298" i="28"/>
  <c r="K298" i="28" s="1"/>
  <c r="J297" i="28"/>
  <c r="K297" i="28" s="1"/>
  <c r="K296" i="28"/>
  <c r="J296" i="28"/>
  <c r="K295" i="28"/>
  <c r="J295" i="28"/>
  <c r="J294" i="28"/>
  <c r="K294" i="28" s="1"/>
  <c r="J293" i="28"/>
  <c r="K293" i="28" s="1"/>
  <c r="J292" i="28"/>
  <c r="K292" i="28" s="1"/>
  <c r="J291" i="28"/>
  <c r="K291" i="28" s="1"/>
  <c r="J290" i="28"/>
  <c r="K290" i="28" s="1"/>
  <c r="J289" i="28"/>
  <c r="K289" i="28" s="1"/>
  <c r="J288" i="28"/>
  <c r="K288" i="28" s="1"/>
  <c r="J287" i="28"/>
  <c r="K287" i="28" s="1"/>
  <c r="N286" i="28"/>
  <c r="N287" i="28" s="1"/>
  <c r="N288" i="28" s="1"/>
  <c r="N289" i="28" s="1"/>
  <c r="N290" i="28" s="1"/>
  <c r="N291" i="28" s="1"/>
  <c r="N292" i="28" s="1"/>
  <c r="N293" i="28" s="1"/>
  <c r="N294" i="28" s="1"/>
  <c r="N295" i="28" s="1"/>
  <c r="N296" i="28" s="1"/>
  <c r="N297" i="28" s="1"/>
  <c r="N298" i="28" s="1"/>
  <c r="N299" i="28" s="1"/>
  <c r="N300" i="28" s="1"/>
  <c r="N301" i="28" s="1"/>
  <c r="N302" i="28" s="1"/>
  <c r="N303" i="28" s="1"/>
  <c r="N304" i="28" s="1"/>
  <c r="N305" i="28" s="1"/>
  <c r="N306" i="28" s="1"/>
  <c r="N307" i="28" s="1"/>
  <c r="N308" i="28" s="1"/>
  <c r="N309" i="28" s="1"/>
  <c r="J286" i="28"/>
  <c r="K286" i="28" s="1"/>
  <c r="M285" i="28"/>
  <c r="M286" i="28" s="1"/>
  <c r="M287" i="28" s="1"/>
  <c r="M288" i="28" s="1"/>
  <c r="M289" i="28" s="1"/>
  <c r="M290" i="28" s="1"/>
  <c r="M291" i="28" s="1"/>
  <c r="M292" i="28" s="1"/>
  <c r="M293" i="28" s="1"/>
  <c r="M294" i="28" s="1"/>
  <c r="M295" i="28" s="1"/>
  <c r="M296" i="28" s="1"/>
  <c r="M297" i="28" s="1"/>
  <c r="M298" i="28" s="1"/>
  <c r="M299" i="28" s="1"/>
  <c r="M300" i="28" s="1"/>
  <c r="M301" i="28" s="1"/>
  <c r="M302" i="28" s="1"/>
  <c r="M303" i="28" s="1"/>
  <c r="M304" i="28" s="1"/>
  <c r="M305" i="28" s="1"/>
  <c r="M306" i="28" s="1"/>
  <c r="M307" i="28" s="1"/>
  <c r="M308" i="28" s="1"/>
  <c r="M309" i="28" s="1"/>
  <c r="J285" i="28"/>
  <c r="K285" i="28" s="1"/>
  <c r="N284" i="28"/>
  <c r="N285" i="28" s="1"/>
  <c r="J284" i="28"/>
  <c r="K284" i="28" s="1"/>
  <c r="K283" i="28"/>
  <c r="J283" i="28"/>
  <c r="J282" i="28"/>
  <c r="K282" i="28" s="1"/>
  <c r="K281" i="28"/>
  <c r="J281" i="28"/>
  <c r="J280" i="28"/>
  <c r="K280" i="28" s="1"/>
  <c r="O279" i="28"/>
  <c r="O280" i="28" s="1"/>
  <c r="O281" i="28" s="1"/>
  <c r="O282" i="28" s="1"/>
  <c r="O283" i="28" s="1"/>
  <c r="O284" i="28" s="1"/>
  <c r="O285" i="28" s="1"/>
  <c r="O286" i="28" s="1"/>
  <c r="O287" i="28" s="1"/>
  <c r="O288" i="28" s="1"/>
  <c r="O289" i="28" s="1"/>
  <c r="O290" i="28" s="1"/>
  <c r="O291" i="28" s="1"/>
  <c r="O292" i="28" s="1"/>
  <c r="O293" i="28" s="1"/>
  <c r="O294" i="28" s="1"/>
  <c r="O295" i="28" s="1"/>
  <c r="O296" i="28" s="1"/>
  <c r="O297" i="28" s="1"/>
  <c r="O298" i="28" s="1"/>
  <c r="O299" i="28" s="1"/>
  <c r="O300" i="28" s="1"/>
  <c r="O301" i="28" s="1"/>
  <c r="O302" i="28" s="1"/>
  <c r="O303" i="28" s="1"/>
  <c r="O304" i="28" s="1"/>
  <c r="O305" i="28" s="1"/>
  <c r="O306" i="28" s="1"/>
  <c r="O307" i="28" s="1"/>
  <c r="O308" i="28" s="1"/>
  <c r="O309" i="28" s="1"/>
  <c r="N279" i="28"/>
  <c r="N280" i="28" s="1"/>
  <c r="N281" i="28" s="1"/>
  <c r="N282" i="28" s="1"/>
  <c r="N283" i="28" s="1"/>
  <c r="M279" i="28"/>
  <c r="M280" i="28" s="1"/>
  <c r="M281" i="28" s="1"/>
  <c r="M282" i="28" s="1"/>
  <c r="M283" i="28" s="1"/>
  <c r="M284" i="28" s="1"/>
  <c r="J279" i="28"/>
  <c r="K279" i="28" s="1"/>
  <c r="K278" i="28"/>
  <c r="J278" i="28"/>
  <c r="M277" i="28"/>
  <c r="K277" i="28"/>
  <c r="J277" i="28"/>
  <c r="J276" i="28"/>
  <c r="K276" i="28" s="1"/>
  <c r="J275" i="28"/>
  <c r="K275" i="28" s="1"/>
  <c r="K274" i="28"/>
  <c r="J274" i="28"/>
  <c r="J273" i="28"/>
  <c r="K273" i="28" s="1"/>
  <c r="J272" i="28"/>
  <c r="K272" i="28" s="1"/>
  <c r="J271" i="28"/>
  <c r="K271" i="28" s="1"/>
  <c r="J270" i="28"/>
  <c r="K270" i="28" s="1"/>
  <c r="O269" i="28"/>
  <c r="O270" i="28" s="1"/>
  <c r="O271" i="28" s="1"/>
  <c r="O272" i="28" s="1"/>
  <c r="O273" i="28" s="1"/>
  <c r="O274" i="28" s="1"/>
  <c r="O275" i="28" s="1"/>
  <c r="O276" i="28" s="1"/>
  <c r="O277" i="28" s="1"/>
  <c r="J269" i="28"/>
  <c r="K269" i="28" s="1"/>
  <c r="J268" i="28"/>
  <c r="K268" i="28" s="1"/>
  <c r="K267" i="28"/>
  <c r="J267" i="28"/>
  <c r="K266" i="28"/>
  <c r="J266" i="28"/>
  <c r="J265" i="28"/>
  <c r="K265" i="28" s="1"/>
  <c r="K264" i="28"/>
  <c r="J264" i="28"/>
  <c r="K263" i="28"/>
  <c r="J263" i="28"/>
  <c r="K262" i="28"/>
  <c r="J262" i="28"/>
  <c r="K261" i="28"/>
  <c r="J261" i="28"/>
  <c r="J260" i="28"/>
  <c r="K260" i="28" s="1"/>
  <c r="K259" i="28"/>
  <c r="J259" i="28"/>
  <c r="K258" i="28"/>
  <c r="J258" i="28"/>
  <c r="K257" i="28"/>
  <c r="J257" i="28"/>
  <c r="K256" i="28"/>
  <c r="J256" i="28"/>
  <c r="K255" i="28"/>
  <c r="J255" i="28"/>
  <c r="K254" i="28"/>
  <c r="J254" i="28"/>
  <c r="M253" i="28"/>
  <c r="M254" i="28" s="1"/>
  <c r="M255" i="28" s="1"/>
  <c r="M256" i="28" s="1"/>
  <c r="M257" i="28" s="1"/>
  <c r="M258" i="28" s="1"/>
  <c r="M259" i="28" s="1"/>
  <c r="M260" i="28" s="1"/>
  <c r="M261" i="28" s="1"/>
  <c r="M262" i="28" s="1"/>
  <c r="M263" i="28" s="1"/>
  <c r="M264" i="28" s="1"/>
  <c r="M265" i="28" s="1"/>
  <c r="M266" i="28" s="1"/>
  <c r="M267" i="28" s="1"/>
  <c r="M268" i="28" s="1"/>
  <c r="M269" i="28" s="1"/>
  <c r="M270" i="28" s="1"/>
  <c r="M271" i="28" s="1"/>
  <c r="M272" i="28" s="1"/>
  <c r="M273" i="28" s="1"/>
  <c r="M274" i="28" s="1"/>
  <c r="M275" i="28" s="1"/>
  <c r="M276" i="28" s="1"/>
  <c r="K253" i="28"/>
  <c r="J253" i="28"/>
  <c r="J252" i="28"/>
  <c r="K252" i="28" s="1"/>
  <c r="N251" i="28"/>
  <c r="N252" i="28" s="1"/>
  <c r="N253" i="28" s="1"/>
  <c r="N254" i="28" s="1"/>
  <c r="N255" i="28" s="1"/>
  <c r="N256" i="28" s="1"/>
  <c r="N257" i="28" s="1"/>
  <c r="N258" i="28" s="1"/>
  <c r="N259" i="28" s="1"/>
  <c r="N260" i="28" s="1"/>
  <c r="N261" i="28" s="1"/>
  <c r="N262" i="28" s="1"/>
  <c r="N263" i="28" s="1"/>
  <c r="N264" i="28" s="1"/>
  <c r="N265" i="28" s="1"/>
  <c r="N266" i="28" s="1"/>
  <c r="N267" i="28" s="1"/>
  <c r="N268" i="28" s="1"/>
  <c r="N269" i="28" s="1"/>
  <c r="N270" i="28" s="1"/>
  <c r="N271" i="28" s="1"/>
  <c r="N272" i="28" s="1"/>
  <c r="N273" i="28" s="1"/>
  <c r="N274" i="28" s="1"/>
  <c r="N275" i="28" s="1"/>
  <c r="N276" i="28" s="1"/>
  <c r="N277" i="28" s="1"/>
  <c r="J251" i="28"/>
  <c r="K251" i="28" s="1"/>
  <c r="M250" i="28"/>
  <c r="M251" i="28" s="1"/>
  <c r="M252" i="28" s="1"/>
  <c r="J250" i="28"/>
  <c r="K250" i="28" s="1"/>
  <c r="O249" i="28"/>
  <c r="O250" i="28" s="1"/>
  <c r="O251" i="28" s="1"/>
  <c r="O252" i="28" s="1"/>
  <c r="O253" i="28" s="1"/>
  <c r="O254" i="28" s="1"/>
  <c r="O255" i="28" s="1"/>
  <c r="O256" i="28" s="1"/>
  <c r="O257" i="28" s="1"/>
  <c r="O258" i="28" s="1"/>
  <c r="O259" i="28" s="1"/>
  <c r="O260" i="28" s="1"/>
  <c r="O261" i="28" s="1"/>
  <c r="O262" i="28" s="1"/>
  <c r="O263" i="28" s="1"/>
  <c r="O264" i="28" s="1"/>
  <c r="O265" i="28" s="1"/>
  <c r="O266" i="28" s="1"/>
  <c r="O267" i="28" s="1"/>
  <c r="O268" i="28" s="1"/>
  <c r="N249" i="28"/>
  <c r="N250" i="28" s="1"/>
  <c r="M249" i="28"/>
  <c r="J249" i="28"/>
  <c r="K249" i="28" s="1"/>
  <c r="J248" i="28"/>
  <c r="K248" i="28" s="1"/>
  <c r="K247" i="28"/>
  <c r="J247" i="28"/>
  <c r="K246" i="28"/>
  <c r="J246" i="28"/>
  <c r="K245" i="28"/>
  <c r="J245" i="28"/>
  <c r="M244" i="28"/>
  <c r="M245" i="28" s="1"/>
  <c r="M246" i="28" s="1"/>
  <c r="M247" i="28" s="1"/>
  <c r="M248" i="28" s="1"/>
  <c r="J244" i="28"/>
  <c r="K244" i="28" s="1"/>
  <c r="K243" i="28"/>
  <c r="J243" i="28"/>
  <c r="K242" i="28"/>
  <c r="J242" i="28"/>
  <c r="J241" i="28"/>
  <c r="K241" i="28" s="1"/>
  <c r="J240" i="28"/>
  <c r="K240" i="28" s="1"/>
  <c r="J239" i="28"/>
  <c r="K239" i="28" s="1"/>
  <c r="J238" i="28"/>
  <c r="K238" i="28" s="1"/>
  <c r="T237" i="28"/>
  <c r="K237" i="28"/>
  <c r="J237" i="28"/>
  <c r="J236" i="28"/>
  <c r="K236" i="28" s="1"/>
  <c r="M235" i="28"/>
  <c r="M236" i="28" s="1"/>
  <c r="M237" i="28" s="1"/>
  <c r="M238" i="28" s="1"/>
  <c r="M239" i="28" s="1"/>
  <c r="M240" i="28" s="1"/>
  <c r="M241" i="28" s="1"/>
  <c r="M242" i="28" s="1"/>
  <c r="M243" i="28" s="1"/>
  <c r="K235" i="28"/>
  <c r="J235" i="28"/>
  <c r="K234" i="28"/>
  <c r="J234" i="28"/>
  <c r="K233" i="28"/>
  <c r="J233" i="28"/>
  <c r="N232" i="28"/>
  <c r="N233" i="28" s="1"/>
  <c r="N234" i="28" s="1"/>
  <c r="N235" i="28" s="1"/>
  <c r="N236" i="28" s="1"/>
  <c r="N237" i="28" s="1"/>
  <c r="N238" i="28" s="1"/>
  <c r="N239" i="28" s="1"/>
  <c r="N240" i="28" s="1"/>
  <c r="N241" i="28" s="1"/>
  <c r="N242" i="28" s="1"/>
  <c r="N243" i="28" s="1"/>
  <c r="N244" i="28" s="1"/>
  <c r="N245" i="28" s="1"/>
  <c r="N246" i="28" s="1"/>
  <c r="N247" i="28" s="1"/>
  <c r="N248" i="28" s="1"/>
  <c r="K232" i="28"/>
  <c r="J232" i="28"/>
  <c r="M231" i="28"/>
  <c r="M232" i="28" s="1"/>
  <c r="M233" i="28" s="1"/>
  <c r="M234" i="28" s="1"/>
  <c r="J231" i="28"/>
  <c r="K231" i="28" s="1"/>
  <c r="N230" i="28"/>
  <c r="N231" i="28" s="1"/>
  <c r="K230" i="28"/>
  <c r="J230" i="28"/>
  <c r="N229" i="28"/>
  <c r="M229" i="28"/>
  <c r="M230" i="28" s="1"/>
  <c r="J229" i="28"/>
  <c r="K229" i="28" s="1"/>
  <c r="O228" i="28"/>
  <c r="O229" i="28" s="1"/>
  <c r="O230" i="28" s="1"/>
  <c r="O231" i="28" s="1"/>
  <c r="O232" i="28" s="1"/>
  <c r="O233" i="28" s="1"/>
  <c r="O234" i="28" s="1"/>
  <c r="O235" i="28" s="1"/>
  <c r="O236" i="28" s="1"/>
  <c r="O237" i="28" s="1"/>
  <c r="O238" i="28" s="1"/>
  <c r="O239" i="28" s="1"/>
  <c r="O240" i="28" s="1"/>
  <c r="O241" i="28" s="1"/>
  <c r="O242" i="28" s="1"/>
  <c r="O243" i="28" s="1"/>
  <c r="O244" i="28" s="1"/>
  <c r="O245" i="28" s="1"/>
  <c r="O246" i="28" s="1"/>
  <c r="O247" i="28" s="1"/>
  <c r="O248" i="28" s="1"/>
  <c r="N228" i="28"/>
  <c r="M228" i="28"/>
  <c r="J228" i="28"/>
  <c r="K228" i="28" s="1"/>
  <c r="K227" i="28"/>
  <c r="J227" i="28"/>
  <c r="M226" i="28"/>
  <c r="K226" i="28"/>
  <c r="J226" i="28"/>
  <c r="K225" i="28"/>
  <c r="J225" i="28"/>
  <c r="K224" i="28"/>
  <c r="J224" i="28"/>
  <c r="K223" i="28"/>
  <c r="J223" i="28"/>
  <c r="O222" i="28"/>
  <c r="O223" i="28" s="1"/>
  <c r="O224" i="28" s="1"/>
  <c r="O225" i="28" s="1"/>
  <c r="O226" i="28" s="1"/>
  <c r="K222" i="28"/>
  <c r="J222" i="28"/>
  <c r="K221" i="28"/>
  <c r="J221" i="28"/>
  <c r="O220" i="28"/>
  <c r="O221" i="28" s="1"/>
  <c r="K220" i="28"/>
  <c r="J220" i="28"/>
  <c r="N219" i="28"/>
  <c r="N220" i="28" s="1"/>
  <c r="N221" i="28" s="1"/>
  <c r="N222" i="28" s="1"/>
  <c r="N223" i="28" s="1"/>
  <c r="N224" i="28" s="1"/>
  <c r="N225" i="28" s="1"/>
  <c r="N226" i="28" s="1"/>
  <c r="M219" i="28"/>
  <c r="M220" i="28" s="1"/>
  <c r="M221" i="28" s="1"/>
  <c r="M222" i="28" s="1"/>
  <c r="M223" i="28" s="1"/>
  <c r="M224" i="28" s="1"/>
  <c r="M225" i="28" s="1"/>
  <c r="K219" i="28"/>
  <c r="J219" i="28"/>
  <c r="O218" i="28"/>
  <c r="O219" i="28" s="1"/>
  <c r="N218" i="28"/>
  <c r="M218" i="28"/>
  <c r="K218" i="28"/>
  <c r="J218" i="28"/>
  <c r="K217" i="28"/>
  <c r="J217" i="28"/>
  <c r="J216" i="28"/>
  <c r="K216" i="28" s="1"/>
  <c r="J215" i="28"/>
  <c r="K215" i="28" s="1"/>
  <c r="J214" i="28"/>
  <c r="K214" i="28" s="1"/>
  <c r="J213" i="28"/>
  <c r="K213" i="28" s="1"/>
  <c r="J212" i="28"/>
  <c r="K212" i="28" s="1"/>
  <c r="J211" i="28"/>
  <c r="K211" i="28" s="1"/>
  <c r="J210" i="28"/>
  <c r="K210" i="28" s="1"/>
  <c r="J209" i="28"/>
  <c r="K209" i="28" s="1"/>
  <c r="J208" i="28"/>
  <c r="K208" i="28" s="1"/>
  <c r="K207" i="28"/>
  <c r="J207" i="28"/>
  <c r="J206" i="28"/>
  <c r="K206" i="28" s="1"/>
  <c r="K205" i="28"/>
  <c r="J205" i="28"/>
  <c r="K204" i="28"/>
  <c r="J204" i="28"/>
  <c r="K203" i="28"/>
  <c r="J203" i="28"/>
  <c r="J202" i="28"/>
  <c r="K202" i="28" s="1"/>
  <c r="J201" i="28"/>
  <c r="K201" i="28" s="1"/>
  <c r="K200" i="28"/>
  <c r="J200" i="28"/>
  <c r="K199" i="28"/>
  <c r="J199" i="28"/>
  <c r="J198" i="28"/>
  <c r="K198" i="28" s="1"/>
  <c r="J197" i="28"/>
  <c r="K197" i="28" s="1"/>
  <c r="J196" i="28"/>
  <c r="K196" i="28" s="1"/>
  <c r="J195" i="28"/>
  <c r="K195" i="28" s="1"/>
  <c r="J194" i="28"/>
  <c r="K194" i="28" s="1"/>
  <c r="O193" i="28"/>
  <c r="O194" i="28" s="1"/>
  <c r="O195" i="28" s="1"/>
  <c r="O196" i="28" s="1"/>
  <c r="O197" i="28" s="1"/>
  <c r="O198" i="28" s="1"/>
  <c r="O199" i="28" s="1"/>
  <c r="O200" i="28" s="1"/>
  <c r="O201" i="28" s="1"/>
  <c r="O202" i="28" s="1"/>
  <c r="O203" i="28" s="1"/>
  <c r="O204" i="28" s="1"/>
  <c r="O205" i="28" s="1"/>
  <c r="O206" i="28" s="1"/>
  <c r="O207" i="28" s="1"/>
  <c r="O208" i="28" s="1"/>
  <c r="O209" i="28" s="1"/>
  <c r="O210" i="28" s="1"/>
  <c r="O211" i="28" s="1"/>
  <c r="O212" i="28" s="1"/>
  <c r="O213" i="28" s="1"/>
  <c r="O214" i="28" s="1"/>
  <c r="O215" i="28" s="1"/>
  <c r="O216" i="28" s="1"/>
  <c r="O217" i="28" s="1"/>
  <c r="J193" i="28"/>
  <c r="K193" i="28" s="1"/>
  <c r="J192" i="28"/>
  <c r="K192" i="28" s="1"/>
  <c r="J191" i="28"/>
  <c r="K191" i="28" s="1"/>
  <c r="J190" i="28"/>
  <c r="K190" i="28" s="1"/>
  <c r="K189" i="28"/>
  <c r="J189" i="28"/>
  <c r="O188" i="28"/>
  <c r="O189" i="28" s="1"/>
  <c r="O190" i="28" s="1"/>
  <c r="O191" i="28" s="1"/>
  <c r="O192" i="28" s="1"/>
  <c r="J188" i="28"/>
  <c r="K188" i="28" s="1"/>
  <c r="P187" i="28"/>
  <c r="O187" i="28"/>
  <c r="N187" i="28"/>
  <c r="N188" i="28" s="1"/>
  <c r="N189" i="28" s="1"/>
  <c r="N190" i="28" s="1"/>
  <c r="N191" i="28" s="1"/>
  <c r="N192" i="28" s="1"/>
  <c r="N193" i="28" s="1"/>
  <c r="N194" i="28" s="1"/>
  <c r="N195" i="28" s="1"/>
  <c r="N196" i="28" s="1"/>
  <c r="N197" i="28" s="1"/>
  <c r="N198" i="28" s="1"/>
  <c r="N199" i="28" s="1"/>
  <c r="N200" i="28" s="1"/>
  <c r="N201" i="28" s="1"/>
  <c r="N202" i="28" s="1"/>
  <c r="N203" i="28" s="1"/>
  <c r="N204" i="28" s="1"/>
  <c r="N205" i="28" s="1"/>
  <c r="N206" i="28" s="1"/>
  <c r="N207" i="28" s="1"/>
  <c r="N208" i="28" s="1"/>
  <c r="N209" i="28" s="1"/>
  <c r="N210" i="28" s="1"/>
  <c r="N211" i="28" s="1"/>
  <c r="N212" i="28" s="1"/>
  <c r="N213" i="28" s="1"/>
  <c r="N214" i="28" s="1"/>
  <c r="N215" i="28" s="1"/>
  <c r="N216" i="28" s="1"/>
  <c r="N217" i="28" s="1"/>
  <c r="M187" i="28"/>
  <c r="M188" i="28" s="1"/>
  <c r="J187" i="28"/>
  <c r="K187" i="28" s="1"/>
  <c r="T186" i="28"/>
  <c r="V186" i="28" s="1"/>
  <c r="K186" i="28"/>
  <c r="J186" i="28"/>
  <c r="J185" i="28"/>
  <c r="K185" i="28" s="1"/>
  <c r="K184" i="28"/>
  <c r="J184" i="28"/>
  <c r="J183" i="28"/>
  <c r="K183" i="28" s="1"/>
  <c r="K182" i="28"/>
  <c r="J182" i="28"/>
  <c r="J181" i="28"/>
  <c r="K181" i="28" s="1"/>
  <c r="K180" i="28"/>
  <c r="J180" i="28"/>
  <c r="N179" i="28"/>
  <c r="N180" i="28" s="1"/>
  <c r="N181" i="28" s="1"/>
  <c r="N182" i="28" s="1"/>
  <c r="N183" i="28" s="1"/>
  <c r="N184" i="28" s="1"/>
  <c r="N185" i="28" s="1"/>
  <c r="N186" i="28" s="1"/>
  <c r="J179" i="28"/>
  <c r="K179" i="28" s="1"/>
  <c r="J178" i="28"/>
  <c r="K178" i="28" s="1"/>
  <c r="J177" i="28"/>
  <c r="K177" i="28" s="1"/>
  <c r="J176" i="28"/>
  <c r="K176" i="28" s="1"/>
  <c r="J175" i="28"/>
  <c r="K175" i="28" s="1"/>
  <c r="J174" i="28"/>
  <c r="K174" i="28" s="1"/>
  <c r="J173" i="28"/>
  <c r="K173" i="28" s="1"/>
  <c r="J172" i="28"/>
  <c r="K172" i="28" s="1"/>
  <c r="J171" i="28"/>
  <c r="K171" i="28" s="1"/>
  <c r="J170" i="28"/>
  <c r="K170" i="28" s="1"/>
  <c r="J169" i="28"/>
  <c r="K169" i="28" s="1"/>
  <c r="J168" i="28"/>
  <c r="K168" i="28" s="1"/>
  <c r="J167" i="28"/>
  <c r="K167" i="28" s="1"/>
  <c r="J166" i="28"/>
  <c r="K166" i="28" s="1"/>
  <c r="J165" i="28"/>
  <c r="K165" i="28" s="1"/>
  <c r="M164" i="28"/>
  <c r="M165" i="28" s="1"/>
  <c r="M166" i="28" s="1"/>
  <c r="M167" i="28" s="1"/>
  <c r="M168" i="28" s="1"/>
  <c r="M169" i="28" s="1"/>
  <c r="M170" i="28" s="1"/>
  <c r="M171" i="28" s="1"/>
  <c r="M172" i="28" s="1"/>
  <c r="M173" i="28" s="1"/>
  <c r="M174" i="28" s="1"/>
  <c r="M175" i="28" s="1"/>
  <c r="M176" i="28" s="1"/>
  <c r="M177" i="28" s="1"/>
  <c r="M178" i="28" s="1"/>
  <c r="M179" i="28" s="1"/>
  <c r="M180" i="28" s="1"/>
  <c r="M181" i="28" s="1"/>
  <c r="M182" i="28" s="1"/>
  <c r="M183" i="28" s="1"/>
  <c r="M184" i="28" s="1"/>
  <c r="M185" i="28" s="1"/>
  <c r="M186" i="28" s="1"/>
  <c r="K164" i="28"/>
  <c r="J164" i="28"/>
  <c r="J163" i="28"/>
  <c r="K163" i="28" s="1"/>
  <c r="J162" i="28"/>
  <c r="K162" i="28" s="1"/>
  <c r="J161" i="28"/>
  <c r="K161" i="28" s="1"/>
  <c r="O160" i="28"/>
  <c r="O161" i="28" s="1"/>
  <c r="O162" i="28" s="1"/>
  <c r="O163" i="28" s="1"/>
  <c r="O164" i="28" s="1"/>
  <c r="O165" i="28" s="1"/>
  <c r="O166" i="28" s="1"/>
  <c r="O167" i="28" s="1"/>
  <c r="O168" i="28" s="1"/>
  <c r="O169" i="28" s="1"/>
  <c r="O170" i="28" s="1"/>
  <c r="O171" i="28" s="1"/>
  <c r="O172" i="28" s="1"/>
  <c r="O173" i="28" s="1"/>
  <c r="O174" i="28" s="1"/>
  <c r="O175" i="28" s="1"/>
  <c r="O176" i="28" s="1"/>
  <c r="O177" i="28" s="1"/>
  <c r="O178" i="28" s="1"/>
  <c r="O179" i="28" s="1"/>
  <c r="O180" i="28" s="1"/>
  <c r="O181" i="28" s="1"/>
  <c r="O182" i="28" s="1"/>
  <c r="O183" i="28" s="1"/>
  <c r="O184" i="28" s="1"/>
  <c r="O185" i="28" s="1"/>
  <c r="O186" i="28" s="1"/>
  <c r="N160" i="28"/>
  <c r="N161" i="28" s="1"/>
  <c r="N162" i="28" s="1"/>
  <c r="N163" i="28" s="1"/>
  <c r="N164" i="28" s="1"/>
  <c r="N165" i="28" s="1"/>
  <c r="N166" i="28" s="1"/>
  <c r="N167" i="28" s="1"/>
  <c r="N168" i="28" s="1"/>
  <c r="N169" i="28" s="1"/>
  <c r="N170" i="28" s="1"/>
  <c r="N171" i="28" s="1"/>
  <c r="N172" i="28" s="1"/>
  <c r="N173" i="28" s="1"/>
  <c r="N174" i="28" s="1"/>
  <c r="N175" i="28" s="1"/>
  <c r="N176" i="28" s="1"/>
  <c r="N177" i="28" s="1"/>
  <c r="N178" i="28" s="1"/>
  <c r="J160" i="28"/>
  <c r="K160" i="28" s="1"/>
  <c r="J159" i="28"/>
  <c r="K159" i="28" s="1"/>
  <c r="O158" i="28"/>
  <c r="O159" i="28" s="1"/>
  <c r="M158" i="28"/>
  <c r="M159" i="28" s="1"/>
  <c r="M160" i="28" s="1"/>
  <c r="M161" i="28" s="1"/>
  <c r="M162" i="28" s="1"/>
  <c r="M163" i="28" s="1"/>
  <c r="J158" i="28"/>
  <c r="K158" i="28" s="1"/>
  <c r="O157" i="28"/>
  <c r="N157" i="28"/>
  <c r="N158" i="28" s="1"/>
  <c r="N159" i="28" s="1"/>
  <c r="M157" i="28"/>
  <c r="K157" i="28"/>
  <c r="J157" i="28"/>
  <c r="K156" i="28"/>
  <c r="J156" i="28"/>
  <c r="K155" i="28"/>
  <c r="J155" i="28"/>
  <c r="K154" i="28"/>
  <c r="J154" i="28"/>
  <c r="K153" i="28"/>
  <c r="J153" i="28"/>
  <c r="K152" i="28"/>
  <c r="J152" i="28"/>
  <c r="N151" i="28"/>
  <c r="N152" i="28" s="1"/>
  <c r="N153" i="28" s="1"/>
  <c r="N154" i="28" s="1"/>
  <c r="N155" i="28" s="1"/>
  <c r="K151" i="28"/>
  <c r="J151" i="28"/>
  <c r="K150" i="28"/>
  <c r="J150" i="28"/>
  <c r="S149" i="28"/>
  <c r="J149" i="28"/>
  <c r="K149" i="28" s="1"/>
  <c r="J148" i="28"/>
  <c r="K148" i="28" s="1"/>
  <c r="J147" i="28"/>
  <c r="K147" i="28" s="1"/>
  <c r="J146" i="28"/>
  <c r="K146" i="28" s="1"/>
  <c r="K145" i="28"/>
  <c r="J145" i="28"/>
  <c r="J144" i="28"/>
  <c r="K144" i="28" s="1"/>
  <c r="J143" i="28"/>
  <c r="K143" i="28" s="1"/>
  <c r="N142" i="28"/>
  <c r="N143" i="28" s="1"/>
  <c r="N144" i="28" s="1"/>
  <c r="N145" i="28" s="1"/>
  <c r="N146" i="28" s="1"/>
  <c r="N147" i="28" s="1"/>
  <c r="N148" i="28" s="1"/>
  <c r="N149" i="28" s="1"/>
  <c r="N150" i="28" s="1"/>
  <c r="J142" i="28"/>
  <c r="K142" i="28" s="1"/>
  <c r="K141" i="28"/>
  <c r="J141" i="28"/>
  <c r="J140" i="28"/>
  <c r="K140" i="28" s="1"/>
  <c r="J139" i="28"/>
  <c r="K139" i="28" s="1"/>
  <c r="J138" i="28"/>
  <c r="K138" i="28" s="1"/>
  <c r="O137" i="28"/>
  <c r="O138" i="28" s="1"/>
  <c r="O139" i="28" s="1"/>
  <c r="O140" i="28" s="1"/>
  <c r="O141" i="28" s="1"/>
  <c r="O142" i="28" s="1"/>
  <c r="O143" i="28" s="1"/>
  <c r="O144" i="28" s="1"/>
  <c r="O145" i="28" s="1"/>
  <c r="O146" i="28" s="1"/>
  <c r="O147" i="28" s="1"/>
  <c r="O148" i="28" s="1"/>
  <c r="O149" i="28" s="1"/>
  <c r="O150" i="28" s="1"/>
  <c r="O151" i="28" s="1"/>
  <c r="O152" i="28" s="1"/>
  <c r="O153" i="28" s="1"/>
  <c r="O154" i="28" s="1"/>
  <c r="O155" i="28" s="1"/>
  <c r="N137" i="28"/>
  <c r="N138" i="28" s="1"/>
  <c r="N139" i="28" s="1"/>
  <c r="N140" i="28" s="1"/>
  <c r="N141" i="28" s="1"/>
  <c r="J137" i="28"/>
  <c r="K137" i="28" s="1"/>
  <c r="O136" i="28"/>
  <c r="N136" i="28"/>
  <c r="M136" i="28"/>
  <c r="J136" i="28"/>
  <c r="K136" i="28" s="1"/>
  <c r="K135" i="28"/>
  <c r="J135" i="28"/>
  <c r="K134" i="28"/>
  <c r="J134" i="28"/>
  <c r="K133" i="28"/>
  <c r="J133" i="28"/>
  <c r="K132" i="28"/>
  <c r="J132" i="28"/>
  <c r="K131" i="28"/>
  <c r="J131" i="28"/>
  <c r="N130" i="28"/>
  <c r="N131" i="28" s="1"/>
  <c r="N132" i="28" s="1"/>
  <c r="N133" i="28" s="1"/>
  <c r="N134" i="28" s="1"/>
  <c r="K130" i="28"/>
  <c r="J130" i="28"/>
  <c r="N129" i="28"/>
  <c r="K129" i="28"/>
  <c r="J129" i="28"/>
  <c r="O128" i="28"/>
  <c r="O129" i="28" s="1"/>
  <c r="O130" i="28" s="1"/>
  <c r="O131" i="28" s="1"/>
  <c r="O132" i="28" s="1"/>
  <c r="O133" i="28" s="1"/>
  <c r="O134" i="28" s="1"/>
  <c r="K128" i="28"/>
  <c r="J128" i="28"/>
  <c r="O127" i="28"/>
  <c r="J127" i="28"/>
  <c r="K127" i="28" s="1"/>
  <c r="O126" i="28"/>
  <c r="N126" i="28"/>
  <c r="N127" i="28" s="1"/>
  <c r="N128" i="28" s="1"/>
  <c r="M126" i="28"/>
  <c r="J126" i="28"/>
  <c r="K126" i="28" s="1"/>
  <c r="J125" i="28"/>
  <c r="K125" i="28" s="1"/>
  <c r="J124" i="28"/>
  <c r="K124" i="28" s="1"/>
  <c r="K123" i="28"/>
  <c r="J123" i="28"/>
  <c r="J122" i="28"/>
  <c r="K122" i="28" s="1"/>
  <c r="J121" i="28"/>
  <c r="K121" i="28" s="1"/>
  <c r="J120" i="28"/>
  <c r="K120" i="28" s="1"/>
  <c r="J119" i="28"/>
  <c r="K119" i="28" s="1"/>
  <c r="K118" i="28"/>
  <c r="J118" i="28"/>
  <c r="M117" i="28"/>
  <c r="J117" i="28"/>
  <c r="K117" i="28" s="1"/>
  <c r="O116" i="28"/>
  <c r="O117" i="28" s="1"/>
  <c r="O118" i="28" s="1"/>
  <c r="O119" i="28" s="1"/>
  <c r="O120" i="28" s="1"/>
  <c r="O121" i="28" s="1"/>
  <c r="O122" i="28" s="1"/>
  <c r="O123" i="28" s="1"/>
  <c r="O124" i="28" s="1"/>
  <c r="M116" i="28"/>
  <c r="K116" i="28"/>
  <c r="J116" i="28"/>
  <c r="K115" i="28"/>
  <c r="J115" i="28"/>
  <c r="K114" i="28"/>
  <c r="J114" i="28"/>
  <c r="K113" i="28"/>
  <c r="J113" i="28"/>
  <c r="K112" i="28"/>
  <c r="J112" i="28"/>
  <c r="K111" i="28"/>
  <c r="J111" i="28"/>
  <c r="K110" i="28"/>
  <c r="J110" i="28"/>
  <c r="K109" i="28"/>
  <c r="J109" i="28"/>
  <c r="K108" i="28"/>
  <c r="J108" i="28"/>
  <c r="K107" i="28"/>
  <c r="J107" i="28"/>
  <c r="K106" i="28"/>
  <c r="J106" i="28"/>
  <c r="K105" i="28"/>
  <c r="J105" i="28"/>
  <c r="K104" i="28"/>
  <c r="J104" i="28"/>
  <c r="K103" i="28"/>
  <c r="J103" i="28"/>
  <c r="K102" i="28"/>
  <c r="J102" i="28"/>
  <c r="K101" i="28"/>
  <c r="J101" i="28"/>
  <c r="K100" i="28"/>
  <c r="J100" i="28"/>
  <c r="O99" i="28"/>
  <c r="O100" i="28" s="1"/>
  <c r="O101" i="28" s="1"/>
  <c r="O102" i="28" s="1"/>
  <c r="O103" i="28" s="1"/>
  <c r="O104" i="28" s="1"/>
  <c r="O105" i="28" s="1"/>
  <c r="O106" i="28" s="1"/>
  <c r="O107" i="28" s="1"/>
  <c r="O108" i="28" s="1"/>
  <c r="O109" i="28" s="1"/>
  <c r="O110" i="28" s="1"/>
  <c r="O111" i="28" s="1"/>
  <c r="O112" i="28" s="1"/>
  <c r="O113" i="28" s="1"/>
  <c r="O114" i="28" s="1"/>
  <c r="K99" i="28"/>
  <c r="J99" i="28"/>
  <c r="K98" i="28"/>
  <c r="J98" i="28"/>
  <c r="N97" i="28"/>
  <c r="N98" i="28" s="1"/>
  <c r="N99" i="28" s="1"/>
  <c r="N100" i="28" s="1"/>
  <c r="N101" i="28" s="1"/>
  <c r="N102" i="28" s="1"/>
  <c r="N103" i="28" s="1"/>
  <c r="N104" i="28" s="1"/>
  <c r="N105" i="28" s="1"/>
  <c r="N106" i="28" s="1"/>
  <c r="N107" i="28" s="1"/>
  <c r="N108" i="28" s="1"/>
  <c r="N109" i="28" s="1"/>
  <c r="N110" i="28" s="1"/>
  <c r="N111" i="28" s="1"/>
  <c r="N112" i="28" s="1"/>
  <c r="N113" i="28" s="1"/>
  <c r="N114" i="28" s="1"/>
  <c r="N115" i="28" s="1"/>
  <c r="N116" i="28" s="1"/>
  <c r="N117" i="28" s="1"/>
  <c r="N118" i="28" s="1"/>
  <c r="N119" i="28" s="1"/>
  <c r="N120" i="28" s="1"/>
  <c r="N121" i="28" s="1"/>
  <c r="N122" i="28" s="1"/>
  <c r="N123" i="28" s="1"/>
  <c r="N124" i="28" s="1"/>
  <c r="K97" i="28"/>
  <c r="J97" i="28"/>
  <c r="O96" i="28"/>
  <c r="O97" i="28" s="1"/>
  <c r="O98" i="28" s="1"/>
  <c r="N96" i="28"/>
  <c r="M96" i="28"/>
  <c r="K96" i="28"/>
  <c r="J96" i="28"/>
  <c r="J95" i="28"/>
  <c r="K95" i="28" s="1"/>
  <c r="J94" i="28"/>
  <c r="K94" i="28" s="1"/>
  <c r="J93" i="28"/>
  <c r="K93" i="28" s="1"/>
  <c r="J92" i="28"/>
  <c r="K92" i="28" s="1"/>
  <c r="J91" i="28"/>
  <c r="K91" i="28" s="1"/>
  <c r="K90" i="28"/>
  <c r="J90" i="28"/>
  <c r="K89" i="28"/>
  <c r="J89" i="28"/>
  <c r="K88" i="28"/>
  <c r="J88" i="28"/>
  <c r="K87" i="28"/>
  <c r="J87" i="28"/>
  <c r="K86" i="28"/>
  <c r="J86" i="28"/>
  <c r="K85" i="28"/>
  <c r="J85" i="28"/>
  <c r="K84" i="28"/>
  <c r="J84" i="28"/>
  <c r="M83" i="28"/>
  <c r="M84" i="28" s="1"/>
  <c r="M85" i="28" s="1"/>
  <c r="M86" i="28" s="1"/>
  <c r="M87" i="28" s="1"/>
  <c r="M88" i="28" s="1"/>
  <c r="M89" i="28" s="1"/>
  <c r="M90" i="28" s="1"/>
  <c r="M91" i="28" s="1"/>
  <c r="M92" i="28" s="1"/>
  <c r="M93" i="28" s="1"/>
  <c r="M94" i="28" s="1"/>
  <c r="K83" i="28"/>
  <c r="J83" i="28"/>
  <c r="K82" i="28"/>
  <c r="J82" i="28"/>
  <c r="J81" i="28"/>
  <c r="K81" i="28" s="1"/>
  <c r="K80" i="28"/>
  <c r="J80" i="28"/>
  <c r="K79" i="28"/>
  <c r="J79" i="28"/>
  <c r="J78" i="28"/>
  <c r="K78" i="28" s="1"/>
  <c r="J77" i="28"/>
  <c r="K77" i="28" s="1"/>
  <c r="N76" i="28"/>
  <c r="N77" i="28" s="1"/>
  <c r="N78" i="28" s="1"/>
  <c r="N79" i="28" s="1"/>
  <c r="N80" i="28" s="1"/>
  <c r="N81" i="28" s="1"/>
  <c r="N82" i="28" s="1"/>
  <c r="N83" i="28" s="1"/>
  <c r="N84" i="28" s="1"/>
  <c r="N85" i="28" s="1"/>
  <c r="N86" i="28" s="1"/>
  <c r="N87" i="28" s="1"/>
  <c r="N88" i="28" s="1"/>
  <c r="N89" i="28" s="1"/>
  <c r="N90" i="28" s="1"/>
  <c r="N91" i="28" s="1"/>
  <c r="N92" i="28" s="1"/>
  <c r="N93" i="28" s="1"/>
  <c r="N94" i="28" s="1"/>
  <c r="J76" i="28"/>
  <c r="K76" i="28" s="1"/>
  <c r="N75" i="28"/>
  <c r="J75" i="28"/>
  <c r="K75" i="28" s="1"/>
  <c r="J74" i="28"/>
  <c r="K74" i="28" s="1"/>
  <c r="J73" i="28"/>
  <c r="K73" i="28" s="1"/>
  <c r="J72" i="28"/>
  <c r="K72" i="28" s="1"/>
  <c r="J71" i="28"/>
  <c r="K71" i="28" s="1"/>
  <c r="K70" i="28"/>
  <c r="J70" i="28"/>
  <c r="K69" i="28"/>
  <c r="J69" i="28"/>
  <c r="O68" i="28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O84" i="28" s="1"/>
  <c r="O85" i="28" s="1"/>
  <c r="O86" i="28" s="1"/>
  <c r="O87" i="28" s="1"/>
  <c r="O88" i="28" s="1"/>
  <c r="O89" i="28" s="1"/>
  <c r="O90" i="28" s="1"/>
  <c r="O91" i="28" s="1"/>
  <c r="O92" i="28" s="1"/>
  <c r="O93" i="28" s="1"/>
  <c r="O94" i="28" s="1"/>
  <c r="K68" i="28"/>
  <c r="J68" i="28"/>
  <c r="J67" i="28"/>
  <c r="K67" i="28" s="1"/>
  <c r="K66" i="28"/>
  <c r="J66" i="28"/>
  <c r="O65" i="28"/>
  <c r="O66" i="28" s="1"/>
  <c r="O67" i="28" s="1"/>
  <c r="N65" i="28"/>
  <c r="N66" i="28" s="1"/>
  <c r="N67" i="28" s="1"/>
  <c r="N68" i="28" s="1"/>
  <c r="N69" i="28" s="1"/>
  <c r="N70" i="28" s="1"/>
  <c r="N71" i="28" s="1"/>
  <c r="N72" i="28" s="1"/>
  <c r="N73" i="28" s="1"/>
  <c r="N74" i="28" s="1"/>
  <c r="M65" i="28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J65" i="28"/>
  <c r="K65" i="28" s="1"/>
  <c r="J63" i="28"/>
  <c r="K63" i="28" s="1"/>
  <c r="K62" i="28"/>
  <c r="J62" i="28"/>
  <c r="J61" i="28"/>
  <c r="K61" i="28" s="1"/>
  <c r="J60" i="28"/>
  <c r="K60" i="28" s="1"/>
  <c r="K59" i="28"/>
  <c r="J59" i="28"/>
  <c r="K58" i="28"/>
  <c r="J58" i="28"/>
  <c r="K57" i="28"/>
  <c r="J57" i="28"/>
  <c r="J56" i="28"/>
  <c r="K56" i="28" s="1"/>
  <c r="J55" i="28"/>
  <c r="K55" i="28" s="1"/>
  <c r="K54" i="28"/>
  <c r="J54" i="28"/>
  <c r="K53" i="28"/>
  <c r="J53" i="28"/>
  <c r="J52" i="28"/>
  <c r="K52" i="28" s="1"/>
  <c r="J51" i="28"/>
  <c r="K51" i="28" s="1"/>
  <c r="K50" i="28"/>
  <c r="J50" i="28"/>
  <c r="K49" i="28"/>
  <c r="J49" i="28"/>
  <c r="J48" i="28"/>
  <c r="K48" i="28" s="1"/>
  <c r="M47" i="28"/>
  <c r="J47" i="28"/>
  <c r="K47" i="28" s="1"/>
  <c r="M46" i="28"/>
  <c r="J46" i="28"/>
  <c r="K46" i="28" s="1"/>
  <c r="K45" i="28"/>
  <c r="J45" i="28"/>
  <c r="K44" i="28"/>
  <c r="J44" i="28"/>
  <c r="K43" i="28"/>
  <c r="J43" i="28"/>
  <c r="R42" i="28"/>
  <c r="O42" i="28"/>
  <c r="O43" i="28" s="1"/>
  <c r="O44" i="28" s="1"/>
  <c r="K42" i="28"/>
  <c r="J42" i="28"/>
  <c r="K41" i="28"/>
  <c r="J41" i="28"/>
  <c r="K40" i="28"/>
  <c r="J40" i="28"/>
  <c r="R39" i="28"/>
  <c r="J39" i="28"/>
  <c r="K39" i="28" s="1"/>
  <c r="R38" i="28"/>
  <c r="J38" i="28"/>
  <c r="K38" i="28" s="1"/>
  <c r="N37" i="28"/>
  <c r="K37" i="28"/>
  <c r="J37" i="28"/>
  <c r="Q36" i="28"/>
  <c r="O36" i="28"/>
  <c r="O37" i="28" s="1"/>
  <c r="O38" i="28" s="1"/>
  <c r="O39" i="28" s="1"/>
  <c r="O40" i="28" s="1"/>
  <c r="O41" i="28" s="1"/>
  <c r="N36" i="28"/>
  <c r="M36" i="28"/>
  <c r="M37" i="28" s="1"/>
  <c r="K36" i="28"/>
  <c r="J36" i="28"/>
  <c r="R35" i="28"/>
  <c r="Q35" i="28"/>
  <c r="P35" i="28"/>
  <c r="J35" i="28"/>
  <c r="K35" i="28" s="1"/>
  <c r="V34" i="28"/>
  <c r="T34" i="28"/>
  <c r="R34" i="28"/>
  <c r="Q34" i="28"/>
  <c r="P34" i="28"/>
  <c r="K34" i="28"/>
  <c r="J34" i="28"/>
  <c r="K33" i="28"/>
  <c r="J33" i="28"/>
  <c r="P32" i="28"/>
  <c r="K32" i="28"/>
  <c r="J32" i="28"/>
  <c r="P31" i="28"/>
  <c r="K31" i="28"/>
  <c r="J31" i="28"/>
  <c r="P30" i="28"/>
  <c r="K30" i="28"/>
  <c r="J30" i="28"/>
  <c r="P29" i="28"/>
  <c r="O29" i="28"/>
  <c r="K29" i="28"/>
  <c r="J29" i="28"/>
  <c r="O28" i="28"/>
  <c r="R28" i="28" s="1"/>
  <c r="K28" i="28"/>
  <c r="J28" i="28"/>
  <c r="R27" i="28"/>
  <c r="P27" i="28"/>
  <c r="T27" i="28" s="1"/>
  <c r="V27" i="28" s="1"/>
  <c r="J27" i="28"/>
  <c r="K27" i="28" s="1"/>
  <c r="R26" i="28"/>
  <c r="P26" i="28"/>
  <c r="J26" i="28"/>
  <c r="K26" i="28" s="1"/>
  <c r="R25" i="28"/>
  <c r="P25" i="28"/>
  <c r="O25" i="28"/>
  <c r="O26" i="28" s="1"/>
  <c r="O27" i="28" s="1"/>
  <c r="N25" i="28"/>
  <c r="M25" i="28"/>
  <c r="M26" i="28" s="1"/>
  <c r="M27" i="28" s="1"/>
  <c r="M28" i="28" s="1"/>
  <c r="M29" i="28" s="1"/>
  <c r="M30" i="28" s="1"/>
  <c r="M31" i="28" s="1"/>
  <c r="M32" i="28" s="1"/>
  <c r="M33" i="28" s="1"/>
  <c r="P33" i="28" s="1"/>
  <c r="J25" i="28"/>
  <c r="K25" i="28" s="1"/>
  <c r="V24" i="28"/>
  <c r="T24" i="28"/>
  <c r="R24" i="28"/>
  <c r="Q24" i="28"/>
  <c r="P24" i="28"/>
  <c r="J24" i="28"/>
  <c r="K24" i="28" s="1"/>
  <c r="J23" i="28"/>
  <c r="K23" i="28" s="1"/>
  <c r="J22" i="28"/>
  <c r="K22" i="28" s="1"/>
  <c r="J21" i="28"/>
  <c r="K21" i="28" s="1"/>
  <c r="J20" i="28"/>
  <c r="K20" i="28" s="1"/>
  <c r="K19" i="28"/>
  <c r="J19" i="28"/>
  <c r="K18" i="28"/>
  <c r="J18" i="28"/>
  <c r="J17" i="28"/>
  <c r="K17" i="28" s="1"/>
  <c r="K16" i="28"/>
  <c r="J16" i="28"/>
  <c r="K15" i="28"/>
  <c r="J15" i="28"/>
  <c r="K14" i="28"/>
  <c r="J14" i="28"/>
  <c r="J13" i="28"/>
  <c r="K13" i="28" s="1"/>
  <c r="J12" i="28"/>
  <c r="K12" i="28" s="1"/>
  <c r="J11" i="28"/>
  <c r="K11" i="28" s="1"/>
  <c r="J10" i="28"/>
  <c r="K10" i="28" s="1"/>
  <c r="J9" i="28"/>
  <c r="K9" i="28" s="1"/>
  <c r="O8" i="28"/>
  <c r="J8" i="28"/>
  <c r="K8" i="28" s="1"/>
  <c r="J7" i="28"/>
  <c r="K7" i="28" s="1"/>
  <c r="O6" i="28"/>
  <c r="O7" i="28" s="1"/>
  <c r="R7" i="28" s="1"/>
  <c r="M6" i="28"/>
  <c r="J6" i="28"/>
  <c r="K6" i="28" s="1"/>
  <c r="R5" i="28"/>
  <c r="Q5" i="28"/>
  <c r="O5" i="28"/>
  <c r="N5" i="28"/>
  <c r="N6" i="28" s="1"/>
  <c r="M5" i="28"/>
  <c r="P5" i="28" s="1"/>
  <c r="J5" i="28"/>
  <c r="K5" i="28" s="1"/>
  <c r="I374" i="30"/>
  <c r="G374" i="30"/>
  <c r="F371" i="30"/>
  <c r="E371" i="30"/>
  <c r="C371" i="30"/>
  <c r="AD370" i="30"/>
  <c r="Z370" i="30"/>
  <c r="X370" i="30"/>
  <c r="W370" i="30"/>
  <c r="V370" i="30"/>
  <c r="J370" i="30"/>
  <c r="K370" i="30" s="1"/>
  <c r="K369" i="30"/>
  <c r="J369" i="30"/>
  <c r="AA368" i="30"/>
  <c r="Y368" i="30"/>
  <c r="J368" i="30"/>
  <c r="K368" i="30" s="1"/>
  <c r="K367" i="30"/>
  <c r="J367" i="30"/>
  <c r="K366" i="30"/>
  <c r="J366" i="30"/>
  <c r="J365" i="30"/>
  <c r="K365" i="30" s="1"/>
  <c r="K364" i="30"/>
  <c r="J364" i="30"/>
  <c r="AA363" i="30"/>
  <c r="K363" i="30"/>
  <c r="J363" i="30"/>
  <c r="J362" i="30"/>
  <c r="K362" i="30" s="1"/>
  <c r="AA361" i="30"/>
  <c r="Y361" i="30"/>
  <c r="K361" i="30"/>
  <c r="J361" i="30"/>
  <c r="J360" i="30"/>
  <c r="K360" i="30" s="1"/>
  <c r="D360" i="30"/>
  <c r="AA359" i="30"/>
  <c r="K359" i="30"/>
  <c r="J359" i="30"/>
  <c r="K358" i="30"/>
  <c r="J358" i="30"/>
  <c r="K357" i="30"/>
  <c r="J357" i="30"/>
  <c r="AA356" i="30"/>
  <c r="X356" i="30"/>
  <c r="D356" i="30"/>
  <c r="J356" i="30" s="1"/>
  <c r="K356" i="30" s="1"/>
  <c r="J355" i="30"/>
  <c r="K355" i="30" s="1"/>
  <c r="D355" i="30"/>
  <c r="AA354" i="30"/>
  <c r="Y354" i="30"/>
  <c r="J354" i="30"/>
  <c r="K354" i="30" s="1"/>
  <c r="J353" i="30"/>
  <c r="K353" i="30" s="1"/>
  <c r="D353" i="30"/>
  <c r="D352" i="30"/>
  <c r="J352" i="30" s="1"/>
  <c r="K352" i="30" s="1"/>
  <c r="J351" i="30"/>
  <c r="K351" i="30" s="1"/>
  <c r="D351" i="30"/>
  <c r="D350" i="30"/>
  <c r="J350" i="30" s="1"/>
  <c r="K350" i="30" s="1"/>
  <c r="AA349" i="30"/>
  <c r="K349" i="30"/>
  <c r="J349" i="30"/>
  <c r="K348" i="30"/>
  <c r="J348" i="30"/>
  <c r="AA347" i="30"/>
  <c r="Y347" i="30"/>
  <c r="K347" i="30"/>
  <c r="J347" i="30"/>
  <c r="J346" i="30"/>
  <c r="K346" i="30" s="1"/>
  <c r="J345" i="30"/>
  <c r="K345" i="30" s="1"/>
  <c r="K344" i="30"/>
  <c r="J344" i="30"/>
  <c r="K343" i="30"/>
  <c r="J343" i="30"/>
  <c r="AA342" i="30"/>
  <c r="K342" i="30"/>
  <c r="J342" i="30"/>
  <c r="D342" i="30"/>
  <c r="D341" i="30"/>
  <c r="AA340" i="30"/>
  <c r="Y340" i="30"/>
  <c r="U340" i="30"/>
  <c r="T340" i="30"/>
  <c r="O340" i="30"/>
  <c r="O341" i="30" s="1"/>
  <c r="N340" i="30"/>
  <c r="M340" i="30"/>
  <c r="J340" i="30"/>
  <c r="K340" i="30" s="1"/>
  <c r="AD339" i="30"/>
  <c r="AA339" i="30"/>
  <c r="U339" i="30"/>
  <c r="T339" i="30"/>
  <c r="S339" i="30"/>
  <c r="K339" i="30"/>
  <c r="J339" i="30"/>
  <c r="K338" i="30"/>
  <c r="J338" i="30"/>
  <c r="K337" i="30"/>
  <c r="J337" i="30"/>
  <c r="K336" i="30"/>
  <c r="J336" i="30"/>
  <c r="AA335" i="30"/>
  <c r="K335" i="30"/>
  <c r="J335" i="30"/>
  <c r="D335" i="30"/>
  <c r="J334" i="30"/>
  <c r="K334" i="30" s="1"/>
  <c r="AA333" i="30"/>
  <c r="Y333" i="30"/>
  <c r="D333" i="30"/>
  <c r="J332" i="30"/>
  <c r="K332" i="30" s="1"/>
  <c r="D332" i="30"/>
  <c r="J331" i="30"/>
  <c r="K331" i="30" s="1"/>
  <c r="D331" i="30"/>
  <c r="K330" i="30"/>
  <c r="D330" i="30"/>
  <c r="J330" i="30" s="1"/>
  <c r="AA329" i="30"/>
  <c r="K329" i="30"/>
  <c r="J329" i="30"/>
  <c r="AA328" i="30"/>
  <c r="J328" i="30"/>
  <c r="K328" i="30" s="1"/>
  <c r="J327" i="30"/>
  <c r="K327" i="30" s="1"/>
  <c r="AA326" i="30"/>
  <c r="J326" i="30"/>
  <c r="K326" i="30" s="1"/>
  <c r="J325" i="30"/>
  <c r="K325" i="30" s="1"/>
  <c r="J324" i="30"/>
  <c r="K324" i="30" s="1"/>
  <c r="J323" i="30"/>
  <c r="K323" i="30" s="1"/>
  <c r="J322" i="30"/>
  <c r="K322" i="30" s="1"/>
  <c r="AA321" i="30"/>
  <c r="K321" i="30"/>
  <c r="J321" i="30"/>
  <c r="J320" i="30"/>
  <c r="K320" i="30" s="1"/>
  <c r="AA319" i="30"/>
  <c r="K319" i="30"/>
  <c r="J319" i="30"/>
  <c r="K318" i="30"/>
  <c r="J318" i="30"/>
  <c r="D317" i="30"/>
  <c r="J316" i="30"/>
  <c r="K316" i="30" s="1"/>
  <c r="J315" i="30"/>
  <c r="K315" i="30" s="1"/>
  <c r="AA314" i="30"/>
  <c r="K314" i="30"/>
  <c r="D314" i="30"/>
  <c r="J314" i="30" s="1"/>
  <c r="J313" i="30"/>
  <c r="K313" i="30" s="1"/>
  <c r="D313" i="30"/>
  <c r="AD312" i="30"/>
  <c r="AD319" i="30" s="1"/>
  <c r="AD326" i="30" s="1"/>
  <c r="AD333" i="30" s="1"/>
  <c r="AD340" i="30" s="1"/>
  <c r="AD347" i="30" s="1"/>
  <c r="AD354" i="30" s="1"/>
  <c r="AD361" i="30" s="1"/>
  <c r="AD368" i="30" s="1"/>
  <c r="AA312" i="30"/>
  <c r="Y312" i="30"/>
  <c r="J312" i="30"/>
  <c r="K312" i="30" s="1"/>
  <c r="D312" i="30"/>
  <c r="N311" i="30"/>
  <c r="N312" i="30" s="1"/>
  <c r="T312" i="30" s="1"/>
  <c r="M311" i="30"/>
  <c r="K311" i="30"/>
  <c r="D311" i="30"/>
  <c r="J311" i="30" s="1"/>
  <c r="T310" i="30"/>
  <c r="S310" i="30"/>
  <c r="O310" i="30"/>
  <c r="N310" i="30"/>
  <c r="M310" i="30"/>
  <c r="J310" i="30"/>
  <c r="K310" i="30" s="1"/>
  <c r="D310" i="30"/>
  <c r="AA309" i="30"/>
  <c r="J309" i="30"/>
  <c r="K309" i="30" s="1"/>
  <c r="K308" i="30"/>
  <c r="J308" i="30"/>
  <c r="AA307" i="30"/>
  <c r="D307" i="30"/>
  <c r="J306" i="30"/>
  <c r="K306" i="30" s="1"/>
  <c r="D306" i="30"/>
  <c r="AD305" i="30"/>
  <c r="AA305" i="30"/>
  <c r="K305" i="30"/>
  <c r="D305" i="30"/>
  <c r="J305" i="30" s="1"/>
  <c r="J304" i="30"/>
  <c r="K304" i="30" s="1"/>
  <c r="D304" i="30"/>
  <c r="K303" i="30"/>
  <c r="D303" i="30"/>
  <c r="J303" i="30" s="1"/>
  <c r="J302" i="30"/>
  <c r="K302" i="30" s="1"/>
  <c r="D302" i="30"/>
  <c r="D301" i="30"/>
  <c r="AA300" i="30"/>
  <c r="K300" i="30"/>
  <c r="J300" i="30"/>
  <c r="K299" i="30"/>
  <c r="J299" i="30"/>
  <c r="AA298" i="30"/>
  <c r="J298" i="30"/>
  <c r="K298" i="30" s="1"/>
  <c r="J297" i="30"/>
  <c r="K297" i="30" s="1"/>
  <c r="J296" i="30"/>
  <c r="K296" i="30" s="1"/>
  <c r="J295" i="30"/>
  <c r="K295" i="30" s="1"/>
  <c r="J294" i="30"/>
  <c r="K294" i="30" s="1"/>
  <c r="AA293" i="30"/>
  <c r="K293" i="30"/>
  <c r="J293" i="30"/>
  <c r="K292" i="30"/>
  <c r="J292" i="30"/>
  <c r="J291" i="30"/>
  <c r="K291" i="30" s="1"/>
  <c r="D290" i="30"/>
  <c r="AA289" i="30"/>
  <c r="D289" i="30"/>
  <c r="J289" i="30" s="1"/>
  <c r="K289" i="30" s="1"/>
  <c r="AA288" i="30"/>
  <c r="D288" i="30"/>
  <c r="J287" i="30"/>
  <c r="K287" i="30" s="1"/>
  <c r="AA286" i="30"/>
  <c r="K286" i="30"/>
  <c r="J286" i="30"/>
  <c r="J285" i="30"/>
  <c r="K285" i="30" s="1"/>
  <c r="J284" i="30"/>
  <c r="K284" i="30" s="1"/>
  <c r="K283" i="30"/>
  <c r="J283" i="30"/>
  <c r="K282" i="30"/>
  <c r="J282" i="30"/>
  <c r="J281" i="30"/>
  <c r="K281" i="30" s="1"/>
  <c r="N280" i="30"/>
  <c r="K280" i="30"/>
  <c r="J280" i="30"/>
  <c r="AA279" i="30"/>
  <c r="U279" i="30"/>
  <c r="T279" i="30"/>
  <c r="O279" i="30"/>
  <c r="O280" i="30" s="1"/>
  <c r="N279" i="30"/>
  <c r="M279" i="30"/>
  <c r="J279" i="30"/>
  <c r="K279" i="30" s="1"/>
  <c r="AA278" i="30"/>
  <c r="K278" i="30"/>
  <c r="J278" i="30"/>
  <c r="K277" i="30"/>
  <c r="J277" i="30"/>
  <c r="K276" i="30"/>
  <c r="D276" i="30"/>
  <c r="J276" i="30" s="1"/>
  <c r="AA275" i="30"/>
  <c r="Y275" i="30"/>
  <c r="J275" i="30"/>
  <c r="K275" i="30" s="1"/>
  <c r="D275" i="30"/>
  <c r="D274" i="30"/>
  <c r="J273" i="30"/>
  <c r="K273" i="30" s="1"/>
  <c r="D273" i="30"/>
  <c r="AA272" i="30"/>
  <c r="Y272" i="30"/>
  <c r="K272" i="30"/>
  <c r="J272" i="30"/>
  <c r="K271" i="30"/>
  <c r="J271" i="30"/>
  <c r="D271" i="30"/>
  <c r="AA270" i="30"/>
  <c r="J270" i="30"/>
  <c r="K270" i="30" s="1"/>
  <c r="D270" i="30"/>
  <c r="K269" i="30"/>
  <c r="J269" i="30"/>
  <c r="AA268" i="30"/>
  <c r="J268" i="30"/>
  <c r="K268" i="30" s="1"/>
  <c r="J267" i="30"/>
  <c r="K267" i="30" s="1"/>
  <c r="D267" i="30"/>
  <c r="D266" i="30"/>
  <c r="AA265" i="30"/>
  <c r="Y265" i="30"/>
  <c r="J265" i="30"/>
  <c r="K265" i="30" s="1"/>
  <c r="D264" i="30"/>
  <c r="AD263" i="30"/>
  <c r="AA263" i="30"/>
  <c r="J263" i="30"/>
  <c r="K263" i="30" s="1"/>
  <c r="D263" i="30"/>
  <c r="D262" i="30"/>
  <c r="J262" i="30" s="1"/>
  <c r="K262" i="30" s="1"/>
  <c r="J261" i="30"/>
  <c r="K261" i="30" s="1"/>
  <c r="D261" i="30"/>
  <c r="D260" i="30"/>
  <c r="J260" i="30" s="1"/>
  <c r="K260" i="30" s="1"/>
  <c r="D259" i="30"/>
  <c r="AA258" i="30"/>
  <c r="K258" i="30"/>
  <c r="J258" i="30"/>
  <c r="D258" i="30"/>
  <c r="J257" i="30"/>
  <c r="K257" i="30" s="1"/>
  <c r="D257" i="30"/>
  <c r="AD256" i="30"/>
  <c r="AA256" i="30"/>
  <c r="D256" i="30"/>
  <c r="D255" i="30"/>
  <c r="J255" i="30" s="1"/>
  <c r="K255" i="30" s="1"/>
  <c r="O254" i="30"/>
  <c r="J254" i="30"/>
  <c r="K254" i="30" s="1"/>
  <c r="D254" i="30"/>
  <c r="U253" i="30"/>
  <c r="O253" i="30"/>
  <c r="K253" i="30"/>
  <c r="J253" i="30"/>
  <c r="U252" i="30"/>
  <c r="J252" i="30"/>
  <c r="K252" i="30" s="1"/>
  <c r="AA251" i="30"/>
  <c r="Y251" i="30"/>
  <c r="U251" i="30"/>
  <c r="K251" i="30"/>
  <c r="J251" i="30"/>
  <c r="U250" i="30"/>
  <c r="M250" i="30"/>
  <c r="J250" i="30"/>
  <c r="K250" i="30" s="1"/>
  <c r="AD249" i="30"/>
  <c r="Y249" i="30"/>
  <c r="U249" i="30"/>
  <c r="O249" i="30"/>
  <c r="O250" i="30" s="1"/>
  <c r="O251" i="30" s="1"/>
  <c r="O252" i="30" s="1"/>
  <c r="N249" i="30"/>
  <c r="M249" i="30"/>
  <c r="S249" i="30" s="1"/>
  <c r="J249" i="30"/>
  <c r="AA248" i="30"/>
  <c r="K248" i="30"/>
  <c r="D248" i="30"/>
  <c r="J248" i="30" s="1"/>
  <c r="J247" i="30"/>
  <c r="K247" i="30" s="1"/>
  <c r="D247" i="30"/>
  <c r="D246" i="30"/>
  <c r="J246" i="30" s="1"/>
  <c r="K246" i="30" s="1"/>
  <c r="J245" i="30"/>
  <c r="K245" i="30" s="1"/>
  <c r="D245" i="30"/>
  <c r="AA244" i="30"/>
  <c r="Y244" i="30"/>
  <c r="Y242" i="30" s="1"/>
  <c r="D244" i="30"/>
  <c r="J244" i="30" s="1"/>
  <c r="K244" i="30" s="1"/>
  <c r="J243" i="30"/>
  <c r="K243" i="30" s="1"/>
  <c r="D243" i="30"/>
  <c r="D242" i="30"/>
  <c r="J242" i="30" s="1"/>
  <c r="K242" i="30" s="1"/>
  <c r="J241" i="30"/>
  <c r="K241" i="30" s="1"/>
  <c r="D241" i="30"/>
  <c r="K240" i="30"/>
  <c r="J240" i="30"/>
  <c r="K239" i="30"/>
  <c r="J239" i="30"/>
  <c r="K238" i="30"/>
  <c r="J238" i="30"/>
  <c r="AA237" i="30"/>
  <c r="J237" i="30"/>
  <c r="K237" i="30" s="1"/>
  <c r="D237" i="30"/>
  <c r="D236" i="30"/>
  <c r="J236" i="30" s="1"/>
  <c r="K236" i="30" s="1"/>
  <c r="AD235" i="30"/>
  <c r="AD242" i="30" s="1"/>
  <c r="Y235" i="30"/>
  <c r="J235" i="30"/>
  <c r="K235" i="30" s="1"/>
  <c r="J234" i="30"/>
  <c r="K234" i="30" s="1"/>
  <c r="D234" i="30"/>
  <c r="D233" i="30"/>
  <c r="J233" i="30" s="1"/>
  <c r="K233" i="30" s="1"/>
  <c r="J232" i="30"/>
  <c r="K232" i="30" s="1"/>
  <c r="D232" i="30"/>
  <c r="D231" i="30"/>
  <c r="J231" i="30" s="1"/>
  <c r="K231" i="30" s="1"/>
  <c r="Y230" i="30"/>
  <c r="D230" i="30"/>
  <c r="J230" i="30" s="1"/>
  <c r="K230" i="30" s="1"/>
  <c r="J229" i="30"/>
  <c r="K229" i="30" s="1"/>
  <c r="D229" i="30"/>
  <c r="AD228" i="30"/>
  <c r="Y228" i="30"/>
  <c r="J228" i="30"/>
  <c r="D228" i="30"/>
  <c r="J227" i="30"/>
  <c r="K227" i="30" s="1"/>
  <c r="D227" i="30"/>
  <c r="J226" i="30"/>
  <c r="K226" i="30" s="1"/>
  <c r="D226" i="30"/>
  <c r="K225" i="30"/>
  <c r="J225" i="30"/>
  <c r="K224" i="30"/>
  <c r="J224" i="30"/>
  <c r="Y223" i="30"/>
  <c r="J223" i="30"/>
  <c r="K223" i="30" s="1"/>
  <c r="D223" i="30"/>
  <c r="K222" i="30"/>
  <c r="D222" i="30"/>
  <c r="J222" i="30" s="1"/>
  <c r="Y221" i="30"/>
  <c r="K221" i="30"/>
  <c r="J221" i="30"/>
  <c r="D221" i="30"/>
  <c r="S220" i="30"/>
  <c r="J220" i="30"/>
  <c r="K220" i="30" s="1"/>
  <c r="D220" i="30"/>
  <c r="S219" i="30"/>
  <c r="M219" i="30"/>
  <c r="M220" i="30" s="1"/>
  <c r="M221" i="30" s="1"/>
  <c r="J219" i="30"/>
  <c r="D219" i="30"/>
  <c r="T218" i="30"/>
  <c r="O218" i="30"/>
  <c r="N218" i="30"/>
  <c r="N219" i="30" s="1"/>
  <c r="M218" i="30"/>
  <c r="S218" i="30" s="1"/>
  <c r="D218" i="30"/>
  <c r="J218" i="30" s="1"/>
  <c r="K218" i="30" s="1"/>
  <c r="D217" i="30"/>
  <c r="D216" i="30"/>
  <c r="K215" i="30"/>
  <c r="J215" i="30"/>
  <c r="K214" i="30"/>
  <c r="J214" i="30"/>
  <c r="K213" i="30"/>
  <c r="J213" i="30"/>
  <c r="K212" i="30"/>
  <c r="J212" i="30"/>
  <c r="K211" i="30"/>
  <c r="J211" i="30"/>
  <c r="K210" i="30"/>
  <c r="J210" i="30"/>
  <c r="Y209" i="30"/>
  <c r="K209" i="30"/>
  <c r="J209" i="30"/>
  <c r="D208" i="30"/>
  <c r="AD207" i="30"/>
  <c r="AD214" i="30" s="1"/>
  <c r="J207" i="30"/>
  <c r="D207" i="30"/>
  <c r="K206" i="30"/>
  <c r="J206" i="30"/>
  <c r="K205" i="30"/>
  <c r="J205" i="30"/>
  <c r="K204" i="30"/>
  <c r="J204" i="30"/>
  <c r="K203" i="30"/>
  <c r="J203" i="30"/>
  <c r="Y202" i="30"/>
  <c r="J202" i="30"/>
  <c r="D202" i="30"/>
  <c r="D201" i="30"/>
  <c r="AD200" i="30"/>
  <c r="AC200" i="30"/>
  <c r="D200" i="30"/>
  <c r="D199" i="30"/>
  <c r="J199" i="30" s="1"/>
  <c r="J198" i="30"/>
  <c r="D198" i="30"/>
  <c r="D197" i="30"/>
  <c r="J197" i="30" s="1"/>
  <c r="D196" i="30"/>
  <c r="J196" i="30" s="1"/>
  <c r="Y195" i="30"/>
  <c r="D195" i="30"/>
  <c r="J194" i="30"/>
  <c r="D194" i="30"/>
  <c r="AD193" i="30"/>
  <c r="J193" i="30"/>
  <c r="D193" i="30"/>
  <c r="D192" i="30"/>
  <c r="J192" i="30" s="1"/>
  <c r="J191" i="30"/>
  <c r="D191" i="30"/>
  <c r="J190" i="30"/>
  <c r="D190" i="30"/>
  <c r="J189" i="30"/>
  <c r="D189" i="30"/>
  <c r="Y188" i="30"/>
  <c r="S188" i="30"/>
  <c r="M188" i="30"/>
  <c r="M189" i="30" s="1"/>
  <c r="J188" i="30"/>
  <c r="K188" i="30" s="1"/>
  <c r="AC193" i="30" s="1"/>
  <c r="S187" i="30"/>
  <c r="O187" i="30"/>
  <c r="M187" i="30"/>
  <c r="D187" i="30"/>
  <c r="J186" i="30"/>
  <c r="K186" i="30" s="1"/>
  <c r="J185" i="30"/>
  <c r="D185" i="30"/>
  <c r="Y184" i="30"/>
  <c r="D184" i="30"/>
  <c r="J184" i="30" s="1"/>
  <c r="J183" i="30"/>
  <c r="D183" i="30"/>
  <c r="J182" i="30"/>
  <c r="D182" i="30"/>
  <c r="Y181" i="30"/>
  <c r="K181" i="30"/>
  <c r="J181" i="30"/>
  <c r="J180" i="30"/>
  <c r="K180" i="30" s="1"/>
  <c r="AD179" i="30"/>
  <c r="AC179" i="30"/>
  <c r="J179" i="30"/>
  <c r="K179" i="30" s="1"/>
  <c r="J178" i="30"/>
  <c r="D177" i="30"/>
  <c r="J177" i="30" s="1"/>
  <c r="AF179" i="30" s="1"/>
  <c r="J176" i="30"/>
  <c r="J175" i="30"/>
  <c r="K174" i="30"/>
  <c r="J174" i="30"/>
  <c r="K173" i="30"/>
  <c r="J173" i="30"/>
  <c r="AD172" i="30"/>
  <c r="K172" i="30"/>
  <c r="J172" i="30"/>
  <c r="J171" i="30"/>
  <c r="K171" i="30" s="1"/>
  <c r="J170" i="30"/>
  <c r="K170" i="30" s="1"/>
  <c r="D170" i="30"/>
  <c r="D169" i="30"/>
  <c r="J169" i="30" s="1"/>
  <c r="K169" i="30" s="1"/>
  <c r="J168" i="30"/>
  <c r="K168" i="30" s="1"/>
  <c r="D168" i="30"/>
  <c r="Y167" i="30"/>
  <c r="Y174" i="30" s="1"/>
  <c r="D167" i="30"/>
  <c r="J167" i="30" s="1"/>
  <c r="K166" i="30"/>
  <c r="J166" i="30"/>
  <c r="D166" i="30"/>
  <c r="D165" i="30"/>
  <c r="J165" i="30" s="1"/>
  <c r="K165" i="30" s="1"/>
  <c r="K164" i="30"/>
  <c r="J164" i="30"/>
  <c r="D164" i="30"/>
  <c r="J163" i="30"/>
  <c r="K163" i="30" s="1"/>
  <c r="D163" i="30"/>
  <c r="J162" i="30"/>
  <c r="K162" i="30" s="1"/>
  <c r="D162" i="30"/>
  <c r="D161" i="30"/>
  <c r="J161" i="30" s="1"/>
  <c r="K161" i="30" s="1"/>
  <c r="Y160" i="30"/>
  <c r="J160" i="30"/>
  <c r="K160" i="30" s="1"/>
  <c r="D160" i="30"/>
  <c r="J159" i="30"/>
  <c r="K159" i="30" s="1"/>
  <c r="AD158" i="30"/>
  <c r="AD165" i="30" s="1"/>
  <c r="O158" i="30"/>
  <c r="N158" i="30"/>
  <c r="J158" i="30"/>
  <c r="K158" i="30" s="1"/>
  <c r="U157" i="30"/>
  <c r="T157" i="30"/>
  <c r="O157" i="30"/>
  <c r="N157" i="30"/>
  <c r="M157" i="30"/>
  <c r="S157" i="30" s="1"/>
  <c r="J157" i="30"/>
  <c r="J156" i="30"/>
  <c r="K156" i="30" s="1"/>
  <c r="J155" i="30"/>
  <c r="K155" i="30" s="1"/>
  <c r="K154" i="30"/>
  <c r="J154" i="30"/>
  <c r="Y153" i="30"/>
  <c r="J153" i="30"/>
  <c r="K153" i="30" s="1"/>
  <c r="J152" i="30"/>
  <c r="K152" i="30" s="1"/>
  <c r="D152" i="30"/>
  <c r="AD151" i="30"/>
  <c r="Y151" i="30"/>
  <c r="K151" i="30"/>
  <c r="J151" i="30"/>
  <c r="D150" i="30"/>
  <c r="J150" i="30" s="1"/>
  <c r="K150" i="30" s="1"/>
  <c r="K149" i="30"/>
  <c r="J149" i="30"/>
  <c r="D149" i="30"/>
  <c r="D148" i="30"/>
  <c r="J148" i="30" s="1"/>
  <c r="K148" i="30" s="1"/>
  <c r="S147" i="30"/>
  <c r="M147" i="30"/>
  <c r="J147" i="30"/>
  <c r="K147" i="30" s="1"/>
  <c r="D147" i="30"/>
  <c r="Y146" i="30"/>
  <c r="Y149" i="30" s="1"/>
  <c r="U146" i="30"/>
  <c r="O146" i="30"/>
  <c r="N146" i="30"/>
  <c r="T146" i="30" s="1"/>
  <c r="M146" i="30"/>
  <c r="S146" i="30" s="1"/>
  <c r="K146" i="30"/>
  <c r="J146" i="30"/>
  <c r="D146" i="30"/>
  <c r="U145" i="30"/>
  <c r="T145" i="30"/>
  <c r="S145" i="30"/>
  <c r="K145" i="30"/>
  <c r="J145" i="30"/>
  <c r="AD144" i="30"/>
  <c r="Y144" i="30"/>
  <c r="D144" i="30"/>
  <c r="J144" i="30" s="1"/>
  <c r="K144" i="30" s="1"/>
  <c r="J143" i="30"/>
  <c r="K143" i="30" s="1"/>
  <c r="K142" i="30"/>
  <c r="J142" i="30"/>
  <c r="K141" i="30"/>
  <c r="J141" i="30"/>
  <c r="J140" i="30"/>
  <c r="K140" i="30" s="1"/>
  <c r="D139" i="30"/>
  <c r="J139" i="30" s="1"/>
  <c r="K139" i="30" s="1"/>
  <c r="J138" i="30"/>
  <c r="K138" i="30" s="1"/>
  <c r="D138" i="30"/>
  <c r="AD137" i="30"/>
  <c r="J137" i="30"/>
  <c r="K137" i="30" s="1"/>
  <c r="D137" i="30"/>
  <c r="D136" i="30"/>
  <c r="J136" i="30" s="1"/>
  <c r="J135" i="30"/>
  <c r="K135" i="30" s="1"/>
  <c r="D135" i="30"/>
  <c r="D134" i="30"/>
  <c r="J134" i="30" s="1"/>
  <c r="K134" i="30" s="1"/>
  <c r="J133" i="30"/>
  <c r="K133" i="30" s="1"/>
  <c r="D133" i="30"/>
  <c r="Y132" i="30"/>
  <c r="J132" i="30"/>
  <c r="K132" i="30" s="1"/>
  <c r="D132" i="30"/>
  <c r="D131" i="30"/>
  <c r="J131" i="30" s="1"/>
  <c r="K131" i="30" s="1"/>
  <c r="O130" i="30"/>
  <c r="D130" i="30"/>
  <c r="J130" i="30" s="1"/>
  <c r="K130" i="30" s="1"/>
  <c r="O129" i="30"/>
  <c r="D129" i="30"/>
  <c r="J129" i="30" s="1"/>
  <c r="K129" i="30" s="1"/>
  <c r="U128" i="30"/>
  <c r="O128" i="30"/>
  <c r="M128" i="30"/>
  <c r="D128" i="30"/>
  <c r="J128" i="30" s="1"/>
  <c r="K128" i="30" s="1"/>
  <c r="T127" i="30"/>
  <c r="O127" i="30"/>
  <c r="U127" i="30" s="1"/>
  <c r="N127" i="30"/>
  <c r="M127" i="30"/>
  <c r="K127" i="30"/>
  <c r="D127" i="30"/>
  <c r="J127" i="30" s="1"/>
  <c r="U126" i="30"/>
  <c r="S126" i="30"/>
  <c r="O126" i="30"/>
  <c r="N126" i="30"/>
  <c r="M126" i="30"/>
  <c r="K126" i="30"/>
  <c r="J126" i="30"/>
  <c r="D126" i="30"/>
  <c r="K125" i="30"/>
  <c r="J125" i="30"/>
  <c r="D124" i="30"/>
  <c r="J124" i="30" s="1"/>
  <c r="K124" i="30" s="1"/>
  <c r="K123" i="30"/>
  <c r="J123" i="30"/>
  <c r="D122" i="30"/>
  <c r="J122" i="30" s="1"/>
  <c r="K122" i="30" s="1"/>
  <c r="J121" i="30"/>
  <c r="K121" i="30" s="1"/>
  <c r="D121" i="30"/>
  <c r="K120" i="30"/>
  <c r="D120" i="30"/>
  <c r="J120" i="30" s="1"/>
  <c r="K119" i="30"/>
  <c r="J119" i="30"/>
  <c r="D119" i="30"/>
  <c r="Y118" i="30"/>
  <c r="Y124" i="30" s="1"/>
  <c r="D118" i="30"/>
  <c r="J118" i="30" s="1"/>
  <c r="K118" i="30" s="1"/>
  <c r="K117" i="30"/>
  <c r="J117" i="30"/>
  <c r="D116" i="30"/>
  <c r="J116" i="30" s="1"/>
  <c r="K116" i="30" s="1"/>
  <c r="K115" i="30"/>
  <c r="J115" i="30"/>
  <c r="D115" i="30"/>
  <c r="D114" i="30"/>
  <c r="J114" i="30" s="1"/>
  <c r="K114" i="30" s="1"/>
  <c r="D113" i="30"/>
  <c r="J113" i="30" s="1"/>
  <c r="K113" i="30" s="1"/>
  <c r="K112" i="30"/>
  <c r="D112" i="30"/>
  <c r="J112" i="30" s="1"/>
  <c r="Y111" i="30"/>
  <c r="J111" i="30"/>
  <c r="K111" i="30" s="1"/>
  <c r="K110" i="30"/>
  <c r="J110" i="30"/>
  <c r="J109" i="30"/>
  <c r="K109" i="30" s="1"/>
  <c r="D109" i="30"/>
  <c r="J108" i="30"/>
  <c r="K108" i="30" s="1"/>
  <c r="D108" i="30"/>
  <c r="D107" i="30"/>
  <c r="J107" i="30" s="1"/>
  <c r="K107" i="30" s="1"/>
  <c r="K106" i="30"/>
  <c r="J106" i="30"/>
  <c r="D105" i="30"/>
  <c r="J105" i="30" s="1"/>
  <c r="K105" i="30" s="1"/>
  <c r="Y104" i="30"/>
  <c r="K104" i="30"/>
  <c r="J104" i="30"/>
  <c r="D103" i="30"/>
  <c r="J103" i="30" s="1"/>
  <c r="K103" i="30" s="1"/>
  <c r="J102" i="30"/>
  <c r="K102" i="30" s="1"/>
  <c r="D102" i="30"/>
  <c r="D101" i="30"/>
  <c r="J101" i="30" s="1"/>
  <c r="K101" i="30" s="1"/>
  <c r="K100" i="30"/>
  <c r="J100" i="30"/>
  <c r="U99" i="30"/>
  <c r="O99" i="30"/>
  <c r="D99" i="30"/>
  <c r="J99" i="30" s="1"/>
  <c r="K99" i="30" s="1"/>
  <c r="D98" i="30"/>
  <c r="J98" i="30" s="1"/>
  <c r="K98" i="30" s="1"/>
  <c r="Y97" i="30"/>
  <c r="M97" i="30"/>
  <c r="D97" i="30"/>
  <c r="J97" i="30" s="1"/>
  <c r="K97" i="30" s="1"/>
  <c r="U96" i="30"/>
  <c r="S96" i="30"/>
  <c r="O96" i="30"/>
  <c r="O97" i="30" s="1"/>
  <c r="O98" i="30" s="1"/>
  <c r="U98" i="30" s="1"/>
  <c r="M96" i="30"/>
  <c r="K96" i="30"/>
  <c r="J96" i="30"/>
  <c r="D96" i="30"/>
  <c r="N96" i="30" s="1"/>
  <c r="T96" i="30" s="1"/>
  <c r="D95" i="30"/>
  <c r="J95" i="30" s="1"/>
  <c r="K95" i="30" s="1"/>
  <c r="K94" i="30"/>
  <c r="J94" i="30"/>
  <c r="D93" i="30"/>
  <c r="D92" i="30"/>
  <c r="J91" i="30"/>
  <c r="K91" i="30" s="1"/>
  <c r="D91" i="30"/>
  <c r="K90" i="30"/>
  <c r="J90" i="30"/>
  <c r="K89" i="30"/>
  <c r="D89" i="30"/>
  <c r="J89" i="30" s="1"/>
  <c r="J88" i="30"/>
  <c r="K88" i="30" s="1"/>
  <c r="D88" i="30"/>
  <c r="J87" i="30"/>
  <c r="K87" i="30" s="1"/>
  <c r="D87" i="30"/>
  <c r="D86" i="30"/>
  <c r="K85" i="30"/>
  <c r="J85" i="30"/>
  <c r="D85" i="30"/>
  <c r="D84" i="30"/>
  <c r="J83" i="30"/>
  <c r="K83" i="30" s="1"/>
  <c r="K82" i="30"/>
  <c r="J82" i="30"/>
  <c r="K81" i="30"/>
  <c r="J81" i="30"/>
  <c r="K80" i="30"/>
  <c r="J80" i="30"/>
  <c r="J79" i="30"/>
  <c r="K79" i="30" s="1"/>
  <c r="K78" i="30"/>
  <c r="J78" i="30"/>
  <c r="K77" i="30"/>
  <c r="J77" i="30"/>
  <c r="K76" i="30"/>
  <c r="J76" i="30"/>
  <c r="K75" i="30"/>
  <c r="J75" i="30"/>
  <c r="K74" i="30"/>
  <c r="J74" i="30"/>
  <c r="K73" i="30"/>
  <c r="J73" i="30"/>
  <c r="D72" i="30"/>
  <c r="D71" i="30"/>
  <c r="D70" i="30"/>
  <c r="J69" i="30"/>
  <c r="K69" i="30" s="1"/>
  <c r="J68" i="30"/>
  <c r="K68" i="30" s="1"/>
  <c r="J67" i="30"/>
  <c r="K67" i="30" s="1"/>
  <c r="O66" i="30"/>
  <c r="U66" i="30" s="1"/>
  <c r="K66" i="30"/>
  <c r="J66" i="30"/>
  <c r="O65" i="30"/>
  <c r="U65" i="30" s="1"/>
  <c r="N65" i="30"/>
  <c r="N66" i="30" s="1"/>
  <c r="M65" i="30"/>
  <c r="S65" i="30" s="1"/>
  <c r="J65" i="30"/>
  <c r="K65" i="30" s="1"/>
  <c r="J63" i="30"/>
  <c r="K63" i="30" s="1"/>
  <c r="J62" i="30"/>
  <c r="K62" i="30" s="1"/>
  <c r="J61" i="30"/>
  <c r="K61" i="30" s="1"/>
  <c r="J60" i="30"/>
  <c r="K60" i="30" s="1"/>
  <c r="K59" i="30"/>
  <c r="J59" i="30"/>
  <c r="J58" i="30"/>
  <c r="K58" i="30" s="1"/>
  <c r="J57" i="30"/>
  <c r="K57" i="30" s="1"/>
  <c r="K56" i="30"/>
  <c r="J56" i="30"/>
  <c r="J55" i="30"/>
  <c r="K55" i="30" s="1"/>
  <c r="K54" i="30"/>
  <c r="J54" i="30"/>
  <c r="J53" i="30"/>
  <c r="K53" i="30" s="1"/>
  <c r="J52" i="30"/>
  <c r="K52" i="30" s="1"/>
  <c r="J51" i="30"/>
  <c r="K51" i="30" s="1"/>
  <c r="J50" i="30"/>
  <c r="K50" i="30" s="1"/>
  <c r="K49" i="30"/>
  <c r="J49" i="30"/>
  <c r="J48" i="30"/>
  <c r="K48" i="30" s="1"/>
  <c r="Y47" i="30"/>
  <c r="J47" i="30"/>
  <c r="K47" i="30" s="1"/>
  <c r="K46" i="30"/>
  <c r="J46" i="30"/>
  <c r="K45" i="30"/>
  <c r="J45" i="30"/>
  <c r="K44" i="30"/>
  <c r="J44" i="30"/>
  <c r="J43" i="30"/>
  <c r="K43" i="30" s="1"/>
  <c r="K42" i="30"/>
  <c r="J42" i="30"/>
  <c r="K41" i="30"/>
  <c r="J41" i="30"/>
  <c r="Y40" i="30"/>
  <c r="J40" i="30"/>
  <c r="K40" i="30" s="1"/>
  <c r="J39" i="30"/>
  <c r="K39" i="30" s="1"/>
  <c r="K38" i="30"/>
  <c r="J38" i="30"/>
  <c r="T37" i="30"/>
  <c r="O37" i="30"/>
  <c r="M37" i="30"/>
  <c r="J37" i="30"/>
  <c r="K37" i="30" s="1"/>
  <c r="U36" i="30"/>
  <c r="O36" i="30"/>
  <c r="N36" i="30"/>
  <c r="N37" i="30" s="1"/>
  <c r="M36" i="30"/>
  <c r="S36" i="30" s="1"/>
  <c r="J36" i="30"/>
  <c r="K36" i="30" s="1"/>
  <c r="J35" i="30"/>
  <c r="K35" i="30" s="1"/>
  <c r="J34" i="30"/>
  <c r="K34" i="30" s="1"/>
  <c r="Y33" i="30"/>
  <c r="J33" i="30"/>
  <c r="K33" i="30" s="1"/>
  <c r="J32" i="30"/>
  <c r="K32" i="30" s="1"/>
  <c r="J31" i="30"/>
  <c r="K31" i="30" s="1"/>
  <c r="J30" i="30"/>
  <c r="K30" i="30" s="1"/>
  <c r="J29" i="30"/>
  <c r="K29" i="30" s="1"/>
  <c r="J28" i="30"/>
  <c r="K28" i="30" s="1"/>
  <c r="J27" i="30"/>
  <c r="K27" i="30" s="1"/>
  <c r="AA26" i="30"/>
  <c r="AA33" i="30" s="1"/>
  <c r="Y26" i="30"/>
  <c r="J26" i="30"/>
  <c r="K26" i="30" s="1"/>
  <c r="J25" i="30"/>
  <c r="K25" i="30" s="1"/>
  <c r="AA24" i="30"/>
  <c r="K24" i="30"/>
  <c r="J24" i="30"/>
  <c r="K23" i="30"/>
  <c r="J23" i="30"/>
  <c r="K22" i="30"/>
  <c r="J22" i="30"/>
  <c r="K21" i="30"/>
  <c r="J21" i="30"/>
  <c r="K20" i="30"/>
  <c r="J20" i="30"/>
  <c r="AA19" i="30"/>
  <c r="J19" i="30"/>
  <c r="K19" i="30" s="1"/>
  <c r="J18" i="30"/>
  <c r="K18" i="30" s="1"/>
  <c r="K17" i="30"/>
  <c r="J17" i="30"/>
  <c r="J16" i="30"/>
  <c r="K16" i="30" s="1"/>
  <c r="J15" i="30"/>
  <c r="K15" i="30" s="1"/>
  <c r="AA14" i="30"/>
  <c r="K14" i="30"/>
  <c r="J14" i="30"/>
  <c r="K13" i="30"/>
  <c r="J13" i="30"/>
  <c r="Y12" i="30"/>
  <c r="J12" i="30"/>
  <c r="K12" i="30" s="1"/>
  <c r="K11" i="30"/>
  <c r="J11" i="30"/>
  <c r="K10" i="30"/>
  <c r="J10" i="30"/>
  <c r="K9" i="30"/>
  <c r="J9" i="30"/>
  <c r="N8" i="30"/>
  <c r="J8" i="30"/>
  <c r="K8" i="30" s="1"/>
  <c r="N7" i="30"/>
  <c r="K7" i="30"/>
  <c r="J7" i="30"/>
  <c r="T6" i="30"/>
  <c r="Q6" i="30"/>
  <c r="W6" i="30" s="1"/>
  <c r="N6" i="30"/>
  <c r="J6" i="30"/>
  <c r="K6" i="30" s="1"/>
  <c r="T5" i="30"/>
  <c r="Q5" i="30"/>
  <c r="W5" i="30" s="1"/>
  <c r="P5" i="30"/>
  <c r="V5" i="30" s="1"/>
  <c r="O5" i="30"/>
  <c r="N5" i="30"/>
  <c r="M5" i="30"/>
  <c r="K5" i="30"/>
  <c r="J5" i="30"/>
  <c r="AB381" i="32"/>
  <c r="L381" i="32"/>
  <c r="I381" i="32"/>
  <c r="H381" i="32"/>
  <c r="G381" i="32"/>
  <c r="F381" i="32"/>
  <c r="E381" i="32"/>
  <c r="C381" i="32"/>
  <c r="AB380" i="32"/>
  <c r="L380" i="32"/>
  <c r="I380" i="32"/>
  <c r="H380" i="32"/>
  <c r="G380" i="32"/>
  <c r="F380" i="32"/>
  <c r="E380" i="32"/>
  <c r="C380" i="32"/>
  <c r="AB379" i="32"/>
  <c r="L379" i="32"/>
  <c r="I379" i="32"/>
  <c r="H379" i="32"/>
  <c r="G379" i="32"/>
  <c r="F379" i="32"/>
  <c r="E379" i="32"/>
  <c r="C379" i="32"/>
  <c r="AB378" i="32"/>
  <c r="L378" i="32"/>
  <c r="I378" i="32"/>
  <c r="H378" i="32"/>
  <c r="G378" i="32"/>
  <c r="F378" i="32"/>
  <c r="E378" i="32"/>
  <c r="C378" i="32"/>
  <c r="AB377" i="32"/>
  <c r="L377" i="32"/>
  <c r="I377" i="32"/>
  <c r="H377" i="32"/>
  <c r="G377" i="32"/>
  <c r="F377" i="32"/>
  <c r="E377" i="32"/>
  <c r="D377" i="32"/>
  <c r="C377" i="32"/>
  <c r="AB376" i="32"/>
  <c r="L376" i="32"/>
  <c r="I376" i="32"/>
  <c r="H376" i="32"/>
  <c r="G376" i="32"/>
  <c r="F376" i="32"/>
  <c r="E376" i="32"/>
  <c r="C376" i="32"/>
  <c r="L375" i="32"/>
  <c r="I375" i="32"/>
  <c r="H375" i="32"/>
  <c r="G375" i="32"/>
  <c r="F375" i="32"/>
  <c r="E375" i="32"/>
  <c r="D375" i="32"/>
  <c r="C375" i="32"/>
  <c r="I374" i="32"/>
  <c r="G374" i="32"/>
  <c r="F371" i="32"/>
  <c r="C371" i="32"/>
  <c r="AD370" i="32"/>
  <c r="AA370" i="32"/>
  <c r="AC370" i="32" s="1"/>
  <c r="Y370" i="32"/>
  <c r="X370" i="32"/>
  <c r="W370" i="32"/>
  <c r="D370" i="32"/>
  <c r="J370" i="32" s="1"/>
  <c r="M370" i="32" s="1"/>
  <c r="M369" i="32"/>
  <c r="D369" i="32"/>
  <c r="J369" i="32" s="1"/>
  <c r="J368" i="32"/>
  <c r="M368" i="32" s="1"/>
  <c r="M367" i="32"/>
  <c r="D367" i="32"/>
  <c r="J367" i="32" s="1"/>
  <c r="J366" i="32"/>
  <c r="M366" i="32" s="1"/>
  <c r="D366" i="32"/>
  <c r="D365" i="32"/>
  <c r="J365" i="32" s="1"/>
  <c r="M365" i="32" s="1"/>
  <c r="J364" i="32"/>
  <c r="M364" i="32" s="1"/>
  <c r="D364" i="32"/>
  <c r="D363" i="32"/>
  <c r="J363" i="32" s="1"/>
  <c r="M363" i="32" s="1"/>
  <c r="D362" i="32"/>
  <c r="J362" i="32" s="1"/>
  <c r="M362" i="32" s="1"/>
  <c r="D361" i="32"/>
  <c r="J361" i="32" s="1"/>
  <c r="M361" i="32" s="1"/>
  <c r="D360" i="32"/>
  <c r="J360" i="32" s="1"/>
  <c r="M360" i="32" s="1"/>
  <c r="D359" i="32"/>
  <c r="J359" i="32" s="1"/>
  <c r="M359" i="32" s="1"/>
  <c r="D358" i="32"/>
  <c r="J358" i="32" s="1"/>
  <c r="M358" i="32" s="1"/>
  <c r="M357" i="32"/>
  <c r="J357" i="32"/>
  <c r="D357" i="32"/>
  <c r="M356" i="32"/>
  <c r="D356" i="32"/>
  <c r="J356" i="32" s="1"/>
  <c r="J355" i="32"/>
  <c r="M355" i="32" s="1"/>
  <c r="D355" i="32"/>
  <c r="J354" i="32"/>
  <c r="M354" i="32" s="1"/>
  <c r="J353" i="32"/>
  <c r="M353" i="32" s="1"/>
  <c r="J352" i="32"/>
  <c r="M352" i="32" s="1"/>
  <c r="J351" i="32"/>
  <c r="M351" i="32" s="1"/>
  <c r="Z350" i="32"/>
  <c r="Z351" i="32" s="1"/>
  <c r="Z352" i="32" s="1"/>
  <c r="Z353" i="32" s="1"/>
  <c r="Z354" i="32" s="1"/>
  <c r="Z355" i="32" s="1"/>
  <c r="Z356" i="32" s="1"/>
  <c r="Z357" i="32" s="1"/>
  <c r="Z358" i="32" s="1"/>
  <c r="Z359" i="32" s="1"/>
  <c r="Z360" i="32" s="1"/>
  <c r="Z361" i="32" s="1"/>
  <c r="Z362" i="32" s="1"/>
  <c r="Z363" i="32" s="1"/>
  <c r="Z364" i="32" s="1"/>
  <c r="Z365" i="32" s="1"/>
  <c r="Z366" i="32" s="1"/>
  <c r="Z367" i="32" s="1"/>
  <c r="Z368" i="32" s="1"/>
  <c r="Z369" i="32" s="1"/>
  <c r="J350" i="32"/>
  <c r="M350" i="32" s="1"/>
  <c r="J349" i="32"/>
  <c r="M349" i="32" s="1"/>
  <c r="Z348" i="32"/>
  <c r="Z349" i="32" s="1"/>
  <c r="J348" i="32"/>
  <c r="M348" i="32" s="1"/>
  <c r="J347" i="32"/>
  <c r="M347" i="32" s="1"/>
  <c r="D347" i="32"/>
  <c r="J346" i="32"/>
  <c r="M346" i="32" s="1"/>
  <c r="D346" i="32"/>
  <c r="D345" i="32"/>
  <c r="J345" i="32" s="1"/>
  <c r="M345" i="32" s="1"/>
  <c r="J344" i="32"/>
  <c r="M344" i="32" s="1"/>
  <c r="D344" i="32"/>
  <c r="M343" i="32"/>
  <c r="D343" i="32"/>
  <c r="J343" i="32" s="1"/>
  <c r="J342" i="32"/>
  <c r="M342" i="32" s="1"/>
  <c r="D342" i="32"/>
  <c r="D341" i="32"/>
  <c r="Z340" i="32"/>
  <c r="Z341" i="32" s="1"/>
  <c r="Z342" i="32" s="1"/>
  <c r="Z343" i="32" s="1"/>
  <c r="Z344" i="32" s="1"/>
  <c r="Z345" i="32" s="1"/>
  <c r="Z346" i="32" s="1"/>
  <c r="U340" i="32"/>
  <c r="T340" i="32"/>
  <c r="P340" i="32"/>
  <c r="O340" i="32"/>
  <c r="N340" i="32"/>
  <c r="N341" i="32" s="1"/>
  <c r="J340" i="32"/>
  <c r="M340" i="32" s="1"/>
  <c r="D340" i="32"/>
  <c r="U339" i="32"/>
  <c r="J339" i="32"/>
  <c r="M339" i="32" s="1"/>
  <c r="D339" i="32"/>
  <c r="D338" i="32"/>
  <c r="J338" i="32" s="1"/>
  <c r="M338" i="32" s="1"/>
  <c r="D337" i="32"/>
  <c r="D336" i="32"/>
  <c r="J336" i="32" s="1"/>
  <c r="M336" i="32" s="1"/>
  <c r="M335" i="32"/>
  <c r="J335" i="32"/>
  <c r="D335" i="32"/>
  <c r="D334" i="32"/>
  <c r="J333" i="32"/>
  <c r="M333" i="32" s="1"/>
  <c r="D333" i="32"/>
  <c r="M332" i="32"/>
  <c r="J332" i="32"/>
  <c r="D332" i="32"/>
  <c r="M331" i="32"/>
  <c r="D331" i="32"/>
  <c r="J331" i="32" s="1"/>
  <c r="J330" i="32"/>
  <c r="M330" i="32" s="1"/>
  <c r="D330" i="32"/>
  <c r="J329" i="32"/>
  <c r="M329" i="32" s="1"/>
  <c r="D329" i="32"/>
  <c r="J328" i="32"/>
  <c r="M328" i="32" s="1"/>
  <c r="D328" i="32"/>
  <c r="D327" i="32"/>
  <c r="Z326" i="32"/>
  <c r="Z327" i="32" s="1"/>
  <c r="Z328" i="32" s="1"/>
  <c r="Z329" i="32" s="1"/>
  <c r="Z330" i="32" s="1"/>
  <c r="Z331" i="32" s="1"/>
  <c r="Z332" i="32" s="1"/>
  <c r="Z333" i="32" s="1"/>
  <c r="Z334" i="32" s="1"/>
  <c r="Z335" i="32" s="1"/>
  <c r="Z336" i="32" s="1"/>
  <c r="Z337" i="32" s="1"/>
  <c r="Z338" i="32" s="1"/>
  <c r="J326" i="32"/>
  <c r="M326" i="32" s="1"/>
  <c r="D326" i="32"/>
  <c r="J325" i="32"/>
  <c r="M325" i="32" s="1"/>
  <c r="D325" i="32"/>
  <c r="M324" i="32"/>
  <c r="D324" i="32"/>
  <c r="J324" i="32" s="1"/>
  <c r="D323" i="32"/>
  <c r="M322" i="32"/>
  <c r="D322" i="32"/>
  <c r="J322" i="32" s="1"/>
  <c r="J321" i="32"/>
  <c r="M321" i="32" s="1"/>
  <c r="D321" i="32"/>
  <c r="D320" i="32"/>
  <c r="J320" i="32" s="1"/>
  <c r="M320" i="32" s="1"/>
  <c r="AF319" i="32"/>
  <c r="AF320" i="32" s="1"/>
  <c r="AF321" i="32" s="1"/>
  <c r="AF322" i="32" s="1"/>
  <c r="AF323" i="32" s="1"/>
  <c r="AF324" i="32" s="1"/>
  <c r="AF325" i="32" s="1"/>
  <c r="AF326" i="32" s="1"/>
  <c r="AF327" i="32" s="1"/>
  <c r="AF328" i="32" s="1"/>
  <c r="AF329" i="32" s="1"/>
  <c r="AF330" i="32" s="1"/>
  <c r="AF331" i="32" s="1"/>
  <c r="AF332" i="32" s="1"/>
  <c r="AF333" i="32" s="1"/>
  <c r="AF334" i="32" s="1"/>
  <c r="AF335" i="32" s="1"/>
  <c r="AF336" i="32" s="1"/>
  <c r="AF337" i="32" s="1"/>
  <c r="AF338" i="32" s="1"/>
  <c r="AF339" i="32" s="1"/>
  <c r="AF340" i="32" s="1"/>
  <c r="AF341" i="32" s="1"/>
  <c r="AF342" i="32" s="1"/>
  <c r="AF343" i="32" s="1"/>
  <c r="AF344" i="32" s="1"/>
  <c r="AF345" i="32" s="1"/>
  <c r="AF346" i="32" s="1"/>
  <c r="AF347" i="32" s="1"/>
  <c r="AF348" i="32" s="1"/>
  <c r="AF349" i="32" s="1"/>
  <c r="AF350" i="32" s="1"/>
  <c r="AF351" i="32" s="1"/>
  <c r="AF352" i="32" s="1"/>
  <c r="AF353" i="32" s="1"/>
  <c r="AF354" i="32" s="1"/>
  <c r="AF355" i="32" s="1"/>
  <c r="AF356" i="32" s="1"/>
  <c r="AF357" i="32" s="1"/>
  <c r="AF358" i="32" s="1"/>
  <c r="AF359" i="32" s="1"/>
  <c r="AF360" i="32" s="1"/>
  <c r="AF361" i="32" s="1"/>
  <c r="AF362" i="32" s="1"/>
  <c r="AF363" i="32" s="1"/>
  <c r="AF364" i="32" s="1"/>
  <c r="AF365" i="32" s="1"/>
  <c r="AF366" i="32" s="1"/>
  <c r="AF367" i="32" s="1"/>
  <c r="AF368" i="32" s="1"/>
  <c r="AF369" i="32" s="1"/>
  <c r="AF370" i="32" s="1"/>
  <c r="J319" i="32"/>
  <c r="M319" i="32" s="1"/>
  <c r="D319" i="32"/>
  <c r="J318" i="32"/>
  <c r="M318" i="32" s="1"/>
  <c r="D318" i="32"/>
  <c r="D317" i="32"/>
  <c r="Z316" i="32"/>
  <c r="Z317" i="32" s="1"/>
  <c r="Z318" i="32" s="1"/>
  <c r="Z319" i="32" s="1"/>
  <c r="Z320" i="32" s="1"/>
  <c r="Z321" i="32" s="1"/>
  <c r="Z322" i="32" s="1"/>
  <c r="Z323" i="32" s="1"/>
  <c r="Z324" i="32" s="1"/>
  <c r="Z325" i="32" s="1"/>
  <c r="J316" i="32"/>
  <c r="M316" i="32" s="1"/>
  <c r="D316" i="32"/>
  <c r="AE315" i="32"/>
  <c r="AE316" i="32" s="1"/>
  <c r="AE317" i="32" s="1"/>
  <c r="AE318" i="32" s="1"/>
  <c r="AE319" i="32" s="1"/>
  <c r="AE320" i="32" s="1"/>
  <c r="AE321" i="32" s="1"/>
  <c r="AE322" i="32" s="1"/>
  <c r="AE323" i="32" s="1"/>
  <c r="AE324" i="32" s="1"/>
  <c r="AE325" i="32" s="1"/>
  <c r="AE326" i="32" s="1"/>
  <c r="AE327" i="32" s="1"/>
  <c r="AE328" i="32" s="1"/>
  <c r="AE329" i="32" s="1"/>
  <c r="AE330" i="32" s="1"/>
  <c r="AE331" i="32" s="1"/>
  <c r="AE332" i="32" s="1"/>
  <c r="AE333" i="32" s="1"/>
  <c r="AE334" i="32" s="1"/>
  <c r="AE335" i="32" s="1"/>
  <c r="AE336" i="32" s="1"/>
  <c r="AE337" i="32" s="1"/>
  <c r="AE338" i="32" s="1"/>
  <c r="AE339" i="32" s="1"/>
  <c r="AE340" i="32" s="1"/>
  <c r="AE341" i="32" s="1"/>
  <c r="AE342" i="32" s="1"/>
  <c r="AE343" i="32" s="1"/>
  <c r="AE344" i="32" s="1"/>
  <c r="AE345" i="32" s="1"/>
  <c r="AE346" i="32" s="1"/>
  <c r="AE347" i="32" s="1"/>
  <c r="AE348" i="32" s="1"/>
  <c r="AE349" i="32" s="1"/>
  <c r="AE350" i="32" s="1"/>
  <c r="AE351" i="32" s="1"/>
  <c r="AE352" i="32" s="1"/>
  <c r="AE353" i="32" s="1"/>
  <c r="AE354" i="32" s="1"/>
  <c r="AE355" i="32" s="1"/>
  <c r="AE356" i="32" s="1"/>
  <c r="AE357" i="32" s="1"/>
  <c r="AE358" i="32" s="1"/>
  <c r="AE359" i="32" s="1"/>
  <c r="AE360" i="32" s="1"/>
  <c r="AE361" i="32" s="1"/>
  <c r="AE362" i="32" s="1"/>
  <c r="AE363" i="32" s="1"/>
  <c r="AE364" i="32" s="1"/>
  <c r="AE365" i="32" s="1"/>
  <c r="AE366" i="32" s="1"/>
  <c r="AE367" i="32" s="1"/>
  <c r="AE368" i="32" s="1"/>
  <c r="AE369" i="32" s="1"/>
  <c r="AE370" i="32" s="1"/>
  <c r="D315" i="32"/>
  <c r="J314" i="32"/>
  <c r="M314" i="32" s="1"/>
  <c r="D314" i="32"/>
  <c r="AE313" i="32"/>
  <c r="AE314" i="32" s="1"/>
  <c r="D313" i="32"/>
  <c r="D312" i="32"/>
  <c r="AE311" i="32"/>
  <c r="AE312" i="32" s="1"/>
  <c r="Z311" i="32"/>
  <c r="Z312" i="32" s="1"/>
  <c r="Z313" i="32" s="1"/>
  <c r="Z314" i="32" s="1"/>
  <c r="Z315" i="32" s="1"/>
  <c r="T311" i="32"/>
  <c r="P311" i="32"/>
  <c r="N311" i="32"/>
  <c r="N312" i="32" s="1"/>
  <c r="J311" i="32"/>
  <c r="M311" i="32" s="1"/>
  <c r="D311" i="32"/>
  <c r="AE310" i="32"/>
  <c r="Z310" i="32"/>
  <c r="V310" i="32"/>
  <c r="P310" i="32"/>
  <c r="O310" i="32"/>
  <c r="U310" i="32" s="1"/>
  <c r="N310" i="32"/>
  <c r="T310" i="32" s="1"/>
  <c r="D310" i="32"/>
  <c r="J310" i="32" s="1"/>
  <c r="M310" i="32" s="1"/>
  <c r="D309" i="32"/>
  <c r="J309" i="32" s="1"/>
  <c r="M309" i="32" s="1"/>
  <c r="Z308" i="32"/>
  <c r="J308" i="32"/>
  <c r="M308" i="32" s="1"/>
  <c r="D308" i="32"/>
  <c r="D307" i="32"/>
  <c r="Z306" i="32"/>
  <c r="Z307" i="32" s="1"/>
  <c r="J306" i="32"/>
  <c r="M306" i="32" s="1"/>
  <c r="D306" i="32"/>
  <c r="M305" i="32"/>
  <c r="J305" i="32"/>
  <c r="J304" i="32"/>
  <c r="M304" i="32" s="1"/>
  <c r="D304" i="32"/>
  <c r="D303" i="32"/>
  <c r="AE302" i="32"/>
  <c r="AE303" i="32" s="1"/>
  <c r="AE304" i="32" s="1"/>
  <c r="AE305" i="32" s="1"/>
  <c r="AE306" i="32" s="1"/>
  <c r="AE307" i="32" s="1"/>
  <c r="AE308" i="32" s="1"/>
  <c r="M302" i="32"/>
  <c r="J302" i="32"/>
  <c r="D302" i="32"/>
  <c r="M301" i="32"/>
  <c r="D301" i="32"/>
  <c r="J301" i="32" s="1"/>
  <c r="J300" i="32"/>
  <c r="M300" i="32" s="1"/>
  <c r="Z299" i="32"/>
  <c r="Z300" i="32" s="1"/>
  <c r="Z301" i="32" s="1"/>
  <c r="Z302" i="32" s="1"/>
  <c r="Z303" i="32" s="1"/>
  <c r="Z304" i="32" s="1"/>
  <c r="J299" i="32"/>
  <c r="M299" i="32" s="1"/>
  <c r="J298" i="32"/>
  <c r="M298" i="32" s="1"/>
  <c r="D298" i="32"/>
  <c r="J297" i="32"/>
  <c r="M297" i="32" s="1"/>
  <c r="D297" i="32"/>
  <c r="AE296" i="32"/>
  <c r="AE297" i="32" s="1"/>
  <c r="AE298" i="32" s="1"/>
  <c r="AE299" i="32" s="1"/>
  <c r="AE300" i="32" s="1"/>
  <c r="AE301" i="32" s="1"/>
  <c r="J296" i="32"/>
  <c r="M296" i="32" s="1"/>
  <c r="D296" i="32"/>
  <c r="AF295" i="32"/>
  <c r="AF296" i="32" s="1"/>
  <c r="AF297" i="32" s="1"/>
  <c r="AF298" i="32" s="1"/>
  <c r="AF299" i="32" s="1"/>
  <c r="AF300" i="32" s="1"/>
  <c r="AF301" i="32" s="1"/>
  <c r="AF302" i="32" s="1"/>
  <c r="AF303" i="32" s="1"/>
  <c r="AF304" i="32" s="1"/>
  <c r="AF305" i="32" s="1"/>
  <c r="AF306" i="32" s="1"/>
  <c r="AF307" i="32" s="1"/>
  <c r="AF308" i="32" s="1"/>
  <c r="AF309" i="32" s="1"/>
  <c r="AF310" i="32" s="1"/>
  <c r="AF311" i="32" s="1"/>
  <c r="AF312" i="32" s="1"/>
  <c r="AF313" i="32" s="1"/>
  <c r="AF314" i="32" s="1"/>
  <c r="AF315" i="32" s="1"/>
  <c r="AF316" i="32" s="1"/>
  <c r="AF317" i="32" s="1"/>
  <c r="AF318" i="32" s="1"/>
  <c r="J295" i="32"/>
  <c r="M295" i="32" s="1"/>
  <c r="D294" i="32"/>
  <c r="M293" i="32"/>
  <c r="J293" i="32"/>
  <c r="D292" i="32"/>
  <c r="D291" i="32"/>
  <c r="J290" i="32"/>
  <c r="M290" i="32" s="1"/>
  <c r="D290" i="32"/>
  <c r="J289" i="32"/>
  <c r="M289" i="32" s="1"/>
  <c r="D289" i="32"/>
  <c r="D288" i="32"/>
  <c r="D287" i="32"/>
  <c r="D286" i="32"/>
  <c r="D285" i="32"/>
  <c r="J285" i="32" s="1"/>
  <c r="M285" i="32" s="1"/>
  <c r="J284" i="32"/>
  <c r="M284" i="32" s="1"/>
  <c r="M283" i="32"/>
  <c r="J283" i="32"/>
  <c r="AF282" i="32"/>
  <c r="AF283" i="32" s="1"/>
  <c r="AF284" i="32" s="1"/>
  <c r="AF285" i="32" s="1"/>
  <c r="AF286" i="32" s="1"/>
  <c r="AF287" i="32" s="1"/>
  <c r="AF288" i="32" s="1"/>
  <c r="AF289" i="32" s="1"/>
  <c r="AF290" i="32" s="1"/>
  <c r="AF291" i="32" s="1"/>
  <c r="AF292" i="32" s="1"/>
  <c r="AF293" i="32" s="1"/>
  <c r="AF294" i="32" s="1"/>
  <c r="AE282" i="32"/>
  <c r="AE283" i="32" s="1"/>
  <c r="AE284" i="32" s="1"/>
  <c r="AE285" i="32" s="1"/>
  <c r="AE286" i="32" s="1"/>
  <c r="AE287" i="32" s="1"/>
  <c r="AE288" i="32" s="1"/>
  <c r="AE289" i="32" s="1"/>
  <c r="AE290" i="32" s="1"/>
  <c r="AE291" i="32" s="1"/>
  <c r="AE292" i="32" s="1"/>
  <c r="AE293" i="32" s="1"/>
  <c r="AE294" i="32" s="1"/>
  <c r="AE295" i="32" s="1"/>
  <c r="M282" i="32"/>
  <c r="J282" i="32"/>
  <c r="AE281" i="32"/>
  <c r="Z281" i="32"/>
  <c r="Z282" i="32" s="1"/>
  <c r="Z283" i="32" s="1"/>
  <c r="Z284" i="32" s="1"/>
  <c r="Z285" i="32" s="1"/>
  <c r="Z286" i="32" s="1"/>
  <c r="Z287" i="32" s="1"/>
  <c r="Z288" i="32" s="1"/>
  <c r="Z289" i="32" s="1"/>
  <c r="Z290" i="32" s="1"/>
  <c r="Z291" i="32" s="1"/>
  <c r="Z292" i="32" s="1"/>
  <c r="Z293" i="32" s="1"/>
  <c r="Z294" i="32" s="1"/>
  <c r="Z295" i="32" s="1"/>
  <c r="Z296" i="32" s="1"/>
  <c r="Z297" i="32" s="1"/>
  <c r="J281" i="32"/>
  <c r="M281" i="32" s="1"/>
  <c r="AE280" i="32"/>
  <c r="P280" i="32"/>
  <c r="N280" i="32"/>
  <c r="M280" i="32"/>
  <c r="J280" i="32"/>
  <c r="AF279" i="32"/>
  <c r="AF280" i="32" s="1"/>
  <c r="AF281" i="32" s="1"/>
  <c r="AE279" i="32"/>
  <c r="Z279" i="32"/>
  <c r="Z280" i="32" s="1"/>
  <c r="V279" i="32"/>
  <c r="U279" i="32"/>
  <c r="P279" i="32"/>
  <c r="O279" i="32"/>
  <c r="O280" i="32" s="1"/>
  <c r="N279" i="32"/>
  <c r="T279" i="32" s="1"/>
  <c r="M279" i="32"/>
  <c r="J279" i="32"/>
  <c r="J278" i="32"/>
  <c r="J277" i="32"/>
  <c r="Z276" i="32"/>
  <c r="Z277" i="32" s="1"/>
  <c r="J276" i="32"/>
  <c r="D276" i="32"/>
  <c r="D275" i="32"/>
  <c r="J275" i="32" s="1"/>
  <c r="D274" i="32"/>
  <c r="J273" i="32"/>
  <c r="J272" i="32"/>
  <c r="Z271" i="32"/>
  <c r="Z272" i="32" s="1"/>
  <c r="Z273" i="32" s="1"/>
  <c r="Z274" i="32" s="1"/>
  <c r="Z275" i="32" s="1"/>
  <c r="D271" i="32"/>
  <c r="J270" i="32"/>
  <c r="D270" i="32"/>
  <c r="D269" i="32"/>
  <c r="D268" i="32"/>
  <c r="D267" i="32"/>
  <c r="D266" i="32"/>
  <c r="J266" i="32" s="1"/>
  <c r="D265" i="32"/>
  <c r="J265" i="32" s="1"/>
  <c r="Z264" i="32"/>
  <c r="Z265" i="32" s="1"/>
  <c r="Z266" i="32" s="1"/>
  <c r="Z267" i="32" s="1"/>
  <c r="Z268" i="32" s="1"/>
  <c r="Z269" i="32" s="1"/>
  <c r="D264" i="32"/>
  <c r="J263" i="32"/>
  <c r="J262" i="32"/>
  <c r="J261" i="32"/>
  <c r="D260" i="32"/>
  <c r="D259" i="32"/>
  <c r="J259" i="32" s="1"/>
  <c r="D258" i="32"/>
  <c r="J258" i="32" s="1"/>
  <c r="Z257" i="32"/>
  <c r="Z258" i="32" s="1"/>
  <c r="Z259" i="32" s="1"/>
  <c r="Z260" i="32" s="1"/>
  <c r="Z261" i="32" s="1"/>
  <c r="Z262" i="32" s="1"/>
  <c r="D257" i="32"/>
  <c r="J256" i="32"/>
  <c r="D256" i="32"/>
  <c r="D255" i="32"/>
  <c r="J255" i="32" s="1"/>
  <c r="J254" i="32"/>
  <c r="D254" i="32"/>
  <c r="J253" i="32"/>
  <c r="D253" i="32"/>
  <c r="J252" i="32"/>
  <c r="D252" i="32"/>
  <c r="D251" i="32"/>
  <c r="J251" i="32" s="1"/>
  <c r="P250" i="32"/>
  <c r="J250" i="32"/>
  <c r="D250" i="32"/>
  <c r="Z249" i="32"/>
  <c r="Z250" i="32" s="1"/>
  <c r="Z251" i="32" s="1"/>
  <c r="Z252" i="32" s="1"/>
  <c r="Z253" i="32" s="1"/>
  <c r="Z254" i="32" s="1"/>
  <c r="Z255" i="32" s="1"/>
  <c r="V249" i="32"/>
  <c r="P249" i="32"/>
  <c r="N249" i="32"/>
  <c r="D249" i="32"/>
  <c r="E248" i="32"/>
  <c r="E371" i="32" s="1"/>
  <c r="D248" i="32"/>
  <c r="Z247" i="32"/>
  <c r="D247" i="32"/>
  <c r="J247" i="32" s="1"/>
  <c r="Z246" i="32"/>
  <c r="J246" i="32"/>
  <c r="D246" i="32"/>
  <c r="Z245" i="32"/>
  <c r="D245" i="32"/>
  <c r="J245" i="32" s="1"/>
  <c r="Z244" i="32"/>
  <c r="J244" i="32"/>
  <c r="D244" i="32"/>
  <c r="Z243" i="32"/>
  <c r="D243" i="32"/>
  <c r="J243" i="32" s="1"/>
  <c r="Z242" i="32"/>
  <c r="D242" i="32"/>
  <c r="J242" i="32" s="1"/>
  <c r="Z241" i="32"/>
  <c r="D241" i="32"/>
  <c r="J241" i="32" s="1"/>
  <c r="Z240" i="32"/>
  <c r="J240" i="32"/>
  <c r="D240" i="32"/>
  <c r="Z239" i="32"/>
  <c r="J239" i="32"/>
  <c r="D239" i="32"/>
  <c r="Z238" i="32"/>
  <c r="J238" i="32"/>
  <c r="D238" i="32"/>
  <c r="Z237" i="32"/>
  <c r="D237" i="32"/>
  <c r="J237" i="32" s="1"/>
  <c r="AF236" i="32"/>
  <c r="AF237" i="32" s="1"/>
  <c r="AF238" i="32" s="1"/>
  <c r="AF239" i="32" s="1"/>
  <c r="AF240" i="32" s="1"/>
  <c r="AF241" i="32" s="1"/>
  <c r="AF242" i="32" s="1"/>
  <c r="AF243" i="32" s="1"/>
  <c r="AF244" i="32" s="1"/>
  <c r="AF245" i="32" s="1"/>
  <c r="AF246" i="32" s="1"/>
  <c r="AF247" i="32" s="1"/>
  <c r="AF248" i="32" s="1"/>
  <c r="AF249" i="32" s="1"/>
  <c r="AF250" i="32" s="1"/>
  <c r="AF251" i="32" s="1"/>
  <c r="AF252" i="32" s="1"/>
  <c r="AF253" i="32" s="1"/>
  <c r="AF254" i="32" s="1"/>
  <c r="AF255" i="32" s="1"/>
  <c r="AF256" i="32" s="1"/>
  <c r="AF257" i="32" s="1"/>
  <c r="AF258" i="32" s="1"/>
  <c r="AF259" i="32" s="1"/>
  <c r="AF260" i="32" s="1"/>
  <c r="AF261" i="32" s="1"/>
  <c r="AF262" i="32" s="1"/>
  <c r="AF263" i="32" s="1"/>
  <c r="AF264" i="32" s="1"/>
  <c r="AF265" i="32" s="1"/>
  <c r="AF266" i="32" s="1"/>
  <c r="AF267" i="32" s="1"/>
  <c r="AF268" i="32" s="1"/>
  <c r="AF269" i="32" s="1"/>
  <c r="AF270" i="32" s="1"/>
  <c r="AF271" i="32" s="1"/>
  <c r="AF272" i="32" s="1"/>
  <c r="AF273" i="32" s="1"/>
  <c r="AF274" i="32" s="1"/>
  <c r="AF275" i="32" s="1"/>
  <c r="AF276" i="32" s="1"/>
  <c r="AF277" i="32" s="1"/>
  <c r="Z236" i="32"/>
  <c r="D236" i="32"/>
  <c r="J236" i="32" s="1"/>
  <c r="Z235" i="32"/>
  <c r="J235" i="32"/>
  <c r="D235" i="32"/>
  <c r="Z234" i="32"/>
  <c r="J234" i="32"/>
  <c r="D234" i="32"/>
  <c r="Z233" i="32"/>
  <c r="J233" i="32"/>
  <c r="D233" i="32"/>
  <c r="Z232" i="32"/>
  <c r="M232" i="32"/>
  <c r="D232" i="32"/>
  <c r="J232" i="32" s="1"/>
  <c r="Z231" i="32"/>
  <c r="M231" i="32"/>
  <c r="J231" i="32"/>
  <c r="D231" i="32"/>
  <c r="Z230" i="32"/>
  <c r="M230" i="32"/>
  <c r="J230" i="32"/>
  <c r="D230" i="32"/>
  <c r="Z229" i="32"/>
  <c r="D229" i="32"/>
  <c r="J229" i="32" s="1"/>
  <c r="Z228" i="32"/>
  <c r="D228" i="32"/>
  <c r="J228" i="32" s="1"/>
  <c r="Z227" i="32"/>
  <c r="D227" i="32"/>
  <c r="J227" i="32" s="1"/>
  <c r="Z226" i="32"/>
  <c r="J226" i="32"/>
  <c r="D226" i="32"/>
  <c r="Z225" i="32"/>
  <c r="D225" i="32"/>
  <c r="J225" i="32" s="1"/>
  <c r="Z224" i="32"/>
  <c r="D224" i="32"/>
  <c r="J224" i="32" s="1"/>
  <c r="AF223" i="32"/>
  <c r="AF224" i="32" s="1"/>
  <c r="AF225" i="32" s="1"/>
  <c r="AF226" i="32" s="1"/>
  <c r="AF227" i="32" s="1"/>
  <c r="AF228" i="32" s="1"/>
  <c r="AF229" i="32" s="1"/>
  <c r="AF230" i="32" s="1"/>
  <c r="AF231" i="32" s="1"/>
  <c r="AF232" i="32" s="1"/>
  <c r="AF233" i="32" s="1"/>
  <c r="AF234" i="32" s="1"/>
  <c r="AF235" i="32" s="1"/>
  <c r="Z223" i="32"/>
  <c r="D223" i="32"/>
  <c r="J223" i="32" s="1"/>
  <c r="AF222" i="32"/>
  <c r="Z222" i="32"/>
  <c r="D222" i="32"/>
  <c r="J222" i="32" s="1"/>
  <c r="AE221" i="32"/>
  <c r="AE222" i="32" s="1"/>
  <c r="AE223" i="32" s="1"/>
  <c r="AE224" i="32" s="1"/>
  <c r="AE225" i="32" s="1"/>
  <c r="AE226" i="32" s="1"/>
  <c r="AE227" i="32" s="1"/>
  <c r="AE228" i="32" s="1"/>
  <c r="AE229" i="32" s="1"/>
  <c r="AE230" i="32" s="1"/>
  <c r="AE231" i="32" s="1"/>
  <c r="AE232" i="32" s="1"/>
  <c r="AE233" i="32" s="1"/>
  <c r="AE234" i="32" s="1"/>
  <c r="AE235" i="32" s="1"/>
  <c r="AE236" i="32" s="1"/>
  <c r="AE237" i="32" s="1"/>
  <c r="AE238" i="32" s="1"/>
  <c r="AE239" i="32" s="1"/>
  <c r="AE240" i="32" s="1"/>
  <c r="AE241" i="32" s="1"/>
  <c r="AE242" i="32" s="1"/>
  <c r="AE243" i="32" s="1"/>
  <c r="AE244" i="32" s="1"/>
  <c r="AE245" i="32" s="1"/>
  <c r="AE246" i="32" s="1"/>
  <c r="AE247" i="32" s="1"/>
  <c r="Z221" i="32"/>
  <c r="D221" i="32"/>
  <c r="J221" i="32" s="1"/>
  <c r="AF220" i="32"/>
  <c r="AF221" i="32" s="1"/>
  <c r="AE220" i="32"/>
  <c r="Z220" i="32"/>
  <c r="N220" i="32"/>
  <c r="J220" i="32"/>
  <c r="D220" i="32"/>
  <c r="AE219" i="32"/>
  <c r="Z219" i="32"/>
  <c r="O219" i="32"/>
  <c r="D219" i="32"/>
  <c r="J219" i="32" s="1"/>
  <c r="AF218" i="32"/>
  <c r="AF219" i="32" s="1"/>
  <c r="AE218" i="32"/>
  <c r="Z218" i="32"/>
  <c r="T218" i="32"/>
  <c r="P218" i="32"/>
  <c r="O218" i="32"/>
  <c r="U218" i="32" s="1"/>
  <c r="N218" i="32"/>
  <c r="N219" i="32" s="1"/>
  <c r="T219" i="32" s="1"/>
  <c r="J218" i="32"/>
  <c r="D218" i="32"/>
  <c r="P217" i="32"/>
  <c r="D217" i="32"/>
  <c r="Z216" i="32"/>
  <c r="D216" i="32"/>
  <c r="J216" i="32" s="1"/>
  <c r="Z215" i="32"/>
  <c r="D215" i="32"/>
  <c r="Z214" i="32"/>
  <c r="J214" i="32"/>
  <c r="Z213" i="32"/>
  <c r="J213" i="32"/>
  <c r="D213" i="32"/>
  <c r="Z212" i="32"/>
  <c r="J212" i="32"/>
  <c r="D212" i="32"/>
  <c r="Z211" i="32"/>
  <c r="D211" i="32"/>
  <c r="J211" i="32" s="1"/>
  <c r="Z210" i="32"/>
  <c r="D210" i="32"/>
  <c r="Z209" i="32"/>
  <c r="D209" i="32"/>
  <c r="AF208" i="32"/>
  <c r="AF209" i="32" s="1"/>
  <c r="AF210" i="32" s="1"/>
  <c r="AF211" i="32" s="1"/>
  <c r="AF212" i="32" s="1"/>
  <c r="AF213" i="32" s="1"/>
  <c r="AF214" i="32" s="1"/>
  <c r="AF215" i="32" s="1"/>
  <c r="AF216" i="32" s="1"/>
  <c r="Z208" i="32"/>
  <c r="D208" i="32"/>
  <c r="Z207" i="32"/>
  <c r="J207" i="32"/>
  <c r="D206" i="32"/>
  <c r="AF205" i="32"/>
  <c r="AF206" i="32" s="1"/>
  <c r="AF207" i="32" s="1"/>
  <c r="Z205" i="32"/>
  <c r="D205" i="32"/>
  <c r="AF204" i="32"/>
  <c r="Z204" i="32"/>
  <c r="D204" i="32"/>
  <c r="Z203" i="32"/>
  <c r="D203" i="32"/>
  <c r="J203" i="32" s="1"/>
  <c r="Z202" i="32"/>
  <c r="D202" i="32"/>
  <c r="Z201" i="32"/>
  <c r="D201" i="32"/>
  <c r="AF200" i="32"/>
  <c r="AF201" i="32" s="1"/>
  <c r="AF202" i="32" s="1"/>
  <c r="AF203" i="32" s="1"/>
  <c r="Z200" i="32"/>
  <c r="J200" i="32"/>
  <c r="AF199" i="32"/>
  <c r="Z199" i="32"/>
  <c r="J199" i="32"/>
  <c r="AF198" i="32"/>
  <c r="Z198" i="32"/>
  <c r="D198" i="32"/>
  <c r="AF197" i="32"/>
  <c r="Z197" i="32"/>
  <c r="D197" i="32"/>
  <c r="D196" i="32"/>
  <c r="J196" i="32" s="1"/>
  <c r="Z195" i="32"/>
  <c r="D195" i="32"/>
  <c r="Z194" i="32"/>
  <c r="D194" i="32"/>
  <c r="Z193" i="32"/>
  <c r="J193" i="32"/>
  <c r="Z192" i="32"/>
  <c r="J192" i="32"/>
  <c r="Z191" i="32"/>
  <c r="J191" i="32"/>
  <c r="Z190" i="32"/>
  <c r="J190" i="32"/>
  <c r="AF189" i="32"/>
  <c r="AF190" i="32" s="1"/>
  <c r="AF191" i="32" s="1"/>
  <c r="AF192" i="32" s="1"/>
  <c r="AF193" i="32" s="1"/>
  <c r="AF194" i="32" s="1"/>
  <c r="AF195" i="32" s="1"/>
  <c r="Z189" i="32"/>
  <c r="J189" i="32"/>
  <c r="Z188" i="32"/>
  <c r="O188" i="32"/>
  <c r="J188" i="32"/>
  <c r="AF187" i="32"/>
  <c r="AF188" i="32" s="1"/>
  <c r="Z187" i="32"/>
  <c r="V187" i="32"/>
  <c r="P187" i="32"/>
  <c r="O187" i="32"/>
  <c r="N187" i="32"/>
  <c r="T187" i="32" s="1"/>
  <c r="J187" i="32"/>
  <c r="J186" i="32"/>
  <c r="Z185" i="32"/>
  <c r="J185" i="32"/>
  <c r="Z184" i="32"/>
  <c r="J184" i="32"/>
  <c r="Z183" i="32"/>
  <c r="J183" i="32"/>
  <c r="Z182" i="32"/>
  <c r="D182" i="32"/>
  <c r="J182" i="32" s="1"/>
  <c r="Z181" i="32"/>
  <c r="D181" i="32"/>
  <c r="J181" i="32" s="1"/>
  <c r="Z180" i="32"/>
  <c r="D180" i="32"/>
  <c r="Z179" i="32"/>
  <c r="O179" i="32"/>
  <c r="J179" i="32"/>
  <c r="Z178" i="32"/>
  <c r="P178" i="32"/>
  <c r="O178" i="32"/>
  <c r="J178" i="32"/>
  <c r="Z177" i="32"/>
  <c r="P177" i="32"/>
  <c r="O177" i="32"/>
  <c r="N177" i="32"/>
  <c r="J177" i="32"/>
  <c r="J176" i="32"/>
  <c r="Z175" i="32"/>
  <c r="J175" i="32"/>
  <c r="Z174" i="32"/>
  <c r="J174" i="32"/>
  <c r="Z173" i="32"/>
  <c r="J173" i="32"/>
  <c r="Z172" i="32"/>
  <c r="J172" i="32"/>
  <c r="Z171" i="32"/>
  <c r="J171" i="32"/>
  <c r="Z170" i="32"/>
  <c r="J170" i="32"/>
  <c r="Z169" i="32"/>
  <c r="J169" i="32"/>
  <c r="Z168" i="32"/>
  <c r="J168" i="32"/>
  <c r="Z167" i="32"/>
  <c r="J167" i="32"/>
  <c r="J166" i="32"/>
  <c r="Z165" i="32"/>
  <c r="J165" i="32"/>
  <c r="Z164" i="32"/>
  <c r="J164" i="32"/>
  <c r="Z163" i="32"/>
  <c r="J163" i="32"/>
  <c r="Z162" i="32"/>
  <c r="J162" i="32"/>
  <c r="Z161" i="32"/>
  <c r="J161" i="32"/>
  <c r="Z160" i="32"/>
  <c r="J160" i="32"/>
  <c r="AF159" i="32"/>
  <c r="AF160" i="32" s="1"/>
  <c r="AF161" i="32" s="1"/>
  <c r="AF162" i="32" s="1"/>
  <c r="AF163" i="32" s="1"/>
  <c r="AF164" i="32" s="1"/>
  <c r="AF165" i="32" s="1"/>
  <c r="AF166" i="32" s="1"/>
  <c r="AF167" i="32" s="1"/>
  <c r="AF168" i="32" s="1"/>
  <c r="AF169" i="32" s="1"/>
  <c r="AF170" i="32" s="1"/>
  <c r="AF171" i="32" s="1"/>
  <c r="AF172" i="32" s="1"/>
  <c r="AF173" i="32" s="1"/>
  <c r="AF174" i="32" s="1"/>
  <c r="AF175" i="32" s="1"/>
  <c r="AF176" i="32" s="1"/>
  <c r="AF177" i="32" s="1"/>
  <c r="AF178" i="32" s="1"/>
  <c r="AF179" i="32" s="1"/>
  <c r="AF180" i="32" s="1"/>
  <c r="AF181" i="32" s="1"/>
  <c r="AF182" i="32" s="1"/>
  <c r="AF183" i="32" s="1"/>
  <c r="AF184" i="32" s="1"/>
  <c r="AF185" i="32" s="1"/>
  <c r="Z159" i="32"/>
  <c r="P159" i="32"/>
  <c r="N159" i="32"/>
  <c r="J159" i="32"/>
  <c r="AF158" i="32"/>
  <c r="Z158" i="32"/>
  <c r="V158" i="32"/>
  <c r="O158" i="32"/>
  <c r="O159" i="32" s="1"/>
  <c r="N158" i="32"/>
  <c r="J158" i="32"/>
  <c r="AF157" i="32"/>
  <c r="Z157" i="32"/>
  <c r="V157" i="32"/>
  <c r="T157" i="32"/>
  <c r="P157" i="32"/>
  <c r="P158" i="32" s="1"/>
  <c r="O157" i="32"/>
  <c r="N157" i="32"/>
  <c r="J157" i="32"/>
  <c r="J156" i="32"/>
  <c r="Z155" i="32"/>
  <c r="J155" i="32"/>
  <c r="Z154" i="32"/>
  <c r="D154" i="32"/>
  <c r="J154" i="32" s="1"/>
  <c r="Z153" i="32"/>
  <c r="D153" i="32"/>
  <c r="J153" i="32" s="1"/>
  <c r="Z152" i="32"/>
  <c r="D152" i="32"/>
  <c r="J152" i="32" s="1"/>
  <c r="Z151" i="32"/>
  <c r="J151" i="32"/>
  <c r="Z150" i="32"/>
  <c r="J150" i="32"/>
  <c r="Z149" i="32"/>
  <c r="J149" i="32"/>
  <c r="Z148" i="32"/>
  <c r="J148" i="32"/>
  <c r="Z147" i="32"/>
  <c r="J147" i="32"/>
  <c r="AF146" i="32"/>
  <c r="AF147" i="32" s="1"/>
  <c r="AF148" i="32" s="1"/>
  <c r="AF149" i="32" s="1"/>
  <c r="AF150" i="32" s="1"/>
  <c r="AF151" i="32" s="1"/>
  <c r="AF152" i="32" s="1"/>
  <c r="AF153" i="32" s="1"/>
  <c r="AF154" i="32" s="1"/>
  <c r="AF155" i="32" s="1"/>
  <c r="Z146" i="32"/>
  <c r="J146" i="32"/>
  <c r="J145" i="32"/>
  <c r="Z144" i="32"/>
  <c r="J144" i="32"/>
  <c r="D144" i="32"/>
  <c r="AF143" i="32"/>
  <c r="AF144" i="32" s="1"/>
  <c r="AF145" i="32" s="1"/>
  <c r="Z143" i="32"/>
  <c r="J143" i="32"/>
  <c r="Z142" i="32"/>
  <c r="J142" i="32"/>
  <c r="Z141" i="32"/>
  <c r="J141" i="32"/>
  <c r="AF140" i="32"/>
  <c r="AF141" i="32" s="1"/>
  <c r="AF142" i="32" s="1"/>
  <c r="Z140" i="32"/>
  <c r="J140" i="32"/>
  <c r="D140" i="32"/>
  <c r="Z139" i="32"/>
  <c r="D139" i="32"/>
  <c r="J139" i="32" s="1"/>
  <c r="Z138" i="32"/>
  <c r="D138" i="32"/>
  <c r="J138" i="32" s="1"/>
  <c r="AF137" i="32"/>
  <c r="AF138" i="32" s="1"/>
  <c r="AF139" i="32" s="1"/>
  <c r="Z137" i="32"/>
  <c r="O137" i="32"/>
  <c r="J137" i="32"/>
  <c r="AF136" i="32"/>
  <c r="Z136" i="32"/>
  <c r="P136" i="32"/>
  <c r="O136" i="32"/>
  <c r="N136" i="32"/>
  <c r="J136" i="32"/>
  <c r="J135" i="32"/>
  <c r="Z134" i="32"/>
  <c r="J134" i="32"/>
  <c r="Z133" i="32"/>
  <c r="J133" i="32"/>
  <c r="Z132" i="32"/>
  <c r="J132" i="32"/>
  <c r="Z131" i="32"/>
  <c r="J131" i="32"/>
  <c r="Z130" i="32"/>
  <c r="D130" i="32"/>
  <c r="J130" i="32" s="1"/>
  <c r="AF129" i="32"/>
  <c r="AF130" i="32" s="1"/>
  <c r="AF131" i="32" s="1"/>
  <c r="AF132" i="32" s="1"/>
  <c r="AF133" i="32" s="1"/>
  <c r="AF134" i="32" s="1"/>
  <c r="Z129" i="32"/>
  <c r="J129" i="32"/>
  <c r="D129" i="32"/>
  <c r="AF128" i="32"/>
  <c r="Z128" i="32"/>
  <c r="J128" i="32"/>
  <c r="D128" i="32"/>
  <c r="Z127" i="32"/>
  <c r="D127" i="32"/>
  <c r="J127" i="32" s="1"/>
  <c r="AF126" i="32"/>
  <c r="AF127" i="32" s="1"/>
  <c r="Z126" i="32"/>
  <c r="T126" i="32"/>
  <c r="P126" i="32"/>
  <c r="N126" i="32"/>
  <c r="D126" i="32"/>
  <c r="J125" i="32"/>
  <c r="Z124" i="32"/>
  <c r="J124" i="32"/>
  <c r="AF123" i="32"/>
  <c r="AF124" i="32" s="1"/>
  <c r="Z123" i="32"/>
  <c r="J123" i="32"/>
  <c r="Z122" i="32"/>
  <c r="J122" i="32"/>
  <c r="Z121" i="32"/>
  <c r="J121" i="32"/>
  <c r="Z120" i="32"/>
  <c r="J120" i="32"/>
  <c r="Z119" i="32"/>
  <c r="J119" i="32"/>
  <c r="D119" i="32"/>
  <c r="AF118" i="32"/>
  <c r="AF119" i="32" s="1"/>
  <c r="AF120" i="32" s="1"/>
  <c r="AF121" i="32" s="1"/>
  <c r="AF122" i="32" s="1"/>
  <c r="Z118" i="32"/>
  <c r="D118" i="32"/>
  <c r="J118" i="32" s="1"/>
  <c r="Z117" i="32"/>
  <c r="J117" i="32"/>
  <c r="D117" i="32"/>
  <c r="AF116" i="32"/>
  <c r="AF117" i="32" s="1"/>
  <c r="Z116" i="32"/>
  <c r="J116" i="32"/>
  <c r="J115" i="32"/>
  <c r="Z114" i="32"/>
  <c r="J114" i="32"/>
  <c r="Z113" i="32"/>
  <c r="J113" i="32"/>
  <c r="Z112" i="32"/>
  <c r="J112" i="32"/>
  <c r="Z111" i="32"/>
  <c r="J111" i="32"/>
  <c r="AF110" i="32"/>
  <c r="AF111" i="32" s="1"/>
  <c r="AF112" i="32" s="1"/>
  <c r="AF113" i="32" s="1"/>
  <c r="AF114" i="32" s="1"/>
  <c r="Z110" i="32"/>
  <c r="J110" i="32"/>
  <c r="Z109" i="32"/>
  <c r="J109" i="32"/>
  <c r="Z108" i="32"/>
  <c r="J108" i="32"/>
  <c r="Z107" i="32"/>
  <c r="J107" i="32"/>
  <c r="AF106" i="32"/>
  <c r="AF107" i="32" s="1"/>
  <c r="AF108" i="32" s="1"/>
  <c r="AF109" i="32" s="1"/>
  <c r="Z106" i="32"/>
  <c r="J106" i="32"/>
  <c r="J105" i="32"/>
  <c r="Z104" i="32"/>
  <c r="J104" i="32"/>
  <c r="Z103" i="32"/>
  <c r="J103" i="32"/>
  <c r="Z102" i="32"/>
  <c r="J102" i="32"/>
  <c r="Z101" i="32"/>
  <c r="J101" i="32"/>
  <c r="Z100" i="32"/>
  <c r="J100" i="32"/>
  <c r="Z99" i="32"/>
  <c r="J99" i="32"/>
  <c r="Z98" i="32"/>
  <c r="J98" i="32"/>
  <c r="Z97" i="32"/>
  <c r="O97" i="32"/>
  <c r="J97" i="32"/>
  <c r="AF96" i="32"/>
  <c r="AF97" i="32" s="1"/>
  <c r="AF98" i="32" s="1"/>
  <c r="AF99" i="32" s="1"/>
  <c r="AF100" i="32" s="1"/>
  <c r="AF101" i="32" s="1"/>
  <c r="AF102" i="32" s="1"/>
  <c r="AF103" i="32" s="1"/>
  <c r="AF104" i="32" s="1"/>
  <c r="Z96" i="32"/>
  <c r="V96" i="32"/>
  <c r="P96" i="32"/>
  <c r="P97" i="32" s="1"/>
  <c r="O96" i="32"/>
  <c r="N96" i="32"/>
  <c r="J96" i="32"/>
  <c r="AD95" i="32"/>
  <c r="J95" i="32"/>
  <c r="Z94" i="32"/>
  <c r="J94" i="32"/>
  <c r="Z93" i="32"/>
  <c r="J93" i="32"/>
  <c r="Z92" i="32"/>
  <c r="J92" i="32"/>
  <c r="Z91" i="32"/>
  <c r="J91" i="32"/>
  <c r="Z90" i="32"/>
  <c r="J90" i="32"/>
  <c r="Z89" i="32"/>
  <c r="J89" i="32"/>
  <c r="Z88" i="32"/>
  <c r="J88" i="32"/>
  <c r="Z87" i="32"/>
  <c r="J87" i="32"/>
  <c r="Z86" i="32"/>
  <c r="J86" i="32"/>
  <c r="AF85" i="32"/>
  <c r="AF86" i="32" s="1"/>
  <c r="AF87" i="32" s="1"/>
  <c r="AF88" i="32" s="1"/>
  <c r="AF89" i="32" s="1"/>
  <c r="AF90" i="32" s="1"/>
  <c r="AF91" i="32" s="1"/>
  <c r="AF92" i="32" s="1"/>
  <c r="AF93" i="32" s="1"/>
  <c r="AF94" i="32" s="1"/>
  <c r="Z85" i="32"/>
  <c r="J85" i="32"/>
  <c r="J84" i="32"/>
  <c r="Z83" i="32"/>
  <c r="J83" i="32"/>
  <c r="Z82" i="32"/>
  <c r="J82" i="32"/>
  <c r="Z81" i="32"/>
  <c r="J81" i="32"/>
  <c r="Z80" i="32"/>
  <c r="J80" i="32"/>
  <c r="Z79" i="32"/>
  <c r="J79" i="32"/>
  <c r="Z78" i="32"/>
  <c r="J78" i="32"/>
  <c r="Z77" i="32"/>
  <c r="J77" i="32"/>
  <c r="Z76" i="32"/>
  <c r="J76" i="32"/>
  <c r="Z75" i="32"/>
  <c r="J75" i="32"/>
  <c r="J74" i="32"/>
  <c r="Z73" i="32"/>
  <c r="J73" i="32"/>
  <c r="Z72" i="32"/>
  <c r="J72" i="32"/>
  <c r="AF71" i="32"/>
  <c r="AF72" i="32" s="1"/>
  <c r="AF73" i="32" s="1"/>
  <c r="AF74" i="32" s="1"/>
  <c r="AF75" i="32" s="1"/>
  <c r="AF76" i="32" s="1"/>
  <c r="AF77" i="32" s="1"/>
  <c r="AF78" i="32" s="1"/>
  <c r="AF79" i="32" s="1"/>
  <c r="AF80" i="32" s="1"/>
  <c r="AF81" i="32" s="1"/>
  <c r="AF82" i="32" s="1"/>
  <c r="AF83" i="32" s="1"/>
  <c r="Z71" i="32"/>
  <c r="J71" i="32"/>
  <c r="Z70" i="32"/>
  <c r="J70" i="32"/>
  <c r="Z69" i="32"/>
  <c r="J69" i="32"/>
  <c r="Z68" i="32"/>
  <c r="O68" i="32"/>
  <c r="O69" i="32" s="1"/>
  <c r="J68" i="32"/>
  <c r="Z67" i="32"/>
  <c r="O67" i="32"/>
  <c r="J67" i="32"/>
  <c r="Z66" i="32"/>
  <c r="U66" i="32"/>
  <c r="O66" i="32"/>
  <c r="N66" i="32"/>
  <c r="J66" i="32"/>
  <c r="AF65" i="32"/>
  <c r="AF66" i="32" s="1"/>
  <c r="AF67" i="32" s="1"/>
  <c r="AF68" i="32" s="1"/>
  <c r="AF69" i="32" s="1"/>
  <c r="AF70" i="32" s="1"/>
  <c r="Z65" i="32"/>
  <c r="V65" i="32"/>
  <c r="U65" i="32"/>
  <c r="P65" i="32"/>
  <c r="O65" i="32"/>
  <c r="N65" i="32"/>
  <c r="J65" i="32"/>
  <c r="AC64" i="32"/>
  <c r="AA64" i="32"/>
  <c r="J64" i="32"/>
  <c r="Z63" i="32"/>
  <c r="J63" i="32"/>
  <c r="Z62" i="32"/>
  <c r="J62" i="32"/>
  <c r="Z61" i="32"/>
  <c r="J61" i="32"/>
  <c r="Z60" i="32"/>
  <c r="J60" i="32"/>
  <c r="Z59" i="32"/>
  <c r="J59" i="32"/>
  <c r="AF58" i="32"/>
  <c r="AF59" i="32" s="1"/>
  <c r="AF60" i="32" s="1"/>
  <c r="AF61" i="32" s="1"/>
  <c r="AF62" i="32" s="1"/>
  <c r="AF63" i="32" s="1"/>
  <c r="Z58" i="32"/>
  <c r="J58" i="32"/>
  <c r="AF57" i="32"/>
  <c r="Z57" i="32"/>
  <c r="J57" i="32"/>
  <c r="Z56" i="32"/>
  <c r="J56" i="32"/>
  <c r="J55" i="32"/>
  <c r="Z54" i="32"/>
  <c r="J54" i="32"/>
  <c r="Z53" i="32"/>
  <c r="J53" i="32"/>
  <c r="Z52" i="32"/>
  <c r="J52" i="32"/>
  <c r="Z51" i="32"/>
  <c r="J51" i="32"/>
  <c r="Z50" i="32"/>
  <c r="J50" i="32"/>
  <c r="Z49" i="32"/>
  <c r="J49" i="32"/>
  <c r="Z48" i="32"/>
  <c r="D48" i="32"/>
  <c r="J48" i="32" s="1"/>
  <c r="Z47" i="32"/>
  <c r="D47" i="32"/>
  <c r="J47" i="32" s="1"/>
  <c r="AF46" i="32"/>
  <c r="AF47" i="32" s="1"/>
  <c r="AF48" i="32" s="1"/>
  <c r="AF49" i="32" s="1"/>
  <c r="AF50" i="32" s="1"/>
  <c r="AF51" i="32" s="1"/>
  <c r="AF52" i="32" s="1"/>
  <c r="AF53" i="32" s="1"/>
  <c r="AF54" i="32" s="1"/>
  <c r="AF55" i="32" s="1"/>
  <c r="Z46" i="32"/>
  <c r="J46" i="32"/>
  <c r="D46" i="32"/>
  <c r="J45" i="32"/>
  <c r="D45" i="32"/>
  <c r="AF44" i="32"/>
  <c r="Z44" i="32"/>
  <c r="D44" i="32"/>
  <c r="J44" i="32" s="1"/>
  <c r="Z43" i="32"/>
  <c r="D43" i="32"/>
  <c r="J43" i="32" s="1"/>
  <c r="Z42" i="32"/>
  <c r="J42" i="32"/>
  <c r="D42" i="32"/>
  <c r="Z41" i="32"/>
  <c r="J41" i="32"/>
  <c r="AF40" i="32"/>
  <c r="AF41" i="32" s="1"/>
  <c r="AF42" i="32" s="1"/>
  <c r="AF43" i="32" s="1"/>
  <c r="Z40" i="32"/>
  <c r="J40" i="32"/>
  <c r="AF39" i="32"/>
  <c r="Z39" i="32"/>
  <c r="J39" i="32"/>
  <c r="Z38" i="32"/>
  <c r="P38" i="32"/>
  <c r="N38" i="32"/>
  <c r="J38" i="32"/>
  <c r="AF37" i="32"/>
  <c r="AF38" i="32" s="1"/>
  <c r="Z37" i="32"/>
  <c r="V37" i="32"/>
  <c r="T37" i="32"/>
  <c r="P37" i="32"/>
  <c r="N37" i="32"/>
  <c r="J37" i="32"/>
  <c r="AF36" i="32"/>
  <c r="Z36" i="32"/>
  <c r="V36" i="32"/>
  <c r="T36" i="32"/>
  <c r="P36" i="32"/>
  <c r="O36" i="32"/>
  <c r="N36" i="32"/>
  <c r="J36" i="32"/>
  <c r="J35" i="32"/>
  <c r="K35" i="32" s="1"/>
  <c r="Z34" i="32"/>
  <c r="J34" i="32"/>
  <c r="K34" i="32" s="1"/>
  <c r="Z33" i="32"/>
  <c r="J33" i="32"/>
  <c r="K33" i="32" s="1"/>
  <c r="AF32" i="32"/>
  <c r="AF33" i="32" s="1"/>
  <c r="AF34" i="32" s="1"/>
  <c r="Z32" i="32"/>
  <c r="J32" i="32"/>
  <c r="K32" i="32" s="1"/>
  <c r="Z31" i="32"/>
  <c r="K31" i="32"/>
  <c r="J31" i="32"/>
  <c r="Z30" i="32"/>
  <c r="J30" i="32"/>
  <c r="K30" i="32" s="1"/>
  <c r="AF29" i="32"/>
  <c r="AF30" i="32" s="1"/>
  <c r="AF31" i="32" s="1"/>
  <c r="Z29" i="32"/>
  <c r="J29" i="32"/>
  <c r="K29" i="32" s="1"/>
  <c r="Z28" i="32"/>
  <c r="J28" i="32"/>
  <c r="K28" i="32" s="1"/>
  <c r="Z27" i="32"/>
  <c r="J27" i="32"/>
  <c r="K27" i="32" s="1"/>
  <c r="Z26" i="32"/>
  <c r="J26" i="32"/>
  <c r="K26" i="32" s="1"/>
  <c r="AE26" i="32" s="1"/>
  <c r="AF25" i="32"/>
  <c r="AF26" i="32" s="1"/>
  <c r="AF27" i="32" s="1"/>
  <c r="AF28" i="32" s="1"/>
  <c r="J25" i="32"/>
  <c r="K25" i="32" s="1"/>
  <c r="AE25" i="32" s="1"/>
  <c r="J24" i="32"/>
  <c r="Z23" i="32"/>
  <c r="J23" i="32"/>
  <c r="AF22" i="32"/>
  <c r="AF23" i="32" s="1"/>
  <c r="Z22" i="32"/>
  <c r="J22" i="32"/>
  <c r="Z21" i="32"/>
  <c r="J21" i="32"/>
  <c r="Z20" i="32"/>
  <c r="J20" i="32"/>
  <c r="Z19" i="32"/>
  <c r="J19" i="32"/>
  <c r="J18" i="32"/>
  <c r="AF17" i="32"/>
  <c r="AF18" i="32" s="1"/>
  <c r="AF19" i="32" s="1"/>
  <c r="AF20" i="32" s="1"/>
  <c r="AF21" i="32" s="1"/>
  <c r="Z17" i="32"/>
  <c r="J17" i="32"/>
  <c r="AF16" i="32"/>
  <c r="Z16" i="32"/>
  <c r="J16" i="32"/>
  <c r="AF15" i="32"/>
  <c r="Z15" i="32"/>
  <c r="J15" i="32"/>
  <c r="J14" i="32"/>
  <c r="K14" i="32" s="1"/>
  <c r="Z13" i="32"/>
  <c r="J13" i="32"/>
  <c r="K13" i="32" s="1"/>
  <c r="Z12" i="32"/>
  <c r="K12" i="32"/>
  <c r="J12" i="32"/>
  <c r="J11" i="32"/>
  <c r="K11" i="32" s="1"/>
  <c r="Z10" i="32"/>
  <c r="K10" i="32"/>
  <c r="J10" i="32"/>
  <c r="Z9" i="32"/>
  <c r="K9" i="32"/>
  <c r="J9" i="32"/>
  <c r="Z8" i="32"/>
  <c r="K8" i="32"/>
  <c r="J8" i="32"/>
  <c r="Z7" i="32"/>
  <c r="R7" i="32"/>
  <c r="O7" i="32"/>
  <c r="K7" i="32"/>
  <c r="J7" i="32"/>
  <c r="AF6" i="32"/>
  <c r="AF7" i="32" s="1"/>
  <c r="AF8" i="32" s="1"/>
  <c r="AF9" i="32" s="1"/>
  <c r="AF10" i="32" s="1"/>
  <c r="AF11" i="32" s="1"/>
  <c r="AF12" i="32" s="1"/>
  <c r="AF13" i="32" s="1"/>
  <c r="Z6" i="32"/>
  <c r="O6" i="32"/>
  <c r="R6" i="32" s="1"/>
  <c r="X6" i="32" s="1"/>
  <c r="K6" i="32"/>
  <c r="J6" i="32"/>
  <c r="AF5" i="32"/>
  <c r="AB5" i="32"/>
  <c r="AB375" i="32" s="1"/>
  <c r="Z5" i="32"/>
  <c r="X5" i="32"/>
  <c r="U5" i="32"/>
  <c r="R5" i="32"/>
  <c r="P5" i="32"/>
  <c r="S5" i="32" s="1"/>
  <c r="O5" i="32"/>
  <c r="N5" i="32"/>
  <c r="T5" i="32" s="1"/>
  <c r="J5" i="32"/>
  <c r="AB386" i="34"/>
  <c r="L386" i="34"/>
  <c r="K386" i="34"/>
  <c r="I386" i="34"/>
  <c r="H386" i="34"/>
  <c r="G386" i="34"/>
  <c r="F386" i="34"/>
  <c r="E386" i="34"/>
  <c r="C386" i="34"/>
  <c r="AB385" i="34"/>
  <c r="L385" i="34"/>
  <c r="K385" i="34"/>
  <c r="I385" i="34"/>
  <c r="H385" i="34"/>
  <c r="G385" i="34"/>
  <c r="F385" i="34"/>
  <c r="E385" i="34"/>
  <c r="C385" i="34"/>
  <c r="AB384" i="34"/>
  <c r="L384" i="34"/>
  <c r="K384" i="34"/>
  <c r="I384" i="34"/>
  <c r="H384" i="34"/>
  <c r="G384" i="34"/>
  <c r="F384" i="34"/>
  <c r="E384" i="34"/>
  <c r="C384" i="34"/>
  <c r="AB383" i="34"/>
  <c r="L383" i="34"/>
  <c r="K383" i="34"/>
  <c r="I383" i="34"/>
  <c r="H383" i="34"/>
  <c r="G383" i="34"/>
  <c r="F383" i="34"/>
  <c r="E383" i="34"/>
  <c r="C383" i="34"/>
  <c r="AB382" i="34"/>
  <c r="L382" i="34"/>
  <c r="K382" i="34"/>
  <c r="I382" i="34"/>
  <c r="H382" i="34"/>
  <c r="G382" i="34"/>
  <c r="F382" i="34"/>
  <c r="E382" i="34"/>
  <c r="C382" i="34"/>
  <c r="AB381" i="34"/>
  <c r="L381" i="34"/>
  <c r="K381" i="34"/>
  <c r="I381" i="34"/>
  <c r="H381" i="34"/>
  <c r="G381" i="34"/>
  <c r="F381" i="34"/>
  <c r="E381" i="34"/>
  <c r="C381" i="34"/>
  <c r="AB380" i="34"/>
  <c r="L380" i="34"/>
  <c r="K380" i="34"/>
  <c r="I380" i="34"/>
  <c r="H380" i="34"/>
  <c r="G380" i="34"/>
  <c r="F380" i="34"/>
  <c r="E380" i="34"/>
  <c r="C380" i="34"/>
  <c r="AB379" i="34"/>
  <c r="L379" i="34"/>
  <c r="K379" i="34"/>
  <c r="I379" i="34"/>
  <c r="H379" i="34"/>
  <c r="G379" i="34"/>
  <c r="F379" i="34"/>
  <c r="E379" i="34"/>
  <c r="C379" i="34"/>
  <c r="AB378" i="34"/>
  <c r="L378" i="34"/>
  <c r="K378" i="34"/>
  <c r="I378" i="34"/>
  <c r="H378" i="34"/>
  <c r="G378" i="34"/>
  <c r="F378" i="34"/>
  <c r="E378" i="34"/>
  <c r="C378" i="34"/>
  <c r="AB377" i="34"/>
  <c r="L377" i="34"/>
  <c r="K377" i="34"/>
  <c r="I377" i="34"/>
  <c r="H377" i="34"/>
  <c r="G377" i="34"/>
  <c r="F377" i="34"/>
  <c r="C377" i="34"/>
  <c r="AB376" i="34"/>
  <c r="L376" i="34"/>
  <c r="K376" i="34"/>
  <c r="I376" i="34"/>
  <c r="H376" i="34"/>
  <c r="G376" i="34"/>
  <c r="F376" i="34"/>
  <c r="E376" i="34"/>
  <c r="C376" i="34"/>
  <c r="AB375" i="34"/>
  <c r="L375" i="34"/>
  <c r="K375" i="34"/>
  <c r="I375" i="34"/>
  <c r="H375" i="34"/>
  <c r="G375" i="34"/>
  <c r="F375" i="34"/>
  <c r="E375" i="34"/>
  <c r="C375" i="34"/>
  <c r="I374" i="34"/>
  <c r="L372" i="34"/>
  <c r="K372" i="34"/>
  <c r="I372" i="34"/>
  <c r="H372" i="34"/>
  <c r="G372" i="34"/>
  <c r="F372" i="34"/>
  <c r="C372" i="34"/>
  <c r="F371" i="34"/>
  <c r="C371" i="34"/>
  <c r="AG370" i="34"/>
  <c r="AF370" i="34"/>
  <c r="AE370" i="34"/>
  <c r="AD370" i="34"/>
  <c r="AB370" i="34"/>
  <c r="AA370" i="34"/>
  <c r="AC370" i="34" s="1"/>
  <c r="Z370" i="34"/>
  <c r="S370" i="34"/>
  <c r="Y370" i="34" s="1"/>
  <c r="R370" i="34"/>
  <c r="X370" i="34" s="1"/>
  <c r="Q370" i="34"/>
  <c r="W370" i="34" s="1"/>
  <c r="P370" i="34"/>
  <c r="O370" i="34"/>
  <c r="N370" i="34"/>
  <c r="T370" i="34" s="1"/>
  <c r="M370" i="34"/>
  <c r="J370" i="34"/>
  <c r="M369" i="34"/>
  <c r="J369" i="34"/>
  <c r="J368" i="34"/>
  <c r="M368" i="34" s="1"/>
  <c r="J367" i="34"/>
  <c r="M367" i="34" s="1"/>
  <c r="AF366" i="34"/>
  <c r="AF367" i="34" s="1"/>
  <c r="AF368" i="34" s="1"/>
  <c r="AF369" i="34" s="1"/>
  <c r="Z366" i="34"/>
  <c r="J366" i="34"/>
  <c r="M366" i="34" s="1"/>
  <c r="D366" i="34"/>
  <c r="J365" i="34"/>
  <c r="M365" i="34" s="1"/>
  <c r="D365" i="34"/>
  <c r="M364" i="34"/>
  <c r="J364" i="34"/>
  <c r="D364" i="34"/>
  <c r="M363" i="34"/>
  <c r="J363" i="34"/>
  <c r="D363" i="34"/>
  <c r="M362" i="34"/>
  <c r="D362" i="34"/>
  <c r="J362" i="34" s="1"/>
  <c r="D361" i="34"/>
  <c r="J361" i="34" s="1"/>
  <c r="M361" i="34" s="1"/>
  <c r="M360" i="34"/>
  <c r="J360" i="34"/>
  <c r="Z359" i="34"/>
  <c r="J359" i="34"/>
  <c r="M359" i="34" s="1"/>
  <c r="J358" i="34"/>
  <c r="M358" i="34" s="1"/>
  <c r="J357" i="34"/>
  <c r="M357" i="34" s="1"/>
  <c r="J356" i="34"/>
  <c r="M356" i="34" s="1"/>
  <c r="J355" i="34"/>
  <c r="M355" i="34" s="1"/>
  <c r="M354" i="34"/>
  <c r="J354" i="34"/>
  <c r="M353" i="34"/>
  <c r="J353" i="34"/>
  <c r="D353" i="34"/>
  <c r="Z352" i="34"/>
  <c r="D352" i="34"/>
  <c r="J352" i="34" s="1"/>
  <c r="M352" i="34" s="1"/>
  <c r="J351" i="34"/>
  <c r="M351" i="34" s="1"/>
  <c r="D351" i="34"/>
  <c r="M350" i="34"/>
  <c r="J350" i="34"/>
  <c r="D350" i="34"/>
  <c r="J349" i="34"/>
  <c r="M349" i="34" s="1"/>
  <c r="D349" i="34"/>
  <c r="D348" i="34"/>
  <c r="J348" i="34" s="1"/>
  <c r="M348" i="34" s="1"/>
  <c r="D347" i="34"/>
  <c r="J347" i="34" s="1"/>
  <c r="M347" i="34" s="1"/>
  <c r="AE346" i="34"/>
  <c r="AE347" i="34" s="1"/>
  <c r="AE348" i="34" s="1"/>
  <c r="AE349" i="34" s="1"/>
  <c r="AE350" i="34" s="1"/>
  <c r="AE351" i="34" s="1"/>
  <c r="AE352" i="34" s="1"/>
  <c r="AE353" i="34" s="1"/>
  <c r="AE354" i="34" s="1"/>
  <c r="AE355" i="34" s="1"/>
  <c r="AE356" i="34" s="1"/>
  <c r="AE357" i="34" s="1"/>
  <c r="AE358" i="34" s="1"/>
  <c r="AE359" i="34" s="1"/>
  <c r="AE360" i="34" s="1"/>
  <c r="AE361" i="34" s="1"/>
  <c r="AE362" i="34" s="1"/>
  <c r="AE363" i="34" s="1"/>
  <c r="AE364" i="34" s="1"/>
  <c r="AE365" i="34" s="1"/>
  <c r="AE366" i="34" s="1"/>
  <c r="AE367" i="34" s="1"/>
  <c r="AE368" i="34" s="1"/>
  <c r="AE369" i="34" s="1"/>
  <c r="M346" i="34"/>
  <c r="D346" i="34"/>
  <c r="J346" i="34" s="1"/>
  <c r="AE345" i="34"/>
  <c r="Z345" i="34"/>
  <c r="D345" i="34"/>
  <c r="J345" i="34" s="1"/>
  <c r="M345" i="34" s="1"/>
  <c r="AE344" i="34"/>
  <c r="M344" i="34"/>
  <c r="D344" i="34"/>
  <c r="J344" i="34" s="1"/>
  <c r="AE343" i="34"/>
  <c r="D343" i="34"/>
  <c r="J343" i="34" s="1"/>
  <c r="M343" i="34" s="1"/>
  <c r="AE342" i="34"/>
  <c r="D342" i="34"/>
  <c r="J342" i="34" s="1"/>
  <c r="M342" i="34" s="1"/>
  <c r="AF341" i="34"/>
  <c r="AF342" i="34" s="1"/>
  <c r="AF343" i="34" s="1"/>
  <c r="AF344" i="34" s="1"/>
  <c r="AF345" i="34" s="1"/>
  <c r="AF346" i="34" s="1"/>
  <c r="AF347" i="34" s="1"/>
  <c r="AF348" i="34" s="1"/>
  <c r="AF349" i="34" s="1"/>
  <c r="AF350" i="34" s="1"/>
  <c r="AF351" i="34" s="1"/>
  <c r="AF352" i="34" s="1"/>
  <c r="AF353" i="34" s="1"/>
  <c r="AF354" i="34" s="1"/>
  <c r="AF355" i="34" s="1"/>
  <c r="AF356" i="34" s="1"/>
  <c r="AF357" i="34" s="1"/>
  <c r="AF358" i="34" s="1"/>
  <c r="AF359" i="34" s="1"/>
  <c r="AF360" i="34" s="1"/>
  <c r="AF361" i="34" s="1"/>
  <c r="AF362" i="34" s="1"/>
  <c r="AF363" i="34" s="1"/>
  <c r="AF364" i="34" s="1"/>
  <c r="AF365" i="34" s="1"/>
  <c r="Q341" i="34"/>
  <c r="N341" i="34"/>
  <c r="J341" i="34"/>
  <c r="M341" i="34" s="1"/>
  <c r="D341" i="34"/>
  <c r="AE340" i="34"/>
  <c r="AE341" i="34" s="1"/>
  <c r="T340" i="34"/>
  <c r="P340" i="34"/>
  <c r="P341" i="34" s="1"/>
  <c r="N340" i="34"/>
  <c r="AG339" i="34"/>
  <c r="AF339" i="34"/>
  <c r="AF340" i="34" s="1"/>
  <c r="AE339" i="34"/>
  <c r="AD339" i="34"/>
  <c r="AC339" i="34"/>
  <c r="U339" i="34"/>
  <c r="P339" i="34"/>
  <c r="O339" i="34"/>
  <c r="N339" i="34"/>
  <c r="M339" i="34"/>
  <c r="J339" i="34"/>
  <c r="Z338" i="34"/>
  <c r="J338" i="34"/>
  <c r="M338" i="34" s="1"/>
  <c r="J337" i="34"/>
  <c r="M337" i="34" s="1"/>
  <c r="M336" i="34"/>
  <c r="J336" i="34"/>
  <c r="M335" i="34"/>
  <c r="J335" i="34"/>
  <c r="J334" i="34"/>
  <c r="M334" i="34" s="1"/>
  <c r="J333" i="34"/>
  <c r="M333" i="34" s="1"/>
  <c r="M332" i="34"/>
  <c r="J332" i="34"/>
  <c r="Z331" i="34"/>
  <c r="J331" i="34"/>
  <c r="M331" i="34" s="1"/>
  <c r="M330" i="34"/>
  <c r="J330" i="34"/>
  <c r="M329" i="34"/>
  <c r="J329" i="34"/>
  <c r="D328" i="34"/>
  <c r="M327" i="34"/>
  <c r="J327" i="34"/>
  <c r="D327" i="34"/>
  <c r="M326" i="34"/>
  <c r="J326" i="34"/>
  <c r="D326" i="34"/>
  <c r="J325" i="34"/>
  <c r="M325" i="34" s="1"/>
  <c r="D325" i="34"/>
  <c r="Z324" i="34"/>
  <c r="D324" i="34"/>
  <c r="J323" i="34"/>
  <c r="M323" i="34" s="1"/>
  <c r="D323" i="34"/>
  <c r="M322" i="34"/>
  <c r="J322" i="34"/>
  <c r="D322" i="34"/>
  <c r="AE321" i="34"/>
  <c r="AE322" i="34" s="1"/>
  <c r="AE323" i="34" s="1"/>
  <c r="AE324" i="34" s="1"/>
  <c r="AE325" i="34" s="1"/>
  <c r="AE326" i="34" s="1"/>
  <c r="AE327" i="34" s="1"/>
  <c r="AE328" i="34" s="1"/>
  <c r="AE329" i="34" s="1"/>
  <c r="AE330" i="34" s="1"/>
  <c r="AE331" i="34" s="1"/>
  <c r="AE332" i="34" s="1"/>
  <c r="AE333" i="34" s="1"/>
  <c r="AE334" i="34" s="1"/>
  <c r="AE335" i="34" s="1"/>
  <c r="AE336" i="34" s="1"/>
  <c r="AE337" i="34" s="1"/>
  <c r="AE338" i="34" s="1"/>
  <c r="M321" i="34"/>
  <c r="J321" i="34"/>
  <c r="D321" i="34"/>
  <c r="M320" i="34"/>
  <c r="D320" i="34"/>
  <c r="J320" i="34" s="1"/>
  <c r="D319" i="34"/>
  <c r="AF318" i="34"/>
  <c r="AF319" i="34" s="1"/>
  <c r="AF320" i="34" s="1"/>
  <c r="AF321" i="34" s="1"/>
  <c r="AF322" i="34" s="1"/>
  <c r="AF323" i="34" s="1"/>
  <c r="AF324" i="34" s="1"/>
  <c r="AF325" i="34" s="1"/>
  <c r="AF326" i="34" s="1"/>
  <c r="AF327" i="34" s="1"/>
  <c r="AF328" i="34" s="1"/>
  <c r="AF329" i="34" s="1"/>
  <c r="AF330" i="34" s="1"/>
  <c r="AF331" i="34" s="1"/>
  <c r="AF332" i="34" s="1"/>
  <c r="AF333" i="34" s="1"/>
  <c r="AF334" i="34" s="1"/>
  <c r="AF335" i="34" s="1"/>
  <c r="AF336" i="34" s="1"/>
  <c r="AF337" i="34" s="1"/>
  <c r="AF338" i="34" s="1"/>
  <c r="M318" i="34"/>
  <c r="J318" i="34"/>
  <c r="Z317" i="34"/>
  <c r="J317" i="34"/>
  <c r="M317" i="34" s="1"/>
  <c r="AF316" i="34"/>
  <c r="AF317" i="34" s="1"/>
  <c r="J316" i="34"/>
  <c r="M316" i="34" s="1"/>
  <c r="D316" i="34"/>
  <c r="J315" i="34"/>
  <c r="M315" i="34" s="1"/>
  <c r="D315" i="34"/>
  <c r="D314" i="34"/>
  <c r="AF313" i="34"/>
  <c r="AF314" i="34" s="1"/>
  <c r="AF315" i="34" s="1"/>
  <c r="O313" i="34"/>
  <c r="M313" i="34"/>
  <c r="J313" i="34"/>
  <c r="D313" i="34"/>
  <c r="R312" i="34"/>
  <c r="M312" i="34"/>
  <c r="J312" i="34"/>
  <c r="D312" i="34"/>
  <c r="AF311" i="34"/>
  <c r="AF312" i="34" s="1"/>
  <c r="AE311" i="34"/>
  <c r="AE312" i="34" s="1"/>
  <c r="AE313" i="34" s="1"/>
  <c r="AE314" i="34" s="1"/>
  <c r="AE315" i="34" s="1"/>
  <c r="AE316" i="34" s="1"/>
  <c r="AE317" i="34" s="1"/>
  <c r="AE318" i="34" s="1"/>
  <c r="AE319" i="34" s="1"/>
  <c r="AE320" i="34" s="1"/>
  <c r="R311" i="34"/>
  <c r="O311" i="34"/>
  <c r="O312" i="34" s="1"/>
  <c r="M311" i="34"/>
  <c r="J311" i="34"/>
  <c r="AF310" i="34"/>
  <c r="Z310" i="34"/>
  <c r="AA310" i="34" s="1"/>
  <c r="U310" i="34"/>
  <c r="S310" i="34"/>
  <c r="R310" i="34"/>
  <c r="Q310" i="34"/>
  <c r="P310" i="34"/>
  <c r="O310" i="34"/>
  <c r="N310" i="34"/>
  <c r="M310" i="34"/>
  <c r="J310" i="34"/>
  <c r="AG309" i="34"/>
  <c r="AF309" i="34"/>
  <c r="AE309" i="34"/>
  <c r="AE310" i="34" s="1"/>
  <c r="AD309" i="34"/>
  <c r="AA309" i="34"/>
  <c r="AC309" i="34" s="1"/>
  <c r="Z309" i="34"/>
  <c r="S309" i="34"/>
  <c r="R309" i="34"/>
  <c r="R339" i="34" s="1"/>
  <c r="Q309" i="34"/>
  <c r="Q339" i="34" s="1"/>
  <c r="D309" i="34"/>
  <c r="D308" i="34"/>
  <c r="D307" i="34"/>
  <c r="D306" i="34"/>
  <c r="J306" i="34" s="1"/>
  <c r="M306" i="34" s="1"/>
  <c r="J305" i="34"/>
  <c r="M305" i="34" s="1"/>
  <c r="D305" i="34"/>
  <c r="D304" i="34"/>
  <c r="J304" i="34" s="1"/>
  <c r="M304" i="34" s="1"/>
  <c r="Z303" i="34"/>
  <c r="M303" i="34"/>
  <c r="J303" i="34"/>
  <c r="D303" i="34"/>
  <c r="D302" i="34"/>
  <c r="D301" i="34"/>
  <c r="J301" i="34" s="1"/>
  <c r="M301" i="34" s="1"/>
  <c r="J300" i="34"/>
  <c r="M300" i="34" s="1"/>
  <c r="D300" i="34"/>
  <c r="J299" i="34"/>
  <c r="M299" i="34" s="1"/>
  <c r="D299" i="34"/>
  <c r="D298" i="34"/>
  <c r="J298" i="34" s="1"/>
  <c r="M298" i="34" s="1"/>
  <c r="M297" i="34"/>
  <c r="J297" i="34"/>
  <c r="D297" i="34"/>
  <c r="Z296" i="34"/>
  <c r="J296" i="34"/>
  <c r="M296" i="34" s="1"/>
  <c r="D296" i="34"/>
  <c r="M295" i="34"/>
  <c r="J295" i="34"/>
  <c r="D295" i="34"/>
  <c r="M294" i="34"/>
  <c r="J294" i="34"/>
  <c r="D294" i="34"/>
  <c r="M293" i="34"/>
  <c r="D293" i="34"/>
  <c r="J293" i="34" s="1"/>
  <c r="D292" i="34"/>
  <c r="D291" i="34"/>
  <c r="M290" i="34"/>
  <c r="J290" i="34"/>
  <c r="Z289" i="34"/>
  <c r="M289" i="34"/>
  <c r="J289" i="34"/>
  <c r="D289" i="34"/>
  <c r="J288" i="34"/>
  <c r="M288" i="34" s="1"/>
  <c r="D288" i="34"/>
  <c r="J287" i="34"/>
  <c r="M287" i="34" s="1"/>
  <c r="D287" i="34"/>
  <c r="J286" i="34"/>
  <c r="M286" i="34" s="1"/>
  <c r="D286" i="34"/>
  <c r="J285" i="34"/>
  <c r="M285" i="34" s="1"/>
  <c r="D285" i="34"/>
  <c r="M284" i="34"/>
  <c r="J284" i="34"/>
  <c r="D284" i="34"/>
  <c r="Z283" i="34"/>
  <c r="J283" i="34"/>
  <c r="M283" i="34" s="1"/>
  <c r="D283" i="34"/>
  <c r="Z282" i="34"/>
  <c r="J282" i="34"/>
  <c r="M282" i="34" s="1"/>
  <c r="D282" i="34"/>
  <c r="M281" i="34"/>
  <c r="D281" i="34"/>
  <c r="J281" i="34" s="1"/>
  <c r="N280" i="34"/>
  <c r="D280" i="34"/>
  <c r="AE279" i="34"/>
  <c r="AE280" i="34" s="1"/>
  <c r="AE281" i="34" s="1"/>
  <c r="AE282" i="34" s="1"/>
  <c r="AE283" i="34" s="1"/>
  <c r="AE284" i="34" s="1"/>
  <c r="AE285" i="34" s="1"/>
  <c r="AE286" i="34" s="1"/>
  <c r="AE287" i="34" s="1"/>
  <c r="AE288" i="34" s="1"/>
  <c r="AE289" i="34" s="1"/>
  <c r="AE290" i="34" s="1"/>
  <c r="AE291" i="34" s="1"/>
  <c r="AE292" i="34" s="1"/>
  <c r="AE293" i="34" s="1"/>
  <c r="AE294" i="34" s="1"/>
  <c r="AE295" i="34" s="1"/>
  <c r="AE296" i="34" s="1"/>
  <c r="AE297" i="34" s="1"/>
  <c r="AE298" i="34" s="1"/>
  <c r="AE299" i="34" s="1"/>
  <c r="AE300" i="34" s="1"/>
  <c r="AE301" i="34" s="1"/>
  <c r="AE302" i="34" s="1"/>
  <c r="AE303" i="34" s="1"/>
  <c r="AE304" i="34" s="1"/>
  <c r="AE305" i="34" s="1"/>
  <c r="AE306" i="34" s="1"/>
  <c r="AE307" i="34" s="1"/>
  <c r="AE308" i="34" s="1"/>
  <c r="P279" i="34"/>
  <c r="N279" i="34"/>
  <c r="T279" i="34" s="1"/>
  <c r="D279" i="34"/>
  <c r="J278" i="34"/>
  <c r="M278" i="34" s="1"/>
  <c r="D278" i="34"/>
  <c r="J277" i="34"/>
  <c r="M277" i="34" s="1"/>
  <c r="D277" i="34"/>
  <c r="J276" i="34"/>
  <c r="M276" i="34" s="1"/>
  <c r="Z275" i="34"/>
  <c r="M275" i="34"/>
  <c r="J275" i="34"/>
  <c r="D275" i="34"/>
  <c r="J274" i="34"/>
  <c r="M274" i="34" s="1"/>
  <c r="D274" i="34"/>
  <c r="M273" i="34"/>
  <c r="D273" i="34"/>
  <c r="J273" i="34" s="1"/>
  <c r="D272" i="34"/>
  <c r="D271" i="34"/>
  <c r="D270" i="34"/>
  <c r="D269" i="34"/>
  <c r="Z268" i="34"/>
  <c r="D268" i="34"/>
  <c r="AE267" i="34"/>
  <c r="AE268" i="34" s="1"/>
  <c r="AE269" i="34" s="1"/>
  <c r="AE270" i="34" s="1"/>
  <c r="AE271" i="34" s="1"/>
  <c r="AE272" i="34" s="1"/>
  <c r="AE273" i="34" s="1"/>
  <c r="AE274" i="34" s="1"/>
  <c r="AE275" i="34" s="1"/>
  <c r="AE276" i="34" s="1"/>
  <c r="AE277" i="34" s="1"/>
  <c r="J267" i="34"/>
  <c r="M267" i="34" s="1"/>
  <c r="D267" i="34"/>
  <c r="D266" i="34"/>
  <c r="J266" i="34" s="1"/>
  <c r="M266" i="34" s="1"/>
  <c r="J265" i="34"/>
  <c r="M265" i="34" s="1"/>
  <c r="D265" i="34"/>
  <c r="M264" i="34"/>
  <c r="J264" i="34"/>
  <c r="D264" i="34"/>
  <c r="J263" i="34"/>
  <c r="M263" i="34" s="1"/>
  <c r="D263" i="34"/>
  <c r="M262" i="34"/>
  <c r="J262" i="34"/>
  <c r="D262" i="34"/>
  <c r="Z261" i="34"/>
  <c r="D261" i="34"/>
  <c r="J260" i="34"/>
  <c r="M260" i="34" s="1"/>
  <c r="D260" i="34"/>
  <c r="M259" i="34"/>
  <c r="J259" i="34"/>
  <c r="D259" i="34"/>
  <c r="D258" i="34"/>
  <c r="D257" i="34"/>
  <c r="D256" i="34"/>
  <c r="D255" i="34"/>
  <c r="J255" i="34" s="1"/>
  <c r="M255" i="34" s="1"/>
  <c r="Z254" i="34"/>
  <c r="D254" i="34"/>
  <c r="D253" i="34"/>
  <c r="D252" i="34"/>
  <c r="P251" i="34"/>
  <c r="J251" i="34"/>
  <c r="M251" i="34" s="1"/>
  <c r="D251" i="34"/>
  <c r="S250" i="34"/>
  <c r="P250" i="34"/>
  <c r="V250" i="34" s="1"/>
  <c r="J250" i="34"/>
  <c r="M250" i="34" s="1"/>
  <c r="D250" i="34"/>
  <c r="AE249" i="34"/>
  <c r="AE250" i="34" s="1"/>
  <c r="AE251" i="34" s="1"/>
  <c r="AE252" i="34" s="1"/>
  <c r="AE253" i="34" s="1"/>
  <c r="AE254" i="34" s="1"/>
  <c r="AE255" i="34" s="1"/>
  <c r="AE256" i="34" s="1"/>
  <c r="AE257" i="34" s="1"/>
  <c r="AE258" i="34" s="1"/>
  <c r="AE259" i="34" s="1"/>
  <c r="AE260" i="34" s="1"/>
  <c r="AE261" i="34" s="1"/>
  <c r="AE262" i="34" s="1"/>
  <c r="AE263" i="34" s="1"/>
  <c r="AE264" i="34" s="1"/>
  <c r="AE265" i="34" s="1"/>
  <c r="AE266" i="34" s="1"/>
  <c r="V249" i="34"/>
  <c r="S249" i="34"/>
  <c r="P249" i="34"/>
  <c r="O249" i="34"/>
  <c r="N249" i="34"/>
  <c r="J249" i="34"/>
  <c r="M249" i="34" s="1"/>
  <c r="D249" i="34"/>
  <c r="AC248" i="34"/>
  <c r="M248" i="34"/>
  <c r="D248" i="34"/>
  <c r="J248" i="34" s="1"/>
  <c r="Z247" i="34"/>
  <c r="D247" i="34"/>
  <c r="J247" i="34" s="1"/>
  <c r="M247" i="34" s="1"/>
  <c r="D246" i="34"/>
  <c r="J246" i="34" s="1"/>
  <c r="M246" i="34" s="1"/>
  <c r="M245" i="34"/>
  <c r="J245" i="34"/>
  <c r="D245" i="34"/>
  <c r="J244" i="34"/>
  <c r="M244" i="34" s="1"/>
  <c r="D244" i="34"/>
  <c r="D243" i="34"/>
  <c r="J243" i="34" s="1"/>
  <c r="M243" i="34" s="1"/>
  <c r="M242" i="34"/>
  <c r="J242" i="34"/>
  <c r="D242" i="34"/>
  <c r="J241" i="34"/>
  <c r="M241" i="34" s="1"/>
  <c r="D241" i="34"/>
  <c r="Z240" i="34"/>
  <c r="D240" i="34"/>
  <c r="J240" i="34" s="1"/>
  <c r="M240" i="34" s="1"/>
  <c r="J239" i="34"/>
  <c r="M239" i="34" s="1"/>
  <c r="D239" i="34"/>
  <c r="M238" i="34"/>
  <c r="J238" i="34"/>
  <c r="D238" i="34"/>
  <c r="M237" i="34"/>
  <c r="J237" i="34"/>
  <c r="D237" i="34"/>
  <c r="J236" i="34"/>
  <c r="M236" i="34" s="1"/>
  <c r="D236" i="34"/>
  <c r="D235" i="34"/>
  <c r="J235" i="34" s="1"/>
  <c r="M235" i="34" s="1"/>
  <c r="D234" i="34"/>
  <c r="J234" i="34" s="1"/>
  <c r="M234" i="34" s="1"/>
  <c r="Z233" i="34"/>
  <c r="M233" i="34"/>
  <c r="J233" i="34"/>
  <c r="D233" i="34"/>
  <c r="J232" i="34"/>
  <c r="M232" i="34" s="1"/>
  <c r="D232" i="34"/>
  <c r="M231" i="34"/>
  <c r="D231" i="34"/>
  <c r="J231" i="34" s="1"/>
  <c r="M230" i="34"/>
  <c r="D230" i="34"/>
  <c r="J230" i="34" s="1"/>
  <c r="M229" i="34"/>
  <c r="D229" i="34"/>
  <c r="J229" i="34" s="1"/>
  <c r="J228" i="34"/>
  <c r="M228" i="34" s="1"/>
  <c r="D228" i="34"/>
  <c r="M227" i="34"/>
  <c r="J227" i="34"/>
  <c r="AE226" i="34"/>
  <c r="AE227" i="34" s="1"/>
  <c r="AE228" i="34" s="1"/>
  <c r="AE229" i="34" s="1"/>
  <c r="AE230" i="34" s="1"/>
  <c r="AE231" i="34" s="1"/>
  <c r="AE232" i="34" s="1"/>
  <c r="AE233" i="34" s="1"/>
  <c r="AE234" i="34" s="1"/>
  <c r="AE235" i="34" s="1"/>
  <c r="AE236" i="34" s="1"/>
  <c r="AE237" i="34" s="1"/>
  <c r="AE238" i="34" s="1"/>
  <c r="AE239" i="34" s="1"/>
  <c r="AE240" i="34" s="1"/>
  <c r="AE241" i="34" s="1"/>
  <c r="AE242" i="34" s="1"/>
  <c r="AE243" i="34" s="1"/>
  <c r="AE244" i="34" s="1"/>
  <c r="AE245" i="34" s="1"/>
  <c r="AE246" i="34" s="1"/>
  <c r="AE247" i="34" s="1"/>
  <c r="Z226" i="34"/>
  <c r="M226" i="34"/>
  <c r="J226" i="34"/>
  <c r="D226" i="34"/>
  <c r="AE225" i="34"/>
  <c r="D225" i="34"/>
  <c r="J225" i="34" s="1"/>
  <c r="M225" i="34" s="1"/>
  <c r="D224" i="34"/>
  <c r="J224" i="34" s="1"/>
  <c r="M224" i="34" s="1"/>
  <c r="M223" i="34"/>
  <c r="D223" i="34"/>
  <c r="J223" i="34" s="1"/>
  <c r="AE222" i="34"/>
  <c r="AE223" i="34" s="1"/>
  <c r="AE224" i="34" s="1"/>
  <c r="J222" i="34"/>
  <c r="M222" i="34" s="1"/>
  <c r="D222" i="34"/>
  <c r="J221" i="34"/>
  <c r="M221" i="34" s="1"/>
  <c r="D221" i="34"/>
  <c r="M220" i="34"/>
  <c r="J220" i="34"/>
  <c r="D220" i="34"/>
  <c r="Z219" i="34"/>
  <c r="D219" i="34"/>
  <c r="J219" i="34" s="1"/>
  <c r="M219" i="34" s="1"/>
  <c r="AE218" i="34"/>
  <c r="AE219" i="34" s="1"/>
  <c r="AE220" i="34" s="1"/>
  <c r="AE221" i="34" s="1"/>
  <c r="V218" i="34"/>
  <c r="S218" i="34"/>
  <c r="P218" i="34"/>
  <c r="N218" i="34"/>
  <c r="D218" i="34"/>
  <c r="AE217" i="34"/>
  <c r="AD217" i="34"/>
  <c r="AA217" i="34"/>
  <c r="AC217" i="34" s="1"/>
  <c r="Z217" i="34"/>
  <c r="Y217" i="34"/>
  <c r="D217" i="34"/>
  <c r="J217" i="34" s="1"/>
  <c r="M217" i="34" s="1"/>
  <c r="J216" i="34"/>
  <c r="M216" i="34" s="1"/>
  <c r="D216" i="34"/>
  <c r="M215" i="34"/>
  <c r="J215" i="34"/>
  <c r="D215" i="34"/>
  <c r="J214" i="34"/>
  <c r="M214" i="34" s="1"/>
  <c r="D214" i="34"/>
  <c r="J213" i="34"/>
  <c r="M213" i="34" s="1"/>
  <c r="D213" i="34"/>
  <c r="Z212" i="34"/>
  <c r="Z385" i="34" s="1"/>
  <c r="J212" i="34"/>
  <c r="M212" i="34" s="1"/>
  <c r="D212" i="34"/>
  <c r="J211" i="34"/>
  <c r="M211" i="34" s="1"/>
  <c r="D211" i="34"/>
  <c r="M210" i="34"/>
  <c r="J210" i="34"/>
  <c r="D210" i="34"/>
  <c r="D209" i="34"/>
  <c r="D208" i="34"/>
  <c r="D207" i="34"/>
  <c r="D206" i="34"/>
  <c r="J206" i="34" s="1"/>
  <c r="M206" i="34" s="1"/>
  <c r="Z205" i="34"/>
  <c r="M205" i="34"/>
  <c r="J205" i="34"/>
  <c r="D205" i="34"/>
  <c r="D204" i="34"/>
  <c r="D203" i="34"/>
  <c r="J202" i="34"/>
  <c r="M202" i="34" s="1"/>
  <c r="D202" i="34"/>
  <c r="J201" i="34"/>
  <c r="M201" i="34" s="1"/>
  <c r="D201" i="34"/>
  <c r="J200" i="34"/>
  <c r="M200" i="34" s="1"/>
  <c r="D200" i="34"/>
  <c r="J199" i="34"/>
  <c r="M199" i="34" s="1"/>
  <c r="D199" i="34"/>
  <c r="Z198" i="34"/>
  <c r="D198" i="34"/>
  <c r="J197" i="34"/>
  <c r="M197" i="34" s="1"/>
  <c r="D197" i="34"/>
  <c r="D196" i="34"/>
  <c r="M195" i="34"/>
  <c r="J195" i="34"/>
  <c r="D195" i="34"/>
  <c r="M194" i="34"/>
  <c r="J194" i="34"/>
  <c r="D194" i="34"/>
  <c r="M193" i="34"/>
  <c r="J193" i="34"/>
  <c r="D193" i="34"/>
  <c r="J192" i="34"/>
  <c r="D192" i="34"/>
  <c r="Z191" i="34"/>
  <c r="M191" i="34"/>
  <c r="J191" i="34"/>
  <c r="D191" i="34"/>
  <c r="J190" i="34"/>
  <c r="D190" i="34"/>
  <c r="S189" i="34"/>
  <c r="D189" i="34"/>
  <c r="AE188" i="34"/>
  <c r="AE189" i="34" s="1"/>
  <c r="AE190" i="34" s="1"/>
  <c r="AE191" i="34" s="1"/>
  <c r="AE192" i="34" s="1"/>
  <c r="AE193" i="34" s="1"/>
  <c r="AE194" i="34" s="1"/>
  <c r="AE195" i="34" s="1"/>
  <c r="AE196" i="34" s="1"/>
  <c r="AE197" i="34" s="1"/>
  <c r="AE198" i="34" s="1"/>
  <c r="AE199" i="34" s="1"/>
  <c r="AE200" i="34" s="1"/>
  <c r="AE201" i="34" s="1"/>
  <c r="AE202" i="34" s="1"/>
  <c r="AE203" i="34" s="1"/>
  <c r="AE204" i="34" s="1"/>
  <c r="AE205" i="34" s="1"/>
  <c r="AE206" i="34" s="1"/>
  <c r="AE207" i="34" s="1"/>
  <c r="AE208" i="34" s="1"/>
  <c r="AE209" i="34" s="1"/>
  <c r="AE210" i="34" s="1"/>
  <c r="AE211" i="34" s="1"/>
  <c r="AE212" i="34" s="1"/>
  <c r="AE213" i="34" s="1"/>
  <c r="AE214" i="34" s="1"/>
  <c r="AE215" i="34" s="1"/>
  <c r="AE216" i="34" s="1"/>
  <c r="P188" i="34"/>
  <c r="P189" i="34" s="1"/>
  <c r="D188" i="34"/>
  <c r="J188" i="34" s="1"/>
  <c r="M188" i="34" s="1"/>
  <c r="AF187" i="34"/>
  <c r="AF188" i="34" s="1"/>
  <c r="AF189" i="34" s="1"/>
  <c r="AF190" i="34" s="1"/>
  <c r="AF191" i="34" s="1"/>
  <c r="AF192" i="34" s="1"/>
  <c r="AF193" i="34" s="1"/>
  <c r="AF194" i="34" s="1"/>
  <c r="AF195" i="34" s="1"/>
  <c r="AF196" i="34" s="1"/>
  <c r="AF197" i="34" s="1"/>
  <c r="AF198" i="34" s="1"/>
  <c r="AF199" i="34" s="1"/>
  <c r="AF200" i="34" s="1"/>
  <c r="AF201" i="34" s="1"/>
  <c r="AF202" i="34" s="1"/>
  <c r="AF203" i="34" s="1"/>
  <c r="AF204" i="34" s="1"/>
  <c r="AF205" i="34" s="1"/>
  <c r="AF206" i="34" s="1"/>
  <c r="AF207" i="34" s="1"/>
  <c r="AF208" i="34" s="1"/>
  <c r="AF209" i="34" s="1"/>
  <c r="AF210" i="34" s="1"/>
  <c r="AF211" i="34" s="1"/>
  <c r="AF212" i="34" s="1"/>
  <c r="AF213" i="34" s="1"/>
  <c r="AF214" i="34" s="1"/>
  <c r="AF215" i="34" s="1"/>
  <c r="AF216" i="34" s="1"/>
  <c r="AF217" i="34" s="1"/>
  <c r="AF218" i="34" s="1"/>
  <c r="AF219" i="34" s="1"/>
  <c r="AF220" i="34" s="1"/>
  <c r="AF221" i="34" s="1"/>
  <c r="AF222" i="34" s="1"/>
  <c r="AF223" i="34" s="1"/>
  <c r="AF224" i="34" s="1"/>
  <c r="AF225" i="34" s="1"/>
  <c r="AF226" i="34" s="1"/>
  <c r="AF227" i="34" s="1"/>
  <c r="AF228" i="34" s="1"/>
  <c r="AF229" i="34" s="1"/>
  <c r="AF230" i="34" s="1"/>
  <c r="AF231" i="34" s="1"/>
  <c r="AF232" i="34" s="1"/>
  <c r="AF233" i="34" s="1"/>
  <c r="AF234" i="34" s="1"/>
  <c r="AF235" i="34" s="1"/>
  <c r="AF236" i="34" s="1"/>
  <c r="AF237" i="34" s="1"/>
  <c r="AF238" i="34" s="1"/>
  <c r="AF239" i="34" s="1"/>
  <c r="AF240" i="34" s="1"/>
  <c r="AF241" i="34" s="1"/>
  <c r="AF242" i="34" s="1"/>
  <c r="AF243" i="34" s="1"/>
  <c r="AF244" i="34" s="1"/>
  <c r="AF245" i="34" s="1"/>
  <c r="AF246" i="34" s="1"/>
  <c r="AF247" i="34" s="1"/>
  <c r="AF248" i="34" s="1"/>
  <c r="AE187" i="34"/>
  <c r="P187" i="34"/>
  <c r="N187" i="34"/>
  <c r="J187" i="34"/>
  <c r="D187" i="34"/>
  <c r="AG186" i="34"/>
  <c r="AA186" i="34"/>
  <c r="AC186" i="34" s="1"/>
  <c r="Z186" i="34"/>
  <c r="V186" i="34"/>
  <c r="S186" i="34"/>
  <c r="Q186" i="34"/>
  <c r="J186" i="34"/>
  <c r="M186" i="34" s="1"/>
  <c r="D186" i="34"/>
  <c r="M185" i="34"/>
  <c r="D185" i="34"/>
  <c r="J185" i="34" s="1"/>
  <c r="Z184" i="34"/>
  <c r="M184" i="34"/>
  <c r="D184" i="34"/>
  <c r="J184" i="34" s="1"/>
  <c r="D183" i="34"/>
  <c r="J183" i="34" s="1"/>
  <c r="M183" i="34" s="1"/>
  <c r="J182" i="34"/>
  <c r="M182" i="34" s="1"/>
  <c r="D182" i="34"/>
  <c r="D181" i="34"/>
  <c r="J181" i="34" s="1"/>
  <c r="M181" i="34" s="1"/>
  <c r="D180" i="34"/>
  <c r="J180" i="34" s="1"/>
  <c r="M180" i="34" s="1"/>
  <c r="J179" i="34"/>
  <c r="M179" i="34" s="1"/>
  <c r="D179" i="34"/>
  <c r="J178" i="34"/>
  <c r="M178" i="34" s="1"/>
  <c r="D178" i="34"/>
  <c r="Z177" i="34"/>
  <c r="J177" i="34"/>
  <c r="M177" i="34" s="1"/>
  <c r="D177" i="34"/>
  <c r="J176" i="34"/>
  <c r="M176" i="34" s="1"/>
  <c r="D176" i="34"/>
  <c r="M175" i="34"/>
  <c r="D175" i="34"/>
  <c r="J175" i="34" s="1"/>
  <c r="J174" i="34"/>
  <c r="M174" i="34" s="1"/>
  <c r="D174" i="34"/>
  <c r="D173" i="34"/>
  <c r="J173" i="34" s="1"/>
  <c r="M173" i="34" s="1"/>
  <c r="M172" i="34"/>
  <c r="D172" i="34"/>
  <c r="J172" i="34" s="1"/>
  <c r="M171" i="34"/>
  <c r="D171" i="34"/>
  <c r="J171" i="34" s="1"/>
  <c r="Z170" i="34"/>
  <c r="M170" i="34"/>
  <c r="J170" i="34"/>
  <c r="D170" i="34"/>
  <c r="D169" i="34"/>
  <c r="J169" i="34" s="1"/>
  <c r="M169" i="34" s="1"/>
  <c r="J168" i="34"/>
  <c r="M168" i="34" s="1"/>
  <c r="D168" i="34"/>
  <c r="M167" i="34"/>
  <c r="D167" i="34"/>
  <c r="J167" i="34" s="1"/>
  <c r="M166" i="34"/>
  <c r="D166" i="34"/>
  <c r="J166" i="34" s="1"/>
  <c r="M165" i="34"/>
  <c r="J165" i="34"/>
  <c r="D165" i="34"/>
  <c r="J164" i="34"/>
  <c r="M164" i="34" s="1"/>
  <c r="D164" i="34"/>
  <c r="Z163" i="34"/>
  <c r="D163" i="34"/>
  <c r="J163" i="34" s="1"/>
  <c r="M163" i="34" s="1"/>
  <c r="J162" i="34"/>
  <c r="M162" i="34" s="1"/>
  <c r="D162" i="34"/>
  <c r="D161" i="34"/>
  <c r="J161" i="34" s="1"/>
  <c r="M161" i="34" s="1"/>
  <c r="D160" i="34"/>
  <c r="J160" i="34" s="1"/>
  <c r="M160" i="34" s="1"/>
  <c r="AE159" i="34"/>
  <c r="AE160" i="34" s="1"/>
  <c r="AE161" i="34" s="1"/>
  <c r="AE162" i="34" s="1"/>
  <c r="AE163" i="34" s="1"/>
  <c r="AE164" i="34" s="1"/>
  <c r="AE165" i="34" s="1"/>
  <c r="AE166" i="34" s="1"/>
  <c r="AE167" i="34" s="1"/>
  <c r="AE168" i="34" s="1"/>
  <c r="AE169" i="34" s="1"/>
  <c r="AE170" i="34" s="1"/>
  <c r="AE171" i="34" s="1"/>
  <c r="AE172" i="34" s="1"/>
  <c r="AE173" i="34" s="1"/>
  <c r="AE174" i="34" s="1"/>
  <c r="AE175" i="34" s="1"/>
  <c r="AE176" i="34" s="1"/>
  <c r="AE177" i="34" s="1"/>
  <c r="AE178" i="34" s="1"/>
  <c r="AE179" i="34" s="1"/>
  <c r="AE180" i="34" s="1"/>
  <c r="AE181" i="34" s="1"/>
  <c r="AE182" i="34" s="1"/>
  <c r="AE183" i="34" s="1"/>
  <c r="AE184" i="34" s="1"/>
  <c r="AE185" i="34" s="1"/>
  <c r="Q159" i="34"/>
  <c r="N159" i="34"/>
  <c r="J159" i="34"/>
  <c r="M159" i="34" s="1"/>
  <c r="D159" i="34"/>
  <c r="V158" i="34"/>
  <c r="R158" i="34"/>
  <c r="P158" i="34"/>
  <c r="O158" i="34"/>
  <c r="N158" i="34"/>
  <c r="J158" i="34"/>
  <c r="M158" i="34" s="1"/>
  <c r="D158" i="34"/>
  <c r="AE157" i="34"/>
  <c r="AE158" i="34" s="1"/>
  <c r="AD157" i="34"/>
  <c r="V157" i="34"/>
  <c r="S157" i="34"/>
  <c r="R157" i="34"/>
  <c r="Q157" i="34"/>
  <c r="P157" i="34"/>
  <c r="O157" i="34"/>
  <c r="U157" i="34" s="1"/>
  <c r="N157" i="34"/>
  <c r="T157" i="34" s="1"/>
  <c r="D157" i="34"/>
  <c r="AA156" i="34"/>
  <c r="AC156" i="34" s="1"/>
  <c r="Z156" i="34"/>
  <c r="M156" i="34"/>
  <c r="J156" i="34"/>
  <c r="M155" i="34"/>
  <c r="J155" i="34"/>
  <c r="M154" i="34"/>
  <c r="J154" i="34"/>
  <c r="M153" i="34"/>
  <c r="J153" i="34"/>
  <c r="M152" i="34"/>
  <c r="J152" i="34"/>
  <c r="J151" i="34"/>
  <c r="M151" i="34" s="1"/>
  <c r="J150" i="34"/>
  <c r="M150" i="34" s="1"/>
  <c r="Z149" i="34"/>
  <c r="M149" i="34"/>
  <c r="J149" i="34"/>
  <c r="M148" i="34"/>
  <c r="J148" i="34"/>
  <c r="J147" i="34"/>
  <c r="M147" i="34" s="1"/>
  <c r="M146" i="34"/>
  <c r="J146" i="34"/>
  <c r="D146" i="34"/>
  <c r="D145" i="34"/>
  <c r="J145" i="34" s="1"/>
  <c r="M145" i="34" s="1"/>
  <c r="D144" i="34"/>
  <c r="J144" i="34" s="1"/>
  <c r="M144" i="34" s="1"/>
  <c r="J143" i="34"/>
  <c r="M143" i="34" s="1"/>
  <c r="D143" i="34"/>
  <c r="Z142" i="34"/>
  <c r="J142" i="34"/>
  <c r="M142" i="34" s="1"/>
  <c r="D142" i="34"/>
  <c r="D141" i="34"/>
  <c r="J141" i="34" s="1"/>
  <c r="M141" i="34" s="1"/>
  <c r="D140" i="34"/>
  <c r="J140" i="34" s="1"/>
  <c r="M140" i="34" s="1"/>
  <c r="J139" i="34"/>
  <c r="M139" i="34" s="1"/>
  <c r="D139" i="34"/>
  <c r="M138" i="34"/>
  <c r="J138" i="34"/>
  <c r="D138" i="34"/>
  <c r="J137" i="34"/>
  <c r="M137" i="34" s="1"/>
  <c r="D137" i="34"/>
  <c r="M136" i="34"/>
  <c r="J136" i="34"/>
  <c r="Z135" i="34"/>
  <c r="J135" i="34"/>
  <c r="M135" i="34" s="1"/>
  <c r="J134" i="34"/>
  <c r="M134" i="34" s="1"/>
  <c r="D134" i="34"/>
  <c r="M133" i="34"/>
  <c r="D133" i="34"/>
  <c r="J133" i="34" s="1"/>
  <c r="J132" i="34"/>
  <c r="M132" i="34" s="1"/>
  <c r="D132" i="34"/>
  <c r="M131" i="34"/>
  <c r="J131" i="34"/>
  <c r="D131" i="34"/>
  <c r="J130" i="34"/>
  <c r="M130" i="34" s="1"/>
  <c r="D130" i="34"/>
  <c r="P129" i="34"/>
  <c r="D129" i="34"/>
  <c r="J129" i="34" s="1"/>
  <c r="M129" i="34" s="1"/>
  <c r="Z128" i="34"/>
  <c r="S128" i="34"/>
  <c r="D128" i="34"/>
  <c r="J128" i="34" s="1"/>
  <c r="M128" i="34" s="1"/>
  <c r="S127" i="34"/>
  <c r="P127" i="34"/>
  <c r="P128" i="34" s="1"/>
  <c r="N127" i="34"/>
  <c r="D127" i="34"/>
  <c r="J127" i="34" s="1"/>
  <c r="M127" i="34" s="1"/>
  <c r="V126" i="34"/>
  <c r="T126" i="34"/>
  <c r="S126" i="34"/>
  <c r="P126" i="34"/>
  <c r="N126" i="34"/>
  <c r="D126" i="34"/>
  <c r="AC125" i="34"/>
  <c r="D125" i="34"/>
  <c r="J125" i="34" s="1"/>
  <c r="M125" i="34" s="1"/>
  <c r="J124" i="34"/>
  <c r="M124" i="34" s="1"/>
  <c r="D124" i="34"/>
  <c r="J123" i="34"/>
  <c r="M123" i="34" s="1"/>
  <c r="D123" i="34"/>
  <c r="J122" i="34"/>
  <c r="M122" i="34" s="1"/>
  <c r="D122" i="34"/>
  <c r="Z121" i="34"/>
  <c r="J121" i="34"/>
  <c r="M121" i="34" s="1"/>
  <c r="D121" i="34"/>
  <c r="M120" i="34"/>
  <c r="D120" i="34"/>
  <c r="J120" i="34" s="1"/>
  <c r="D119" i="34"/>
  <c r="J119" i="34" s="1"/>
  <c r="M119" i="34" s="1"/>
  <c r="J118" i="34"/>
  <c r="M118" i="34" s="1"/>
  <c r="D118" i="34"/>
  <c r="J117" i="34"/>
  <c r="M117" i="34" s="1"/>
  <c r="D117" i="34"/>
  <c r="J116" i="34"/>
  <c r="M116" i="34" s="1"/>
  <c r="D116" i="34"/>
  <c r="M115" i="34"/>
  <c r="J115" i="34"/>
  <c r="D115" i="34"/>
  <c r="Z114" i="34"/>
  <c r="J114" i="34"/>
  <c r="M114" i="34" s="1"/>
  <c r="D114" i="34"/>
  <c r="M113" i="34"/>
  <c r="J113" i="34"/>
  <c r="D113" i="34"/>
  <c r="M112" i="34"/>
  <c r="J112" i="34"/>
  <c r="D112" i="34"/>
  <c r="M111" i="34"/>
  <c r="D111" i="34"/>
  <c r="J111" i="34" s="1"/>
  <c r="D110" i="34"/>
  <c r="J110" i="34" s="1"/>
  <c r="M110" i="34" s="1"/>
  <c r="J109" i="34"/>
  <c r="M109" i="34" s="1"/>
  <c r="D109" i="34"/>
  <c r="M108" i="34"/>
  <c r="D108" i="34"/>
  <c r="J108" i="34" s="1"/>
  <c r="Z107" i="34"/>
  <c r="J107" i="34"/>
  <c r="M107" i="34" s="1"/>
  <c r="D107" i="34"/>
  <c r="M106" i="34"/>
  <c r="D106" i="34"/>
  <c r="J106" i="34" s="1"/>
  <c r="D105" i="34"/>
  <c r="J105" i="34" s="1"/>
  <c r="M105" i="34" s="1"/>
  <c r="J104" i="34"/>
  <c r="M104" i="34" s="1"/>
  <c r="D104" i="34"/>
  <c r="J103" i="34"/>
  <c r="M103" i="34" s="1"/>
  <c r="D103" i="34"/>
  <c r="M102" i="34"/>
  <c r="J102" i="34"/>
  <c r="D102" i="34"/>
  <c r="J101" i="34"/>
  <c r="M101" i="34" s="1"/>
  <c r="D101" i="34"/>
  <c r="Z100" i="34"/>
  <c r="D100" i="34"/>
  <c r="J100" i="34" s="1"/>
  <c r="M100" i="34" s="1"/>
  <c r="J99" i="34"/>
  <c r="M99" i="34" s="1"/>
  <c r="D99" i="34"/>
  <c r="M98" i="34"/>
  <c r="J98" i="34"/>
  <c r="D98" i="34"/>
  <c r="P97" i="34"/>
  <c r="N97" i="34"/>
  <c r="J97" i="34"/>
  <c r="M97" i="34" s="1"/>
  <c r="D97" i="34"/>
  <c r="U96" i="34"/>
  <c r="T96" i="34"/>
  <c r="Q96" i="34"/>
  <c r="P96" i="34"/>
  <c r="O96" i="34"/>
  <c r="N96" i="34"/>
  <c r="J96" i="34"/>
  <c r="D96" i="34"/>
  <c r="AA95" i="34"/>
  <c r="AC95" i="34" s="1"/>
  <c r="D95" i="34"/>
  <c r="J95" i="34" s="1"/>
  <c r="M95" i="34" s="1"/>
  <c r="M94" i="34"/>
  <c r="J94" i="34"/>
  <c r="Z93" i="34"/>
  <c r="M93" i="34"/>
  <c r="J93" i="34"/>
  <c r="D93" i="34"/>
  <c r="D92" i="34"/>
  <c r="J92" i="34" s="1"/>
  <c r="M92" i="34" s="1"/>
  <c r="J91" i="34"/>
  <c r="M91" i="34" s="1"/>
  <c r="D91" i="34"/>
  <c r="J90" i="34"/>
  <c r="M90" i="34" s="1"/>
  <c r="D90" i="34"/>
  <c r="D89" i="34"/>
  <c r="D88" i="34"/>
  <c r="M87" i="34"/>
  <c r="J87" i="34"/>
  <c r="Z86" i="34"/>
  <c r="M86" i="34"/>
  <c r="J86" i="34"/>
  <c r="E86" i="34"/>
  <c r="D86" i="34"/>
  <c r="D85" i="34"/>
  <c r="J84" i="34"/>
  <c r="M84" i="34" s="1"/>
  <c r="D84" i="34"/>
  <c r="J83" i="34"/>
  <c r="M83" i="34" s="1"/>
  <c r="D83" i="34"/>
  <c r="D82" i="34"/>
  <c r="J82" i="34" s="1"/>
  <c r="M82" i="34" s="1"/>
  <c r="J81" i="34"/>
  <c r="M81" i="34" s="1"/>
  <c r="D81" i="34"/>
  <c r="M80" i="34"/>
  <c r="J80" i="34"/>
  <c r="D80" i="34"/>
  <c r="Z79" i="34"/>
  <c r="D79" i="34"/>
  <c r="J78" i="34"/>
  <c r="M78" i="34" s="1"/>
  <c r="D78" i="34"/>
  <c r="M77" i="34"/>
  <c r="J77" i="34"/>
  <c r="D77" i="34"/>
  <c r="J76" i="34"/>
  <c r="M76" i="34" s="1"/>
  <c r="D76" i="34"/>
  <c r="D75" i="34"/>
  <c r="J75" i="34" s="1"/>
  <c r="M75" i="34" s="1"/>
  <c r="D74" i="34"/>
  <c r="J73" i="34"/>
  <c r="M73" i="34" s="1"/>
  <c r="D73" i="34"/>
  <c r="Z72" i="34"/>
  <c r="J72" i="34"/>
  <c r="M72" i="34" s="1"/>
  <c r="D72" i="34"/>
  <c r="D71" i="34"/>
  <c r="J71" i="34" s="1"/>
  <c r="M71" i="34" s="1"/>
  <c r="D70" i="34"/>
  <c r="J70" i="34" s="1"/>
  <c r="M70" i="34" s="1"/>
  <c r="J69" i="34"/>
  <c r="M69" i="34" s="1"/>
  <c r="D69" i="34"/>
  <c r="D68" i="34"/>
  <c r="D67" i="34"/>
  <c r="N66" i="34"/>
  <c r="J66" i="34"/>
  <c r="M66" i="34" s="1"/>
  <c r="D66" i="34"/>
  <c r="Z65" i="34"/>
  <c r="Z377" i="34" s="1"/>
  <c r="Q65" i="34"/>
  <c r="P65" i="34"/>
  <c r="N65" i="34"/>
  <c r="J65" i="34"/>
  <c r="D65" i="34"/>
  <c r="AD63" i="34"/>
  <c r="AC63" i="34"/>
  <c r="AA63" i="34"/>
  <c r="W63" i="34"/>
  <c r="J63" i="34"/>
  <c r="M63" i="34" s="1"/>
  <c r="D63" i="34"/>
  <c r="D62" i="34"/>
  <c r="J62" i="34" s="1"/>
  <c r="M62" i="34" s="1"/>
  <c r="J61" i="34"/>
  <c r="M61" i="34" s="1"/>
  <c r="D61" i="34"/>
  <c r="D60" i="34"/>
  <c r="J60" i="34" s="1"/>
  <c r="M60" i="34" s="1"/>
  <c r="J59" i="34"/>
  <c r="M59" i="34" s="1"/>
  <c r="D59" i="34"/>
  <c r="J58" i="34"/>
  <c r="M58" i="34" s="1"/>
  <c r="D58" i="34"/>
  <c r="Z57" i="34"/>
  <c r="D57" i="34"/>
  <c r="J57" i="34" s="1"/>
  <c r="M57" i="34" s="1"/>
  <c r="J56" i="34"/>
  <c r="M56" i="34" s="1"/>
  <c r="D56" i="34"/>
  <c r="M55" i="34"/>
  <c r="J55" i="34"/>
  <c r="D55" i="34"/>
  <c r="J54" i="34"/>
  <c r="M54" i="34" s="1"/>
  <c r="D54" i="34"/>
  <c r="D53" i="34"/>
  <c r="J53" i="34" s="1"/>
  <c r="M53" i="34" s="1"/>
  <c r="D52" i="34"/>
  <c r="J52" i="34" s="1"/>
  <c r="M52" i="34" s="1"/>
  <c r="M51" i="34"/>
  <c r="J51" i="34"/>
  <c r="Z50" i="34"/>
  <c r="D50" i="34"/>
  <c r="J50" i="34" s="1"/>
  <c r="M50" i="34" s="1"/>
  <c r="J49" i="34"/>
  <c r="M49" i="34" s="1"/>
  <c r="D49" i="34"/>
  <c r="M48" i="34"/>
  <c r="J48" i="34"/>
  <c r="D48" i="34"/>
  <c r="J47" i="34"/>
  <c r="M47" i="34" s="1"/>
  <c r="D47" i="34"/>
  <c r="D46" i="34"/>
  <c r="J46" i="34" s="1"/>
  <c r="M46" i="34" s="1"/>
  <c r="D45" i="34"/>
  <c r="J45" i="34" s="1"/>
  <c r="M45" i="34" s="1"/>
  <c r="M44" i="34"/>
  <c r="J44" i="34"/>
  <c r="D44" i="34"/>
  <c r="Z43" i="34"/>
  <c r="J43" i="34"/>
  <c r="M43" i="34" s="1"/>
  <c r="D43" i="34"/>
  <c r="M42" i="34"/>
  <c r="D42" i="34"/>
  <c r="J42" i="34" s="1"/>
  <c r="D41" i="34"/>
  <c r="J41" i="34" s="1"/>
  <c r="M41" i="34" s="1"/>
  <c r="J40" i="34"/>
  <c r="M40" i="34" s="1"/>
  <c r="D40" i="34"/>
  <c r="D39" i="34"/>
  <c r="J39" i="34" s="1"/>
  <c r="M39" i="34" s="1"/>
  <c r="D38" i="34"/>
  <c r="N37" i="34"/>
  <c r="M37" i="34"/>
  <c r="J37" i="34"/>
  <c r="T36" i="34"/>
  <c r="P36" i="34"/>
  <c r="O36" i="34"/>
  <c r="N36" i="34"/>
  <c r="J36" i="34"/>
  <c r="AC35" i="34"/>
  <c r="P35" i="34"/>
  <c r="S35" i="34" s="1"/>
  <c r="O35" i="34"/>
  <c r="R35" i="34" s="1"/>
  <c r="AD35" i="34" s="1"/>
  <c r="N35" i="34"/>
  <c r="Q35" i="34" s="1"/>
  <c r="Q36" i="34" s="1"/>
  <c r="M35" i="34"/>
  <c r="J35" i="34"/>
  <c r="M34" i="34"/>
  <c r="J34" i="34"/>
  <c r="J33" i="34"/>
  <c r="M33" i="34" s="1"/>
  <c r="J32" i="34"/>
  <c r="M32" i="34" s="1"/>
  <c r="J31" i="34"/>
  <c r="M31" i="34" s="1"/>
  <c r="Z30" i="34"/>
  <c r="J30" i="34"/>
  <c r="M30" i="34" s="1"/>
  <c r="J29" i="34"/>
  <c r="M29" i="34" s="1"/>
  <c r="M28" i="34"/>
  <c r="J28" i="34"/>
  <c r="J27" i="34"/>
  <c r="M27" i="34" s="1"/>
  <c r="J26" i="34"/>
  <c r="M26" i="34" s="1"/>
  <c r="J25" i="34"/>
  <c r="M25" i="34" s="1"/>
  <c r="M24" i="34"/>
  <c r="J24" i="34"/>
  <c r="J23" i="34"/>
  <c r="M23" i="34" s="1"/>
  <c r="D23" i="34"/>
  <c r="Z22" i="34"/>
  <c r="J22" i="34"/>
  <c r="M22" i="34" s="1"/>
  <c r="D22" i="34"/>
  <c r="D21" i="34"/>
  <c r="J21" i="34" s="1"/>
  <c r="M21" i="34" s="1"/>
  <c r="J20" i="34"/>
  <c r="M20" i="34" s="1"/>
  <c r="D20" i="34"/>
  <c r="D19" i="34"/>
  <c r="J19" i="34" s="1"/>
  <c r="M19" i="34" s="1"/>
  <c r="D18" i="34"/>
  <c r="J18" i="34" s="1"/>
  <c r="M18" i="34" s="1"/>
  <c r="D17" i="34"/>
  <c r="J17" i="34" s="1"/>
  <c r="M17" i="34" s="1"/>
  <c r="D16" i="34"/>
  <c r="J16" i="34" s="1"/>
  <c r="M16" i="34" s="1"/>
  <c r="Z15" i="34"/>
  <c r="M15" i="34"/>
  <c r="D15" i="34"/>
  <c r="J15" i="34" s="1"/>
  <c r="J14" i="34"/>
  <c r="M14" i="34" s="1"/>
  <c r="D14" i="34"/>
  <c r="M13" i="34"/>
  <c r="D13" i="34"/>
  <c r="J13" i="34" s="1"/>
  <c r="AE12" i="34"/>
  <c r="AE13" i="34" s="1"/>
  <c r="AE14" i="34" s="1"/>
  <c r="AE15" i="34" s="1"/>
  <c r="AE16" i="34" s="1"/>
  <c r="AE17" i="34" s="1"/>
  <c r="AE18" i="34" s="1"/>
  <c r="AE19" i="34" s="1"/>
  <c r="AE20" i="34" s="1"/>
  <c r="AE21" i="34" s="1"/>
  <c r="AE22" i="34" s="1"/>
  <c r="AE23" i="34" s="1"/>
  <c r="AE24" i="34" s="1"/>
  <c r="AE25" i="34" s="1"/>
  <c r="AE26" i="34" s="1"/>
  <c r="AE27" i="34" s="1"/>
  <c r="AE28" i="34" s="1"/>
  <c r="AE29" i="34" s="1"/>
  <c r="AE30" i="34" s="1"/>
  <c r="AE31" i="34" s="1"/>
  <c r="AE32" i="34" s="1"/>
  <c r="AE33" i="34" s="1"/>
  <c r="AE34" i="34" s="1"/>
  <c r="AE35" i="34" s="1"/>
  <c r="AE36" i="34" s="1"/>
  <c r="AE37" i="34" s="1"/>
  <c r="AE38" i="34" s="1"/>
  <c r="AE39" i="34" s="1"/>
  <c r="AE40" i="34" s="1"/>
  <c r="AE41" i="34" s="1"/>
  <c r="AE42" i="34" s="1"/>
  <c r="AE43" i="34" s="1"/>
  <c r="AE44" i="34" s="1"/>
  <c r="AE45" i="34" s="1"/>
  <c r="AE46" i="34" s="1"/>
  <c r="AE47" i="34" s="1"/>
  <c r="AE48" i="34" s="1"/>
  <c r="AE49" i="34" s="1"/>
  <c r="AE50" i="34" s="1"/>
  <c r="AE51" i="34" s="1"/>
  <c r="AE52" i="34" s="1"/>
  <c r="AE53" i="34" s="1"/>
  <c r="AE54" i="34" s="1"/>
  <c r="AE55" i="34" s="1"/>
  <c r="AE56" i="34" s="1"/>
  <c r="AE57" i="34" s="1"/>
  <c r="AE58" i="34" s="1"/>
  <c r="AE59" i="34" s="1"/>
  <c r="AE60" i="34" s="1"/>
  <c r="AE61" i="34" s="1"/>
  <c r="AE62" i="34" s="1"/>
  <c r="AE63" i="34" s="1"/>
  <c r="D12" i="34"/>
  <c r="J12" i="34" s="1"/>
  <c r="M12" i="34" s="1"/>
  <c r="AF11" i="34"/>
  <c r="AF12" i="34" s="1"/>
  <c r="AF13" i="34" s="1"/>
  <c r="AF14" i="34" s="1"/>
  <c r="AF15" i="34" s="1"/>
  <c r="AF16" i="34" s="1"/>
  <c r="AF17" i="34" s="1"/>
  <c r="AF18" i="34" s="1"/>
  <c r="AF19" i="34" s="1"/>
  <c r="AF20" i="34" s="1"/>
  <c r="AF21" i="34" s="1"/>
  <c r="AF22" i="34" s="1"/>
  <c r="AF23" i="34" s="1"/>
  <c r="AF24" i="34" s="1"/>
  <c r="AF25" i="34" s="1"/>
  <c r="AF26" i="34" s="1"/>
  <c r="AF27" i="34" s="1"/>
  <c r="AF28" i="34" s="1"/>
  <c r="AF29" i="34" s="1"/>
  <c r="AF30" i="34" s="1"/>
  <c r="AF31" i="34" s="1"/>
  <c r="AF32" i="34" s="1"/>
  <c r="AF33" i="34" s="1"/>
  <c r="AF34" i="34" s="1"/>
  <c r="AF35" i="34" s="1"/>
  <c r="AF36" i="34" s="1"/>
  <c r="AF37" i="34" s="1"/>
  <c r="AF38" i="34" s="1"/>
  <c r="AF39" i="34" s="1"/>
  <c r="AF40" i="34" s="1"/>
  <c r="AF41" i="34" s="1"/>
  <c r="AF42" i="34" s="1"/>
  <c r="AF43" i="34" s="1"/>
  <c r="AF44" i="34" s="1"/>
  <c r="AF45" i="34" s="1"/>
  <c r="AF46" i="34" s="1"/>
  <c r="AF47" i="34" s="1"/>
  <c r="AF48" i="34" s="1"/>
  <c r="AF49" i="34" s="1"/>
  <c r="AF50" i="34" s="1"/>
  <c r="AF51" i="34" s="1"/>
  <c r="AF52" i="34" s="1"/>
  <c r="AF53" i="34" s="1"/>
  <c r="AF54" i="34" s="1"/>
  <c r="AF55" i="34" s="1"/>
  <c r="AF56" i="34" s="1"/>
  <c r="AF57" i="34" s="1"/>
  <c r="AF58" i="34" s="1"/>
  <c r="AF59" i="34" s="1"/>
  <c r="AF60" i="34" s="1"/>
  <c r="AF61" i="34" s="1"/>
  <c r="AF62" i="34" s="1"/>
  <c r="AF63" i="34" s="1"/>
  <c r="AF65" i="34" s="1"/>
  <c r="AF66" i="34" s="1"/>
  <c r="AF67" i="34" s="1"/>
  <c r="AF68" i="34" s="1"/>
  <c r="AF69" i="34" s="1"/>
  <c r="AF70" i="34" s="1"/>
  <c r="AF71" i="34" s="1"/>
  <c r="AF72" i="34" s="1"/>
  <c r="AF73" i="34" s="1"/>
  <c r="AF74" i="34" s="1"/>
  <c r="AF75" i="34" s="1"/>
  <c r="AF76" i="34" s="1"/>
  <c r="AF77" i="34" s="1"/>
  <c r="AF78" i="34" s="1"/>
  <c r="AF79" i="34" s="1"/>
  <c r="AF80" i="34" s="1"/>
  <c r="AF81" i="34" s="1"/>
  <c r="AF82" i="34" s="1"/>
  <c r="AF83" i="34" s="1"/>
  <c r="AF84" i="34" s="1"/>
  <c r="AF85" i="34" s="1"/>
  <c r="AF86" i="34" s="1"/>
  <c r="AF87" i="34" s="1"/>
  <c r="AF88" i="34" s="1"/>
  <c r="AF89" i="34" s="1"/>
  <c r="AF90" i="34" s="1"/>
  <c r="AF91" i="34" s="1"/>
  <c r="AF92" i="34" s="1"/>
  <c r="AF93" i="34" s="1"/>
  <c r="AF94" i="34" s="1"/>
  <c r="AF95" i="34" s="1"/>
  <c r="AF96" i="34" s="1"/>
  <c r="AF97" i="34" s="1"/>
  <c r="AF98" i="34" s="1"/>
  <c r="AF99" i="34" s="1"/>
  <c r="AF100" i="34" s="1"/>
  <c r="AF101" i="34" s="1"/>
  <c r="AF102" i="34" s="1"/>
  <c r="AF103" i="34" s="1"/>
  <c r="AF104" i="34" s="1"/>
  <c r="AF105" i="34" s="1"/>
  <c r="AF106" i="34" s="1"/>
  <c r="AF107" i="34" s="1"/>
  <c r="AF108" i="34" s="1"/>
  <c r="AF109" i="34" s="1"/>
  <c r="AF110" i="34" s="1"/>
  <c r="AF111" i="34" s="1"/>
  <c r="AF112" i="34" s="1"/>
  <c r="AF113" i="34" s="1"/>
  <c r="AF114" i="34" s="1"/>
  <c r="AF115" i="34" s="1"/>
  <c r="AF116" i="34" s="1"/>
  <c r="AF117" i="34" s="1"/>
  <c r="AF118" i="34" s="1"/>
  <c r="AF119" i="34" s="1"/>
  <c r="AF120" i="34" s="1"/>
  <c r="AF121" i="34" s="1"/>
  <c r="AF122" i="34" s="1"/>
  <c r="AF123" i="34" s="1"/>
  <c r="AF124" i="34" s="1"/>
  <c r="AF125" i="34" s="1"/>
  <c r="AF126" i="34" s="1"/>
  <c r="AF127" i="34" s="1"/>
  <c r="AF128" i="34" s="1"/>
  <c r="AF129" i="34" s="1"/>
  <c r="AF130" i="34" s="1"/>
  <c r="AF131" i="34" s="1"/>
  <c r="AF132" i="34" s="1"/>
  <c r="AF133" i="34" s="1"/>
  <c r="AF134" i="34" s="1"/>
  <c r="AF135" i="34" s="1"/>
  <c r="AF136" i="34" s="1"/>
  <c r="AF137" i="34" s="1"/>
  <c r="AF138" i="34" s="1"/>
  <c r="AF139" i="34" s="1"/>
  <c r="AF140" i="34" s="1"/>
  <c r="AF141" i="34" s="1"/>
  <c r="AF142" i="34" s="1"/>
  <c r="AF143" i="34" s="1"/>
  <c r="AF144" i="34" s="1"/>
  <c r="AF145" i="34" s="1"/>
  <c r="AF146" i="34" s="1"/>
  <c r="AF147" i="34" s="1"/>
  <c r="AF148" i="34" s="1"/>
  <c r="AF149" i="34" s="1"/>
  <c r="AF150" i="34" s="1"/>
  <c r="AF151" i="34" s="1"/>
  <c r="AF152" i="34" s="1"/>
  <c r="AF153" i="34" s="1"/>
  <c r="AF154" i="34" s="1"/>
  <c r="AF155" i="34" s="1"/>
  <c r="AF156" i="34" s="1"/>
  <c r="J11" i="34"/>
  <c r="M11" i="34" s="1"/>
  <c r="D11" i="34"/>
  <c r="AF10" i="34"/>
  <c r="J10" i="34"/>
  <c r="M10" i="34" s="1"/>
  <c r="D10" i="34"/>
  <c r="M9" i="34"/>
  <c r="D9" i="34"/>
  <c r="J9" i="34" s="1"/>
  <c r="Z8" i="34"/>
  <c r="P8" i="34"/>
  <c r="D8" i="34"/>
  <c r="J8" i="34" s="1"/>
  <c r="M8" i="34" s="1"/>
  <c r="AF7" i="34"/>
  <c r="AF8" i="34" s="1"/>
  <c r="AF9" i="34" s="1"/>
  <c r="S7" i="34"/>
  <c r="P7" i="34"/>
  <c r="J7" i="34"/>
  <c r="M7" i="34" s="1"/>
  <c r="D7" i="34"/>
  <c r="AF6" i="34"/>
  <c r="AE6" i="34"/>
  <c r="AE7" i="34" s="1"/>
  <c r="AE8" i="34" s="1"/>
  <c r="AE9" i="34" s="1"/>
  <c r="AE10" i="34" s="1"/>
  <c r="AE11" i="34" s="1"/>
  <c r="S6" i="34"/>
  <c r="P6" i="34"/>
  <c r="J6" i="34"/>
  <c r="M6" i="34" s="1"/>
  <c r="D6" i="34"/>
  <c r="AF5" i="34"/>
  <c r="AE5" i="34"/>
  <c r="V5" i="34"/>
  <c r="T5" i="34"/>
  <c r="S5" i="34"/>
  <c r="P5" i="34"/>
  <c r="N5" i="34"/>
  <c r="Q5" i="34" s="1"/>
  <c r="J5" i="34"/>
  <c r="D5" i="34"/>
  <c r="AB386" i="35"/>
  <c r="L386" i="35"/>
  <c r="K386" i="35"/>
  <c r="I386" i="35"/>
  <c r="H386" i="35"/>
  <c r="G386" i="35"/>
  <c r="F386" i="35"/>
  <c r="E386" i="35"/>
  <c r="AB385" i="35"/>
  <c r="L385" i="35"/>
  <c r="K385" i="35"/>
  <c r="I385" i="35"/>
  <c r="H385" i="35"/>
  <c r="G385" i="35"/>
  <c r="F385" i="35"/>
  <c r="AB384" i="35"/>
  <c r="L384" i="35"/>
  <c r="K384" i="35"/>
  <c r="I384" i="35"/>
  <c r="H384" i="35"/>
  <c r="G384" i="35"/>
  <c r="F384" i="35"/>
  <c r="AB383" i="35"/>
  <c r="L383" i="35"/>
  <c r="K383" i="35"/>
  <c r="I383" i="35"/>
  <c r="H383" i="35"/>
  <c r="G383" i="35"/>
  <c r="F383" i="35"/>
  <c r="AB382" i="35"/>
  <c r="Z382" i="35"/>
  <c r="L382" i="35"/>
  <c r="K382" i="35"/>
  <c r="I382" i="35"/>
  <c r="H382" i="35"/>
  <c r="G382" i="35"/>
  <c r="F382" i="35"/>
  <c r="AB381" i="35"/>
  <c r="L381" i="35"/>
  <c r="K381" i="35"/>
  <c r="I381" i="35"/>
  <c r="H381" i="35"/>
  <c r="G381" i="35"/>
  <c r="F381" i="35"/>
  <c r="AB380" i="35"/>
  <c r="L380" i="35"/>
  <c r="K380" i="35"/>
  <c r="I380" i="35"/>
  <c r="H380" i="35"/>
  <c r="G380" i="35"/>
  <c r="F380" i="35"/>
  <c r="AB379" i="35"/>
  <c r="L379" i="35"/>
  <c r="K379" i="35"/>
  <c r="I379" i="35"/>
  <c r="H379" i="35"/>
  <c r="G379" i="35"/>
  <c r="F379" i="35"/>
  <c r="AB378" i="35"/>
  <c r="L378" i="35"/>
  <c r="K378" i="35"/>
  <c r="I378" i="35"/>
  <c r="H378" i="35"/>
  <c r="G378" i="35"/>
  <c r="F378" i="35"/>
  <c r="AB377" i="35"/>
  <c r="Z377" i="35"/>
  <c r="L377" i="35"/>
  <c r="K377" i="35"/>
  <c r="I377" i="35"/>
  <c r="H377" i="35"/>
  <c r="G377" i="35"/>
  <c r="F377" i="35"/>
  <c r="AB376" i="35"/>
  <c r="L376" i="35"/>
  <c r="K376" i="35"/>
  <c r="I376" i="35"/>
  <c r="H376" i="35"/>
  <c r="G376" i="35"/>
  <c r="F376" i="35"/>
  <c r="AB375" i="35"/>
  <c r="L375" i="35"/>
  <c r="K375" i="35"/>
  <c r="I375" i="35"/>
  <c r="H375" i="35"/>
  <c r="G375" i="35"/>
  <c r="F375" i="35"/>
  <c r="L372" i="35"/>
  <c r="K372" i="35"/>
  <c r="I372" i="35"/>
  <c r="H372" i="35"/>
  <c r="G372" i="35"/>
  <c r="F372" i="35"/>
  <c r="L371" i="35"/>
  <c r="K371" i="35"/>
  <c r="I371" i="35"/>
  <c r="H371" i="35"/>
  <c r="G371" i="35"/>
  <c r="F371" i="35"/>
  <c r="J370" i="35"/>
  <c r="M370" i="35" s="1"/>
  <c r="J369" i="35"/>
  <c r="M369" i="35" s="1"/>
  <c r="J368" i="35"/>
  <c r="M368" i="35" s="1"/>
  <c r="J367" i="35"/>
  <c r="M367" i="35" s="1"/>
  <c r="J366" i="35"/>
  <c r="M366" i="35" s="1"/>
  <c r="J365" i="35"/>
  <c r="M365" i="35" s="1"/>
  <c r="J364" i="35"/>
  <c r="M364" i="35" s="1"/>
  <c r="J363" i="35"/>
  <c r="M363" i="35" s="1"/>
  <c r="J362" i="35"/>
  <c r="M362" i="35" s="1"/>
  <c r="J361" i="35"/>
  <c r="M361" i="35" s="1"/>
  <c r="J360" i="35"/>
  <c r="M360" i="35" s="1"/>
  <c r="J359" i="35"/>
  <c r="M359" i="35" s="1"/>
  <c r="J358" i="35"/>
  <c r="M358" i="35" s="1"/>
  <c r="J357" i="35"/>
  <c r="M357" i="35" s="1"/>
  <c r="J356" i="35"/>
  <c r="M356" i="35" s="1"/>
  <c r="J355" i="35"/>
  <c r="M355" i="35" s="1"/>
  <c r="J354" i="35"/>
  <c r="M354" i="35" s="1"/>
  <c r="J353" i="35"/>
  <c r="M353" i="35" s="1"/>
  <c r="J352" i="35"/>
  <c r="M352" i="35" s="1"/>
  <c r="J351" i="35"/>
  <c r="M351" i="35" s="1"/>
  <c r="M350" i="35"/>
  <c r="J350" i="35"/>
  <c r="J349" i="35"/>
  <c r="M349" i="35" s="1"/>
  <c r="J348" i="35"/>
  <c r="M348" i="35" s="1"/>
  <c r="J347" i="35"/>
  <c r="M347" i="35" s="1"/>
  <c r="J346" i="35"/>
  <c r="M346" i="35" s="1"/>
  <c r="J345" i="35"/>
  <c r="M345" i="35" s="1"/>
  <c r="J344" i="35"/>
  <c r="M344" i="35" s="1"/>
  <c r="J343" i="35"/>
  <c r="M343" i="35" s="1"/>
  <c r="J342" i="35"/>
  <c r="M342" i="35" s="1"/>
  <c r="P341" i="35"/>
  <c r="P342" i="35" s="1"/>
  <c r="P343" i="35" s="1"/>
  <c r="P344" i="35" s="1"/>
  <c r="P345" i="35" s="1"/>
  <c r="J341" i="35"/>
  <c r="M341" i="35" s="1"/>
  <c r="P340" i="35"/>
  <c r="V340" i="35" s="1"/>
  <c r="O340" i="35"/>
  <c r="O341" i="35" s="1"/>
  <c r="N340" i="35"/>
  <c r="T340" i="35" s="1"/>
  <c r="J340" i="35"/>
  <c r="M340" i="35" s="1"/>
  <c r="J339" i="35"/>
  <c r="M339" i="35" s="1"/>
  <c r="J338" i="35"/>
  <c r="M338" i="35" s="1"/>
  <c r="J337" i="35"/>
  <c r="M337" i="35" s="1"/>
  <c r="J336" i="35"/>
  <c r="M336" i="35" s="1"/>
  <c r="J335" i="35"/>
  <c r="M335" i="35" s="1"/>
  <c r="M334" i="35"/>
  <c r="J334" i="35"/>
  <c r="J333" i="35"/>
  <c r="M333" i="35" s="1"/>
  <c r="J332" i="35"/>
  <c r="M332" i="35" s="1"/>
  <c r="J331" i="35"/>
  <c r="M331" i="35" s="1"/>
  <c r="J330" i="35"/>
  <c r="M330" i="35" s="1"/>
  <c r="J329" i="35"/>
  <c r="M329" i="35" s="1"/>
  <c r="J328" i="35"/>
  <c r="M328" i="35" s="1"/>
  <c r="J327" i="35"/>
  <c r="M327" i="35" s="1"/>
  <c r="J326" i="35"/>
  <c r="M326" i="35" s="1"/>
  <c r="J325" i="35"/>
  <c r="M325" i="35" s="1"/>
  <c r="J324" i="35"/>
  <c r="M324" i="35" s="1"/>
  <c r="J323" i="35"/>
  <c r="M323" i="35" s="1"/>
  <c r="M322" i="35"/>
  <c r="J320" i="35"/>
  <c r="M320" i="35" s="1"/>
  <c r="J319" i="35"/>
  <c r="M319" i="35" s="1"/>
  <c r="J318" i="35"/>
  <c r="M318" i="35" s="1"/>
  <c r="J317" i="35"/>
  <c r="M317" i="35" s="1"/>
  <c r="J316" i="35"/>
  <c r="M316" i="35" s="1"/>
  <c r="J315" i="35"/>
  <c r="M315" i="35" s="1"/>
  <c r="J314" i="35"/>
  <c r="M314" i="35" s="1"/>
  <c r="J313" i="35"/>
  <c r="M313" i="35" s="1"/>
  <c r="J312" i="35"/>
  <c r="M312" i="35" s="1"/>
  <c r="P311" i="35"/>
  <c r="N311" i="35"/>
  <c r="J311" i="35"/>
  <c r="M311" i="35" s="1"/>
  <c r="P310" i="35"/>
  <c r="V310" i="35" s="1"/>
  <c r="O310" i="35"/>
  <c r="O311" i="35" s="1"/>
  <c r="N310" i="35"/>
  <c r="T310" i="35" s="1"/>
  <c r="J310" i="35"/>
  <c r="M310" i="35" s="1"/>
  <c r="J309" i="35"/>
  <c r="M309" i="35" s="1"/>
  <c r="J308" i="35"/>
  <c r="M308" i="35" s="1"/>
  <c r="J307" i="35"/>
  <c r="M307" i="35" s="1"/>
  <c r="J306" i="35"/>
  <c r="M306" i="35" s="1"/>
  <c r="J305" i="35"/>
  <c r="M305" i="35" s="1"/>
  <c r="J304" i="35"/>
  <c r="M304" i="35" s="1"/>
  <c r="J303" i="35"/>
  <c r="M303" i="35" s="1"/>
  <c r="J302" i="35"/>
  <c r="M302" i="35" s="1"/>
  <c r="J301" i="35"/>
  <c r="M301" i="35" s="1"/>
  <c r="J300" i="35"/>
  <c r="M300" i="35" s="1"/>
  <c r="J299" i="35"/>
  <c r="M299" i="35" s="1"/>
  <c r="J298" i="35"/>
  <c r="M298" i="35" s="1"/>
  <c r="J297" i="35"/>
  <c r="M297" i="35" s="1"/>
  <c r="J296" i="35"/>
  <c r="M296" i="35" s="1"/>
  <c r="J295" i="35"/>
  <c r="M295" i="35" s="1"/>
  <c r="J294" i="35"/>
  <c r="M294" i="35" s="1"/>
  <c r="J293" i="35"/>
  <c r="M293" i="35" s="1"/>
  <c r="J292" i="35"/>
  <c r="M292" i="35" s="1"/>
  <c r="J291" i="35"/>
  <c r="M291" i="35" s="1"/>
  <c r="J290" i="35"/>
  <c r="M290" i="35" s="1"/>
  <c r="J289" i="35"/>
  <c r="M289" i="35" s="1"/>
  <c r="J288" i="35"/>
  <c r="M288" i="35" s="1"/>
  <c r="J287" i="35"/>
  <c r="M287" i="35" s="1"/>
  <c r="J286" i="35"/>
  <c r="M286" i="35" s="1"/>
  <c r="J285" i="35"/>
  <c r="M285" i="35" s="1"/>
  <c r="J284" i="35"/>
  <c r="M284" i="35" s="1"/>
  <c r="J283" i="35"/>
  <c r="M283" i="35" s="1"/>
  <c r="J282" i="35"/>
  <c r="M282" i="35" s="1"/>
  <c r="J281" i="35"/>
  <c r="M281" i="35" s="1"/>
  <c r="J280" i="35"/>
  <c r="M280" i="35" s="1"/>
  <c r="V279" i="35"/>
  <c r="P279" i="35"/>
  <c r="P280" i="35" s="1"/>
  <c r="P281" i="35" s="1"/>
  <c r="P282" i="35" s="1"/>
  <c r="P283" i="35" s="1"/>
  <c r="O279" i="35"/>
  <c r="N279" i="35"/>
  <c r="T279" i="35" s="1"/>
  <c r="J279" i="35"/>
  <c r="M279" i="35" s="1"/>
  <c r="J278" i="35"/>
  <c r="M278" i="35" s="1"/>
  <c r="J277" i="35"/>
  <c r="M277" i="35" s="1"/>
  <c r="J276" i="35"/>
  <c r="M276" i="35" s="1"/>
  <c r="J274" i="35"/>
  <c r="M274" i="35" s="1"/>
  <c r="J273" i="35"/>
  <c r="M273" i="35" s="1"/>
  <c r="J272" i="35"/>
  <c r="M272" i="35" s="1"/>
  <c r="J271" i="35"/>
  <c r="M271" i="35" s="1"/>
  <c r="J270" i="35"/>
  <c r="M270" i="35" s="1"/>
  <c r="J269" i="35"/>
  <c r="M269" i="35" s="1"/>
  <c r="J268" i="35"/>
  <c r="M268" i="35" s="1"/>
  <c r="J267" i="35"/>
  <c r="M267" i="35" s="1"/>
  <c r="J266" i="35"/>
  <c r="M266" i="35" s="1"/>
  <c r="J265" i="35"/>
  <c r="M265" i="35" s="1"/>
  <c r="J264" i="35"/>
  <c r="M264" i="35" s="1"/>
  <c r="J263" i="35"/>
  <c r="M263" i="35" s="1"/>
  <c r="J262" i="35"/>
  <c r="M262" i="35" s="1"/>
  <c r="J261" i="35"/>
  <c r="M261" i="35" s="1"/>
  <c r="J260" i="35"/>
  <c r="M260" i="35" s="1"/>
  <c r="J259" i="35"/>
  <c r="M259" i="35" s="1"/>
  <c r="J258" i="35"/>
  <c r="M258" i="35" s="1"/>
  <c r="J257" i="35"/>
  <c r="M257" i="35" s="1"/>
  <c r="J256" i="35"/>
  <c r="M256" i="35" s="1"/>
  <c r="J255" i="35"/>
  <c r="M255" i="35" s="1"/>
  <c r="J254" i="35"/>
  <c r="M254" i="35" s="1"/>
  <c r="J253" i="35"/>
  <c r="M253" i="35" s="1"/>
  <c r="J252" i="35"/>
  <c r="M252" i="35" s="1"/>
  <c r="J251" i="35"/>
  <c r="M251" i="35" s="1"/>
  <c r="P250" i="35"/>
  <c r="P251" i="35" s="1"/>
  <c r="P252" i="35" s="1"/>
  <c r="P253" i="35" s="1"/>
  <c r="N250" i="35"/>
  <c r="N251" i="35" s="1"/>
  <c r="J250" i="35"/>
  <c r="M250" i="35" s="1"/>
  <c r="P249" i="35"/>
  <c r="V249" i="35" s="1"/>
  <c r="O249" i="35"/>
  <c r="O250" i="35" s="1"/>
  <c r="O251" i="35" s="1"/>
  <c r="N249" i="35"/>
  <c r="J249" i="35"/>
  <c r="M249" i="35" s="1"/>
  <c r="J248" i="35"/>
  <c r="M248" i="35" s="1"/>
  <c r="J247" i="35"/>
  <c r="M247" i="35" s="1"/>
  <c r="J246" i="35"/>
  <c r="M246" i="35" s="1"/>
  <c r="J245" i="35"/>
  <c r="M245" i="35" s="1"/>
  <c r="J244" i="35"/>
  <c r="M244" i="35" s="1"/>
  <c r="J243" i="35"/>
  <c r="M243" i="35" s="1"/>
  <c r="J242" i="35"/>
  <c r="M242" i="35" s="1"/>
  <c r="J241" i="35"/>
  <c r="M241" i="35" s="1"/>
  <c r="J240" i="35"/>
  <c r="M240" i="35" s="1"/>
  <c r="J239" i="35"/>
  <c r="M239" i="35" s="1"/>
  <c r="J238" i="35"/>
  <c r="M238" i="35" s="1"/>
  <c r="J237" i="35"/>
  <c r="M237" i="35" s="1"/>
  <c r="J236" i="35"/>
  <c r="M236" i="35" s="1"/>
  <c r="M235" i="35"/>
  <c r="J235" i="35"/>
  <c r="J234" i="35"/>
  <c r="M234" i="35" s="1"/>
  <c r="J233" i="35"/>
  <c r="M233" i="35" s="1"/>
  <c r="J232" i="35"/>
  <c r="M232" i="35" s="1"/>
  <c r="J231" i="35"/>
  <c r="M231" i="35" s="1"/>
  <c r="J230" i="35"/>
  <c r="M230" i="35" s="1"/>
  <c r="J229" i="35"/>
  <c r="M229" i="35" s="1"/>
  <c r="D229" i="35"/>
  <c r="D228" i="35"/>
  <c r="J228" i="35" s="1"/>
  <c r="M228" i="35" s="1"/>
  <c r="D227" i="35"/>
  <c r="J227" i="35" s="1"/>
  <c r="M227" i="35" s="1"/>
  <c r="E226" i="35"/>
  <c r="D226" i="35"/>
  <c r="C226" i="35"/>
  <c r="C382" i="35" s="1"/>
  <c r="M225" i="35"/>
  <c r="D225" i="35"/>
  <c r="J225" i="35" s="1"/>
  <c r="J224" i="35"/>
  <c r="M224" i="35" s="1"/>
  <c r="D224" i="35"/>
  <c r="D223" i="35"/>
  <c r="J223" i="35" s="1"/>
  <c r="M223" i="35" s="1"/>
  <c r="D222" i="35"/>
  <c r="J222" i="35" s="1"/>
  <c r="M222" i="35" s="1"/>
  <c r="D221" i="35"/>
  <c r="J221" i="35" s="1"/>
  <c r="M221" i="35" s="1"/>
  <c r="M220" i="35"/>
  <c r="J220" i="35"/>
  <c r="D220" i="35"/>
  <c r="P219" i="35"/>
  <c r="O219" i="35"/>
  <c r="J219" i="35"/>
  <c r="M219" i="35" s="1"/>
  <c r="V218" i="35"/>
  <c r="P218" i="35"/>
  <c r="N218" i="35"/>
  <c r="J218" i="35"/>
  <c r="D218" i="35"/>
  <c r="O218" i="35" s="1"/>
  <c r="AD217" i="35"/>
  <c r="AA217" i="35"/>
  <c r="Z217" i="35"/>
  <c r="Z386" i="35" s="1"/>
  <c r="S217" i="35"/>
  <c r="R217" i="35"/>
  <c r="R218" i="35" s="1"/>
  <c r="Q217" i="35"/>
  <c r="P217" i="35"/>
  <c r="O217" i="35"/>
  <c r="N217" i="35"/>
  <c r="J217" i="35"/>
  <c r="M217" i="35" s="1"/>
  <c r="D217" i="35"/>
  <c r="D216" i="35"/>
  <c r="J216" i="35" s="1"/>
  <c r="M216" i="35" s="1"/>
  <c r="D215" i="35"/>
  <c r="J215" i="35" s="1"/>
  <c r="M215" i="35" s="1"/>
  <c r="M214" i="35"/>
  <c r="D214" i="35"/>
  <c r="J214" i="35" s="1"/>
  <c r="D213" i="35"/>
  <c r="J213" i="35" s="1"/>
  <c r="M213" i="35" s="1"/>
  <c r="J212" i="35"/>
  <c r="M212" i="35" s="1"/>
  <c r="D212" i="35"/>
  <c r="D211" i="35"/>
  <c r="J210" i="35"/>
  <c r="M210" i="35" s="1"/>
  <c r="D210" i="35"/>
  <c r="D209" i="35"/>
  <c r="J208" i="35"/>
  <c r="M208" i="35" s="1"/>
  <c r="D208" i="35"/>
  <c r="D207" i="35"/>
  <c r="J206" i="35"/>
  <c r="M206" i="35" s="1"/>
  <c r="D206" i="35"/>
  <c r="E205" i="35"/>
  <c r="D205" i="35"/>
  <c r="C205" i="35"/>
  <c r="D204" i="35"/>
  <c r="J204" i="35" s="1"/>
  <c r="M204" i="35" s="1"/>
  <c r="D203" i="35"/>
  <c r="J203" i="35" s="1"/>
  <c r="M203" i="35" s="1"/>
  <c r="D202" i="35"/>
  <c r="J202" i="35" s="1"/>
  <c r="M202" i="35" s="1"/>
  <c r="D201" i="35"/>
  <c r="J201" i="35" s="1"/>
  <c r="M201" i="35" s="1"/>
  <c r="E200" i="35"/>
  <c r="D200" i="35"/>
  <c r="C200" i="35"/>
  <c r="M199" i="35"/>
  <c r="E199" i="35"/>
  <c r="J199" i="35" s="1"/>
  <c r="D199" i="35"/>
  <c r="C199" i="35"/>
  <c r="J198" i="35"/>
  <c r="M198" i="35" s="1"/>
  <c r="D198" i="35"/>
  <c r="J197" i="35"/>
  <c r="M197" i="35" s="1"/>
  <c r="D197" i="35"/>
  <c r="J196" i="35"/>
  <c r="M196" i="35" s="1"/>
  <c r="D196" i="35"/>
  <c r="E195" i="35"/>
  <c r="D195" i="35"/>
  <c r="M194" i="35"/>
  <c r="E194" i="35"/>
  <c r="J194" i="35" s="1"/>
  <c r="D194" i="35"/>
  <c r="C194" i="35"/>
  <c r="E193" i="35"/>
  <c r="D193" i="35"/>
  <c r="C193" i="35"/>
  <c r="J192" i="35"/>
  <c r="E192" i="35"/>
  <c r="D192" i="35"/>
  <c r="C192" i="35"/>
  <c r="C381" i="35" s="1"/>
  <c r="E191" i="35"/>
  <c r="D191" i="35"/>
  <c r="C191" i="35"/>
  <c r="J190" i="35"/>
  <c r="M190" i="35" s="1"/>
  <c r="D190" i="35"/>
  <c r="J189" i="35"/>
  <c r="D189" i="35"/>
  <c r="P188" i="35"/>
  <c r="P189" i="35" s="1"/>
  <c r="P190" i="35" s="1"/>
  <c r="J188" i="35"/>
  <c r="M188" i="35" s="1"/>
  <c r="D188" i="35"/>
  <c r="O188" i="35" s="1"/>
  <c r="V187" i="35"/>
  <c r="P187" i="35"/>
  <c r="O187" i="35"/>
  <c r="N187" i="35"/>
  <c r="N188" i="35" s="1"/>
  <c r="J187" i="35"/>
  <c r="M187" i="35" s="1"/>
  <c r="D187" i="35"/>
  <c r="Z186" i="35"/>
  <c r="Z380" i="35" s="1"/>
  <c r="S186" i="35"/>
  <c r="Y186" i="36" s="1"/>
  <c r="R186" i="35"/>
  <c r="Q186" i="35"/>
  <c r="P186" i="35"/>
  <c r="O186" i="35"/>
  <c r="U186" i="36" s="1"/>
  <c r="N186" i="35"/>
  <c r="M186" i="35"/>
  <c r="J186" i="35"/>
  <c r="J185" i="35"/>
  <c r="M185" i="35" s="1"/>
  <c r="E185" i="35"/>
  <c r="D185" i="35"/>
  <c r="C185" i="35"/>
  <c r="E184" i="35"/>
  <c r="J184" i="35" s="1"/>
  <c r="M184" i="35" s="1"/>
  <c r="D184" i="35"/>
  <c r="C184" i="35"/>
  <c r="D183" i="35"/>
  <c r="J183" i="35" s="1"/>
  <c r="M183" i="35" s="1"/>
  <c r="D182" i="35"/>
  <c r="J182" i="35" s="1"/>
  <c r="M182" i="35" s="1"/>
  <c r="D181" i="35"/>
  <c r="J181" i="35" s="1"/>
  <c r="M181" i="35" s="1"/>
  <c r="D180" i="35"/>
  <c r="J180" i="35" s="1"/>
  <c r="M180" i="35" s="1"/>
  <c r="D179" i="35"/>
  <c r="J179" i="35" s="1"/>
  <c r="M179" i="35" s="1"/>
  <c r="D178" i="35"/>
  <c r="J178" i="35" s="1"/>
  <c r="M178" i="35" s="1"/>
  <c r="E177" i="35"/>
  <c r="J177" i="35" s="1"/>
  <c r="M177" i="35" s="1"/>
  <c r="D177" i="35"/>
  <c r="C177" i="35"/>
  <c r="J176" i="35"/>
  <c r="M176" i="35" s="1"/>
  <c r="D176" i="35"/>
  <c r="J175" i="35"/>
  <c r="M175" i="35" s="1"/>
  <c r="D175" i="35"/>
  <c r="J174" i="35"/>
  <c r="M174" i="35" s="1"/>
  <c r="D174" i="35"/>
  <c r="J173" i="35"/>
  <c r="M173" i="35" s="1"/>
  <c r="D173" i="35"/>
  <c r="J172" i="35"/>
  <c r="M172" i="35" s="1"/>
  <c r="D172" i="35"/>
  <c r="J171" i="35"/>
  <c r="M171" i="35" s="1"/>
  <c r="D171" i="35"/>
  <c r="E170" i="35"/>
  <c r="D170" i="35"/>
  <c r="C170" i="35"/>
  <c r="M169" i="35"/>
  <c r="D169" i="35"/>
  <c r="J169" i="35" s="1"/>
  <c r="D168" i="35"/>
  <c r="J168" i="35" s="1"/>
  <c r="M168" i="35" s="1"/>
  <c r="D167" i="35"/>
  <c r="J167" i="35" s="1"/>
  <c r="M167" i="35" s="1"/>
  <c r="J166" i="35"/>
  <c r="M166" i="35" s="1"/>
  <c r="D166" i="35"/>
  <c r="D165" i="35"/>
  <c r="J165" i="35" s="1"/>
  <c r="M165" i="35" s="1"/>
  <c r="D164" i="35"/>
  <c r="J164" i="35" s="1"/>
  <c r="M164" i="35" s="1"/>
  <c r="E163" i="35"/>
  <c r="D163" i="35"/>
  <c r="J163" i="35" s="1"/>
  <c r="C163" i="35"/>
  <c r="C380" i="35" s="1"/>
  <c r="N162" i="35"/>
  <c r="N163" i="35" s="1"/>
  <c r="J162" i="35"/>
  <c r="M162" i="35" s="1"/>
  <c r="D162" i="35"/>
  <c r="J161" i="35"/>
  <c r="M161" i="35" s="1"/>
  <c r="D161" i="35"/>
  <c r="N160" i="35"/>
  <c r="N161" i="35" s="1"/>
  <c r="J160" i="35"/>
  <c r="M160" i="35" s="1"/>
  <c r="D160" i="35"/>
  <c r="T159" i="35"/>
  <c r="D159" i="35"/>
  <c r="J159" i="35" s="1"/>
  <c r="M159" i="35" s="1"/>
  <c r="T158" i="35"/>
  <c r="P158" i="35"/>
  <c r="V158" i="35" s="1"/>
  <c r="N158" i="35"/>
  <c r="N159" i="35" s="1"/>
  <c r="J158" i="35"/>
  <c r="M158" i="35" s="1"/>
  <c r="D158" i="35"/>
  <c r="T157" i="35"/>
  <c r="P157" i="35"/>
  <c r="N157" i="35"/>
  <c r="D157" i="35"/>
  <c r="J157" i="35" s="1"/>
  <c r="AG156" i="35"/>
  <c r="AF156" i="35"/>
  <c r="AF157" i="35" s="1"/>
  <c r="AF158" i="35" s="1"/>
  <c r="AF159" i="35" s="1"/>
  <c r="AF160" i="35" s="1"/>
  <c r="AF161" i="35" s="1"/>
  <c r="AF162" i="35" s="1"/>
  <c r="AF163" i="35" s="1"/>
  <c r="AF164" i="35" s="1"/>
  <c r="AF165" i="35" s="1"/>
  <c r="AF166" i="35" s="1"/>
  <c r="AF167" i="35" s="1"/>
  <c r="AF168" i="35" s="1"/>
  <c r="AF169" i="35" s="1"/>
  <c r="AF170" i="35" s="1"/>
  <c r="AF171" i="35" s="1"/>
  <c r="AF172" i="35" s="1"/>
  <c r="AF173" i="35" s="1"/>
  <c r="AF174" i="35" s="1"/>
  <c r="AF175" i="35" s="1"/>
  <c r="AF176" i="35" s="1"/>
  <c r="AF177" i="35" s="1"/>
  <c r="AF178" i="35" s="1"/>
  <c r="AF179" i="35" s="1"/>
  <c r="AF180" i="35" s="1"/>
  <c r="AF181" i="35" s="1"/>
  <c r="AF182" i="35" s="1"/>
  <c r="AF183" i="35" s="1"/>
  <c r="AF184" i="35" s="1"/>
  <c r="AF185" i="35" s="1"/>
  <c r="AF186" i="35" s="1"/>
  <c r="AF187" i="35" s="1"/>
  <c r="AF188" i="35" s="1"/>
  <c r="AF189" i="35" s="1"/>
  <c r="AF190" i="35" s="1"/>
  <c r="AF191" i="35" s="1"/>
  <c r="AF192" i="35" s="1"/>
  <c r="AF193" i="35" s="1"/>
  <c r="AF194" i="35" s="1"/>
  <c r="AF195" i="35" s="1"/>
  <c r="AF196" i="35" s="1"/>
  <c r="AF197" i="35" s="1"/>
  <c r="AF198" i="35" s="1"/>
  <c r="AF199" i="35" s="1"/>
  <c r="AF200" i="35" s="1"/>
  <c r="AF201" i="35" s="1"/>
  <c r="AF202" i="35" s="1"/>
  <c r="AF203" i="35" s="1"/>
  <c r="AF204" i="35" s="1"/>
  <c r="AF205" i="35" s="1"/>
  <c r="AF206" i="35" s="1"/>
  <c r="AF207" i="35" s="1"/>
  <c r="AF208" i="35" s="1"/>
  <c r="AF209" i="35" s="1"/>
  <c r="AF210" i="35" s="1"/>
  <c r="AF211" i="35" s="1"/>
  <c r="AF212" i="35" s="1"/>
  <c r="AF213" i="35" s="1"/>
  <c r="AF214" i="35" s="1"/>
  <c r="AF215" i="35" s="1"/>
  <c r="AF216" i="35" s="1"/>
  <c r="AF217" i="35" s="1"/>
  <c r="AF218" i="35" s="1"/>
  <c r="AF219" i="35" s="1"/>
  <c r="AF220" i="35" s="1"/>
  <c r="AF221" i="35" s="1"/>
  <c r="AF222" i="35" s="1"/>
  <c r="AF223" i="35" s="1"/>
  <c r="AF224" i="35" s="1"/>
  <c r="AF225" i="35" s="1"/>
  <c r="AF226" i="35" s="1"/>
  <c r="AF227" i="35" s="1"/>
  <c r="AF228" i="35" s="1"/>
  <c r="AF229" i="35" s="1"/>
  <c r="AF230" i="35" s="1"/>
  <c r="AF231" i="35" s="1"/>
  <c r="AF232" i="35" s="1"/>
  <c r="AF233" i="35" s="1"/>
  <c r="AF234" i="35" s="1"/>
  <c r="AF235" i="35" s="1"/>
  <c r="AF236" i="35" s="1"/>
  <c r="AF237" i="35" s="1"/>
  <c r="AF238" i="35" s="1"/>
  <c r="AF239" i="35" s="1"/>
  <c r="AF240" i="35" s="1"/>
  <c r="AF241" i="35" s="1"/>
  <c r="AF242" i="35" s="1"/>
  <c r="AF243" i="35" s="1"/>
  <c r="AF244" i="35" s="1"/>
  <c r="AF245" i="35" s="1"/>
  <c r="AF246" i="35" s="1"/>
  <c r="AF247" i="35" s="1"/>
  <c r="AF249" i="35" s="1"/>
  <c r="AF250" i="35" s="1"/>
  <c r="AF251" i="35" s="1"/>
  <c r="AF252" i="35" s="1"/>
  <c r="AF253" i="35" s="1"/>
  <c r="AF254" i="35" s="1"/>
  <c r="AF255" i="35" s="1"/>
  <c r="AF256" i="35" s="1"/>
  <c r="AF257" i="35" s="1"/>
  <c r="AF258" i="35" s="1"/>
  <c r="AF259" i="35" s="1"/>
  <c r="AF260" i="35" s="1"/>
  <c r="AF261" i="35" s="1"/>
  <c r="AF262" i="35" s="1"/>
  <c r="AF263" i="35" s="1"/>
  <c r="AF264" i="35" s="1"/>
  <c r="AF265" i="35" s="1"/>
  <c r="AF266" i="35" s="1"/>
  <c r="AF267" i="35" s="1"/>
  <c r="AF268" i="35" s="1"/>
  <c r="AF269" i="35" s="1"/>
  <c r="AF270" i="35" s="1"/>
  <c r="AF271" i="35" s="1"/>
  <c r="AF272" i="35" s="1"/>
  <c r="AF273" i="35" s="1"/>
  <c r="AF274" i="35" s="1"/>
  <c r="AF275" i="35" s="1"/>
  <c r="AF276" i="35" s="1"/>
  <c r="AF277" i="35" s="1"/>
  <c r="AF278" i="35" s="1"/>
  <c r="AF279" i="35" s="1"/>
  <c r="AF280" i="35" s="1"/>
  <c r="AF281" i="35" s="1"/>
  <c r="AF282" i="35" s="1"/>
  <c r="AF283" i="35" s="1"/>
  <c r="AF284" i="35" s="1"/>
  <c r="AF285" i="35" s="1"/>
  <c r="AF286" i="35" s="1"/>
  <c r="AF287" i="35" s="1"/>
  <c r="AF288" i="35" s="1"/>
  <c r="AF289" i="35" s="1"/>
  <c r="AF290" i="35" s="1"/>
  <c r="AF291" i="35" s="1"/>
  <c r="AF292" i="35" s="1"/>
  <c r="AF293" i="35" s="1"/>
  <c r="AF294" i="35" s="1"/>
  <c r="AF295" i="35" s="1"/>
  <c r="AF296" i="35" s="1"/>
  <c r="AF297" i="35" s="1"/>
  <c r="AF298" i="35" s="1"/>
  <c r="AF299" i="35" s="1"/>
  <c r="AF300" i="35" s="1"/>
  <c r="AF301" i="35" s="1"/>
  <c r="AF302" i="35" s="1"/>
  <c r="AF303" i="35" s="1"/>
  <c r="AF304" i="35" s="1"/>
  <c r="AF305" i="35" s="1"/>
  <c r="AF306" i="35" s="1"/>
  <c r="AF307" i="35" s="1"/>
  <c r="AF308" i="35" s="1"/>
  <c r="AF310" i="35" s="1"/>
  <c r="AF311" i="35" s="1"/>
  <c r="AF312" i="35" s="1"/>
  <c r="AF313" i="35" s="1"/>
  <c r="AF314" i="35" s="1"/>
  <c r="AF315" i="35" s="1"/>
  <c r="AF316" i="35" s="1"/>
  <c r="AF317" i="35" s="1"/>
  <c r="AF318" i="35" s="1"/>
  <c r="AF319" i="35" s="1"/>
  <c r="AF320" i="35" s="1"/>
  <c r="AF321" i="35" s="1"/>
  <c r="AF322" i="35" s="1"/>
  <c r="AF323" i="35" s="1"/>
  <c r="AF324" i="35" s="1"/>
  <c r="AF325" i="35" s="1"/>
  <c r="AF326" i="35" s="1"/>
  <c r="AF327" i="35" s="1"/>
  <c r="AF328" i="35" s="1"/>
  <c r="AF329" i="35" s="1"/>
  <c r="AF330" i="35" s="1"/>
  <c r="AF331" i="35" s="1"/>
  <c r="AF332" i="35" s="1"/>
  <c r="AF333" i="35" s="1"/>
  <c r="AF334" i="35" s="1"/>
  <c r="AF335" i="35" s="1"/>
  <c r="AF336" i="35" s="1"/>
  <c r="AF337" i="35" s="1"/>
  <c r="AF338" i="35" s="1"/>
  <c r="AF340" i="35" s="1"/>
  <c r="AF341" i="35" s="1"/>
  <c r="AF342" i="35" s="1"/>
  <c r="AF343" i="35" s="1"/>
  <c r="AF344" i="35" s="1"/>
  <c r="AF345" i="35" s="1"/>
  <c r="AF346" i="35" s="1"/>
  <c r="AF347" i="35" s="1"/>
  <c r="AF348" i="35" s="1"/>
  <c r="AF349" i="35" s="1"/>
  <c r="AF350" i="35" s="1"/>
  <c r="AF351" i="35" s="1"/>
  <c r="AF352" i="35" s="1"/>
  <c r="AF353" i="35" s="1"/>
  <c r="AF354" i="35" s="1"/>
  <c r="AF355" i="35" s="1"/>
  <c r="AF356" i="35" s="1"/>
  <c r="AF357" i="35" s="1"/>
  <c r="AF358" i="35" s="1"/>
  <c r="AF359" i="35" s="1"/>
  <c r="AF360" i="35" s="1"/>
  <c r="AF361" i="35" s="1"/>
  <c r="AF362" i="35" s="1"/>
  <c r="AF363" i="35" s="1"/>
  <c r="AF364" i="35" s="1"/>
  <c r="AF365" i="35" s="1"/>
  <c r="AF366" i="35" s="1"/>
  <c r="AF367" i="35" s="1"/>
  <c r="AF368" i="35" s="1"/>
  <c r="AF369" i="35" s="1"/>
  <c r="AE156" i="35"/>
  <c r="AE157" i="35" s="1"/>
  <c r="AE158" i="35" s="1"/>
  <c r="AE159" i="35" s="1"/>
  <c r="AE160" i="35" s="1"/>
  <c r="AE161" i="35" s="1"/>
  <c r="AE162" i="35" s="1"/>
  <c r="AE163" i="35" s="1"/>
  <c r="AE164" i="35" s="1"/>
  <c r="AE165" i="35" s="1"/>
  <c r="AE166" i="35" s="1"/>
  <c r="AE167" i="35" s="1"/>
  <c r="AE168" i="35" s="1"/>
  <c r="AE169" i="35" s="1"/>
  <c r="AE170" i="35" s="1"/>
  <c r="AE171" i="35" s="1"/>
  <c r="AE172" i="35" s="1"/>
  <c r="AE173" i="35" s="1"/>
  <c r="AE174" i="35" s="1"/>
  <c r="AE175" i="35" s="1"/>
  <c r="AE176" i="35" s="1"/>
  <c r="AE177" i="35" s="1"/>
  <c r="AE178" i="35" s="1"/>
  <c r="AE179" i="35" s="1"/>
  <c r="AE180" i="35" s="1"/>
  <c r="AE181" i="35" s="1"/>
  <c r="AE182" i="35" s="1"/>
  <c r="AE183" i="35" s="1"/>
  <c r="AE184" i="35" s="1"/>
  <c r="AE185" i="35" s="1"/>
  <c r="AE186" i="35" s="1"/>
  <c r="AE187" i="35" s="1"/>
  <c r="AE188" i="35" s="1"/>
  <c r="AE189" i="35" s="1"/>
  <c r="AE190" i="35" s="1"/>
  <c r="AE191" i="35" s="1"/>
  <c r="AE192" i="35" s="1"/>
  <c r="AE193" i="35" s="1"/>
  <c r="AE194" i="35" s="1"/>
  <c r="AE195" i="35" s="1"/>
  <c r="AE196" i="35" s="1"/>
  <c r="AE197" i="35" s="1"/>
  <c r="AE198" i="35" s="1"/>
  <c r="AE199" i="35" s="1"/>
  <c r="AE200" i="35" s="1"/>
  <c r="AE201" i="35" s="1"/>
  <c r="AE202" i="35" s="1"/>
  <c r="AE203" i="35" s="1"/>
  <c r="AE204" i="35" s="1"/>
  <c r="AE205" i="35" s="1"/>
  <c r="AE206" i="35" s="1"/>
  <c r="AE207" i="35" s="1"/>
  <c r="AE208" i="35" s="1"/>
  <c r="AE209" i="35" s="1"/>
  <c r="AE210" i="35" s="1"/>
  <c r="AE211" i="35" s="1"/>
  <c r="AE212" i="35" s="1"/>
  <c r="AD156" i="35"/>
  <c r="AA156" i="35"/>
  <c r="AC156" i="35" s="1"/>
  <c r="Z156" i="35"/>
  <c r="Z379" i="35" s="1"/>
  <c r="S156" i="35"/>
  <c r="R156" i="35"/>
  <c r="Q156" i="35"/>
  <c r="W156" i="36" s="1"/>
  <c r="P156" i="35"/>
  <c r="O156" i="35"/>
  <c r="N156" i="35"/>
  <c r="E156" i="35"/>
  <c r="D156" i="35"/>
  <c r="J156" i="35" s="1"/>
  <c r="M156" i="35" s="1"/>
  <c r="C156" i="35"/>
  <c r="J155" i="35"/>
  <c r="M155" i="35" s="1"/>
  <c r="E155" i="35"/>
  <c r="D155" i="35"/>
  <c r="C155" i="35"/>
  <c r="M154" i="35"/>
  <c r="J154" i="35"/>
  <c r="D154" i="35"/>
  <c r="J153" i="35"/>
  <c r="M153" i="35" s="1"/>
  <c r="D153" i="35"/>
  <c r="J152" i="35"/>
  <c r="M152" i="35" s="1"/>
  <c r="D152" i="35"/>
  <c r="J151" i="35"/>
  <c r="M151" i="35" s="1"/>
  <c r="D151" i="35"/>
  <c r="M150" i="35"/>
  <c r="J150" i="35"/>
  <c r="D150" i="35"/>
  <c r="M149" i="35"/>
  <c r="J149" i="35"/>
  <c r="J148" i="35"/>
  <c r="M148" i="35" s="1"/>
  <c r="M147" i="35"/>
  <c r="J147" i="35"/>
  <c r="J146" i="35"/>
  <c r="M146" i="35" s="1"/>
  <c r="M145" i="35"/>
  <c r="J145" i="35"/>
  <c r="J144" i="35"/>
  <c r="M144" i="35" s="1"/>
  <c r="J143" i="35"/>
  <c r="M143" i="35" s="1"/>
  <c r="M142" i="35"/>
  <c r="J142" i="35"/>
  <c r="J141" i="35"/>
  <c r="M141" i="35" s="1"/>
  <c r="M140" i="35"/>
  <c r="D140" i="35"/>
  <c r="J140" i="35" s="1"/>
  <c r="D139" i="35"/>
  <c r="J139" i="35" s="1"/>
  <c r="M139" i="35" s="1"/>
  <c r="M138" i="35"/>
  <c r="D138" i="35"/>
  <c r="J138" i="35" s="1"/>
  <c r="E137" i="35"/>
  <c r="D137" i="35"/>
  <c r="C137" i="35"/>
  <c r="E136" i="35"/>
  <c r="J136" i="35" s="1"/>
  <c r="M136" i="35" s="1"/>
  <c r="D136" i="35"/>
  <c r="C136" i="35"/>
  <c r="J135" i="35"/>
  <c r="M135" i="35" s="1"/>
  <c r="E135" i="35"/>
  <c r="D135" i="35"/>
  <c r="C135" i="35"/>
  <c r="E134" i="35"/>
  <c r="D134" i="35"/>
  <c r="J134" i="35" s="1"/>
  <c r="M134" i="35" s="1"/>
  <c r="C134" i="35"/>
  <c r="D133" i="35"/>
  <c r="J133" i="35" s="1"/>
  <c r="M133" i="35" s="1"/>
  <c r="E132" i="35"/>
  <c r="D132" i="35"/>
  <c r="J132" i="35" s="1"/>
  <c r="M132" i="35" s="1"/>
  <c r="C132" i="35"/>
  <c r="J131" i="35"/>
  <c r="M131" i="35" s="1"/>
  <c r="D131" i="35"/>
  <c r="J130" i="35"/>
  <c r="E130" i="35"/>
  <c r="D130" i="35"/>
  <c r="C130" i="35"/>
  <c r="J129" i="35"/>
  <c r="M129" i="35" s="1"/>
  <c r="E129" i="35"/>
  <c r="D129" i="35"/>
  <c r="C129" i="35"/>
  <c r="AE128" i="35"/>
  <c r="AE129" i="35" s="1"/>
  <c r="AE130" i="35" s="1"/>
  <c r="AE131" i="35" s="1"/>
  <c r="AE132" i="35" s="1"/>
  <c r="AE133" i="35" s="1"/>
  <c r="AE134" i="35" s="1"/>
  <c r="AE135" i="35" s="1"/>
  <c r="AE136" i="35" s="1"/>
  <c r="AE137" i="35" s="1"/>
  <c r="AE138" i="35" s="1"/>
  <c r="AE139" i="35" s="1"/>
  <c r="AE140" i="35" s="1"/>
  <c r="AE141" i="35" s="1"/>
  <c r="AE142" i="35" s="1"/>
  <c r="AE143" i="35" s="1"/>
  <c r="AE144" i="35" s="1"/>
  <c r="AE145" i="35" s="1"/>
  <c r="AE146" i="35" s="1"/>
  <c r="AE147" i="35" s="1"/>
  <c r="AE148" i="35" s="1"/>
  <c r="AE149" i="35" s="1"/>
  <c r="AE150" i="35" s="1"/>
  <c r="AE151" i="35" s="1"/>
  <c r="AE152" i="35" s="1"/>
  <c r="AE153" i="35" s="1"/>
  <c r="AE154" i="35" s="1"/>
  <c r="AE155" i="35" s="1"/>
  <c r="M128" i="35"/>
  <c r="E128" i="35"/>
  <c r="J128" i="35" s="1"/>
  <c r="D128" i="35"/>
  <c r="C128" i="35"/>
  <c r="AE127" i="35"/>
  <c r="E127" i="35"/>
  <c r="J127" i="35" s="1"/>
  <c r="M127" i="35" s="1"/>
  <c r="D127" i="35"/>
  <c r="C127" i="35"/>
  <c r="AE126" i="35"/>
  <c r="O126" i="35"/>
  <c r="E126" i="35"/>
  <c r="D126" i="35"/>
  <c r="C126" i="35"/>
  <c r="AG125" i="35"/>
  <c r="AF125" i="35"/>
  <c r="AF126" i="35" s="1"/>
  <c r="AF127" i="35" s="1"/>
  <c r="AF128" i="35" s="1"/>
  <c r="AF129" i="35" s="1"/>
  <c r="AF130" i="35" s="1"/>
  <c r="AF131" i="35" s="1"/>
  <c r="AF132" i="35" s="1"/>
  <c r="AF133" i="35" s="1"/>
  <c r="AF134" i="35" s="1"/>
  <c r="AF135" i="35" s="1"/>
  <c r="AF136" i="35" s="1"/>
  <c r="AF137" i="35" s="1"/>
  <c r="AF138" i="35" s="1"/>
  <c r="AF139" i="35" s="1"/>
  <c r="AF140" i="35" s="1"/>
  <c r="AF141" i="35" s="1"/>
  <c r="AF142" i="35" s="1"/>
  <c r="AF143" i="35" s="1"/>
  <c r="AF144" i="35" s="1"/>
  <c r="AF145" i="35" s="1"/>
  <c r="AF146" i="35" s="1"/>
  <c r="AF147" i="35" s="1"/>
  <c r="AF148" i="35" s="1"/>
  <c r="AF149" i="35" s="1"/>
  <c r="AF150" i="35" s="1"/>
  <c r="AF151" i="35" s="1"/>
  <c r="AF152" i="35" s="1"/>
  <c r="AF153" i="35" s="1"/>
  <c r="AF154" i="35" s="1"/>
  <c r="AF155" i="35" s="1"/>
  <c r="AE125" i="35"/>
  <c r="AD125" i="35"/>
  <c r="Z125" i="35"/>
  <c r="Z378" i="35" s="1"/>
  <c r="V125" i="35"/>
  <c r="S125" i="35"/>
  <c r="Y125" i="35" s="1"/>
  <c r="R125" i="35"/>
  <c r="Q125" i="35"/>
  <c r="P125" i="35"/>
  <c r="O125" i="35"/>
  <c r="N125" i="35"/>
  <c r="E125" i="35"/>
  <c r="D125" i="35"/>
  <c r="C125" i="35"/>
  <c r="M124" i="35"/>
  <c r="E124" i="35"/>
  <c r="J124" i="35" s="1"/>
  <c r="D124" i="35"/>
  <c r="C124" i="35"/>
  <c r="E123" i="35"/>
  <c r="J123" i="35" s="1"/>
  <c r="M123" i="35" s="1"/>
  <c r="D123" i="35"/>
  <c r="C123" i="35"/>
  <c r="J122" i="35"/>
  <c r="M122" i="35" s="1"/>
  <c r="E122" i="35"/>
  <c r="D122" i="35"/>
  <c r="C122" i="35"/>
  <c r="E121" i="35"/>
  <c r="J121" i="35" s="1"/>
  <c r="M121" i="35" s="1"/>
  <c r="D121" i="35"/>
  <c r="C121" i="35"/>
  <c r="E120" i="35"/>
  <c r="D120" i="35"/>
  <c r="J120" i="35" s="1"/>
  <c r="M120" i="35" s="1"/>
  <c r="C120" i="35"/>
  <c r="J119" i="35"/>
  <c r="M119" i="35" s="1"/>
  <c r="D119" i="35"/>
  <c r="J118" i="35"/>
  <c r="M118" i="35" s="1"/>
  <c r="E118" i="35"/>
  <c r="D118" i="35"/>
  <c r="D117" i="35"/>
  <c r="J117" i="35" s="1"/>
  <c r="M117" i="35" s="1"/>
  <c r="J116" i="35"/>
  <c r="M116" i="35" s="1"/>
  <c r="D116" i="35"/>
  <c r="M115" i="35"/>
  <c r="D115" i="35"/>
  <c r="J115" i="35" s="1"/>
  <c r="J114" i="35"/>
  <c r="M114" i="35" s="1"/>
  <c r="D114" i="35"/>
  <c r="J113" i="35"/>
  <c r="M113" i="35" s="1"/>
  <c r="D113" i="35"/>
  <c r="M112" i="35"/>
  <c r="J112" i="35"/>
  <c r="D112" i="35"/>
  <c r="J111" i="35"/>
  <c r="M111" i="35" s="1"/>
  <c r="D111" i="35"/>
  <c r="J110" i="35"/>
  <c r="M110" i="35" s="1"/>
  <c r="D110" i="35"/>
  <c r="J109" i="35"/>
  <c r="M109" i="35" s="1"/>
  <c r="D109" i="35"/>
  <c r="J108" i="35"/>
  <c r="M108" i="35" s="1"/>
  <c r="D108" i="35"/>
  <c r="E107" i="35"/>
  <c r="D107" i="35"/>
  <c r="C107" i="35"/>
  <c r="M106" i="35"/>
  <c r="D106" i="35"/>
  <c r="J106" i="35" s="1"/>
  <c r="D105" i="35"/>
  <c r="J105" i="35" s="1"/>
  <c r="M105" i="35" s="1"/>
  <c r="D104" i="35"/>
  <c r="J104" i="35" s="1"/>
  <c r="M104" i="35" s="1"/>
  <c r="J103" i="35"/>
  <c r="M103" i="35" s="1"/>
  <c r="D103" i="35"/>
  <c r="E102" i="35"/>
  <c r="J102" i="35" s="1"/>
  <c r="D102" i="35"/>
  <c r="C102" i="35"/>
  <c r="M102" i="35" s="1"/>
  <c r="E101" i="35"/>
  <c r="J101" i="35" s="1"/>
  <c r="M101" i="35" s="1"/>
  <c r="D101" i="35"/>
  <c r="C101" i="35"/>
  <c r="E100" i="35"/>
  <c r="D100" i="35"/>
  <c r="J100" i="35" s="1"/>
  <c r="M100" i="35" s="1"/>
  <c r="C100" i="35"/>
  <c r="J99" i="35"/>
  <c r="M99" i="35" s="1"/>
  <c r="E99" i="35"/>
  <c r="D99" i="35"/>
  <c r="C99" i="35"/>
  <c r="N98" i="35"/>
  <c r="E98" i="35"/>
  <c r="D98" i="35"/>
  <c r="J98" i="35" s="1"/>
  <c r="M98" i="35" s="1"/>
  <c r="N97" i="35"/>
  <c r="T97" i="35" s="1"/>
  <c r="E97" i="35"/>
  <c r="D97" i="35"/>
  <c r="C97" i="35"/>
  <c r="V96" i="35"/>
  <c r="T96" i="35"/>
  <c r="P96" i="35"/>
  <c r="O96" i="35"/>
  <c r="U96" i="35" s="1"/>
  <c r="N96" i="35"/>
  <c r="D96" i="35"/>
  <c r="D95" i="35"/>
  <c r="J95" i="35" s="1"/>
  <c r="M95" i="35" s="1"/>
  <c r="D94" i="35"/>
  <c r="J94" i="35" s="1"/>
  <c r="M94" i="35" s="1"/>
  <c r="J93" i="35"/>
  <c r="M93" i="35" s="1"/>
  <c r="E93" i="35"/>
  <c r="D93" i="35"/>
  <c r="C93" i="35"/>
  <c r="J92" i="35"/>
  <c r="M92" i="35" s="1"/>
  <c r="D92" i="35"/>
  <c r="D91" i="35"/>
  <c r="J91" i="35" s="1"/>
  <c r="M91" i="35" s="1"/>
  <c r="J90" i="35"/>
  <c r="M90" i="35" s="1"/>
  <c r="D90" i="35"/>
  <c r="D89" i="35"/>
  <c r="J89" i="35" s="1"/>
  <c r="M89" i="35" s="1"/>
  <c r="E88" i="35"/>
  <c r="J88" i="35" s="1"/>
  <c r="M88" i="35" s="1"/>
  <c r="D88" i="35"/>
  <c r="C88" i="35"/>
  <c r="E87" i="35"/>
  <c r="J87" i="35" s="1"/>
  <c r="M87" i="35" s="1"/>
  <c r="D87" i="35"/>
  <c r="C87" i="35"/>
  <c r="E86" i="35"/>
  <c r="D86" i="35"/>
  <c r="J86" i="35" s="1"/>
  <c r="M86" i="35" s="1"/>
  <c r="C86" i="35"/>
  <c r="J85" i="35"/>
  <c r="M85" i="35" s="1"/>
  <c r="D85" i="35"/>
  <c r="D84" i="35"/>
  <c r="J84" i="35" s="1"/>
  <c r="M84" i="35" s="1"/>
  <c r="D83" i="35"/>
  <c r="J83" i="35" s="1"/>
  <c r="M83" i="35" s="1"/>
  <c r="D82" i="35"/>
  <c r="J82" i="35" s="1"/>
  <c r="M82" i="35" s="1"/>
  <c r="J81" i="35"/>
  <c r="M81" i="35" s="1"/>
  <c r="E81" i="35"/>
  <c r="D81" i="35"/>
  <c r="C81" i="35"/>
  <c r="E80" i="35"/>
  <c r="D80" i="35"/>
  <c r="J80" i="35" s="1"/>
  <c r="M80" i="35" s="1"/>
  <c r="C80" i="35"/>
  <c r="J79" i="35"/>
  <c r="M79" i="35" s="1"/>
  <c r="E79" i="35"/>
  <c r="D79" i="35"/>
  <c r="C79" i="35"/>
  <c r="D78" i="35"/>
  <c r="J78" i="35" s="1"/>
  <c r="M78" i="35" s="1"/>
  <c r="D77" i="35"/>
  <c r="J77" i="35" s="1"/>
  <c r="M77" i="35" s="1"/>
  <c r="D76" i="35"/>
  <c r="J76" i="35" s="1"/>
  <c r="M76" i="35" s="1"/>
  <c r="J75" i="35"/>
  <c r="M75" i="35" s="1"/>
  <c r="D75" i="35"/>
  <c r="D74" i="35"/>
  <c r="J74" i="35" s="1"/>
  <c r="M74" i="35" s="1"/>
  <c r="D73" i="35"/>
  <c r="J73" i="35" s="1"/>
  <c r="M73" i="35" s="1"/>
  <c r="AF72" i="35"/>
  <c r="AF73" i="35" s="1"/>
  <c r="AF74" i="35" s="1"/>
  <c r="AF75" i="35" s="1"/>
  <c r="AF76" i="35" s="1"/>
  <c r="AF77" i="35" s="1"/>
  <c r="AF78" i="35" s="1"/>
  <c r="AF79" i="35" s="1"/>
  <c r="AF80" i="35" s="1"/>
  <c r="AF81" i="35" s="1"/>
  <c r="AF82" i="35" s="1"/>
  <c r="AF83" i="35" s="1"/>
  <c r="AF84" i="35" s="1"/>
  <c r="AF85" i="35" s="1"/>
  <c r="AF86" i="35" s="1"/>
  <c r="AF87" i="35" s="1"/>
  <c r="AF88" i="35" s="1"/>
  <c r="AF89" i="35" s="1"/>
  <c r="AF90" i="35" s="1"/>
  <c r="AF91" i="35" s="1"/>
  <c r="AF92" i="35" s="1"/>
  <c r="AF93" i="35" s="1"/>
  <c r="AF94" i="35" s="1"/>
  <c r="AF95" i="35" s="1"/>
  <c r="AF96" i="35" s="1"/>
  <c r="AF97" i="35" s="1"/>
  <c r="AF98" i="35" s="1"/>
  <c r="AF99" i="35" s="1"/>
  <c r="AF100" i="35" s="1"/>
  <c r="AF101" i="35" s="1"/>
  <c r="AF102" i="35" s="1"/>
  <c r="AF103" i="35" s="1"/>
  <c r="AF104" i="35" s="1"/>
  <c r="AF105" i="35" s="1"/>
  <c r="AF106" i="35" s="1"/>
  <c r="AF107" i="35" s="1"/>
  <c r="AF108" i="35" s="1"/>
  <c r="AF109" i="35" s="1"/>
  <c r="AF110" i="35" s="1"/>
  <c r="AF111" i="35" s="1"/>
  <c r="AF112" i="35" s="1"/>
  <c r="AF113" i="35" s="1"/>
  <c r="AF114" i="35" s="1"/>
  <c r="AF115" i="35" s="1"/>
  <c r="AF116" i="35" s="1"/>
  <c r="AF117" i="35" s="1"/>
  <c r="AF118" i="35" s="1"/>
  <c r="AF119" i="35" s="1"/>
  <c r="AF120" i="35" s="1"/>
  <c r="AF121" i="35" s="1"/>
  <c r="AF122" i="35" s="1"/>
  <c r="AF123" i="35" s="1"/>
  <c r="AF124" i="35" s="1"/>
  <c r="J72" i="35"/>
  <c r="M72" i="35" s="1"/>
  <c r="E72" i="35"/>
  <c r="D72" i="35"/>
  <c r="C72" i="35"/>
  <c r="D71" i="35"/>
  <c r="J71" i="35" s="1"/>
  <c r="M71" i="35" s="1"/>
  <c r="D70" i="35"/>
  <c r="J70" i="35" s="1"/>
  <c r="M70" i="35" s="1"/>
  <c r="D69" i="35"/>
  <c r="J69" i="35" s="1"/>
  <c r="M69" i="35" s="1"/>
  <c r="J68" i="35"/>
  <c r="M68" i="35" s="1"/>
  <c r="D68" i="35"/>
  <c r="E67" i="35"/>
  <c r="J67" i="35" s="1"/>
  <c r="M67" i="35" s="1"/>
  <c r="D67" i="35"/>
  <c r="C67" i="35"/>
  <c r="Q66" i="35"/>
  <c r="AA66" i="35" s="1"/>
  <c r="E66" i="35"/>
  <c r="D66" i="35"/>
  <c r="C66" i="35"/>
  <c r="N66" i="35" s="1"/>
  <c r="T65" i="35"/>
  <c r="Q65" i="35"/>
  <c r="W65" i="35" s="1"/>
  <c r="P65" i="35"/>
  <c r="N65" i="35"/>
  <c r="J65" i="35"/>
  <c r="D65" i="35"/>
  <c r="O65" i="35" s="1"/>
  <c r="AG63" i="35"/>
  <c r="AF63" i="35"/>
  <c r="AF65" i="35" s="1"/>
  <c r="AF66" i="35" s="1"/>
  <c r="AF67" i="35" s="1"/>
  <c r="AF68" i="35" s="1"/>
  <c r="AF69" i="35" s="1"/>
  <c r="AF70" i="35" s="1"/>
  <c r="AF71" i="35" s="1"/>
  <c r="AE63" i="35"/>
  <c r="AE65" i="35" s="1"/>
  <c r="AE66" i="35" s="1"/>
  <c r="AE67" i="35" s="1"/>
  <c r="AE68" i="35" s="1"/>
  <c r="AE69" i="35" s="1"/>
  <c r="AE70" i="35" s="1"/>
  <c r="AE71" i="35" s="1"/>
  <c r="AE72" i="35" s="1"/>
  <c r="AE73" i="35" s="1"/>
  <c r="AE74" i="35" s="1"/>
  <c r="AE75" i="35" s="1"/>
  <c r="AE76" i="35" s="1"/>
  <c r="AE77" i="35" s="1"/>
  <c r="AE78" i="35" s="1"/>
  <c r="AE79" i="35" s="1"/>
  <c r="AE80" i="35" s="1"/>
  <c r="AE81" i="35" s="1"/>
  <c r="AE82" i="35" s="1"/>
  <c r="AE83" i="35" s="1"/>
  <c r="AE84" i="35" s="1"/>
  <c r="AE85" i="35" s="1"/>
  <c r="AE86" i="35" s="1"/>
  <c r="AE87" i="35" s="1"/>
  <c r="AE88" i="35" s="1"/>
  <c r="AE89" i="35" s="1"/>
  <c r="AE90" i="35" s="1"/>
  <c r="AE91" i="35" s="1"/>
  <c r="AE92" i="35" s="1"/>
  <c r="AE93" i="35" s="1"/>
  <c r="AE94" i="35" s="1"/>
  <c r="AE95" i="35" s="1"/>
  <c r="AE96" i="35" s="1"/>
  <c r="AE97" i="35" s="1"/>
  <c r="AE98" i="35" s="1"/>
  <c r="AE99" i="35" s="1"/>
  <c r="AE100" i="35" s="1"/>
  <c r="AE101" i="35" s="1"/>
  <c r="AE102" i="35" s="1"/>
  <c r="AE103" i="35" s="1"/>
  <c r="AE104" i="35" s="1"/>
  <c r="AE105" i="35" s="1"/>
  <c r="AE106" i="35" s="1"/>
  <c r="AE107" i="35" s="1"/>
  <c r="AE108" i="35" s="1"/>
  <c r="AE109" i="35" s="1"/>
  <c r="AE110" i="35" s="1"/>
  <c r="AE111" i="35" s="1"/>
  <c r="AE112" i="35" s="1"/>
  <c r="AE113" i="35" s="1"/>
  <c r="AE114" i="35" s="1"/>
  <c r="AE115" i="35" s="1"/>
  <c r="AE116" i="35" s="1"/>
  <c r="AE117" i="35" s="1"/>
  <c r="AE118" i="35" s="1"/>
  <c r="AE119" i="35" s="1"/>
  <c r="AE120" i="35" s="1"/>
  <c r="AE121" i="35" s="1"/>
  <c r="AE122" i="35" s="1"/>
  <c r="AE123" i="35" s="1"/>
  <c r="AE124" i="35" s="1"/>
  <c r="AD63" i="35"/>
  <c r="AA63" i="35"/>
  <c r="AC63" i="35" s="1"/>
  <c r="Z63" i="35"/>
  <c r="Y63" i="35"/>
  <c r="W63" i="35"/>
  <c r="V63" i="35"/>
  <c r="U63" i="35"/>
  <c r="S63" i="35"/>
  <c r="R63" i="35"/>
  <c r="Q63" i="35"/>
  <c r="P63" i="35"/>
  <c r="O63" i="35"/>
  <c r="N63" i="35"/>
  <c r="T63" i="35" s="1"/>
  <c r="D63" i="35"/>
  <c r="J63" i="35" s="1"/>
  <c r="M63" i="35" s="1"/>
  <c r="D62" i="35"/>
  <c r="J62" i="35" s="1"/>
  <c r="M62" i="35" s="1"/>
  <c r="M61" i="35"/>
  <c r="D61" i="35"/>
  <c r="J61" i="35" s="1"/>
  <c r="J60" i="35"/>
  <c r="M60" i="35" s="1"/>
  <c r="D60" i="35"/>
  <c r="D59" i="35"/>
  <c r="J59" i="35" s="1"/>
  <c r="M59" i="35" s="1"/>
  <c r="D58" i="35"/>
  <c r="J58" i="35" s="1"/>
  <c r="M58" i="35" s="1"/>
  <c r="J57" i="35"/>
  <c r="M57" i="35" s="1"/>
  <c r="D57" i="35"/>
  <c r="D56" i="35"/>
  <c r="J56" i="35" s="1"/>
  <c r="M56" i="35" s="1"/>
  <c r="D55" i="35"/>
  <c r="J55" i="35" s="1"/>
  <c r="M55" i="35" s="1"/>
  <c r="M54" i="35"/>
  <c r="D54" i="35"/>
  <c r="J54" i="35" s="1"/>
  <c r="J53" i="35"/>
  <c r="M53" i="35" s="1"/>
  <c r="D53" i="35"/>
  <c r="D52" i="35"/>
  <c r="J52" i="35" s="1"/>
  <c r="M52" i="35" s="1"/>
  <c r="D51" i="35"/>
  <c r="J51" i="35" s="1"/>
  <c r="M51" i="35" s="1"/>
  <c r="Z50" i="35"/>
  <c r="Z376" i="35" s="1"/>
  <c r="D50" i="35"/>
  <c r="J50" i="35" s="1"/>
  <c r="M50" i="35" s="1"/>
  <c r="J49" i="35"/>
  <c r="M49" i="35" s="1"/>
  <c r="D49" i="35"/>
  <c r="D48" i="35"/>
  <c r="J48" i="35" s="1"/>
  <c r="M48" i="35" s="1"/>
  <c r="D47" i="35"/>
  <c r="J47" i="35" s="1"/>
  <c r="M47" i="35" s="1"/>
  <c r="D46" i="35"/>
  <c r="J46" i="35" s="1"/>
  <c r="M46" i="35" s="1"/>
  <c r="J45" i="35"/>
  <c r="M45" i="35" s="1"/>
  <c r="D45" i="35"/>
  <c r="J44" i="35"/>
  <c r="M44" i="35" s="1"/>
  <c r="D44" i="35"/>
  <c r="E43" i="35"/>
  <c r="J43" i="35" s="1"/>
  <c r="M43" i="35" s="1"/>
  <c r="D43" i="35"/>
  <c r="C43" i="35"/>
  <c r="E42" i="35"/>
  <c r="J42" i="35" s="1"/>
  <c r="M42" i="35" s="1"/>
  <c r="D42" i="35"/>
  <c r="C42" i="35"/>
  <c r="J41" i="35"/>
  <c r="M41" i="35" s="1"/>
  <c r="D41" i="35"/>
  <c r="J40" i="35"/>
  <c r="M40" i="35" s="1"/>
  <c r="D40" i="35"/>
  <c r="D39" i="35"/>
  <c r="J39" i="35" s="1"/>
  <c r="M39" i="35" s="1"/>
  <c r="E38" i="35"/>
  <c r="J38" i="35" s="1"/>
  <c r="M38" i="35" s="1"/>
  <c r="D38" i="35"/>
  <c r="C38" i="35"/>
  <c r="P37" i="35"/>
  <c r="E37" i="35"/>
  <c r="D37" i="35"/>
  <c r="C37" i="35"/>
  <c r="AF36" i="35"/>
  <c r="AF37" i="35" s="1"/>
  <c r="AF38" i="35" s="1"/>
  <c r="AF39" i="35" s="1"/>
  <c r="AF40" i="35" s="1"/>
  <c r="AF41" i="35" s="1"/>
  <c r="AF42" i="35" s="1"/>
  <c r="AF43" i="35" s="1"/>
  <c r="AF44" i="35" s="1"/>
  <c r="AF45" i="35" s="1"/>
  <c r="AF46" i="35" s="1"/>
  <c r="AF47" i="35" s="1"/>
  <c r="AF48" i="35" s="1"/>
  <c r="AF49" i="35" s="1"/>
  <c r="AF50" i="35" s="1"/>
  <c r="AF51" i="35" s="1"/>
  <c r="AF52" i="35" s="1"/>
  <c r="AF53" i="35" s="1"/>
  <c r="AF54" i="35" s="1"/>
  <c r="AF55" i="35" s="1"/>
  <c r="AF56" i="35" s="1"/>
  <c r="AF57" i="35" s="1"/>
  <c r="AF58" i="35" s="1"/>
  <c r="AF59" i="35" s="1"/>
  <c r="AF60" i="35" s="1"/>
  <c r="AF61" i="35" s="1"/>
  <c r="AF62" i="35" s="1"/>
  <c r="AE36" i="35"/>
  <c r="AE37" i="35" s="1"/>
  <c r="AE38" i="35" s="1"/>
  <c r="AE39" i="35" s="1"/>
  <c r="AE40" i="35" s="1"/>
  <c r="AE41" i="35" s="1"/>
  <c r="AE42" i="35" s="1"/>
  <c r="AE43" i="35" s="1"/>
  <c r="AE44" i="35" s="1"/>
  <c r="AE45" i="35" s="1"/>
  <c r="AE46" i="35" s="1"/>
  <c r="AE47" i="35" s="1"/>
  <c r="AE48" i="35" s="1"/>
  <c r="AE49" i="35" s="1"/>
  <c r="AE50" i="35" s="1"/>
  <c r="AE51" i="35" s="1"/>
  <c r="AE52" i="35" s="1"/>
  <c r="AE53" i="35" s="1"/>
  <c r="AE54" i="35" s="1"/>
  <c r="AE55" i="35" s="1"/>
  <c r="AE56" i="35" s="1"/>
  <c r="AE57" i="35" s="1"/>
  <c r="AE58" i="35" s="1"/>
  <c r="AE59" i="35" s="1"/>
  <c r="AE60" i="35" s="1"/>
  <c r="AE61" i="35" s="1"/>
  <c r="AE62" i="35" s="1"/>
  <c r="P36" i="35"/>
  <c r="D36" i="35"/>
  <c r="C36" i="35"/>
  <c r="AG35" i="35"/>
  <c r="AF35" i="35"/>
  <c r="AE35" i="35"/>
  <c r="AD35" i="35"/>
  <c r="AA35" i="35"/>
  <c r="AC35" i="35" s="1"/>
  <c r="Z35" i="35"/>
  <c r="Z375" i="35" s="1"/>
  <c r="U35" i="35"/>
  <c r="T35" i="35"/>
  <c r="R35" i="35"/>
  <c r="Q35" i="35"/>
  <c r="W35" i="35" s="1"/>
  <c r="P35" i="35"/>
  <c r="O35" i="35"/>
  <c r="N35" i="35"/>
  <c r="J35" i="35"/>
  <c r="M35" i="35" s="1"/>
  <c r="D35" i="35"/>
  <c r="D34" i="35"/>
  <c r="J34" i="35" s="1"/>
  <c r="M34" i="35" s="1"/>
  <c r="D33" i="35"/>
  <c r="J33" i="35" s="1"/>
  <c r="M33" i="35" s="1"/>
  <c r="D32" i="35"/>
  <c r="J32" i="35" s="1"/>
  <c r="M32" i="35" s="1"/>
  <c r="J31" i="35"/>
  <c r="M31" i="35" s="1"/>
  <c r="D31" i="35"/>
  <c r="C31" i="35"/>
  <c r="J30" i="35"/>
  <c r="D30" i="35"/>
  <c r="C30" i="35"/>
  <c r="M30" i="35" s="1"/>
  <c r="J29" i="35"/>
  <c r="M29" i="35" s="1"/>
  <c r="E29" i="35"/>
  <c r="D29" i="35"/>
  <c r="C29" i="35"/>
  <c r="AE28" i="35"/>
  <c r="AE29" i="35" s="1"/>
  <c r="AE30" i="35" s="1"/>
  <c r="AE31" i="35" s="1"/>
  <c r="AE32" i="35" s="1"/>
  <c r="AE33" i="35" s="1"/>
  <c r="AE34" i="35" s="1"/>
  <c r="D28" i="35"/>
  <c r="J28" i="35" s="1"/>
  <c r="M28" i="35" s="1"/>
  <c r="D27" i="35"/>
  <c r="J27" i="35" s="1"/>
  <c r="M27" i="35" s="1"/>
  <c r="D26" i="35"/>
  <c r="J26" i="35" s="1"/>
  <c r="M26" i="35" s="1"/>
  <c r="M25" i="35"/>
  <c r="D25" i="35"/>
  <c r="J25" i="35" s="1"/>
  <c r="E24" i="35"/>
  <c r="D24" i="35"/>
  <c r="J24" i="35" s="1"/>
  <c r="M24" i="35" s="1"/>
  <c r="C24" i="35"/>
  <c r="E23" i="35"/>
  <c r="D23" i="35"/>
  <c r="C23" i="35"/>
  <c r="J22" i="35"/>
  <c r="M22" i="35" s="1"/>
  <c r="J21" i="35"/>
  <c r="M21" i="35" s="1"/>
  <c r="M20" i="35"/>
  <c r="J20" i="35"/>
  <c r="D20" i="35"/>
  <c r="D19" i="35"/>
  <c r="J19" i="35" s="1"/>
  <c r="M19" i="35" s="1"/>
  <c r="M18" i="35"/>
  <c r="J18" i="35"/>
  <c r="D18" i="35"/>
  <c r="M17" i="35"/>
  <c r="J17" i="35"/>
  <c r="J16" i="35"/>
  <c r="M16" i="35" s="1"/>
  <c r="D15" i="35"/>
  <c r="J15" i="35" s="1"/>
  <c r="M15" i="35" s="1"/>
  <c r="J14" i="35"/>
  <c r="M14" i="35" s="1"/>
  <c r="D13" i="35"/>
  <c r="J13" i="35" s="1"/>
  <c r="M13" i="35" s="1"/>
  <c r="D12" i="35"/>
  <c r="J11" i="35"/>
  <c r="M11" i="35" s="1"/>
  <c r="D11" i="35"/>
  <c r="J10" i="35"/>
  <c r="M10" i="35" s="1"/>
  <c r="M9" i="35"/>
  <c r="J9" i="35"/>
  <c r="AE8" i="35"/>
  <c r="AE9" i="35" s="1"/>
  <c r="AE10" i="35" s="1"/>
  <c r="AE11" i="35" s="1"/>
  <c r="AE12" i="35" s="1"/>
  <c r="AE13" i="35" s="1"/>
  <c r="AE14" i="35" s="1"/>
  <c r="AE15" i="35" s="1"/>
  <c r="AE16" i="35" s="1"/>
  <c r="AE17" i="35" s="1"/>
  <c r="AE18" i="35" s="1"/>
  <c r="AE19" i="35" s="1"/>
  <c r="AE20" i="35" s="1"/>
  <c r="AE21" i="35" s="1"/>
  <c r="AE22" i="35" s="1"/>
  <c r="AE23" i="35" s="1"/>
  <c r="AE24" i="35" s="1"/>
  <c r="AE25" i="35" s="1"/>
  <c r="AE26" i="35" s="1"/>
  <c r="AE27" i="35" s="1"/>
  <c r="J8" i="35"/>
  <c r="M8" i="35" s="1"/>
  <c r="J7" i="35"/>
  <c r="AE6" i="35"/>
  <c r="AE7" i="35" s="1"/>
  <c r="V6" i="35"/>
  <c r="P6" i="35"/>
  <c r="S6" i="35" s="1"/>
  <c r="O6" i="35"/>
  <c r="O7" i="35" s="1"/>
  <c r="N6" i="35"/>
  <c r="J6" i="35"/>
  <c r="M6" i="35" s="1"/>
  <c r="AF5" i="35"/>
  <c r="AF6" i="35" s="1"/>
  <c r="AF7" i="35" s="1"/>
  <c r="AF8" i="35" s="1"/>
  <c r="AF9" i="35" s="1"/>
  <c r="AF10" i="35" s="1"/>
  <c r="AF11" i="35" s="1"/>
  <c r="AF12" i="35" s="1"/>
  <c r="AF13" i="35" s="1"/>
  <c r="AF14" i="35" s="1"/>
  <c r="AF15" i="35" s="1"/>
  <c r="AF16" i="35" s="1"/>
  <c r="AF17" i="35" s="1"/>
  <c r="AF18" i="35" s="1"/>
  <c r="AF19" i="35" s="1"/>
  <c r="AF20" i="35" s="1"/>
  <c r="AF21" i="35" s="1"/>
  <c r="AF22" i="35" s="1"/>
  <c r="AF23" i="35" s="1"/>
  <c r="AF24" i="35" s="1"/>
  <c r="AF25" i="35" s="1"/>
  <c r="AF26" i="35" s="1"/>
  <c r="AF27" i="35" s="1"/>
  <c r="AF28" i="35" s="1"/>
  <c r="AF29" i="35" s="1"/>
  <c r="AF30" i="35" s="1"/>
  <c r="AF31" i="35" s="1"/>
  <c r="AF32" i="35" s="1"/>
  <c r="AF33" i="35" s="1"/>
  <c r="AF34" i="35" s="1"/>
  <c r="AE5" i="35"/>
  <c r="T5" i="35"/>
  <c r="S5" i="35"/>
  <c r="R5" i="35"/>
  <c r="P5" i="35"/>
  <c r="O5" i="35"/>
  <c r="N5" i="35"/>
  <c r="Q5" i="35" s="1"/>
  <c r="AA5" i="35" s="1"/>
  <c r="J5" i="35"/>
  <c r="X35" i="35" l="1"/>
  <c r="Z379" i="34"/>
  <c r="R187" i="35"/>
  <c r="X187" i="36" s="1"/>
  <c r="X186" i="36"/>
  <c r="V186" i="35"/>
  <c r="V186" i="36"/>
  <c r="W186" i="35"/>
  <c r="W186" i="36"/>
  <c r="T156" i="35"/>
  <c r="T156" i="36"/>
  <c r="V156" i="35"/>
  <c r="V156" i="36"/>
  <c r="T186" i="35"/>
  <c r="T186" i="36"/>
  <c r="X156" i="35"/>
  <c r="X156" i="36"/>
  <c r="Y156" i="35"/>
  <c r="Y156" i="36"/>
  <c r="U156" i="35"/>
  <c r="U156" i="36"/>
  <c r="V340" i="34"/>
  <c r="V341" i="35"/>
  <c r="I374" i="35"/>
  <c r="U310" i="35"/>
  <c r="X217" i="35"/>
  <c r="N280" i="35"/>
  <c r="N281" i="35" s="1"/>
  <c r="AE213" i="35"/>
  <c r="AE214" i="35" s="1"/>
  <c r="AE215" i="35" s="1"/>
  <c r="AE216" i="35" s="1"/>
  <c r="AE217" i="35" s="1"/>
  <c r="V251" i="35"/>
  <c r="U249" i="35"/>
  <c r="T249" i="35"/>
  <c r="AE249" i="35"/>
  <c r="AE250" i="35" s="1"/>
  <c r="AE251" i="35" s="1"/>
  <c r="AE252" i="35" s="1"/>
  <c r="AE253" i="35" s="1"/>
  <c r="AE254" i="35" s="1"/>
  <c r="S157" i="35"/>
  <c r="R188" i="35"/>
  <c r="X188" i="36" s="1"/>
  <c r="AC5" i="35"/>
  <c r="T188" i="35"/>
  <c r="N189" i="35"/>
  <c r="Q188" i="35"/>
  <c r="W188" i="36" s="1"/>
  <c r="Y6" i="35"/>
  <c r="C376" i="35"/>
  <c r="N36" i="35"/>
  <c r="AF157" i="34"/>
  <c r="AG156" i="34"/>
  <c r="O8" i="35"/>
  <c r="R7" i="35"/>
  <c r="V65" i="35"/>
  <c r="S65" i="35"/>
  <c r="P66" i="35"/>
  <c r="N164" i="35"/>
  <c r="AD5" i="35"/>
  <c r="AG5" i="35" s="1"/>
  <c r="M157" i="35"/>
  <c r="J380" i="35"/>
  <c r="W5" i="35"/>
  <c r="D372" i="35"/>
  <c r="O66" i="35"/>
  <c r="R65" i="35"/>
  <c r="N67" i="35"/>
  <c r="Q67" i="35" s="1"/>
  <c r="T66" i="35"/>
  <c r="AE65" i="34"/>
  <c r="AE66" i="34" s="1"/>
  <c r="AE67" i="34" s="1"/>
  <c r="AE68" i="34" s="1"/>
  <c r="AE69" i="34" s="1"/>
  <c r="AE70" i="34" s="1"/>
  <c r="AE71" i="34" s="1"/>
  <c r="AE72" i="34" s="1"/>
  <c r="AE73" i="34" s="1"/>
  <c r="AE74" i="34" s="1"/>
  <c r="AE75" i="34" s="1"/>
  <c r="AE76" i="34" s="1"/>
  <c r="AE77" i="34" s="1"/>
  <c r="AE78" i="34" s="1"/>
  <c r="AE79" i="34" s="1"/>
  <c r="AE80" i="34" s="1"/>
  <c r="AE81" i="34" s="1"/>
  <c r="AE82" i="34" s="1"/>
  <c r="AE83" i="34" s="1"/>
  <c r="AE84" i="34" s="1"/>
  <c r="AE85" i="34" s="1"/>
  <c r="AE86" i="34" s="1"/>
  <c r="AE87" i="34" s="1"/>
  <c r="AE88" i="34" s="1"/>
  <c r="AE89" i="34" s="1"/>
  <c r="AE90" i="34" s="1"/>
  <c r="AE91" i="34" s="1"/>
  <c r="AE92" i="34" s="1"/>
  <c r="AE93" i="34" s="1"/>
  <c r="AE94" i="34" s="1"/>
  <c r="AE95" i="34" s="1"/>
  <c r="AE96" i="34" s="1"/>
  <c r="AE97" i="34" s="1"/>
  <c r="AE98" i="34" s="1"/>
  <c r="AE99" i="34" s="1"/>
  <c r="AE100" i="34" s="1"/>
  <c r="AE101" i="34" s="1"/>
  <c r="AE102" i="34" s="1"/>
  <c r="AE103" i="34" s="1"/>
  <c r="AE104" i="34" s="1"/>
  <c r="AE105" i="34" s="1"/>
  <c r="AE106" i="34" s="1"/>
  <c r="AE107" i="34" s="1"/>
  <c r="AE108" i="34" s="1"/>
  <c r="AE109" i="34" s="1"/>
  <c r="AE110" i="34" s="1"/>
  <c r="AE111" i="34" s="1"/>
  <c r="AE112" i="34" s="1"/>
  <c r="AE113" i="34" s="1"/>
  <c r="AE114" i="34" s="1"/>
  <c r="AE115" i="34" s="1"/>
  <c r="AE116" i="34" s="1"/>
  <c r="AE117" i="34" s="1"/>
  <c r="AE118" i="34" s="1"/>
  <c r="AE119" i="34" s="1"/>
  <c r="AE120" i="34" s="1"/>
  <c r="AE121" i="34" s="1"/>
  <c r="AE122" i="34" s="1"/>
  <c r="AE123" i="34" s="1"/>
  <c r="AE124" i="34" s="1"/>
  <c r="AE125" i="34" s="1"/>
  <c r="AE126" i="34" s="1"/>
  <c r="AE127" i="34" s="1"/>
  <c r="AE128" i="34" s="1"/>
  <c r="AE129" i="34" s="1"/>
  <c r="AE130" i="34" s="1"/>
  <c r="AE131" i="34" s="1"/>
  <c r="AE132" i="34" s="1"/>
  <c r="AE133" i="34" s="1"/>
  <c r="AE134" i="34" s="1"/>
  <c r="AE135" i="34" s="1"/>
  <c r="AE136" i="34" s="1"/>
  <c r="AE137" i="34" s="1"/>
  <c r="AE138" i="34" s="1"/>
  <c r="AE139" i="34" s="1"/>
  <c r="AE140" i="34" s="1"/>
  <c r="AE141" i="34" s="1"/>
  <c r="AE142" i="34" s="1"/>
  <c r="AE143" i="34" s="1"/>
  <c r="AE144" i="34" s="1"/>
  <c r="AE145" i="34" s="1"/>
  <c r="AE146" i="34" s="1"/>
  <c r="AE147" i="34" s="1"/>
  <c r="AE148" i="34" s="1"/>
  <c r="AE149" i="34" s="1"/>
  <c r="AE150" i="34" s="1"/>
  <c r="AE151" i="34" s="1"/>
  <c r="AE152" i="34" s="1"/>
  <c r="AE153" i="34" s="1"/>
  <c r="AE154" i="34" s="1"/>
  <c r="AE155" i="34" s="1"/>
  <c r="AG63" i="34"/>
  <c r="AG35" i="34"/>
  <c r="M7" i="35"/>
  <c r="E375" i="35"/>
  <c r="E372" i="35"/>
  <c r="E371" i="35"/>
  <c r="J23" i="35"/>
  <c r="M23" i="35" s="1"/>
  <c r="AG248" i="34"/>
  <c r="AF249" i="34"/>
  <c r="AF250" i="34" s="1"/>
  <c r="AF251" i="34" s="1"/>
  <c r="AF252" i="34" s="1"/>
  <c r="AF253" i="34" s="1"/>
  <c r="AF254" i="34" s="1"/>
  <c r="AF255" i="34" s="1"/>
  <c r="AF256" i="34" s="1"/>
  <c r="AF257" i="34" s="1"/>
  <c r="AF258" i="34" s="1"/>
  <c r="AF259" i="34" s="1"/>
  <c r="AF260" i="34" s="1"/>
  <c r="AF261" i="34" s="1"/>
  <c r="AF262" i="34" s="1"/>
  <c r="AF263" i="34" s="1"/>
  <c r="AF264" i="34" s="1"/>
  <c r="AF265" i="34" s="1"/>
  <c r="AF266" i="34" s="1"/>
  <c r="AF267" i="34" s="1"/>
  <c r="AF268" i="34" s="1"/>
  <c r="AF269" i="34" s="1"/>
  <c r="AF270" i="34" s="1"/>
  <c r="AF271" i="34" s="1"/>
  <c r="AF272" i="34" s="1"/>
  <c r="AF273" i="34" s="1"/>
  <c r="AF274" i="34" s="1"/>
  <c r="AF275" i="34" s="1"/>
  <c r="AF276" i="34" s="1"/>
  <c r="AF277" i="34" s="1"/>
  <c r="AF278" i="34" s="1"/>
  <c r="AF279" i="34" s="1"/>
  <c r="AF280" i="34" s="1"/>
  <c r="AF281" i="34" s="1"/>
  <c r="AF282" i="34" s="1"/>
  <c r="AF283" i="34" s="1"/>
  <c r="AF284" i="34" s="1"/>
  <c r="AF285" i="34" s="1"/>
  <c r="AF286" i="34" s="1"/>
  <c r="AF287" i="34" s="1"/>
  <c r="AF288" i="34" s="1"/>
  <c r="AF289" i="34" s="1"/>
  <c r="AF290" i="34" s="1"/>
  <c r="AF291" i="34" s="1"/>
  <c r="AF292" i="34" s="1"/>
  <c r="AF293" i="34" s="1"/>
  <c r="AF294" i="34" s="1"/>
  <c r="AF295" i="34" s="1"/>
  <c r="AF296" i="34" s="1"/>
  <c r="AF297" i="34" s="1"/>
  <c r="AF298" i="34" s="1"/>
  <c r="AF299" i="34" s="1"/>
  <c r="AF300" i="34" s="1"/>
  <c r="AF301" i="34" s="1"/>
  <c r="AF302" i="34" s="1"/>
  <c r="AF303" i="34" s="1"/>
  <c r="AF304" i="34" s="1"/>
  <c r="AF305" i="34" s="1"/>
  <c r="AF306" i="34" s="1"/>
  <c r="AF307" i="34" s="1"/>
  <c r="AF308" i="34" s="1"/>
  <c r="Q6" i="35"/>
  <c r="N7" i="35"/>
  <c r="T6" i="35"/>
  <c r="V35" i="35"/>
  <c r="S35" i="35"/>
  <c r="P191" i="35"/>
  <c r="E378" i="35"/>
  <c r="P97" i="35"/>
  <c r="J97" i="35"/>
  <c r="M97" i="35" s="1"/>
  <c r="D385" i="35"/>
  <c r="O280" i="35"/>
  <c r="U279" i="35"/>
  <c r="Y5" i="34"/>
  <c r="AA65" i="35"/>
  <c r="P284" i="35"/>
  <c r="N341" i="35"/>
  <c r="C371" i="35"/>
  <c r="C375" i="35"/>
  <c r="C372" i="35"/>
  <c r="E376" i="35"/>
  <c r="D378" i="35"/>
  <c r="C378" i="35"/>
  <c r="D379" i="35"/>
  <c r="Q189" i="35"/>
  <c r="W189" i="36" s="1"/>
  <c r="Q187" i="35"/>
  <c r="W187" i="36" s="1"/>
  <c r="T187" i="35"/>
  <c r="Z385" i="35"/>
  <c r="Z383" i="35"/>
  <c r="O220" i="35"/>
  <c r="R219" i="35"/>
  <c r="C377" i="35"/>
  <c r="Z384" i="35"/>
  <c r="O97" i="34"/>
  <c r="D382" i="34"/>
  <c r="O218" i="34"/>
  <c r="J218" i="34"/>
  <c r="D371" i="34"/>
  <c r="Y5" i="35"/>
  <c r="J12" i="35"/>
  <c r="M12" i="35" s="1"/>
  <c r="J37" i="35"/>
  <c r="M37" i="35" s="1"/>
  <c r="P38" i="35"/>
  <c r="J96" i="35"/>
  <c r="N99" i="35"/>
  <c r="E379" i="35"/>
  <c r="J126" i="35"/>
  <c r="P126" i="35"/>
  <c r="Q163" i="35"/>
  <c r="W163" i="36" s="1"/>
  <c r="J170" i="35"/>
  <c r="M170" i="35" s="1"/>
  <c r="X186" i="35"/>
  <c r="V189" i="35"/>
  <c r="M192" i="35"/>
  <c r="J205" i="35"/>
  <c r="M205" i="35" s="1"/>
  <c r="J211" i="35"/>
  <c r="M211" i="35" s="1"/>
  <c r="Q218" i="35"/>
  <c r="P220" i="35"/>
  <c r="U311" i="35"/>
  <c r="O312" i="35"/>
  <c r="T311" i="35"/>
  <c r="N312" i="35"/>
  <c r="Z381" i="35"/>
  <c r="J88" i="34"/>
  <c r="M88" i="34" s="1"/>
  <c r="P98" i="34"/>
  <c r="V97" i="34"/>
  <c r="M187" i="34"/>
  <c r="J280" i="34"/>
  <c r="M280" i="34" s="1"/>
  <c r="S190" i="35"/>
  <c r="Y190" i="36" s="1"/>
  <c r="S188" i="35"/>
  <c r="Y188" i="36" s="1"/>
  <c r="AD186" i="35"/>
  <c r="AG186" i="35" s="1"/>
  <c r="S189" i="35"/>
  <c r="Y189" i="36" s="1"/>
  <c r="S187" i="35"/>
  <c r="Y187" i="36" s="1"/>
  <c r="W217" i="35"/>
  <c r="P312" i="35"/>
  <c r="V36" i="34"/>
  <c r="S36" i="34"/>
  <c r="P37" i="34"/>
  <c r="J137" i="35"/>
  <c r="M137" i="35" s="1"/>
  <c r="P159" i="35"/>
  <c r="J191" i="35"/>
  <c r="P193" i="35"/>
  <c r="J193" i="35"/>
  <c r="M193" i="35" s="1"/>
  <c r="M65" i="34"/>
  <c r="J89" i="34"/>
  <c r="M89" i="34" s="1"/>
  <c r="J257" i="34"/>
  <c r="M257" i="34" s="1"/>
  <c r="V36" i="35"/>
  <c r="X63" i="35"/>
  <c r="D377" i="35"/>
  <c r="E377" i="35"/>
  <c r="J66" i="35"/>
  <c r="M66" i="35" s="1"/>
  <c r="O97" i="35"/>
  <c r="J107" i="35"/>
  <c r="M107" i="35" s="1"/>
  <c r="J125" i="35"/>
  <c r="M125" i="35" s="1"/>
  <c r="R126" i="35"/>
  <c r="Q162" i="35"/>
  <c r="W162" i="36" s="1"/>
  <c r="Q160" i="35"/>
  <c r="W160" i="36" s="1"/>
  <c r="Q158" i="35"/>
  <c r="W158" i="36" s="1"/>
  <c r="Q161" i="35"/>
  <c r="W161" i="36" s="1"/>
  <c r="Q159" i="35"/>
  <c r="W159" i="36" s="1"/>
  <c r="Q157" i="35"/>
  <c r="W157" i="36" s="1"/>
  <c r="W156" i="35"/>
  <c r="M163" i="35"/>
  <c r="Y186" i="35"/>
  <c r="V188" i="35"/>
  <c r="C386" i="35"/>
  <c r="J195" i="35"/>
  <c r="M195" i="35" s="1"/>
  <c r="J200" i="35"/>
  <c r="M200" i="35" s="1"/>
  <c r="U218" i="35"/>
  <c r="P130" i="34"/>
  <c r="S129" i="34"/>
  <c r="P9" i="34"/>
  <c r="S8" i="34"/>
  <c r="T249" i="34"/>
  <c r="N250" i="34"/>
  <c r="Q249" i="34"/>
  <c r="O127" i="35"/>
  <c r="D380" i="35"/>
  <c r="O157" i="35"/>
  <c r="J79" i="34"/>
  <c r="M79" i="34" s="1"/>
  <c r="M5" i="35"/>
  <c r="R6" i="35"/>
  <c r="AD6" i="35" s="1"/>
  <c r="AG6" i="35" s="1"/>
  <c r="J377" i="35"/>
  <c r="V157" i="35"/>
  <c r="N252" i="35"/>
  <c r="O252" i="35"/>
  <c r="U251" i="35"/>
  <c r="E380" i="35"/>
  <c r="D383" i="35"/>
  <c r="J375" i="34"/>
  <c r="M5" i="34"/>
  <c r="P66" i="34"/>
  <c r="S65" i="34"/>
  <c r="V65" i="34"/>
  <c r="Q66" i="34"/>
  <c r="N67" i="34"/>
  <c r="T66" i="34"/>
  <c r="J68" i="34"/>
  <c r="M68" i="34" s="1"/>
  <c r="J261" i="34"/>
  <c r="M261" i="34" s="1"/>
  <c r="J269" i="34"/>
  <c r="M269" i="34" s="1"/>
  <c r="R313" i="34"/>
  <c r="J328" i="34"/>
  <c r="M328" i="34" s="1"/>
  <c r="AA125" i="35"/>
  <c r="AC125" i="35" s="1"/>
  <c r="E382" i="35"/>
  <c r="J226" i="35"/>
  <c r="M226" i="35" s="1"/>
  <c r="J67" i="34"/>
  <c r="M67" i="34" s="1"/>
  <c r="J203" i="34"/>
  <c r="M203" i="34" s="1"/>
  <c r="N281" i="34"/>
  <c r="T280" i="34"/>
  <c r="D376" i="35"/>
  <c r="O36" i="35"/>
  <c r="E381" i="35"/>
  <c r="E384" i="35"/>
  <c r="E385" i="35"/>
  <c r="D379" i="34"/>
  <c r="J126" i="34"/>
  <c r="O126" i="34"/>
  <c r="O250" i="34"/>
  <c r="R249" i="34"/>
  <c r="J36" i="35"/>
  <c r="M189" i="35"/>
  <c r="J209" i="35"/>
  <c r="M209" i="35" s="1"/>
  <c r="Y217" i="35"/>
  <c r="S219" i="35"/>
  <c r="S218" i="35"/>
  <c r="S220" i="35"/>
  <c r="J302" i="34"/>
  <c r="M302" i="34" s="1"/>
  <c r="J317" i="30"/>
  <c r="K317" i="30" s="1"/>
  <c r="V5" i="35"/>
  <c r="P7" i="35"/>
  <c r="D371" i="35"/>
  <c r="D375" i="35"/>
  <c r="M65" i="35"/>
  <c r="C379" i="35"/>
  <c r="N126" i="35"/>
  <c r="M130" i="35"/>
  <c r="R157" i="35"/>
  <c r="X157" i="36" s="1"/>
  <c r="AA186" i="35"/>
  <c r="O189" i="35"/>
  <c r="O190" i="35" s="1"/>
  <c r="P192" i="35"/>
  <c r="J207" i="35"/>
  <c r="M207" i="35" s="1"/>
  <c r="T218" i="35"/>
  <c r="N219" i="35"/>
  <c r="P346" i="35"/>
  <c r="E383" i="35"/>
  <c r="W65" i="34"/>
  <c r="AA65" i="34"/>
  <c r="Q97" i="34"/>
  <c r="N98" i="34"/>
  <c r="P190" i="34"/>
  <c r="V190" i="35" s="1"/>
  <c r="J252" i="34"/>
  <c r="M252" i="34" s="1"/>
  <c r="O252" i="34"/>
  <c r="D381" i="35"/>
  <c r="C385" i="35"/>
  <c r="C383" i="35"/>
  <c r="D386" i="35"/>
  <c r="V250" i="35"/>
  <c r="C384" i="35"/>
  <c r="W5" i="34"/>
  <c r="Q37" i="34"/>
  <c r="N38" i="34"/>
  <c r="T37" i="34"/>
  <c r="D376" i="34"/>
  <c r="J38" i="34"/>
  <c r="M38" i="34" s="1"/>
  <c r="T65" i="34"/>
  <c r="V96" i="34"/>
  <c r="J196" i="34"/>
  <c r="M196" i="34" s="1"/>
  <c r="J254" i="34"/>
  <c r="M254" i="34" s="1"/>
  <c r="J271" i="34"/>
  <c r="M271" i="34" s="1"/>
  <c r="D384" i="35"/>
  <c r="D382" i="35"/>
  <c r="O342" i="35"/>
  <c r="M36" i="34"/>
  <c r="N160" i="34"/>
  <c r="T159" i="34"/>
  <c r="N219" i="34"/>
  <c r="T218" i="34"/>
  <c r="Q218" i="34"/>
  <c r="T281" i="35"/>
  <c r="J74" i="34"/>
  <c r="M74" i="34" s="1"/>
  <c r="J85" i="34"/>
  <c r="M85" i="34" s="1"/>
  <c r="J378" i="34"/>
  <c r="M96" i="34"/>
  <c r="N128" i="34"/>
  <c r="T127" i="34"/>
  <c r="O159" i="34"/>
  <c r="U158" i="34"/>
  <c r="J258" i="34"/>
  <c r="M258" i="34" s="1"/>
  <c r="J309" i="34"/>
  <c r="M309" i="34" s="1"/>
  <c r="U36" i="32"/>
  <c r="O37" i="32"/>
  <c r="S158" i="35"/>
  <c r="Y158" i="36" s="1"/>
  <c r="M218" i="35"/>
  <c r="U250" i="35"/>
  <c r="N282" i="35"/>
  <c r="D375" i="34"/>
  <c r="D372" i="34"/>
  <c r="O5" i="34"/>
  <c r="Z375" i="34"/>
  <c r="Z29" i="34"/>
  <c r="Z36" i="34"/>
  <c r="R36" i="34"/>
  <c r="O37" i="34"/>
  <c r="U36" i="34"/>
  <c r="J209" i="34"/>
  <c r="M209" i="34" s="1"/>
  <c r="O340" i="34"/>
  <c r="U340" i="35" s="1"/>
  <c r="J340" i="34"/>
  <c r="M340" i="34" s="1"/>
  <c r="S188" i="34"/>
  <c r="J319" i="34"/>
  <c r="M319" i="34" s="1"/>
  <c r="AA157" i="34"/>
  <c r="N188" i="34"/>
  <c r="T187" i="34"/>
  <c r="Q187" i="34"/>
  <c r="D383" i="34"/>
  <c r="J189" i="34"/>
  <c r="J208" i="34"/>
  <c r="M208" i="34" s="1"/>
  <c r="P252" i="34"/>
  <c r="V251" i="34"/>
  <c r="J253" i="34"/>
  <c r="M253" i="34" s="1"/>
  <c r="J268" i="34"/>
  <c r="M268" i="34" s="1"/>
  <c r="AD310" i="34"/>
  <c r="AG310" i="34" s="1"/>
  <c r="V187" i="34"/>
  <c r="J384" i="34"/>
  <c r="M190" i="34"/>
  <c r="S251" i="34"/>
  <c r="J270" i="34"/>
  <c r="M270" i="34" s="1"/>
  <c r="O314" i="34"/>
  <c r="J314" i="34"/>
  <c r="M314" i="34" s="1"/>
  <c r="J324" i="34"/>
  <c r="M324" i="34" s="1"/>
  <c r="P342" i="34"/>
  <c r="N6" i="34"/>
  <c r="D377" i="34"/>
  <c r="O65" i="34"/>
  <c r="U65" i="35" s="1"/>
  <c r="T158" i="34"/>
  <c r="Q158" i="34"/>
  <c r="M192" i="34"/>
  <c r="J198" i="34"/>
  <c r="M198" i="34" s="1"/>
  <c r="E372" i="34"/>
  <c r="E377" i="34"/>
  <c r="E371" i="34"/>
  <c r="D378" i="34"/>
  <c r="V127" i="34"/>
  <c r="D380" i="34"/>
  <c r="J157" i="34"/>
  <c r="Z380" i="34"/>
  <c r="J204" i="34"/>
  <c r="M204" i="34" s="1"/>
  <c r="P219" i="34"/>
  <c r="P280" i="34"/>
  <c r="V279" i="34"/>
  <c r="AE27" i="32"/>
  <c r="AE28" i="32" s="1"/>
  <c r="AE29" i="32" s="1"/>
  <c r="AE30" i="32" s="1"/>
  <c r="AE31" i="32" s="1"/>
  <c r="AE32" i="32" s="1"/>
  <c r="AE33" i="32" s="1"/>
  <c r="AE34" i="32" s="1"/>
  <c r="T220" i="32"/>
  <c r="N221" i="32"/>
  <c r="S187" i="34"/>
  <c r="Z383" i="34"/>
  <c r="Z384" i="34"/>
  <c r="Z381" i="34"/>
  <c r="Z386" i="34"/>
  <c r="J207" i="34"/>
  <c r="M207" i="34" s="1"/>
  <c r="AG217" i="34"/>
  <c r="D381" i="34"/>
  <c r="O187" i="34"/>
  <c r="J256" i="34"/>
  <c r="M256" i="34" s="1"/>
  <c r="J307" i="34"/>
  <c r="M307" i="34" s="1"/>
  <c r="Z378" i="34"/>
  <c r="P159" i="34"/>
  <c r="S158" i="34"/>
  <c r="D384" i="34"/>
  <c r="J292" i="34"/>
  <c r="M292" i="34" s="1"/>
  <c r="T310" i="34"/>
  <c r="N311" i="34"/>
  <c r="U7" i="32"/>
  <c r="O8" i="32"/>
  <c r="Q342" i="34"/>
  <c r="P311" i="34"/>
  <c r="V310" i="34"/>
  <c r="Q340" i="34"/>
  <c r="AE373" i="34"/>
  <c r="V38" i="32"/>
  <c r="N97" i="32"/>
  <c r="T96" i="32"/>
  <c r="O98" i="32"/>
  <c r="R97" i="32"/>
  <c r="J279" i="34"/>
  <c r="M279" i="34" s="1"/>
  <c r="O279" i="34"/>
  <c r="U279" i="34" s="1"/>
  <c r="R340" i="34"/>
  <c r="N342" i="34"/>
  <c r="T341" i="34"/>
  <c r="J217" i="32"/>
  <c r="J249" i="32"/>
  <c r="O249" i="32"/>
  <c r="O251" i="34"/>
  <c r="J291" i="34"/>
  <c r="M291" i="34" s="1"/>
  <c r="J308" i="34"/>
  <c r="M308" i="34" s="1"/>
  <c r="S311" i="34"/>
  <c r="S339" i="34"/>
  <c r="Q5" i="32"/>
  <c r="N6" i="32"/>
  <c r="S97" i="32"/>
  <c r="V97" i="32"/>
  <c r="P98" i="32"/>
  <c r="Z379" i="32"/>
  <c r="O138" i="32"/>
  <c r="V159" i="32"/>
  <c r="P160" i="32"/>
  <c r="D386" i="34"/>
  <c r="Z382" i="34"/>
  <c r="J272" i="34"/>
  <c r="M272" i="34" s="1"/>
  <c r="N67" i="32"/>
  <c r="Q66" i="32"/>
  <c r="O70" i="32"/>
  <c r="N250" i="32"/>
  <c r="T249" i="32"/>
  <c r="J341" i="32"/>
  <c r="M341" i="32" s="1"/>
  <c r="O341" i="32"/>
  <c r="N159" i="30"/>
  <c r="T158" i="30"/>
  <c r="U158" i="32"/>
  <c r="Z375" i="32"/>
  <c r="N178" i="32"/>
  <c r="J287" i="32"/>
  <c r="M287" i="32" s="1"/>
  <c r="AD5" i="32"/>
  <c r="U96" i="32"/>
  <c r="R96" i="32"/>
  <c r="J286" i="32"/>
  <c r="M286" i="32" s="1"/>
  <c r="J315" i="32"/>
  <c r="M315" i="32" s="1"/>
  <c r="J313" i="32"/>
  <c r="M313" i="32" s="1"/>
  <c r="M98" i="30"/>
  <c r="S97" i="30"/>
  <c r="J288" i="32"/>
  <c r="M288" i="32" s="1"/>
  <c r="J307" i="32"/>
  <c r="M307" i="32" s="1"/>
  <c r="J266" i="30"/>
  <c r="K266" i="30" s="1"/>
  <c r="P179" i="32"/>
  <c r="N313" i="32"/>
  <c r="D385" i="34"/>
  <c r="U6" i="32"/>
  <c r="J376" i="32"/>
  <c r="P66" i="32"/>
  <c r="O160" i="32"/>
  <c r="U159" i="32"/>
  <c r="N160" i="32"/>
  <c r="J209" i="32"/>
  <c r="J271" i="32"/>
  <c r="U280" i="32"/>
  <c r="O281" i="32"/>
  <c r="J288" i="30"/>
  <c r="K288" i="30" s="1"/>
  <c r="N39" i="32"/>
  <c r="T38" i="32"/>
  <c r="J377" i="32"/>
  <c r="Z377" i="32"/>
  <c r="P219" i="32"/>
  <c r="S218" i="32"/>
  <c r="V218" i="32"/>
  <c r="O220" i="32"/>
  <c r="U219" i="32"/>
  <c r="J274" i="32"/>
  <c r="P6" i="32"/>
  <c r="V5" i="32"/>
  <c r="P39" i="32"/>
  <c r="D376" i="32"/>
  <c r="D371" i="32"/>
  <c r="T65" i="32"/>
  <c r="Q65" i="32"/>
  <c r="O180" i="32"/>
  <c r="J205" i="32"/>
  <c r="P341" i="32"/>
  <c r="V340" i="32"/>
  <c r="P188" i="32"/>
  <c r="V188" i="34" s="1"/>
  <c r="J215" i="32"/>
  <c r="J294" i="32"/>
  <c r="M294" i="32" s="1"/>
  <c r="J312" i="32"/>
  <c r="M312" i="32" s="1"/>
  <c r="R5" i="30"/>
  <c r="X5" i="30" s="1"/>
  <c r="U5" i="30"/>
  <c r="O6" i="30"/>
  <c r="O131" i="30"/>
  <c r="U130" i="30"/>
  <c r="J256" i="30"/>
  <c r="K256" i="30" s="1"/>
  <c r="J375" i="32"/>
  <c r="K5" i="32"/>
  <c r="Z378" i="32"/>
  <c r="D379" i="32"/>
  <c r="O126" i="32"/>
  <c r="J126" i="32"/>
  <c r="P137" i="32"/>
  <c r="O189" i="32"/>
  <c r="O311" i="32"/>
  <c r="U157" i="32"/>
  <c r="J198" i="32"/>
  <c r="J204" i="32"/>
  <c r="J208" i="32"/>
  <c r="J260" i="32"/>
  <c r="J264" i="32"/>
  <c r="J269" i="32"/>
  <c r="N281" i="32"/>
  <c r="J303" i="32"/>
  <c r="M303" i="32" s="1"/>
  <c r="J317" i="32"/>
  <c r="M317" i="32" s="1"/>
  <c r="Q8" i="30"/>
  <c r="W8" i="30" s="1"/>
  <c r="N9" i="30"/>
  <c r="O38" i="30"/>
  <c r="U37" i="30"/>
  <c r="N67" i="30"/>
  <c r="T66" i="30"/>
  <c r="J208" i="30"/>
  <c r="K208" i="30" s="1"/>
  <c r="D380" i="32"/>
  <c r="J180" i="32"/>
  <c r="J195" i="32"/>
  <c r="J202" i="32"/>
  <c r="J292" i="32"/>
  <c r="M292" i="32" s="1"/>
  <c r="T8" i="30"/>
  <c r="J378" i="32"/>
  <c r="S96" i="32"/>
  <c r="J380" i="32"/>
  <c r="P251" i="32"/>
  <c r="V250" i="32"/>
  <c r="J268" i="32"/>
  <c r="Z376" i="32"/>
  <c r="D378" i="32"/>
  <c r="J206" i="32"/>
  <c r="J210" i="32"/>
  <c r="J337" i="32"/>
  <c r="M337" i="32" s="1"/>
  <c r="T341" i="32"/>
  <c r="N342" i="32"/>
  <c r="N188" i="32"/>
  <c r="D381" i="32"/>
  <c r="J257" i="32"/>
  <c r="P281" i="32"/>
  <c r="V280" i="32"/>
  <c r="J334" i="32"/>
  <c r="M334" i="32" s="1"/>
  <c r="AG370" i="32"/>
  <c r="Q7" i="30"/>
  <c r="W7" i="30" s="1"/>
  <c r="T7" i="30"/>
  <c r="P127" i="32"/>
  <c r="V126" i="32"/>
  <c r="N137" i="32"/>
  <c r="Z380" i="32"/>
  <c r="Z381" i="32"/>
  <c r="J194" i="32"/>
  <c r="J197" i="32"/>
  <c r="J201" i="32"/>
  <c r="J248" i="32"/>
  <c r="J267" i="32"/>
  <c r="P312" i="32"/>
  <c r="J327" i="32"/>
  <c r="M327" i="32" s="1"/>
  <c r="N38" i="30"/>
  <c r="J92" i="30"/>
  <c r="K92" i="30" s="1"/>
  <c r="M129" i="30"/>
  <c r="S128" i="30"/>
  <c r="J216" i="30"/>
  <c r="K216" i="30" s="1"/>
  <c r="N127" i="32"/>
  <c r="U187" i="32"/>
  <c r="J195" i="30"/>
  <c r="AF207" i="30"/>
  <c r="AF214" i="30" s="1"/>
  <c r="K207" i="30"/>
  <c r="AC207" i="30" s="1"/>
  <c r="AC214" i="30" s="1"/>
  <c r="M6" i="30"/>
  <c r="S5" i="30"/>
  <c r="M38" i="30"/>
  <c r="S37" i="30"/>
  <c r="O67" i="30"/>
  <c r="J71" i="30"/>
  <c r="K71" i="30" s="1"/>
  <c r="J93" i="30"/>
  <c r="K93" i="30" s="1"/>
  <c r="J217" i="30"/>
  <c r="K217" i="30" s="1"/>
  <c r="K219" i="30"/>
  <c r="AF221" i="30"/>
  <c r="T249" i="30"/>
  <c r="N250" i="30"/>
  <c r="J291" i="32"/>
  <c r="M291" i="32" s="1"/>
  <c r="J323" i="32"/>
  <c r="M323" i="32" s="1"/>
  <c r="J72" i="30"/>
  <c r="K72" i="30" s="1"/>
  <c r="S127" i="30"/>
  <c r="K136" i="30"/>
  <c r="AF144" i="30"/>
  <c r="AF151" i="30" s="1"/>
  <c r="AF137" i="30"/>
  <c r="O188" i="30"/>
  <c r="U187" i="30"/>
  <c r="M66" i="30"/>
  <c r="N97" i="30"/>
  <c r="O159" i="30"/>
  <c r="U158" i="30"/>
  <c r="N128" i="30"/>
  <c r="M222" i="30"/>
  <c r="S221" i="30"/>
  <c r="J84" i="30"/>
  <c r="K84" i="30" s="1"/>
  <c r="J86" i="30"/>
  <c r="K86" i="30" s="1"/>
  <c r="O100" i="30"/>
  <c r="U129" i="30"/>
  <c r="M280" i="30"/>
  <c r="S279" i="30"/>
  <c r="T280" i="30"/>
  <c r="N281" i="30"/>
  <c r="AF158" i="30"/>
  <c r="AF165" i="30" s="1"/>
  <c r="K157" i="30"/>
  <c r="AC158" i="30" s="1"/>
  <c r="AC165" i="30" s="1"/>
  <c r="J200" i="30"/>
  <c r="AF200" i="30" s="1"/>
  <c r="J259" i="30"/>
  <c r="K259" i="30" s="1"/>
  <c r="D371" i="30"/>
  <c r="J70" i="30"/>
  <c r="K70" i="30" s="1"/>
  <c r="U97" i="30"/>
  <c r="U218" i="30"/>
  <c r="O219" i="30"/>
  <c r="M148" i="30"/>
  <c r="M158" i="30"/>
  <c r="T158" i="32" s="1"/>
  <c r="Y214" i="30"/>
  <c r="Y216" i="30"/>
  <c r="J264" i="30"/>
  <c r="K264" i="30" s="1"/>
  <c r="S311" i="30"/>
  <c r="M312" i="30"/>
  <c r="T312" i="32" s="1"/>
  <c r="T126" i="30"/>
  <c r="K167" i="30"/>
  <c r="AC172" i="30" s="1"/>
  <c r="AF172" i="30"/>
  <c r="J187" i="30"/>
  <c r="AF193" i="30" s="1"/>
  <c r="N187" i="30"/>
  <c r="AF228" i="30"/>
  <c r="AF235" i="30" s="1"/>
  <c r="AF242" i="30" s="1"/>
  <c r="K228" i="30"/>
  <c r="AC228" i="30" s="1"/>
  <c r="AC235" i="30" s="1"/>
  <c r="AC242" i="30" s="1"/>
  <c r="O255" i="30"/>
  <c r="U254" i="30"/>
  <c r="O311" i="30"/>
  <c r="U310" i="30"/>
  <c r="N147" i="30"/>
  <c r="M190" i="30"/>
  <c r="S189" i="30"/>
  <c r="J307" i="30"/>
  <c r="K307" i="30" s="1"/>
  <c r="T36" i="30"/>
  <c r="T65" i="30"/>
  <c r="O147" i="30"/>
  <c r="AC221" i="30"/>
  <c r="J274" i="30"/>
  <c r="K274" i="30" s="1"/>
  <c r="R44" i="28"/>
  <c r="O45" i="28"/>
  <c r="J201" i="30"/>
  <c r="T219" i="30"/>
  <c r="N220" i="30"/>
  <c r="M38" i="28"/>
  <c r="P37" i="28"/>
  <c r="M251" i="30"/>
  <c r="S250" i="30"/>
  <c r="T311" i="30"/>
  <c r="N314" i="30"/>
  <c r="P6" i="28"/>
  <c r="T6" i="28" s="1"/>
  <c r="V6" i="28" s="1"/>
  <c r="M7" i="28"/>
  <c r="O281" i="30"/>
  <c r="U280" i="30"/>
  <c r="J290" i="30"/>
  <c r="K290" i="30" s="1"/>
  <c r="J301" i="30"/>
  <c r="J333" i="30"/>
  <c r="K333" i="30" s="1"/>
  <c r="K249" i="30"/>
  <c r="AC249" i="30" s="1"/>
  <c r="AC256" i="30" s="1"/>
  <c r="AF249" i="30"/>
  <c r="AF256" i="30" s="1"/>
  <c r="P188" i="28"/>
  <c r="M189" i="28"/>
  <c r="O342" i="30"/>
  <c r="U341" i="30"/>
  <c r="N341" i="30"/>
  <c r="J341" i="30"/>
  <c r="K341" i="30" s="1"/>
  <c r="R8" i="28"/>
  <c r="O9" i="28"/>
  <c r="N26" i="28"/>
  <c r="Q25" i="28"/>
  <c r="P47" i="28"/>
  <c r="M48" i="28"/>
  <c r="Q6" i="28"/>
  <c r="N7" i="28"/>
  <c r="N313" i="30"/>
  <c r="T313" i="30" s="1"/>
  <c r="S340" i="30"/>
  <c r="M341" i="30"/>
  <c r="Q37" i="28"/>
  <c r="N38" i="28"/>
  <c r="R29" i="28"/>
  <c r="O30" i="28"/>
  <c r="P63" i="28"/>
  <c r="P36" i="28"/>
  <c r="P45" i="28"/>
  <c r="T45" i="28" s="1"/>
  <c r="V45" i="28" s="1"/>
  <c r="T35" i="28"/>
  <c r="V35" i="28" s="1"/>
  <c r="M118" i="28"/>
  <c r="M137" i="28"/>
  <c r="P46" i="28"/>
  <c r="R36" i="28"/>
  <c r="R40" i="28"/>
  <c r="R6" i="28"/>
  <c r="M97" i="28"/>
  <c r="P28" i="28"/>
  <c r="R63" i="28"/>
  <c r="R37" i="28"/>
  <c r="R41" i="28"/>
  <c r="R43" i="28"/>
  <c r="P341" i="28"/>
  <c r="M342" i="28"/>
  <c r="M127" i="28"/>
  <c r="M359" i="28"/>
  <c r="P358" i="28"/>
  <c r="M322" i="28"/>
  <c r="P321" i="28"/>
  <c r="P357" i="28"/>
  <c r="T357" i="28" s="1"/>
  <c r="V357" i="28" s="1"/>
  <c r="P356" i="28"/>
  <c r="P355" i="28"/>
  <c r="P354" i="28"/>
  <c r="P353" i="28"/>
  <c r="P352" i="28"/>
  <c r="P351" i="28"/>
  <c r="P350" i="28"/>
  <c r="T350" i="28" s="1"/>
  <c r="V350" i="28" s="1"/>
  <c r="T339" i="28"/>
  <c r="V339" i="28" s="1"/>
  <c r="P349" i="28"/>
  <c r="T349" i="28" s="1"/>
  <c r="V349" i="28" s="1"/>
  <c r="Y157" i="35" l="1"/>
  <c r="Y157" i="36"/>
  <c r="AG217" i="35"/>
  <c r="AE255" i="35"/>
  <c r="AE256" i="35" s="1"/>
  <c r="AE257" i="35" s="1"/>
  <c r="AE258" i="35" s="1"/>
  <c r="AE259" i="35" s="1"/>
  <c r="AE260" i="35" s="1"/>
  <c r="AE261" i="35" s="1"/>
  <c r="T280" i="35"/>
  <c r="AE218" i="35"/>
  <c r="AE219" i="35" s="1"/>
  <c r="AA67" i="35"/>
  <c r="W67" i="35"/>
  <c r="R190" i="35"/>
  <c r="O191" i="35"/>
  <c r="M138" i="28"/>
  <c r="S190" i="30"/>
  <c r="M191" i="30"/>
  <c r="N98" i="30"/>
  <c r="T97" i="30"/>
  <c r="AD96" i="32"/>
  <c r="N68" i="30"/>
  <c r="T67" i="30"/>
  <c r="P67" i="32"/>
  <c r="V66" i="32"/>
  <c r="N283" i="35"/>
  <c r="T282" i="35"/>
  <c r="T219" i="35"/>
  <c r="N220" i="35"/>
  <c r="U126" i="34"/>
  <c r="O127" i="34"/>
  <c r="N68" i="34"/>
  <c r="Q67" i="34"/>
  <c r="T67" i="34"/>
  <c r="AA189" i="35"/>
  <c r="N37" i="35"/>
  <c r="T36" i="35"/>
  <c r="Q36" i="35"/>
  <c r="N315" i="30"/>
  <c r="T314" i="30"/>
  <c r="O148" i="30"/>
  <c r="U147" i="30"/>
  <c r="S280" i="30"/>
  <c r="M281" i="30"/>
  <c r="AC157" i="34"/>
  <c r="R252" i="34"/>
  <c r="AA66" i="34"/>
  <c r="AC66" i="34" s="1"/>
  <c r="W66" i="34"/>
  <c r="J381" i="35"/>
  <c r="J375" i="35"/>
  <c r="N188" i="30"/>
  <c r="T187" i="30"/>
  <c r="M7" i="30"/>
  <c r="P6" i="30"/>
  <c r="V6" i="30" s="1"/>
  <c r="S6" i="30"/>
  <c r="T127" i="32"/>
  <c r="N128" i="32"/>
  <c r="N189" i="32"/>
  <c r="T188" i="32"/>
  <c r="T281" i="32"/>
  <c r="N282" i="32"/>
  <c r="U311" i="32"/>
  <c r="U311" i="34"/>
  <c r="O161" i="32"/>
  <c r="N179" i="32"/>
  <c r="T159" i="30"/>
  <c r="N160" i="30"/>
  <c r="T6" i="32"/>
  <c r="N7" i="32"/>
  <c r="Q6" i="32"/>
  <c r="R251" i="34"/>
  <c r="AD158" i="34"/>
  <c r="AG158" i="34" s="1"/>
  <c r="P281" i="34"/>
  <c r="V280" i="35"/>
  <c r="V280" i="34"/>
  <c r="J385" i="34"/>
  <c r="J386" i="34"/>
  <c r="O253" i="34"/>
  <c r="M189" i="34"/>
  <c r="J383" i="34"/>
  <c r="Z376" i="34"/>
  <c r="AA36" i="34"/>
  <c r="N129" i="34"/>
  <c r="T128" i="34"/>
  <c r="T219" i="34"/>
  <c r="Q219" i="34"/>
  <c r="N220" i="34"/>
  <c r="AA37" i="34"/>
  <c r="AC37" i="34" s="1"/>
  <c r="J372" i="34"/>
  <c r="N253" i="35"/>
  <c r="AA158" i="35"/>
  <c r="W158" i="35"/>
  <c r="J377" i="34"/>
  <c r="J385" i="35"/>
  <c r="M191" i="35"/>
  <c r="S192" i="35"/>
  <c r="Y192" i="36" s="1"/>
  <c r="P99" i="34"/>
  <c r="V98" i="34"/>
  <c r="J371" i="35"/>
  <c r="V191" i="35"/>
  <c r="AA6" i="35"/>
  <c r="N39" i="28"/>
  <c r="Q38" i="28"/>
  <c r="U342" i="30"/>
  <c r="O343" i="30"/>
  <c r="M39" i="28"/>
  <c r="P38" i="28"/>
  <c r="O46" i="28"/>
  <c r="R45" i="28"/>
  <c r="S222" i="30"/>
  <c r="M223" i="30"/>
  <c r="M67" i="30"/>
  <c r="S66" i="30"/>
  <c r="N39" i="30"/>
  <c r="T38" i="30"/>
  <c r="O39" i="30"/>
  <c r="U38" i="30"/>
  <c r="T280" i="32"/>
  <c r="O190" i="32"/>
  <c r="J379" i="32"/>
  <c r="P220" i="32"/>
  <c r="V219" i="32"/>
  <c r="S219" i="32"/>
  <c r="O71" i="32"/>
  <c r="O139" i="32"/>
  <c r="W5" i="32"/>
  <c r="AA5" i="32"/>
  <c r="U249" i="32"/>
  <c r="O250" i="32"/>
  <c r="N343" i="34"/>
  <c r="T342" i="34"/>
  <c r="R8" i="32"/>
  <c r="U8" i="32"/>
  <c r="O9" i="32"/>
  <c r="P160" i="34"/>
  <c r="V159" i="34"/>
  <c r="S159" i="34"/>
  <c r="P220" i="34"/>
  <c r="V219" i="34"/>
  <c r="V219" i="35"/>
  <c r="S219" i="34"/>
  <c r="Y219" i="35" s="1"/>
  <c r="T6" i="34"/>
  <c r="Q6" i="34"/>
  <c r="N7" i="34"/>
  <c r="X7" i="32"/>
  <c r="S191" i="35"/>
  <c r="Y191" i="36" s="1"/>
  <c r="X157" i="35"/>
  <c r="AD157" i="35"/>
  <c r="AG157" i="35" s="1"/>
  <c r="AD219" i="35"/>
  <c r="N282" i="34"/>
  <c r="T281" i="34"/>
  <c r="U157" i="35"/>
  <c r="O158" i="35"/>
  <c r="AA160" i="35"/>
  <c r="W160" i="35"/>
  <c r="V159" i="35"/>
  <c r="S159" i="35"/>
  <c r="Y159" i="36" s="1"/>
  <c r="P160" i="35"/>
  <c r="P38" i="34"/>
  <c r="V37" i="34"/>
  <c r="S37" i="34"/>
  <c r="V37" i="35"/>
  <c r="N100" i="35"/>
  <c r="R220" i="35"/>
  <c r="O221" i="35"/>
  <c r="S193" i="35"/>
  <c r="Y193" i="36" s="1"/>
  <c r="T341" i="35"/>
  <c r="N342" i="35"/>
  <c r="AC65" i="35"/>
  <c r="N165" i="35"/>
  <c r="Q164" i="35"/>
  <c r="W164" i="36" s="1"/>
  <c r="M360" i="28"/>
  <c r="P359" i="28"/>
  <c r="T359" i="28" s="1"/>
  <c r="V359" i="28" s="1"/>
  <c r="M130" i="30"/>
  <c r="S129" i="30"/>
  <c r="P138" i="32"/>
  <c r="V341" i="32"/>
  <c r="P342" i="32"/>
  <c r="O221" i="32"/>
  <c r="U220" i="32"/>
  <c r="S341" i="34"/>
  <c r="S340" i="34"/>
  <c r="S343" i="34"/>
  <c r="S342" i="34"/>
  <c r="O37" i="35"/>
  <c r="U36" i="35"/>
  <c r="R36" i="35"/>
  <c r="AA161" i="35"/>
  <c r="AD188" i="35"/>
  <c r="AG188" i="35" s="1"/>
  <c r="Y188" i="35"/>
  <c r="W218" i="35"/>
  <c r="AA218" i="35"/>
  <c r="P98" i="35"/>
  <c r="V97" i="35"/>
  <c r="R66" i="35"/>
  <c r="U66" i="35"/>
  <c r="O67" i="35"/>
  <c r="N190" i="35"/>
  <c r="M128" i="28"/>
  <c r="V188" i="32"/>
  <c r="P189" i="32"/>
  <c r="AD97" i="32"/>
  <c r="O315" i="34"/>
  <c r="R314" i="34"/>
  <c r="Q250" i="34"/>
  <c r="T250" i="34"/>
  <c r="N251" i="34"/>
  <c r="T250" i="35"/>
  <c r="M119" i="28"/>
  <c r="P48" i="28"/>
  <c r="T48" i="28" s="1"/>
  <c r="V48" i="28" s="1"/>
  <c r="M49" i="28"/>
  <c r="AF305" i="30"/>
  <c r="AF312" i="30" s="1"/>
  <c r="AF319" i="30" s="1"/>
  <c r="AF326" i="30" s="1"/>
  <c r="AF333" i="30" s="1"/>
  <c r="K301" i="30"/>
  <c r="AC305" i="30" s="1"/>
  <c r="AC312" i="30" s="1"/>
  <c r="AC319" i="30" s="1"/>
  <c r="AC326" i="30" s="1"/>
  <c r="AC333" i="30" s="1"/>
  <c r="AF263" i="30"/>
  <c r="P40" i="32"/>
  <c r="V39" i="32"/>
  <c r="Y5" i="32"/>
  <c r="V341" i="34"/>
  <c r="R189" i="35"/>
  <c r="J376" i="35"/>
  <c r="M36" i="35"/>
  <c r="V66" i="34"/>
  <c r="P67" i="34"/>
  <c r="S66" i="34"/>
  <c r="S130" i="34"/>
  <c r="P131" i="34"/>
  <c r="AD36" i="34"/>
  <c r="O9" i="35"/>
  <c r="R8" i="35"/>
  <c r="R84" i="28"/>
  <c r="R83" i="28"/>
  <c r="R82" i="28"/>
  <c r="R81" i="28"/>
  <c r="R80" i="28"/>
  <c r="R79" i="28"/>
  <c r="R78" i="28"/>
  <c r="R77" i="28"/>
  <c r="R76" i="28"/>
  <c r="R75" i="28"/>
  <c r="R95" i="28"/>
  <c r="R87" i="28"/>
  <c r="R85" i="28"/>
  <c r="R71" i="28"/>
  <c r="R65" i="28"/>
  <c r="R92" i="28"/>
  <c r="R74" i="28"/>
  <c r="R91" i="28"/>
  <c r="R89" i="28"/>
  <c r="R94" i="28"/>
  <c r="R86" i="28"/>
  <c r="R66" i="28"/>
  <c r="R93" i="28"/>
  <c r="R90" i="28"/>
  <c r="R72" i="28"/>
  <c r="R69" i="28"/>
  <c r="R67" i="28"/>
  <c r="R73" i="28"/>
  <c r="R68" i="28"/>
  <c r="R88" i="28"/>
  <c r="R70" i="28"/>
  <c r="AC263" i="30"/>
  <c r="T128" i="30"/>
  <c r="N129" i="30"/>
  <c r="U188" i="30"/>
  <c r="O189" i="30"/>
  <c r="O68" i="30"/>
  <c r="U67" i="30"/>
  <c r="N138" i="32"/>
  <c r="AG5" i="32"/>
  <c r="U97" i="32"/>
  <c r="P312" i="34"/>
  <c r="V311" i="34"/>
  <c r="Q311" i="34"/>
  <c r="N312" i="34"/>
  <c r="T311" i="34"/>
  <c r="N222" i="32"/>
  <c r="T221" i="32"/>
  <c r="P343" i="34"/>
  <c r="V342" i="35"/>
  <c r="V342" i="34"/>
  <c r="P253" i="34"/>
  <c r="S252" i="34"/>
  <c r="V252" i="35"/>
  <c r="U5" i="34"/>
  <c r="O6" i="34"/>
  <c r="U5" i="35"/>
  <c r="R5" i="34"/>
  <c r="O38" i="32"/>
  <c r="U37" i="32"/>
  <c r="N161" i="34"/>
  <c r="T160" i="34"/>
  <c r="Q160" i="34"/>
  <c r="P191" i="34"/>
  <c r="S190" i="34"/>
  <c r="AD220" i="35"/>
  <c r="AD249" i="34"/>
  <c r="AG249" i="34" s="1"/>
  <c r="R127" i="35"/>
  <c r="U127" i="35"/>
  <c r="O128" i="35"/>
  <c r="Y187" i="35"/>
  <c r="AD187" i="35"/>
  <c r="AG187" i="35" s="1"/>
  <c r="J382" i="34"/>
  <c r="M218" i="34"/>
  <c r="P285" i="35"/>
  <c r="W66" i="35"/>
  <c r="R30" i="28"/>
  <c r="O31" i="28"/>
  <c r="S312" i="30"/>
  <c r="M313" i="30"/>
  <c r="T250" i="30"/>
  <c r="N251" i="30"/>
  <c r="P313" i="32"/>
  <c r="O7" i="30"/>
  <c r="U6" i="30"/>
  <c r="R6" i="30"/>
  <c r="X6" i="30" s="1"/>
  <c r="P161" i="32"/>
  <c r="P127" i="35"/>
  <c r="V126" i="35"/>
  <c r="S126" i="35"/>
  <c r="AD311" i="34"/>
  <c r="T97" i="32"/>
  <c r="N98" i="32"/>
  <c r="O66" i="34"/>
  <c r="R65" i="34"/>
  <c r="X65" i="35" s="1"/>
  <c r="U65" i="34"/>
  <c r="U252" i="35"/>
  <c r="O253" i="35"/>
  <c r="Q219" i="35"/>
  <c r="O313" i="35"/>
  <c r="U312" i="35"/>
  <c r="U280" i="35"/>
  <c r="O281" i="35"/>
  <c r="Q7" i="35"/>
  <c r="N8" i="35"/>
  <c r="T7" i="35"/>
  <c r="M343" i="28"/>
  <c r="P342" i="28"/>
  <c r="O101" i="30"/>
  <c r="U100" i="30"/>
  <c r="N251" i="32"/>
  <c r="T250" i="32"/>
  <c r="J384" i="35"/>
  <c r="J386" i="35"/>
  <c r="S341" i="30"/>
  <c r="M342" i="30"/>
  <c r="U255" i="30"/>
  <c r="O256" i="30"/>
  <c r="AA65" i="32"/>
  <c r="N40" i="32"/>
  <c r="AA66" i="32"/>
  <c r="AC66" i="32" s="1"/>
  <c r="Y218" i="34"/>
  <c r="T188" i="34"/>
  <c r="N189" i="34"/>
  <c r="T189" i="35" s="1"/>
  <c r="Q188" i="34"/>
  <c r="U340" i="34"/>
  <c r="O341" i="34"/>
  <c r="R37" i="34"/>
  <c r="O38" i="34"/>
  <c r="U37" i="34"/>
  <c r="J382" i="35"/>
  <c r="Q98" i="34"/>
  <c r="N99" i="34"/>
  <c r="T98" i="34"/>
  <c r="P347" i="35"/>
  <c r="U126" i="35"/>
  <c r="P8" i="35"/>
  <c r="S7" i="35"/>
  <c r="V7" i="35"/>
  <c r="R250" i="34"/>
  <c r="U250" i="34"/>
  <c r="P255" i="35"/>
  <c r="P10" i="34"/>
  <c r="S9" i="34"/>
  <c r="W157" i="35"/>
  <c r="AA157" i="35"/>
  <c r="Y189" i="35"/>
  <c r="AA163" i="35"/>
  <c r="AC163" i="35" s="1"/>
  <c r="O219" i="34"/>
  <c r="R218" i="34"/>
  <c r="U218" i="34"/>
  <c r="S36" i="35"/>
  <c r="Y35" i="35"/>
  <c r="J372" i="35"/>
  <c r="N68" i="35"/>
  <c r="T67" i="35"/>
  <c r="P67" i="35"/>
  <c r="V66" i="35"/>
  <c r="S66" i="35"/>
  <c r="AF158" i="34"/>
  <c r="AF159" i="34" s="1"/>
  <c r="AF160" i="34" s="1"/>
  <c r="AF161" i="34" s="1"/>
  <c r="AF162" i="34" s="1"/>
  <c r="AF163" i="34" s="1"/>
  <c r="AF164" i="34" s="1"/>
  <c r="AF165" i="34" s="1"/>
  <c r="AF166" i="34" s="1"/>
  <c r="AF167" i="34" s="1"/>
  <c r="AF168" i="34" s="1"/>
  <c r="AF169" i="34" s="1"/>
  <c r="AF170" i="34" s="1"/>
  <c r="AF171" i="34" s="1"/>
  <c r="AF172" i="34" s="1"/>
  <c r="AF173" i="34" s="1"/>
  <c r="AF174" i="34" s="1"/>
  <c r="AF175" i="34" s="1"/>
  <c r="AF176" i="34" s="1"/>
  <c r="AF177" i="34" s="1"/>
  <c r="AF178" i="34" s="1"/>
  <c r="AF179" i="34" s="1"/>
  <c r="AF180" i="34" s="1"/>
  <c r="AF181" i="34" s="1"/>
  <c r="AF182" i="34" s="1"/>
  <c r="AF183" i="34" s="1"/>
  <c r="AF184" i="34" s="1"/>
  <c r="AF185" i="34" s="1"/>
  <c r="AG157" i="34"/>
  <c r="Q7" i="28"/>
  <c r="N8" i="28"/>
  <c r="AC144" i="30"/>
  <c r="AC151" i="30" s="1"/>
  <c r="AC137" i="30"/>
  <c r="Q67" i="32"/>
  <c r="N68" i="32"/>
  <c r="T67" i="32"/>
  <c r="U187" i="34"/>
  <c r="R187" i="34"/>
  <c r="O188" i="34"/>
  <c r="U187" i="35"/>
  <c r="O160" i="34"/>
  <c r="U159" i="34"/>
  <c r="R159" i="34"/>
  <c r="P313" i="35"/>
  <c r="V312" i="35"/>
  <c r="N342" i="30"/>
  <c r="T341" i="30"/>
  <c r="T147" i="30"/>
  <c r="N148" i="30"/>
  <c r="V281" i="32"/>
  <c r="P282" i="32"/>
  <c r="AE5" i="32"/>
  <c r="AE6" i="32" s="1"/>
  <c r="AE7" i="32" s="1"/>
  <c r="AE8" i="32" s="1"/>
  <c r="AE9" i="32" s="1"/>
  <c r="AE10" i="32" s="1"/>
  <c r="AE11" i="32" s="1"/>
  <c r="AE12" i="32" s="1"/>
  <c r="AE13" i="32" s="1"/>
  <c r="U67" i="32"/>
  <c r="O342" i="32"/>
  <c r="U341" i="32"/>
  <c r="O343" i="35"/>
  <c r="N39" i="34"/>
  <c r="Q38" i="34"/>
  <c r="T38" i="34"/>
  <c r="J379" i="34"/>
  <c r="M126" i="34"/>
  <c r="M372" i="34" s="1"/>
  <c r="P194" i="35"/>
  <c r="J379" i="35"/>
  <c r="M126" i="35"/>
  <c r="M372" i="35" s="1"/>
  <c r="U97" i="34"/>
  <c r="O98" i="34"/>
  <c r="J383" i="35"/>
  <c r="O220" i="30"/>
  <c r="U219" i="30"/>
  <c r="O312" i="30"/>
  <c r="U311" i="30"/>
  <c r="N10" i="30"/>
  <c r="Q9" i="30"/>
  <c r="W9" i="30" s="1"/>
  <c r="T9" i="30"/>
  <c r="O127" i="32"/>
  <c r="U126" i="32"/>
  <c r="O312" i="32"/>
  <c r="O181" i="32"/>
  <c r="T313" i="32"/>
  <c r="N314" i="32"/>
  <c r="S98" i="30"/>
  <c r="M99" i="30"/>
  <c r="J380" i="34"/>
  <c r="M157" i="34"/>
  <c r="AD251" i="34"/>
  <c r="Y158" i="35"/>
  <c r="AA162" i="35"/>
  <c r="O280" i="34"/>
  <c r="J378" i="35"/>
  <c r="M96" i="35"/>
  <c r="M371" i="35" s="1"/>
  <c r="Q26" i="28"/>
  <c r="N27" i="28"/>
  <c r="N221" i="30"/>
  <c r="T220" i="30"/>
  <c r="M323" i="28"/>
  <c r="P322" i="28"/>
  <c r="T322" i="28" s="1"/>
  <c r="V322" i="28" s="1"/>
  <c r="R9" i="28"/>
  <c r="O10" i="28"/>
  <c r="U281" i="30"/>
  <c r="O282" i="30"/>
  <c r="S158" i="30"/>
  <c r="M159" i="30"/>
  <c r="N282" i="30"/>
  <c r="T281" i="30"/>
  <c r="M98" i="28"/>
  <c r="P91" i="28"/>
  <c r="T91" i="28" s="1"/>
  <c r="V91" i="28" s="1"/>
  <c r="P90" i="28"/>
  <c r="P89" i="28"/>
  <c r="P88" i="28"/>
  <c r="P87" i="28"/>
  <c r="P86" i="28"/>
  <c r="P85" i="28"/>
  <c r="P70" i="28"/>
  <c r="T70" i="28" s="1"/>
  <c r="V70" i="28" s="1"/>
  <c r="P69" i="28"/>
  <c r="P68" i="28"/>
  <c r="P67" i="28"/>
  <c r="P66" i="28"/>
  <c r="P65" i="28"/>
  <c r="P84" i="28"/>
  <c r="T84" i="28" s="1"/>
  <c r="V84" i="28" s="1"/>
  <c r="P83" i="28"/>
  <c r="P82" i="28"/>
  <c r="P81" i="28"/>
  <c r="P80" i="28"/>
  <c r="P79" i="28"/>
  <c r="P78" i="28"/>
  <c r="P73" i="28"/>
  <c r="P94" i="28"/>
  <c r="P76" i="28"/>
  <c r="P95" i="28"/>
  <c r="P93" i="28"/>
  <c r="P75" i="28"/>
  <c r="P72" i="28"/>
  <c r="T63" i="28"/>
  <c r="V63" i="28" s="1"/>
  <c r="V96" i="28" s="1"/>
  <c r="P77" i="28"/>
  <c r="T77" i="28" s="1"/>
  <c r="V77" i="28" s="1"/>
  <c r="P74" i="28"/>
  <c r="T74" i="28" s="1"/>
  <c r="V74" i="28" s="1"/>
  <c r="P71" i="28"/>
  <c r="P92" i="28"/>
  <c r="P189" i="28"/>
  <c r="T189" i="28" s="1"/>
  <c r="V189" i="28" s="1"/>
  <c r="M190" i="28"/>
  <c r="M8" i="28"/>
  <c r="P7" i="28"/>
  <c r="S251" i="30"/>
  <c r="M252" i="30"/>
  <c r="M149" i="30"/>
  <c r="S148" i="30"/>
  <c r="O160" i="30"/>
  <c r="U159" i="30"/>
  <c r="J381" i="32"/>
  <c r="S38" i="30"/>
  <c r="M39" i="30"/>
  <c r="V311" i="32"/>
  <c r="P128" i="32"/>
  <c r="V127" i="32"/>
  <c r="T342" i="32"/>
  <c r="N343" i="32"/>
  <c r="P252" i="32"/>
  <c r="V252" i="34" s="1"/>
  <c r="V251" i="32"/>
  <c r="O132" i="30"/>
  <c r="U131" i="30"/>
  <c r="P7" i="32"/>
  <c r="V6" i="32"/>
  <c r="S6" i="32"/>
  <c r="V6" i="34"/>
  <c r="U281" i="32"/>
  <c r="O282" i="32"/>
  <c r="N161" i="32"/>
  <c r="P180" i="32"/>
  <c r="T66" i="32"/>
  <c r="V98" i="32"/>
  <c r="S98" i="32"/>
  <c r="P99" i="32"/>
  <c r="U98" i="32"/>
  <c r="O99" i="32"/>
  <c r="R98" i="32"/>
  <c r="J376" i="34"/>
  <c r="T97" i="34"/>
  <c r="N127" i="35"/>
  <c r="T126" i="35"/>
  <c r="Q126" i="35"/>
  <c r="Y218" i="35"/>
  <c r="AD218" i="35"/>
  <c r="U249" i="34"/>
  <c r="T98" i="35"/>
  <c r="W159" i="35"/>
  <c r="AA159" i="35"/>
  <c r="O98" i="35"/>
  <c r="U97" i="35"/>
  <c r="V311" i="35"/>
  <c r="J381" i="34"/>
  <c r="T312" i="35"/>
  <c r="N313" i="35"/>
  <c r="P221" i="35"/>
  <c r="V220" i="35"/>
  <c r="T160" i="35"/>
  <c r="V38" i="35"/>
  <c r="S38" i="35"/>
  <c r="P39" i="35"/>
  <c r="W187" i="35"/>
  <c r="AA187" i="35"/>
  <c r="S37" i="35"/>
  <c r="AD65" i="35"/>
  <c r="Y65" i="35"/>
  <c r="AA188" i="35"/>
  <c r="AG36" i="34" l="1"/>
  <c r="AH36" i="36"/>
  <c r="AD189" i="35"/>
  <c r="AG189" i="35" s="1"/>
  <c r="X189" i="36"/>
  <c r="AD190" i="35"/>
  <c r="X190" i="36"/>
  <c r="AE262" i="35"/>
  <c r="AE263" i="35" s="1"/>
  <c r="AE264" i="35" s="1"/>
  <c r="AE265" i="35" s="1"/>
  <c r="AE266" i="35" s="1"/>
  <c r="AE267" i="35" s="1"/>
  <c r="AE268" i="35" s="1"/>
  <c r="AG218" i="35"/>
  <c r="AE220" i="35"/>
  <c r="AE221" i="35" s="1"/>
  <c r="AE222" i="35" s="1"/>
  <c r="AE223" i="35" s="1"/>
  <c r="AE224" i="35" s="1"/>
  <c r="AE225" i="35" s="1"/>
  <c r="AE226" i="35" s="1"/>
  <c r="O282" i="35"/>
  <c r="U281" i="35"/>
  <c r="P139" i="32"/>
  <c r="W6" i="34"/>
  <c r="O72" i="32"/>
  <c r="AD98" i="32"/>
  <c r="S252" i="30"/>
  <c r="M253" i="30"/>
  <c r="R10" i="28"/>
  <c r="O11" i="28"/>
  <c r="U127" i="32"/>
  <c r="O128" i="32"/>
  <c r="U312" i="30"/>
  <c r="O313" i="30"/>
  <c r="U342" i="32"/>
  <c r="O343" i="32"/>
  <c r="U38" i="32"/>
  <c r="O39" i="32"/>
  <c r="R37" i="35"/>
  <c r="X37" i="35" s="1"/>
  <c r="U37" i="35"/>
  <c r="O38" i="35"/>
  <c r="O10" i="32"/>
  <c r="R9" i="32"/>
  <c r="X9" i="32" s="1"/>
  <c r="U9" i="32"/>
  <c r="N161" i="30"/>
  <c r="T160" i="30"/>
  <c r="T39" i="34"/>
  <c r="Q39" i="34"/>
  <c r="N40" i="34"/>
  <c r="N149" i="30"/>
  <c r="T148" i="30"/>
  <c r="N69" i="32"/>
  <c r="Q68" i="32"/>
  <c r="P128" i="35"/>
  <c r="V127" i="35"/>
  <c r="S127" i="35"/>
  <c r="R99" i="32"/>
  <c r="O100" i="32"/>
  <c r="U99" i="32"/>
  <c r="P129" i="32"/>
  <c r="V128" i="32"/>
  <c r="V128" i="34"/>
  <c r="T221" i="30"/>
  <c r="N222" i="30"/>
  <c r="S99" i="30"/>
  <c r="M100" i="30"/>
  <c r="U312" i="32"/>
  <c r="U312" i="34"/>
  <c r="O313" i="32"/>
  <c r="T10" i="30"/>
  <c r="N11" i="30"/>
  <c r="Q10" i="30"/>
  <c r="W10" i="30" s="1"/>
  <c r="P283" i="32"/>
  <c r="V282" i="32"/>
  <c r="X187" i="35"/>
  <c r="Q8" i="28"/>
  <c r="N9" i="28"/>
  <c r="AD218" i="34"/>
  <c r="AG218" i="34" s="1"/>
  <c r="X218" i="35"/>
  <c r="O342" i="34"/>
  <c r="U341" i="34"/>
  <c r="R341" i="34"/>
  <c r="U341" i="35"/>
  <c r="N252" i="32"/>
  <c r="T251" i="32"/>
  <c r="N9" i="35"/>
  <c r="Q8" i="35"/>
  <c r="T8" i="35"/>
  <c r="AG311" i="34"/>
  <c r="P162" i="32"/>
  <c r="M314" i="30"/>
  <c r="T314" i="32" s="1"/>
  <c r="S313" i="30"/>
  <c r="Q161" i="34"/>
  <c r="N162" i="34"/>
  <c r="T161" i="34"/>
  <c r="T161" i="35"/>
  <c r="R9" i="35"/>
  <c r="O10" i="35"/>
  <c r="S131" i="34"/>
  <c r="P132" i="34"/>
  <c r="X36" i="35"/>
  <c r="N101" i="35"/>
  <c r="Y159" i="35"/>
  <c r="AD159" i="34"/>
  <c r="AG159" i="34" s="1"/>
  <c r="U250" i="32"/>
  <c r="O251" i="32"/>
  <c r="S67" i="30"/>
  <c r="M68" i="30"/>
  <c r="W6" i="32"/>
  <c r="AA6" i="32"/>
  <c r="U160" i="32"/>
  <c r="S281" i="30"/>
  <c r="M282" i="30"/>
  <c r="N69" i="34"/>
  <c r="Q68" i="34"/>
  <c r="T68" i="34"/>
  <c r="W188" i="35"/>
  <c r="P222" i="35"/>
  <c r="S221" i="35"/>
  <c r="N162" i="32"/>
  <c r="P8" i="32"/>
  <c r="V7" i="32"/>
  <c r="S7" i="32"/>
  <c r="V7" i="34"/>
  <c r="M150" i="30"/>
  <c r="S149" i="30"/>
  <c r="P125" i="28"/>
  <c r="P128" i="28" s="1"/>
  <c r="P116" i="28"/>
  <c r="P115" i="28"/>
  <c r="T115" i="28" s="1"/>
  <c r="V115" i="28" s="1"/>
  <c r="T95" i="28"/>
  <c r="P96" i="28"/>
  <c r="P117" i="28"/>
  <c r="P97" i="28"/>
  <c r="U282" i="30"/>
  <c r="O283" i="30"/>
  <c r="Q27" i="28"/>
  <c r="N28" i="28"/>
  <c r="P314" i="35"/>
  <c r="V313" i="35"/>
  <c r="O220" i="34"/>
  <c r="R219" i="34"/>
  <c r="AD219" i="34" s="1"/>
  <c r="AG219" i="34" s="1"/>
  <c r="U219" i="34"/>
  <c r="U219" i="35"/>
  <c r="AD250" i="34"/>
  <c r="AG250" i="34" s="1"/>
  <c r="N100" i="34"/>
  <c r="T100" i="35" s="1"/>
  <c r="Q99" i="34"/>
  <c r="M343" i="30"/>
  <c r="S342" i="30"/>
  <c r="AA7" i="35"/>
  <c r="W7" i="35"/>
  <c r="P192" i="34"/>
  <c r="S191" i="34"/>
  <c r="T222" i="32"/>
  <c r="N223" i="32"/>
  <c r="U68" i="30"/>
  <c r="O69" i="30"/>
  <c r="Q251" i="34"/>
  <c r="T251" i="34"/>
  <c r="N252" i="34"/>
  <c r="T251" i="35"/>
  <c r="O68" i="35"/>
  <c r="R67" i="35"/>
  <c r="M361" i="28"/>
  <c r="P360" i="28"/>
  <c r="T99" i="35"/>
  <c r="T7" i="34"/>
  <c r="N8" i="34"/>
  <c r="Q7" i="34"/>
  <c r="W7" i="34" s="1"/>
  <c r="O191" i="32"/>
  <c r="M224" i="30"/>
  <c r="S223" i="30"/>
  <c r="V281" i="34"/>
  <c r="P282" i="34"/>
  <c r="V281" i="35"/>
  <c r="T7" i="32"/>
  <c r="Q7" i="32"/>
  <c r="N8" i="32"/>
  <c r="N38" i="35"/>
  <c r="Q37" i="35"/>
  <c r="T37" i="35"/>
  <c r="O128" i="34"/>
  <c r="U127" i="34"/>
  <c r="P138" i="28"/>
  <c r="M139" i="28"/>
  <c r="M40" i="30"/>
  <c r="T40" i="32" s="1"/>
  <c r="S39" i="30"/>
  <c r="AC340" i="30"/>
  <c r="AC347" i="30" s="1"/>
  <c r="AC354" i="30" s="1"/>
  <c r="AC361" i="30" s="1"/>
  <c r="AC368" i="30" s="1"/>
  <c r="AC370" i="30" s="1"/>
  <c r="AC339" i="30"/>
  <c r="N343" i="35"/>
  <c r="T342" i="35"/>
  <c r="P161" i="34"/>
  <c r="V160" i="34"/>
  <c r="S160" i="34"/>
  <c r="AG65" i="35"/>
  <c r="U282" i="32"/>
  <c r="O283" i="32"/>
  <c r="R66" i="34"/>
  <c r="U66" i="34"/>
  <c r="O67" i="34"/>
  <c r="P254" i="34"/>
  <c r="S253" i="34"/>
  <c r="V253" i="35"/>
  <c r="V67" i="34"/>
  <c r="P68" i="34"/>
  <c r="S67" i="34"/>
  <c r="AA219" i="34"/>
  <c r="S10" i="34"/>
  <c r="P11" i="34"/>
  <c r="N190" i="34"/>
  <c r="T189" i="34"/>
  <c r="Q189" i="34"/>
  <c r="O47" i="28"/>
  <c r="R46" i="28"/>
  <c r="P100" i="34"/>
  <c r="V99" i="34"/>
  <c r="N190" i="32"/>
  <c r="T189" i="32"/>
  <c r="T188" i="30"/>
  <c r="U188" i="32"/>
  <c r="N189" i="30"/>
  <c r="O149" i="30"/>
  <c r="U148" i="30"/>
  <c r="U132" i="30"/>
  <c r="O133" i="30"/>
  <c r="U280" i="34"/>
  <c r="O281" i="34"/>
  <c r="AG251" i="34"/>
  <c r="U220" i="30"/>
  <c r="O221" i="30"/>
  <c r="P195" i="35"/>
  <c r="S194" i="35"/>
  <c r="Y194" i="36" s="1"/>
  <c r="U160" i="34"/>
  <c r="O161" i="34"/>
  <c r="R160" i="34"/>
  <c r="AA67" i="32"/>
  <c r="AC67" i="32" s="1"/>
  <c r="AD66" i="35"/>
  <c r="AG66" i="35" s="1"/>
  <c r="Y66" i="35"/>
  <c r="Y36" i="35"/>
  <c r="AD36" i="35"/>
  <c r="U38" i="34"/>
  <c r="O39" i="34"/>
  <c r="R38" i="34"/>
  <c r="U313" i="35"/>
  <c r="O314" i="35"/>
  <c r="P314" i="32"/>
  <c r="V313" i="32"/>
  <c r="R315" i="34"/>
  <c r="O316" i="34"/>
  <c r="M129" i="28"/>
  <c r="AD340" i="34"/>
  <c r="AG340" i="34" s="1"/>
  <c r="AD341" i="34"/>
  <c r="AG341" i="34" s="1"/>
  <c r="N166" i="35"/>
  <c r="Q165" i="35"/>
  <c r="W165" i="36" s="1"/>
  <c r="N283" i="34"/>
  <c r="T282" i="34"/>
  <c r="X8" i="32"/>
  <c r="U39" i="30"/>
  <c r="O40" i="30"/>
  <c r="N40" i="30"/>
  <c r="T39" i="30"/>
  <c r="T128" i="32"/>
  <c r="N129" i="32"/>
  <c r="P68" i="32"/>
  <c r="V67" i="32"/>
  <c r="N99" i="30"/>
  <c r="T98" i="30"/>
  <c r="AA126" i="35"/>
  <c r="AD126" i="35"/>
  <c r="AG126" i="35" s="1"/>
  <c r="Y126" i="35"/>
  <c r="AD252" i="34"/>
  <c r="N40" i="28"/>
  <c r="Q39" i="28"/>
  <c r="T220" i="34"/>
  <c r="N221" i="34"/>
  <c r="Q220" i="34"/>
  <c r="M8" i="30"/>
  <c r="S7" i="30"/>
  <c r="P7" i="30"/>
  <c r="V7" i="30" s="1"/>
  <c r="N344" i="32"/>
  <c r="N315" i="32"/>
  <c r="R7" i="30"/>
  <c r="X7" i="30" s="1"/>
  <c r="O8" i="30"/>
  <c r="U7" i="30"/>
  <c r="AA164" i="35"/>
  <c r="P9" i="35"/>
  <c r="S8" i="35"/>
  <c r="V8" i="35"/>
  <c r="AA311" i="34"/>
  <c r="AC311" i="34" s="1"/>
  <c r="AD37" i="34"/>
  <c r="AG37" i="34" s="1"/>
  <c r="R253" i="34"/>
  <c r="O254" i="34"/>
  <c r="O192" i="35"/>
  <c r="R191" i="35"/>
  <c r="M9" i="28"/>
  <c r="P8" i="28"/>
  <c r="T282" i="30"/>
  <c r="N283" i="30"/>
  <c r="M324" i="28"/>
  <c r="P323" i="28"/>
  <c r="O344" i="35"/>
  <c r="P348" i="35"/>
  <c r="N41" i="32"/>
  <c r="M344" i="28"/>
  <c r="P343" i="28"/>
  <c r="T343" i="28" s="1"/>
  <c r="V343" i="28" s="1"/>
  <c r="W219" i="35"/>
  <c r="AA219" i="35"/>
  <c r="AC219" i="35" s="1"/>
  <c r="N99" i="32"/>
  <c r="T99" i="34" s="1"/>
  <c r="T98" i="32"/>
  <c r="N252" i="30"/>
  <c r="T251" i="30"/>
  <c r="P286" i="35"/>
  <c r="U6" i="34"/>
  <c r="O7" i="34"/>
  <c r="R6" i="34"/>
  <c r="U6" i="35"/>
  <c r="P313" i="34"/>
  <c r="V312" i="34"/>
  <c r="S312" i="34"/>
  <c r="N139" i="32"/>
  <c r="M120" i="28"/>
  <c r="P119" i="28"/>
  <c r="T119" i="28" s="1"/>
  <c r="V119" i="28" s="1"/>
  <c r="N191" i="35"/>
  <c r="T190" i="35"/>
  <c r="Q190" i="35"/>
  <c r="V98" i="35"/>
  <c r="P99" i="35"/>
  <c r="O222" i="32"/>
  <c r="U221" i="32"/>
  <c r="O222" i="35"/>
  <c r="R221" i="35"/>
  <c r="V38" i="34"/>
  <c r="P39" i="34"/>
  <c r="S38" i="34"/>
  <c r="Y38" i="35" s="1"/>
  <c r="O159" i="35"/>
  <c r="U158" i="35"/>
  <c r="R158" i="35"/>
  <c r="X158" i="36" s="1"/>
  <c r="O140" i="32"/>
  <c r="V220" i="32"/>
  <c r="P221" i="32"/>
  <c r="S220" i="32"/>
  <c r="M40" i="28"/>
  <c r="P39" i="28"/>
  <c r="N180" i="32"/>
  <c r="Y190" i="35"/>
  <c r="N316" i="30"/>
  <c r="T315" i="30"/>
  <c r="N221" i="35"/>
  <c r="T220" i="35"/>
  <c r="Q220" i="35"/>
  <c r="N314" i="35"/>
  <c r="V99" i="32"/>
  <c r="P100" i="32"/>
  <c r="S99" i="32"/>
  <c r="P253" i="32"/>
  <c r="V252" i="32"/>
  <c r="M99" i="28"/>
  <c r="P98" i="28"/>
  <c r="T98" i="28" s="1"/>
  <c r="V98" i="28" s="1"/>
  <c r="N69" i="35"/>
  <c r="T68" i="35"/>
  <c r="Q68" i="35"/>
  <c r="R31" i="28"/>
  <c r="O32" i="28"/>
  <c r="O190" i="30"/>
  <c r="U189" i="30"/>
  <c r="AD66" i="34"/>
  <c r="AG66" i="34" s="1"/>
  <c r="P190" i="32"/>
  <c r="V189" i="32"/>
  <c r="V189" i="34"/>
  <c r="AD65" i="34"/>
  <c r="AG65" i="34" s="1"/>
  <c r="AD7" i="35"/>
  <c r="AG7" i="35" s="1"/>
  <c r="Y7" i="35"/>
  <c r="T312" i="34"/>
  <c r="Q312" i="34"/>
  <c r="N313" i="34"/>
  <c r="AF340" i="30"/>
  <c r="AF347" i="30" s="1"/>
  <c r="AF354" i="30" s="1"/>
  <c r="AF361" i="30" s="1"/>
  <c r="AF368" i="30" s="1"/>
  <c r="AF370" i="30" s="1"/>
  <c r="AF339" i="30"/>
  <c r="W6" i="35"/>
  <c r="N284" i="35"/>
  <c r="V39" i="35"/>
  <c r="P40" i="35"/>
  <c r="S39" i="35"/>
  <c r="Q127" i="35"/>
  <c r="T127" i="35"/>
  <c r="N128" i="35"/>
  <c r="U101" i="30"/>
  <c r="O102" i="30"/>
  <c r="V312" i="32"/>
  <c r="X5" i="34"/>
  <c r="AD5" i="34"/>
  <c r="AG5" i="34" s="1"/>
  <c r="X5" i="35"/>
  <c r="N130" i="30"/>
  <c r="T129" i="30"/>
  <c r="R125" i="28"/>
  <c r="R124" i="28"/>
  <c r="R120" i="28"/>
  <c r="R119" i="28"/>
  <c r="R108" i="28"/>
  <c r="R99" i="28"/>
  <c r="R122" i="28"/>
  <c r="R117" i="28"/>
  <c r="R112" i="28"/>
  <c r="R103" i="28"/>
  <c r="R123" i="28"/>
  <c r="R118" i="28"/>
  <c r="R106" i="28"/>
  <c r="R105" i="28"/>
  <c r="R96" i="28"/>
  <c r="R121" i="28"/>
  <c r="R114" i="28"/>
  <c r="R109" i="28"/>
  <c r="R97" i="28"/>
  <c r="R113" i="28"/>
  <c r="R102" i="28"/>
  <c r="R111" i="28"/>
  <c r="R115" i="28"/>
  <c r="R116" i="28"/>
  <c r="R101" i="28"/>
  <c r="R98" i="28"/>
  <c r="R104" i="28"/>
  <c r="R110" i="28"/>
  <c r="R107" i="28"/>
  <c r="R100" i="28"/>
  <c r="P49" i="28"/>
  <c r="M50" i="28"/>
  <c r="Y219" i="34"/>
  <c r="N254" i="35"/>
  <c r="Y37" i="35"/>
  <c r="AD37" i="35"/>
  <c r="AG37" i="35" s="1"/>
  <c r="O99" i="35"/>
  <c r="U98" i="35"/>
  <c r="P181" i="32"/>
  <c r="AD6" i="32"/>
  <c r="AG6" i="32" s="1"/>
  <c r="Y6" i="32"/>
  <c r="Y6" i="34"/>
  <c r="O161" i="30"/>
  <c r="U160" i="30"/>
  <c r="M191" i="28"/>
  <c r="P190" i="28"/>
  <c r="S159" i="30"/>
  <c r="M160" i="30"/>
  <c r="T159" i="32"/>
  <c r="O182" i="32"/>
  <c r="U98" i="34"/>
  <c r="O99" i="34"/>
  <c r="AD187" i="34"/>
  <c r="AG187" i="34" s="1"/>
  <c r="N343" i="30"/>
  <c r="T342" i="30"/>
  <c r="U188" i="34"/>
  <c r="R188" i="34"/>
  <c r="U188" i="35"/>
  <c r="O189" i="34"/>
  <c r="V67" i="35"/>
  <c r="S67" i="35"/>
  <c r="P68" i="35"/>
  <c r="P256" i="35"/>
  <c r="T39" i="32"/>
  <c r="O257" i="30"/>
  <c r="U256" i="30"/>
  <c r="O254" i="35"/>
  <c r="U253" i="35"/>
  <c r="V160" i="32"/>
  <c r="R128" i="35"/>
  <c r="U128" i="35"/>
  <c r="O129" i="35"/>
  <c r="P344" i="34"/>
  <c r="V343" i="35"/>
  <c r="P41" i="32"/>
  <c r="P118" i="28"/>
  <c r="P343" i="32"/>
  <c r="V342" i="32"/>
  <c r="M131" i="30"/>
  <c r="S130" i="30"/>
  <c r="P161" i="35"/>
  <c r="V160" i="35"/>
  <c r="S160" i="35"/>
  <c r="Y160" i="36" s="1"/>
  <c r="AG219" i="35"/>
  <c r="P221" i="34"/>
  <c r="V220" i="34"/>
  <c r="S220" i="34"/>
  <c r="T343" i="34"/>
  <c r="N344" i="34"/>
  <c r="Q343" i="34"/>
  <c r="O344" i="30"/>
  <c r="U343" i="30"/>
  <c r="N130" i="34"/>
  <c r="T129" i="34"/>
  <c r="U161" i="32"/>
  <c r="O162" i="32"/>
  <c r="T282" i="32"/>
  <c r="N283" i="32"/>
  <c r="W36" i="35"/>
  <c r="AA36" i="35"/>
  <c r="W67" i="34"/>
  <c r="N69" i="30"/>
  <c r="T68" i="30"/>
  <c r="U68" i="32"/>
  <c r="S191" i="30"/>
  <c r="M192" i="30"/>
  <c r="AG190" i="35" l="1"/>
  <c r="W190" i="36"/>
  <c r="AD191" i="35"/>
  <c r="X191" i="36"/>
  <c r="AE269" i="35"/>
  <c r="AE270" i="35" s="1"/>
  <c r="AE271" i="35" s="1"/>
  <c r="AE272" i="35" s="1"/>
  <c r="AE273" i="35" s="1"/>
  <c r="AE274" i="35" s="1"/>
  <c r="AE275" i="35" s="1"/>
  <c r="AE227" i="35"/>
  <c r="AE228" i="35" s="1"/>
  <c r="AE229" i="35" s="1"/>
  <c r="AE230" i="35" s="1"/>
  <c r="AE231" i="35" s="1"/>
  <c r="AE232" i="35" s="1"/>
  <c r="AE233" i="35" s="1"/>
  <c r="T69" i="30"/>
  <c r="N70" i="30"/>
  <c r="U69" i="32"/>
  <c r="S131" i="30"/>
  <c r="M132" i="30"/>
  <c r="O258" i="30"/>
  <c r="U257" i="30"/>
  <c r="O103" i="30"/>
  <c r="U102" i="30"/>
  <c r="S40" i="35"/>
  <c r="P41" i="35"/>
  <c r="V40" i="35"/>
  <c r="N70" i="35"/>
  <c r="Q69" i="35"/>
  <c r="T69" i="35"/>
  <c r="M41" i="28"/>
  <c r="P40" i="28"/>
  <c r="O223" i="35"/>
  <c r="R222" i="35"/>
  <c r="U67" i="34"/>
  <c r="R67" i="34"/>
  <c r="X67" i="35" s="1"/>
  <c r="O68" i="34"/>
  <c r="Y221" i="35"/>
  <c r="AD221" i="35"/>
  <c r="O40" i="32"/>
  <c r="U39" i="32"/>
  <c r="P191" i="28"/>
  <c r="M192" i="28"/>
  <c r="N131" i="30"/>
  <c r="T130" i="30"/>
  <c r="N315" i="35"/>
  <c r="AD312" i="34"/>
  <c r="AG312" i="34" s="1"/>
  <c r="P8" i="30"/>
  <c r="V8" i="30" s="1"/>
  <c r="M9" i="30"/>
  <c r="S8" i="30"/>
  <c r="AD67" i="34"/>
  <c r="AG67" i="34" s="1"/>
  <c r="U128" i="34"/>
  <c r="O129" i="34"/>
  <c r="O192" i="32"/>
  <c r="W68" i="34"/>
  <c r="Q162" i="34"/>
  <c r="N163" i="34"/>
  <c r="T162" i="34"/>
  <c r="T162" i="35"/>
  <c r="N253" i="32"/>
  <c r="T252" i="32"/>
  <c r="N70" i="32"/>
  <c r="Q69" i="32"/>
  <c r="T69" i="32"/>
  <c r="Y191" i="35"/>
  <c r="U128" i="32"/>
  <c r="O129" i="32"/>
  <c r="O73" i="32"/>
  <c r="O283" i="35"/>
  <c r="U282" i="35"/>
  <c r="AC36" i="35"/>
  <c r="P344" i="32"/>
  <c r="V343" i="32"/>
  <c r="N255" i="35"/>
  <c r="N285" i="35"/>
  <c r="T284" i="35"/>
  <c r="N314" i="34"/>
  <c r="Q313" i="34"/>
  <c r="T313" i="34"/>
  <c r="M100" i="28"/>
  <c r="P99" i="28"/>
  <c r="T313" i="35"/>
  <c r="S221" i="32"/>
  <c r="P222" i="32"/>
  <c r="V221" i="32"/>
  <c r="P287" i="35"/>
  <c r="M10" i="28"/>
  <c r="P9" i="28"/>
  <c r="T283" i="34"/>
  <c r="N284" i="34"/>
  <c r="AG36" i="35"/>
  <c r="O162" i="34"/>
  <c r="R161" i="34"/>
  <c r="U161" i="34"/>
  <c r="O282" i="34"/>
  <c r="U281" i="34"/>
  <c r="T190" i="32"/>
  <c r="N191" i="32"/>
  <c r="S11" i="34"/>
  <c r="P12" i="34"/>
  <c r="V68" i="34"/>
  <c r="P69" i="34"/>
  <c r="S68" i="34"/>
  <c r="AD160" i="34"/>
  <c r="AG160" i="34" s="1"/>
  <c r="V282" i="34"/>
  <c r="P283" i="34"/>
  <c r="V282" i="35"/>
  <c r="AD7" i="32"/>
  <c r="AG7" i="32" s="1"/>
  <c r="Y7" i="32"/>
  <c r="Y7" i="34"/>
  <c r="V221" i="35"/>
  <c r="T69" i="34"/>
  <c r="Q69" i="34"/>
  <c r="W69" i="34" s="1"/>
  <c r="N70" i="34"/>
  <c r="M69" i="30"/>
  <c r="S68" i="30"/>
  <c r="W161" i="35"/>
  <c r="P163" i="32"/>
  <c r="N10" i="28"/>
  <c r="Q9" i="28"/>
  <c r="T11" i="30"/>
  <c r="N12" i="30"/>
  <c r="Q11" i="30"/>
  <c r="W11" i="30" s="1"/>
  <c r="N223" i="30"/>
  <c r="T222" i="30"/>
  <c r="O101" i="32"/>
  <c r="R100" i="32"/>
  <c r="T68" i="32"/>
  <c r="P257" i="35"/>
  <c r="X188" i="35"/>
  <c r="AD188" i="34"/>
  <c r="AG188" i="34" s="1"/>
  <c r="U161" i="30"/>
  <c r="O162" i="30"/>
  <c r="V162" i="32" s="1"/>
  <c r="T128" i="35"/>
  <c r="Q128" i="35"/>
  <c r="N129" i="35"/>
  <c r="T283" i="35"/>
  <c r="V190" i="32"/>
  <c r="P191" i="32"/>
  <c r="V190" i="34"/>
  <c r="AD38" i="34"/>
  <c r="AG38" i="34" s="1"/>
  <c r="U222" i="32"/>
  <c r="O223" i="32"/>
  <c r="P314" i="34"/>
  <c r="V313" i="34"/>
  <c r="S313" i="34"/>
  <c r="M345" i="28"/>
  <c r="P344" i="28"/>
  <c r="O345" i="35"/>
  <c r="X66" i="35"/>
  <c r="AA220" i="34"/>
  <c r="AC220" i="34" s="1"/>
  <c r="T129" i="32"/>
  <c r="N130" i="32"/>
  <c r="T40" i="30"/>
  <c r="N41" i="30"/>
  <c r="AA165" i="35"/>
  <c r="O315" i="35"/>
  <c r="U314" i="35"/>
  <c r="W37" i="35"/>
  <c r="AA37" i="35"/>
  <c r="T8" i="34"/>
  <c r="Q8" i="34"/>
  <c r="N9" i="34"/>
  <c r="Q28" i="28"/>
  <c r="N29" i="28"/>
  <c r="P223" i="35"/>
  <c r="S222" i="35"/>
  <c r="M283" i="30"/>
  <c r="S282" i="30"/>
  <c r="R10" i="35"/>
  <c r="O11" i="35"/>
  <c r="V161" i="32"/>
  <c r="N162" i="30"/>
  <c r="T161" i="30"/>
  <c r="U38" i="35"/>
  <c r="O39" i="35"/>
  <c r="R38" i="35"/>
  <c r="R11" i="28"/>
  <c r="O12" i="28"/>
  <c r="U162" i="32"/>
  <c r="O163" i="32"/>
  <c r="O130" i="35"/>
  <c r="U129" i="35"/>
  <c r="R129" i="35"/>
  <c r="O33" i="28"/>
  <c r="R33" i="28" s="1"/>
  <c r="R32" i="28"/>
  <c r="M151" i="30"/>
  <c r="S150" i="30"/>
  <c r="S314" i="30"/>
  <c r="M315" i="30"/>
  <c r="T315" i="32" s="1"/>
  <c r="Y160" i="35"/>
  <c r="U99" i="34"/>
  <c r="O100" i="34"/>
  <c r="Q191" i="35"/>
  <c r="W191" i="36" s="1"/>
  <c r="N192" i="35"/>
  <c r="P349" i="35"/>
  <c r="AA220" i="35"/>
  <c r="W220" i="35"/>
  <c r="V99" i="35"/>
  <c r="P100" i="35"/>
  <c r="T252" i="30"/>
  <c r="N253" i="30"/>
  <c r="N316" i="32"/>
  <c r="O41" i="30"/>
  <c r="U40" i="30"/>
  <c r="M130" i="28"/>
  <c r="P129" i="28"/>
  <c r="O150" i="30"/>
  <c r="U149" i="30"/>
  <c r="W189" i="35"/>
  <c r="S343" i="30"/>
  <c r="M344" i="30"/>
  <c r="AD127" i="35"/>
  <c r="AG127" i="35" s="1"/>
  <c r="Y127" i="35"/>
  <c r="O344" i="32"/>
  <c r="U343" i="32"/>
  <c r="T130" i="34"/>
  <c r="N131" i="34"/>
  <c r="V343" i="34"/>
  <c r="AA127" i="35"/>
  <c r="AA68" i="35"/>
  <c r="W68" i="35"/>
  <c r="O141" i="32"/>
  <c r="AD6" i="34"/>
  <c r="AG6" i="34" s="1"/>
  <c r="X6" i="34"/>
  <c r="X6" i="35"/>
  <c r="O9" i="30"/>
  <c r="U8" i="30"/>
  <c r="R8" i="30"/>
  <c r="X8" i="30" s="1"/>
  <c r="N345" i="32"/>
  <c r="T344" i="32"/>
  <c r="N167" i="35"/>
  <c r="Q166" i="35"/>
  <c r="W166" i="36" s="1"/>
  <c r="O317" i="34"/>
  <c r="R316" i="34"/>
  <c r="P196" i="35"/>
  <c r="S195" i="35"/>
  <c r="Y195" i="36" s="1"/>
  <c r="P101" i="34"/>
  <c r="V100" i="34"/>
  <c r="AD253" i="34"/>
  <c r="U283" i="32"/>
  <c r="O284" i="32"/>
  <c r="P139" i="28"/>
  <c r="M140" i="28"/>
  <c r="O69" i="35"/>
  <c r="U68" i="35"/>
  <c r="R68" i="35"/>
  <c r="R220" i="34"/>
  <c r="U220" i="34"/>
  <c r="O221" i="34"/>
  <c r="U220" i="35"/>
  <c r="O284" i="30"/>
  <c r="U283" i="30"/>
  <c r="P156" i="28"/>
  <c r="T125" i="28"/>
  <c r="V125" i="28" s="1"/>
  <c r="V127" i="28" s="1"/>
  <c r="P135" i="28"/>
  <c r="T135" i="28" s="1"/>
  <c r="V135" i="28" s="1"/>
  <c r="P136" i="28"/>
  <c r="P126" i="28"/>
  <c r="T126" i="28" s="1"/>
  <c r="V126" i="28" s="1"/>
  <c r="P127" i="28"/>
  <c r="P137" i="28"/>
  <c r="O252" i="32"/>
  <c r="U251" i="32"/>
  <c r="U251" i="34"/>
  <c r="N102" i="35"/>
  <c r="O343" i="34"/>
  <c r="U342" i="34"/>
  <c r="R342" i="34"/>
  <c r="U342" i="35"/>
  <c r="S253" i="30"/>
  <c r="M254" i="30"/>
  <c r="V41" i="32"/>
  <c r="P42" i="32"/>
  <c r="T316" i="30"/>
  <c r="N317" i="30"/>
  <c r="O255" i="34"/>
  <c r="R254" i="34"/>
  <c r="M362" i="28"/>
  <c r="P361" i="28"/>
  <c r="V283" i="32"/>
  <c r="P284" i="32"/>
  <c r="AA68" i="32"/>
  <c r="U159" i="35"/>
  <c r="O160" i="35"/>
  <c r="R159" i="35"/>
  <c r="X159" i="36" s="1"/>
  <c r="V68" i="32"/>
  <c r="P69" i="32"/>
  <c r="AD220" i="34"/>
  <c r="AG220" i="34" s="1"/>
  <c r="Y220" i="34"/>
  <c r="Y220" i="35"/>
  <c r="O183" i="32"/>
  <c r="N181" i="32"/>
  <c r="N222" i="34"/>
  <c r="T221" i="34"/>
  <c r="Q221" i="34"/>
  <c r="O134" i="30"/>
  <c r="U133" i="30"/>
  <c r="V161" i="34"/>
  <c r="P162" i="34"/>
  <c r="S161" i="34"/>
  <c r="Q38" i="35"/>
  <c r="N39" i="35"/>
  <c r="T38" i="35"/>
  <c r="U67" i="35"/>
  <c r="T283" i="32"/>
  <c r="N284" i="32"/>
  <c r="P222" i="34"/>
  <c r="V222" i="35" s="1"/>
  <c r="V221" i="34"/>
  <c r="S221" i="34"/>
  <c r="AG220" i="35"/>
  <c r="O255" i="35"/>
  <c r="U254" i="35"/>
  <c r="P69" i="35"/>
  <c r="V68" i="35"/>
  <c r="S68" i="35"/>
  <c r="N344" i="30"/>
  <c r="T343" i="30"/>
  <c r="M161" i="30"/>
  <c r="S160" i="30"/>
  <c r="T160" i="32"/>
  <c r="O100" i="35"/>
  <c r="U99" i="35"/>
  <c r="R155" i="28"/>
  <c r="R145" i="28"/>
  <c r="R144" i="28"/>
  <c r="R143" i="28"/>
  <c r="R142" i="28"/>
  <c r="R141" i="28"/>
  <c r="R140" i="28"/>
  <c r="R139" i="28"/>
  <c r="R138" i="28"/>
  <c r="R137" i="28"/>
  <c r="R136" i="28"/>
  <c r="R148" i="28"/>
  <c r="R147" i="28"/>
  <c r="R132" i="28"/>
  <c r="R153" i="28"/>
  <c r="R135" i="28"/>
  <c r="R128" i="28"/>
  <c r="R127" i="28"/>
  <c r="R126" i="28"/>
  <c r="R146" i="28"/>
  <c r="R130" i="28"/>
  <c r="R152" i="28"/>
  <c r="R149" i="28"/>
  <c r="R134" i="28"/>
  <c r="R151" i="28"/>
  <c r="R129" i="28"/>
  <c r="R156" i="28"/>
  <c r="R154" i="28"/>
  <c r="R150" i="28"/>
  <c r="R131" i="28"/>
  <c r="R133" i="28"/>
  <c r="AD99" i="32"/>
  <c r="T221" i="35"/>
  <c r="N222" i="35"/>
  <c r="Q221" i="35"/>
  <c r="O8" i="34"/>
  <c r="R7" i="34"/>
  <c r="U7" i="34"/>
  <c r="U7" i="35"/>
  <c r="M325" i="28"/>
  <c r="P324" i="28"/>
  <c r="O193" i="35"/>
  <c r="R192" i="35"/>
  <c r="X192" i="36" s="1"/>
  <c r="Y8" i="35"/>
  <c r="AD8" i="35"/>
  <c r="AG8" i="35" s="1"/>
  <c r="T343" i="32"/>
  <c r="N190" i="30"/>
  <c r="T189" i="30"/>
  <c r="U189" i="32"/>
  <c r="V254" i="34"/>
  <c r="S254" i="34"/>
  <c r="P255" i="34"/>
  <c r="T343" i="35"/>
  <c r="N344" i="35"/>
  <c r="T8" i="32"/>
  <c r="N9" i="32"/>
  <c r="Q8" i="32"/>
  <c r="M225" i="30"/>
  <c r="S224" i="30"/>
  <c r="O70" i="30"/>
  <c r="U69" i="30"/>
  <c r="P193" i="34"/>
  <c r="S192" i="34"/>
  <c r="V192" i="35"/>
  <c r="AA8" i="35"/>
  <c r="AC8" i="35" s="1"/>
  <c r="W8" i="35"/>
  <c r="V128" i="35"/>
  <c r="S128" i="35"/>
  <c r="P129" i="35"/>
  <c r="T40" i="34"/>
  <c r="N41" i="34"/>
  <c r="Q40" i="34"/>
  <c r="O314" i="30"/>
  <c r="U313" i="30"/>
  <c r="N140" i="32"/>
  <c r="N224" i="32"/>
  <c r="T223" i="32"/>
  <c r="N345" i="34"/>
  <c r="T344" i="34"/>
  <c r="Q344" i="34"/>
  <c r="U189" i="34"/>
  <c r="O190" i="34"/>
  <c r="R189" i="34"/>
  <c r="U189" i="35"/>
  <c r="P182" i="32"/>
  <c r="P315" i="32"/>
  <c r="V314" i="32"/>
  <c r="M193" i="30"/>
  <c r="S192" i="30"/>
  <c r="V161" i="35"/>
  <c r="P162" i="35"/>
  <c r="S161" i="35"/>
  <c r="Y161" i="36" s="1"/>
  <c r="V344" i="34"/>
  <c r="P345" i="34"/>
  <c r="V344" i="35"/>
  <c r="S344" i="34"/>
  <c r="V253" i="32"/>
  <c r="P254" i="32"/>
  <c r="V39" i="34"/>
  <c r="P40" i="34"/>
  <c r="S39" i="34"/>
  <c r="Y39" i="35" s="1"/>
  <c r="M121" i="28"/>
  <c r="P120" i="28"/>
  <c r="N42" i="32"/>
  <c r="T41" i="32"/>
  <c r="M41" i="30"/>
  <c r="S40" i="30"/>
  <c r="X219" i="35"/>
  <c r="P9" i="32"/>
  <c r="S8" i="32"/>
  <c r="V8" i="32"/>
  <c r="V8" i="34"/>
  <c r="U313" i="32"/>
  <c r="U313" i="34"/>
  <c r="O314" i="32"/>
  <c r="N150" i="30"/>
  <c r="T149" i="30"/>
  <c r="U344" i="30"/>
  <c r="O345" i="30"/>
  <c r="V40" i="32"/>
  <c r="AD67" i="35"/>
  <c r="AG67" i="35" s="1"/>
  <c r="Y67" i="35"/>
  <c r="P50" i="28"/>
  <c r="M51" i="28"/>
  <c r="O191" i="30"/>
  <c r="U190" i="30"/>
  <c r="P101" i="32"/>
  <c r="S100" i="32"/>
  <c r="V100" i="32"/>
  <c r="X158" i="35"/>
  <c r="AD158" i="35"/>
  <c r="AG158" i="35" s="1"/>
  <c r="W190" i="35"/>
  <c r="AA190" i="35"/>
  <c r="T99" i="32"/>
  <c r="N100" i="32"/>
  <c r="T283" i="30"/>
  <c r="N284" i="30"/>
  <c r="V9" i="35"/>
  <c r="S9" i="35"/>
  <c r="P10" i="35"/>
  <c r="N41" i="28"/>
  <c r="Q40" i="28"/>
  <c r="N100" i="30"/>
  <c r="T99" i="30"/>
  <c r="O40" i="34"/>
  <c r="R39" i="34"/>
  <c r="U39" i="34"/>
  <c r="O222" i="30"/>
  <c r="U221" i="30"/>
  <c r="O48" i="28"/>
  <c r="R47" i="28"/>
  <c r="N191" i="34"/>
  <c r="T191" i="35" s="1"/>
  <c r="T190" i="34"/>
  <c r="Q190" i="34"/>
  <c r="V253" i="34"/>
  <c r="AA7" i="32"/>
  <c r="W7" i="32"/>
  <c r="T252" i="34"/>
  <c r="Q252" i="34"/>
  <c r="N253" i="34"/>
  <c r="T252" i="35"/>
  <c r="N101" i="34"/>
  <c r="Q100" i="34"/>
  <c r="T100" i="34"/>
  <c r="V314" i="35"/>
  <c r="P315" i="35"/>
  <c r="N163" i="32"/>
  <c r="S132" i="34"/>
  <c r="P133" i="34"/>
  <c r="T9" i="35"/>
  <c r="N10" i="35"/>
  <c r="Q9" i="35"/>
  <c r="M101" i="30"/>
  <c r="S100" i="30"/>
  <c r="V129" i="32"/>
  <c r="P130" i="32"/>
  <c r="V129" i="34"/>
  <c r="O11" i="32"/>
  <c r="U10" i="32"/>
  <c r="R10" i="32"/>
  <c r="P140" i="32"/>
  <c r="AE276" i="35" l="1"/>
  <c r="AE277" i="35" s="1"/>
  <c r="AE278" i="35" s="1"/>
  <c r="AE279" i="35" s="1"/>
  <c r="AE280" i="35" s="1"/>
  <c r="AE281" i="35" s="1"/>
  <c r="AE282" i="35" s="1"/>
  <c r="AE234" i="35"/>
  <c r="AE235" i="35" s="1"/>
  <c r="AE236" i="35" s="1"/>
  <c r="AE237" i="35" s="1"/>
  <c r="AE238" i="35" s="1"/>
  <c r="AE239" i="35" s="1"/>
  <c r="AE240" i="35" s="1"/>
  <c r="U40" i="34"/>
  <c r="O41" i="34"/>
  <c r="R40" i="34"/>
  <c r="N285" i="32"/>
  <c r="X159" i="35"/>
  <c r="AD159" i="35"/>
  <c r="AG159" i="35" s="1"/>
  <c r="U344" i="32"/>
  <c r="O345" i="32"/>
  <c r="M131" i="28"/>
  <c r="P130" i="28"/>
  <c r="O101" i="34"/>
  <c r="U100" i="34"/>
  <c r="U39" i="35"/>
  <c r="O40" i="35"/>
  <c r="R39" i="35"/>
  <c r="N316" i="35"/>
  <c r="N102" i="34"/>
  <c r="T102" i="35" s="1"/>
  <c r="Q101" i="34"/>
  <c r="O346" i="30"/>
  <c r="U345" i="30"/>
  <c r="M122" i="28"/>
  <c r="P121" i="28"/>
  <c r="P316" i="32"/>
  <c r="O191" i="34"/>
  <c r="U190" i="34"/>
  <c r="R190" i="34"/>
  <c r="U190" i="35"/>
  <c r="V69" i="35"/>
  <c r="P70" i="35"/>
  <c r="S69" i="35"/>
  <c r="O285" i="30"/>
  <c r="U284" i="30"/>
  <c r="N346" i="32"/>
  <c r="P350" i="35"/>
  <c r="T41" i="30"/>
  <c r="N42" i="30"/>
  <c r="N286" i="35"/>
  <c r="O193" i="32"/>
  <c r="O41" i="32"/>
  <c r="U40" i="32"/>
  <c r="O224" i="35"/>
  <c r="R223" i="35"/>
  <c r="P42" i="35"/>
  <c r="S41" i="35"/>
  <c r="M133" i="30"/>
  <c r="S132" i="30"/>
  <c r="O49" i="28"/>
  <c r="R48" i="28"/>
  <c r="P51" i="28"/>
  <c r="M52" i="28"/>
  <c r="AD39" i="34"/>
  <c r="AG39" i="34" s="1"/>
  <c r="T41" i="34"/>
  <c r="N42" i="34"/>
  <c r="Q41" i="34"/>
  <c r="Y192" i="35"/>
  <c r="AA8" i="32"/>
  <c r="W8" i="32"/>
  <c r="AD161" i="34"/>
  <c r="AG161" i="34" s="1"/>
  <c r="O70" i="35"/>
  <c r="R69" i="35"/>
  <c r="R317" i="34"/>
  <c r="O318" i="34"/>
  <c r="O151" i="30"/>
  <c r="U150" i="30"/>
  <c r="V314" i="34"/>
  <c r="S314" i="34"/>
  <c r="P315" i="34"/>
  <c r="P192" i="32"/>
  <c r="V191" i="32"/>
  <c r="V191" i="34"/>
  <c r="R162" i="34"/>
  <c r="U162" i="34"/>
  <c r="O163" i="34"/>
  <c r="P10" i="28"/>
  <c r="M11" i="28"/>
  <c r="N256" i="35"/>
  <c r="T163" i="34"/>
  <c r="Q163" i="34"/>
  <c r="N164" i="34"/>
  <c r="T163" i="35"/>
  <c r="O12" i="32"/>
  <c r="U11" i="32"/>
  <c r="R11" i="32"/>
  <c r="X11" i="32" s="1"/>
  <c r="S101" i="30"/>
  <c r="M102" i="30"/>
  <c r="M42" i="30"/>
  <c r="S41" i="30"/>
  <c r="V40" i="34"/>
  <c r="S40" i="34"/>
  <c r="P41" i="34"/>
  <c r="Y161" i="35"/>
  <c r="N141" i="32"/>
  <c r="P194" i="34"/>
  <c r="S193" i="34"/>
  <c r="V193" i="35"/>
  <c r="T9" i="32"/>
  <c r="Q9" i="32"/>
  <c r="N10" i="32"/>
  <c r="U255" i="35"/>
  <c r="O256" i="35"/>
  <c r="V162" i="34"/>
  <c r="S162" i="34"/>
  <c r="P163" i="34"/>
  <c r="N223" i="34"/>
  <c r="T222" i="34"/>
  <c r="Q222" i="34"/>
  <c r="R255" i="34"/>
  <c r="O256" i="34"/>
  <c r="P140" i="28"/>
  <c r="T140" i="28" s="1"/>
  <c r="V140" i="28" s="1"/>
  <c r="M141" i="28"/>
  <c r="P102" i="34"/>
  <c r="V101" i="34"/>
  <c r="M345" i="30"/>
  <c r="S344" i="30"/>
  <c r="O42" i="30"/>
  <c r="V42" i="32" s="1"/>
  <c r="U41" i="30"/>
  <c r="P101" i="35"/>
  <c r="V100" i="35"/>
  <c r="T192" i="35"/>
  <c r="N193" i="35"/>
  <c r="Q192" i="35"/>
  <c r="W192" i="36" s="1"/>
  <c r="N163" i="30"/>
  <c r="T162" i="30"/>
  <c r="M284" i="30"/>
  <c r="S283" i="30"/>
  <c r="U223" i="32"/>
  <c r="O224" i="32"/>
  <c r="R101" i="32"/>
  <c r="O102" i="32"/>
  <c r="N11" i="28"/>
  <c r="Q10" i="28"/>
  <c r="M70" i="30"/>
  <c r="S69" i="30"/>
  <c r="N192" i="32"/>
  <c r="T191" i="32"/>
  <c r="U283" i="35"/>
  <c r="O284" i="35"/>
  <c r="AA69" i="32"/>
  <c r="W162" i="35"/>
  <c r="M10" i="30"/>
  <c r="S9" i="30"/>
  <c r="P9" i="30"/>
  <c r="V9" i="30" s="1"/>
  <c r="N132" i="30"/>
  <c r="T131" i="30"/>
  <c r="AG221" i="35"/>
  <c r="P256" i="34"/>
  <c r="V255" i="34"/>
  <c r="S255" i="34"/>
  <c r="V255" i="35"/>
  <c r="O135" i="30"/>
  <c r="U134" i="30"/>
  <c r="V222" i="32"/>
  <c r="S222" i="32"/>
  <c r="P223" i="32"/>
  <c r="P134" i="34"/>
  <c r="S133" i="34"/>
  <c r="V345" i="34"/>
  <c r="P346" i="34"/>
  <c r="V345" i="35"/>
  <c r="S345" i="34"/>
  <c r="T224" i="32"/>
  <c r="N225" i="32"/>
  <c r="AD254" i="34"/>
  <c r="T222" i="35"/>
  <c r="N223" i="35"/>
  <c r="Q222" i="35"/>
  <c r="W38" i="35"/>
  <c r="AA38" i="35"/>
  <c r="M363" i="28"/>
  <c r="P362" i="28"/>
  <c r="N254" i="34"/>
  <c r="Q253" i="34"/>
  <c r="T253" i="34"/>
  <c r="T253" i="35"/>
  <c r="T284" i="30"/>
  <c r="N285" i="30"/>
  <c r="P183" i="32"/>
  <c r="R178" i="28"/>
  <c r="R176" i="28"/>
  <c r="R161" i="28"/>
  <c r="R160" i="28"/>
  <c r="R159" i="28"/>
  <c r="R158" i="28"/>
  <c r="R180" i="28"/>
  <c r="R175" i="28"/>
  <c r="R174" i="28"/>
  <c r="R173" i="28"/>
  <c r="R172" i="28"/>
  <c r="R171" i="28"/>
  <c r="R170" i="28"/>
  <c r="R169" i="28"/>
  <c r="R186" i="28"/>
  <c r="R179" i="28"/>
  <c r="R165" i="28"/>
  <c r="R185" i="28"/>
  <c r="R181" i="28"/>
  <c r="R168" i="28"/>
  <c r="R163" i="28"/>
  <c r="R182" i="28"/>
  <c r="R164" i="28"/>
  <c r="R183" i="28"/>
  <c r="R167" i="28"/>
  <c r="R157" i="28"/>
  <c r="R177" i="28"/>
  <c r="R166" i="28"/>
  <c r="R184" i="28"/>
  <c r="R162" i="28"/>
  <c r="M255" i="30"/>
  <c r="S254" i="30"/>
  <c r="U9" i="30"/>
  <c r="R9" i="30"/>
  <c r="X9" i="30" s="1"/>
  <c r="O10" i="30"/>
  <c r="AA191" i="35"/>
  <c r="R12" i="28"/>
  <c r="O13" i="28"/>
  <c r="M42" i="28"/>
  <c r="P41" i="28"/>
  <c r="T41" i="28" s="1"/>
  <c r="V41" i="28" s="1"/>
  <c r="W9" i="35"/>
  <c r="AA9" i="35"/>
  <c r="P316" i="35"/>
  <c r="V315" i="35"/>
  <c r="U222" i="30"/>
  <c r="O223" i="30"/>
  <c r="S101" i="32"/>
  <c r="P102" i="32"/>
  <c r="V101" i="32"/>
  <c r="AD8" i="32"/>
  <c r="AG8" i="32" s="1"/>
  <c r="Y8" i="32"/>
  <c r="Y8" i="34"/>
  <c r="P255" i="32"/>
  <c r="V254" i="32"/>
  <c r="AD128" i="35"/>
  <c r="AG128" i="35" s="1"/>
  <c r="Y128" i="35"/>
  <c r="N345" i="35"/>
  <c r="T344" i="35"/>
  <c r="T190" i="30"/>
  <c r="N191" i="30"/>
  <c r="U190" i="32"/>
  <c r="X7" i="34"/>
  <c r="AD7" i="34"/>
  <c r="AG7" i="34" s="1"/>
  <c r="X7" i="35"/>
  <c r="AD221" i="34"/>
  <c r="AG221" i="34" s="1"/>
  <c r="Y221" i="34"/>
  <c r="N182" i="32"/>
  <c r="N318" i="30"/>
  <c r="T317" i="30"/>
  <c r="N103" i="35"/>
  <c r="U284" i="32"/>
  <c r="O285" i="32"/>
  <c r="N317" i="32"/>
  <c r="T316" i="32"/>
  <c r="P224" i="35"/>
  <c r="V223" i="35"/>
  <c r="S223" i="35"/>
  <c r="Q9" i="34"/>
  <c r="N10" i="34"/>
  <c r="T9" i="34"/>
  <c r="N131" i="32"/>
  <c r="T130" i="32"/>
  <c r="O346" i="35"/>
  <c r="V163" i="32"/>
  <c r="P164" i="32"/>
  <c r="T70" i="34"/>
  <c r="N71" i="34"/>
  <c r="Q70" i="34"/>
  <c r="N285" i="34"/>
  <c r="T285" i="35" s="1"/>
  <c r="T284" i="34"/>
  <c r="O74" i="32"/>
  <c r="U129" i="34"/>
  <c r="O130" i="34"/>
  <c r="R68" i="34"/>
  <c r="AD68" i="34" s="1"/>
  <c r="AG68" i="34" s="1"/>
  <c r="U68" i="34"/>
  <c r="O69" i="34"/>
  <c r="Q39" i="35"/>
  <c r="T39" i="35"/>
  <c r="N40" i="35"/>
  <c r="O253" i="32"/>
  <c r="U252" i="32"/>
  <c r="U252" i="34"/>
  <c r="O142" i="32"/>
  <c r="Q29" i="28"/>
  <c r="N30" i="28"/>
  <c r="AD313" i="34"/>
  <c r="AG313" i="34" s="1"/>
  <c r="N13" i="30"/>
  <c r="T12" i="30"/>
  <c r="Q12" i="30"/>
  <c r="W12" i="30" s="1"/>
  <c r="P13" i="34"/>
  <c r="S12" i="34"/>
  <c r="U343" i="34"/>
  <c r="O344" i="34"/>
  <c r="R343" i="34"/>
  <c r="U343" i="35"/>
  <c r="N254" i="30"/>
  <c r="T253" i="30"/>
  <c r="V162" i="35"/>
  <c r="P163" i="35"/>
  <c r="S162" i="35"/>
  <c r="Y162" i="36" s="1"/>
  <c r="M162" i="30"/>
  <c r="S161" i="30"/>
  <c r="T161" i="32"/>
  <c r="T101" i="35"/>
  <c r="AD222" i="35"/>
  <c r="AG222" i="35" s="1"/>
  <c r="P288" i="35"/>
  <c r="T70" i="30"/>
  <c r="N71" i="30"/>
  <c r="U70" i="32"/>
  <c r="P141" i="32"/>
  <c r="Q10" i="35"/>
  <c r="N11" i="35"/>
  <c r="T100" i="32"/>
  <c r="N101" i="32"/>
  <c r="U314" i="32"/>
  <c r="O315" i="32"/>
  <c r="U314" i="34"/>
  <c r="V9" i="32"/>
  <c r="S9" i="32"/>
  <c r="P10" i="32"/>
  <c r="V9" i="34"/>
  <c r="N43" i="32"/>
  <c r="T42" i="32"/>
  <c r="N346" i="34"/>
  <c r="T345" i="34"/>
  <c r="Q345" i="34"/>
  <c r="U8" i="34"/>
  <c r="R8" i="34"/>
  <c r="O9" i="34"/>
  <c r="U8" i="35"/>
  <c r="N345" i="30"/>
  <c r="T344" i="30"/>
  <c r="V69" i="32"/>
  <c r="P70" i="32"/>
  <c r="V284" i="32"/>
  <c r="P285" i="32"/>
  <c r="X220" i="35"/>
  <c r="N168" i="35"/>
  <c r="Q167" i="35"/>
  <c r="W167" i="36" s="1"/>
  <c r="U130" i="35"/>
  <c r="O131" i="35"/>
  <c r="R130" i="35"/>
  <c r="W8" i="34"/>
  <c r="AA8" i="34"/>
  <c r="U315" i="35"/>
  <c r="O316" i="35"/>
  <c r="Q129" i="35"/>
  <c r="T129" i="35"/>
  <c r="N130" i="35"/>
  <c r="P258" i="35"/>
  <c r="T223" i="30"/>
  <c r="N224" i="30"/>
  <c r="P284" i="34"/>
  <c r="V283" i="34"/>
  <c r="V283" i="35"/>
  <c r="V69" i="34"/>
  <c r="P70" i="34"/>
  <c r="S69" i="34"/>
  <c r="U282" i="34"/>
  <c r="O283" i="34"/>
  <c r="O130" i="32"/>
  <c r="U129" i="32"/>
  <c r="W69" i="35"/>
  <c r="AA69" i="35"/>
  <c r="AA100" i="34"/>
  <c r="V10" i="35"/>
  <c r="S10" i="35"/>
  <c r="P11" i="35"/>
  <c r="AD189" i="34"/>
  <c r="AG189" i="34" s="1"/>
  <c r="X189" i="35"/>
  <c r="W221" i="35"/>
  <c r="AA221" i="35"/>
  <c r="O164" i="32"/>
  <c r="X10" i="32"/>
  <c r="Y9" i="35"/>
  <c r="AD9" i="35"/>
  <c r="AG9" i="35" s="1"/>
  <c r="M226" i="30"/>
  <c r="S225" i="30"/>
  <c r="M326" i="28"/>
  <c r="P325" i="28"/>
  <c r="U100" i="35"/>
  <c r="O101" i="35"/>
  <c r="O161" i="35"/>
  <c r="U160" i="35"/>
  <c r="R160" i="35"/>
  <c r="X160" i="36" s="1"/>
  <c r="O163" i="30"/>
  <c r="U162" i="30"/>
  <c r="N164" i="32"/>
  <c r="N101" i="30"/>
  <c r="U101" i="32" s="1"/>
  <c r="T100" i="30"/>
  <c r="AD100" i="32"/>
  <c r="T150" i="30"/>
  <c r="N151" i="30"/>
  <c r="S129" i="35"/>
  <c r="V129" i="35"/>
  <c r="P130" i="35"/>
  <c r="AD192" i="35"/>
  <c r="O222" i="34"/>
  <c r="R221" i="34"/>
  <c r="U221" i="34"/>
  <c r="U221" i="35"/>
  <c r="AA166" i="35"/>
  <c r="T131" i="34"/>
  <c r="N132" i="34"/>
  <c r="M316" i="30"/>
  <c r="S315" i="30"/>
  <c r="U100" i="32"/>
  <c r="M101" i="28"/>
  <c r="P100" i="28"/>
  <c r="Q70" i="32"/>
  <c r="N71" i="32"/>
  <c r="M193" i="28"/>
  <c r="P192" i="28"/>
  <c r="O104" i="30"/>
  <c r="U103" i="30"/>
  <c r="P131" i="32"/>
  <c r="V130" i="32"/>
  <c r="V130" i="34"/>
  <c r="N192" i="34"/>
  <c r="Q191" i="34"/>
  <c r="T191" i="34"/>
  <c r="Q41" i="28"/>
  <c r="N42" i="28"/>
  <c r="O192" i="30"/>
  <c r="U191" i="30"/>
  <c r="S193" i="30"/>
  <c r="M194" i="30"/>
  <c r="AG191" i="35"/>
  <c r="U314" i="30"/>
  <c r="O315" i="30"/>
  <c r="V315" i="32" s="1"/>
  <c r="U70" i="30"/>
  <c r="O71" i="30"/>
  <c r="O194" i="35"/>
  <c r="R193" i="35"/>
  <c r="X193" i="36" s="1"/>
  <c r="AD68" i="35"/>
  <c r="AG68" i="35" s="1"/>
  <c r="Y68" i="35"/>
  <c r="S222" i="34"/>
  <c r="V222" i="34"/>
  <c r="P223" i="34"/>
  <c r="O184" i="32"/>
  <c r="P43" i="32"/>
  <c r="AD342" i="34"/>
  <c r="AG342" i="34" s="1"/>
  <c r="P177" i="28"/>
  <c r="P166" i="28"/>
  <c r="T166" i="28" s="1"/>
  <c r="V166" i="28" s="1"/>
  <c r="P165" i="28"/>
  <c r="P164" i="28"/>
  <c r="P163" i="28"/>
  <c r="P162" i="28"/>
  <c r="P179" i="28"/>
  <c r="P176" i="28"/>
  <c r="T176" i="28" s="1"/>
  <c r="V176" i="28" s="1"/>
  <c r="P161" i="28"/>
  <c r="T161" i="28" s="1"/>
  <c r="V161" i="28" s="1"/>
  <c r="P160" i="28"/>
  <c r="P159" i="28"/>
  <c r="P158" i="28"/>
  <c r="T156" i="28"/>
  <c r="V156" i="28" s="1"/>
  <c r="V157" i="28" s="1"/>
  <c r="P174" i="28"/>
  <c r="P170" i="28"/>
  <c r="P172" i="28"/>
  <c r="P167" i="28"/>
  <c r="P185" i="28"/>
  <c r="P178" i="28"/>
  <c r="P173" i="28"/>
  <c r="P169" i="28"/>
  <c r="P168" i="28"/>
  <c r="T168" i="28" s="1"/>
  <c r="V168" i="28" s="1"/>
  <c r="P171" i="28"/>
  <c r="P184" i="28"/>
  <c r="P180" i="28"/>
  <c r="P181" i="28"/>
  <c r="P175" i="28"/>
  <c r="T175" i="28" s="1"/>
  <c r="V175" i="28" s="1"/>
  <c r="P183" i="28"/>
  <c r="P157" i="28"/>
  <c r="P182" i="28"/>
  <c r="T182" i="28" s="1"/>
  <c r="V182" i="28" s="1"/>
  <c r="AG253" i="34"/>
  <c r="P197" i="35"/>
  <c r="S196" i="35"/>
  <c r="Y196" i="36" s="1"/>
  <c r="M152" i="30"/>
  <c r="S151" i="30"/>
  <c r="X38" i="35"/>
  <c r="AD38" i="35"/>
  <c r="AG38" i="35" s="1"/>
  <c r="O12" i="35"/>
  <c r="R11" i="35"/>
  <c r="M346" i="28"/>
  <c r="P345" i="28"/>
  <c r="AA128" i="35"/>
  <c r="AG252" i="34"/>
  <c r="T314" i="34"/>
  <c r="N315" i="34"/>
  <c r="Q314" i="34"/>
  <c r="P345" i="32"/>
  <c r="V344" i="32"/>
  <c r="N254" i="32"/>
  <c r="T253" i="32"/>
  <c r="T314" i="35"/>
  <c r="N71" i="35"/>
  <c r="T70" i="35"/>
  <c r="Q70" i="35"/>
  <c r="O259" i="30"/>
  <c r="U258" i="30"/>
  <c r="AE283" i="35" l="1"/>
  <c r="AE284" i="35" s="1"/>
  <c r="AE285" i="35" s="1"/>
  <c r="AE286" i="35" s="1"/>
  <c r="AE287" i="35" s="1"/>
  <c r="AE288" i="35" s="1"/>
  <c r="AE289" i="35" s="1"/>
  <c r="AE241" i="35"/>
  <c r="AE242" i="35" s="1"/>
  <c r="AE243" i="35" s="1"/>
  <c r="AE244" i="35" s="1"/>
  <c r="AE245" i="35" s="1"/>
  <c r="AE246" i="35" s="1"/>
  <c r="AE247" i="35" s="1"/>
  <c r="AG192" i="35"/>
  <c r="S226" i="30"/>
  <c r="M227" i="30"/>
  <c r="N169" i="35"/>
  <c r="Q168" i="35"/>
  <c r="W168" i="36" s="1"/>
  <c r="O345" i="34"/>
  <c r="U344" i="34"/>
  <c r="R344" i="34"/>
  <c r="U344" i="35"/>
  <c r="AD255" i="34"/>
  <c r="R102" i="32"/>
  <c r="O103" i="32"/>
  <c r="O194" i="32"/>
  <c r="M132" i="28"/>
  <c r="P131" i="28"/>
  <c r="R12" i="35"/>
  <c r="O13" i="35"/>
  <c r="Y222" i="34"/>
  <c r="P225" i="35"/>
  <c r="S224" i="35"/>
  <c r="N164" i="30"/>
  <c r="T163" i="30"/>
  <c r="Q10" i="32"/>
  <c r="T10" i="32"/>
  <c r="N11" i="32"/>
  <c r="AD40" i="34"/>
  <c r="AG40" i="34" s="1"/>
  <c r="N257" i="35"/>
  <c r="N287" i="35"/>
  <c r="O347" i="30"/>
  <c r="U346" i="30"/>
  <c r="X39" i="35"/>
  <c r="AD39" i="35"/>
  <c r="AG39" i="35" s="1"/>
  <c r="U345" i="32"/>
  <c r="O346" i="32"/>
  <c r="N255" i="32"/>
  <c r="T254" i="32"/>
  <c r="T192" i="34"/>
  <c r="Q192" i="34"/>
  <c r="N193" i="34"/>
  <c r="M102" i="28"/>
  <c r="P101" i="28"/>
  <c r="N165" i="32"/>
  <c r="T130" i="35"/>
  <c r="N131" i="35"/>
  <c r="Q130" i="35"/>
  <c r="N102" i="32"/>
  <c r="T101" i="32"/>
  <c r="U69" i="34"/>
  <c r="R69" i="34"/>
  <c r="X69" i="35" s="1"/>
  <c r="O70" i="34"/>
  <c r="U70" i="35" s="1"/>
  <c r="O75" i="32"/>
  <c r="N132" i="32"/>
  <c r="T132" i="34" s="1"/>
  <c r="T131" i="32"/>
  <c r="N104" i="35"/>
  <c r="W222" i="35"/>
  <c r="AA222" i="35"/>
  <c r="P257" i="34"/>
  <c r="S256" i="34"/>
  <c r="V256" i="35"/>
  <c r="S10" i="30"/>
  <c r="P10" i="30"/>
  <c r="V10" i="30" s="1"/>
  <c r="M11" i="30"/>
  <c r="N193" i="32"/>
  <c r="T192" i="32"/>
  <c r="W192" i="35"/>
  <c r="AA192" i="35"/>
  <c r="P141" i="28"/>
  <c r="M142" i="28"/>
  <c r="W9" i="32"/>
  <c r="AA9" i="32"/>
  <c r="AC9" i="32" s="1"/>
  <c r="M12" i="28"/>
  <c r="P11" i="28"/>
  <c r="O71" i="35"/>
  <c r="R70" i="35"/>
  <c r="R224" i="35"/>
  <c r="O225" i="35"/>
  <c r="N43" i="30"/>
  <c r="T42" i="30"/>
  <c r="O286" i="30"/>
  <c r="U285" i="30"/>
  <c r="U191" i="34"/>
  <c r="R191" i="34"/>
  <c r="O192" i="34"/>
  <c r="U191" i="35"/>
  <c r="O41" i="35"/>
  <c r="R40" i="35"/>
  <c r="U40" i="35"/>
  <c r="P44" i="32"/>
  <c r="U104" i="30"/>
  <c r="O105" i="30"/>
  <c r="O102" i="35"/>
  <c r="U101" i="35"/>
  <c r="U163" i="32"/>
  <c r="O131" i="32"/>
  <c r="U130" i="32"/>
  <c r="O132" i="35"/>
  <c r="R131" i="35"/>
  <c r="AA345" i="34"/>
  <c r="S10" i="32"/>
  <c r="V10" i="32"/>
  <c r="P11" i="32"/>
  <c r="V10" i="34"/>
  <c r="P142" i="32"/>
  <c r="Q13" i="30"/>
  <c r="W13" i="30" s="1"/>
  <c r="N14" i="30"/>
  <c r="T13" i="30"/>
  <c r="V164" i="32"/>
  <c r="P165" i="32"/>
  <c r="N318" i="32"/>
  <c r="T345" i="35"/>
  <c r="N346" i="35"/>
  <c r="M43" i="28"/>
  <c r="P42" i="28"/>
  <c r="Q254" i="34"/>
  <c r="T254" i="34"/>
  <c r="N255" i="34"/>
  <c r="T254" i="35"/>
  <c r="T223" i="35"/>
  <c r="N224" i="35"/>
  <c r="Q223" i="35"/>
  <c r="P347" i="34"/>
  <c r="V346" i="35"/>
  <c r="S346" i="34"/>
  <c r="N194" i="35"/>
  <c r="Q193" i="35"/>
  <c r="W193" i="36" s="1"/>
  <c r="V163" i="34"/>
  <c r="S163" i="34"/>
  <c r="P164" i="34"/>
  <c r="N142" i="32"/>
  <c r="M103" i="30"/>
  <c r="S102" i="30"/>
  <c r="Y40" i="35"/>
  <c r="U69" i="35"/>
  <c r="P52" i="28"/>
  <c r="M53" i="28"/>
  <c r="AA101" i="34"/>
  <c r="AC101" i="34" s="1"/>
  <c r="U41" i="34"/>
  <c r="O42" i="34"/>
  <c r="R41" i="34"/>
  <c r="Y162" i="35"/>
  <c r="W39" i="35"/>
  <c r="AA39" i="35"/>
  <c r="N192" i="30"/>
  <c r="T191" i="30"/>
  <c r="U191" i="32"/>
  <c r="N347" i="32"/>
  <c r="T346" i="32"/>
  <c r="AA191" i="34"/>
  <c r="N44" i="32"/>
  <c r="P103" i="34"/>
  <c r="V102" i="34"/>
  <c r="AA129" i="35"/>
  <c r="AD9" i="32"/>
  <c r="AG9" i="32" s="1"/>
  <c r="Y9" i="32"/>
  <c r="Y9" i="34"/>
  <c r="O164" i="34"/>
  <c r="U163" i="34"/>
  <c r="R163" i="34"/>
  <c r="P317" i="32"/>
  <c r="X68" i="35"/>
  <c r="AA70" i="35"/>
  <c r="W70" i="35"/>
  <c r="V345" i="32"/>
  <c r="P346" i="32"/>
  <c r="Q42" i="28"/>
  <c r="N43" i="28"/>
  <c r="M194" i="28"/>
  <c r="P193" i="28"/>
  <c r="M317" i="30"/>
  <c r="S316" i="30"/>
  <c r="S130" i="35"/>
  <c r="P131" i="35"/>
  <c r="V130" i="35"/>
  <c r="O164" i="30"/>
  <c r="U163" i="30"/>
  <c r="S11" i="35"/>
  <c r="P12" i="35"/>
  <c r="V11" i="35"/>
  <c r="P285" i="34"/>
  <c r="V284" i="34"/>
  <c r="V284" i="35"/>
  <c r="O317" i="35"/>
  <c r="U316" i="35"/>
  <c r="T346" i="34"/>
  <c r="N347" i="34"/>
  <c r="Q346" i="34"/>
  <c r="T71" i="30"/>
  <c r="N72" i="30"/>
  <c r="U71" i="32"/>
  <c r="O254" i="32"/>
  <c r="U253" i="32"/>
  <c r="U253" i="34"/>
  <c r="U130" i="34"/>
  <c r="O131" i="34"/>
  <c r="AA9" i="34"/>
  <c r="AC9" i="34" s="1"/>
  <c r="W9" i="34"/>
  <c r="T318" i="30"/>
  <c r="N319" i="30"/>
  <c r="S255" i="30"/>
  <c r="M256" i="30"/>
  <c r="R216" i="28"/>
  <c r="R212" i="28"/>
  <c r="R207" i="28"/>
  <c r="R205" i="28"/>
  <c r="R203" i="28"/>
  <c r="R202" i="28"/>
  <c r="R201" i="28"/>
  <c r="R200" i="28"/>
  <c r="R199" i="28"/>
  <c r="R198" i="28"/>
  <c r="R197" i="28"/>
  <c r="R217" i="28"/>
  <c r="R213" i="28"/>
  <c r="R208" i="28"/>
  <c r="R196" i="28"/>
  <c r="R195" i="28"/>
  <c r="R194" i="28"/>
  <c r="R193" i="28"/>
  <c r="R192" i="28"/>
  <c r="R191" i="28"/>
  <c r="R190" i="28"/>
  <c r="R211" i="28"/>
  <c r="R215" i="28"/>
  <c r="R210" i="28"/>
  <c r="R204" i="28"/>
  <c r="R189" i="28"/>
  <c r="R187" i="28"/>
  <c r="R206" i="28"/>
  <c r="R209" i="28"/>
  <c r="R214" i="28"/>
  <c r="R188" i="28"/>
  <c r="P184" i="32"/>
  <c r="M364" i="28"/>
  <c r="P363" i="28"/>
  <c r="AG254" i="34"/>
  <c r="M43" i="30"/>
  <c r="T43" i="32" s="1"/>
  <c r="S42" i="30"/>
  <c r="T164" i="34"/>
  <c r="N165" i="34"/>
  <c r="Q164" i="34"/>
  <c r="T164" i="35"/>
  <c r="P193" i="32"/>
  <c r="V192" i="32"/>
  <c r="V192" i="34"/>
  <c r="O152" i="30"/>
  <c r="U151" i="30"/>
  <c r="S70" i="35"/>
  <c r="V70" i="35"/>
  <c r="P71" i="35"/>
  <c r="T101" i="34"/>
  <c r="U101" i="34"/>
  <c r="O102" i="34"/>
  <c r="AA10" i="35"/>
  <c r="O143" i="32"/>
  <c r="V41" i="34"/>
  <c r="S41" i="34"/>
  <c r="P42" i="34"/>
  <c r="AD190" i="34"/>
  <c r="AG190" i="34" s="1"/>
  <c r="X190" i="35"/>
  <c r="T151" i="30"/>
  <c r="N152" i="30"/>
  <c r="P259" i="35"/>
  <c r="O11" i="30"/>
  <c r="U10" i="30"/>
  <c r="R10" i="30"/>
  <c r="X10" i="30" s="1"/>
  <c r="T223" i="34"/>
  <c r="Q223" i="34"/>
  <c r="N224" i="34"/>
  <c r="O260" i="30"/>
  <c r="U259" i="30"/>
  <c r="O316" i="30"/>
  <c r="U315" i="30"/>
  <c r="T254" i="30"/>
  <c r="N255" i="30"/>
  <c r="T285" i="34"/>
  <c r="N286" i="34"/>
  <c r="N11" i="34"/>
  <c r="T10" i="34"/>
  <c r="Q10" i="34"/>
  <c r="R13" i="28"/>
  <c r="O14" i="28"/>
  <c r="S70" i="30"/>
  <c r="M71" i="30"/>
  <c r="O43" i="30"/>
  <c r="U42" i="30"/>
  <c r="AD162" i="34"/>
  <c r="AG162" i="34" s="1"/>
  <c r="M134" i="30"/>
  <c r="S133" i="30"/>
  <c r="Y69" i="35"/>
  <c r="AD69" i="35"/>
  <c r="AG69" i="35" s="1"/>
  <c r="T102" i="34"/>
  <c r="Q102" i="34"/>
  <c r="N103" i="34"/>
  <c r="M347" i="28"/>
  <c r="P346" i="28"/>
  <c r="P198" i="35"/>
  <c r="S197" i="35"/>
  <c r="Y197" i="36" s="1"/>
  <c r="O185" i="32"/>
  <c r="AD193" i="35"/>
  <c r="T71" i="32"/>
  <c r="Q71" i="32"/>
  <c r="N72" i="32"/>
  <c r="N133" i="34"/>
  <c r="X221" i="35"/>
  <c r="M327" i="28"/>
  <c r="P326" i="28"/>
  <c r="Y10" i="35"/>
  <c r="AD10" i="35"/>
  <c r="AG10" i="35" s="1"/>
  <c r="O284" i="34"/>
  <c r="U283" i="34"/>
  <c r="N225" i="30"/>
  <c r="T224" i="30"/>
  <c r="N346" i="30"/>
  <c r="T345" i="30"/>
  <c r="T11" i="35"/>
  <c r="Q11" i="35"/>
  <c r="N12" i="35"/>
  <c r="Q30" i="28"/>
  <c r="N31" i="28"/>
  <c r="Q40" i="35"/>
  <c r="T40" i="35"/>
  <c r="N41" i="35"/>
  <c r="O347" i="35"/>
  <c r="U285" i="32"/>
  <c r="O286" i="32"/>
  <c r="P103" i="32"/>
  <c r="V102" i="32"/>
  <c r="S102" i="32"/>
  <c r="AC191" i="35"/>
  <c r="T285" i="30"/>
  <c r="N286" i="30"/>
  <c r="O136" i="30"/>
  <c r="U135" i="30"/>
  <c r="V135" i="32"/>
  <c r="Q11" i="28"/>
  <c r="N12" i="28"/>
  <c r="M346" i="30"/>
  <c r="S345" i="30"/>
  <c r="Y193" i="35"/>
  <c r="AA163" i="34"/>
  <c r="W163" i="35"/>
  <c r="P316" i="34"/>
  <c r="V315" i="34"/>
  <c r="S315" i="34"/>
  <c r="O319" i="34"/>
  <c r="R318" i="34"/>
  <c r="O50" i="28"/>
  <c r="R49" i="28"/>
  <c r="V41" i="35"/>
  <c r="O42" i="32"/>
  <c r="U41" i="32"/>
  <c r="P351" i="35"/>
  <c r="N317" i="35"/>
  <c r="AA70" i="32"/>
  <c r="T101" i="30"/>
  <c r="N102" i="30"/>
  <c r="U102" i="32" s="1"/>
  <c r="R9" i="34"/>
  <c r="O10" i="34"/>
  <c r="U9" i="34"/>
  <c r="U9" i="35"/>
  <c r="P289" i="35"/>
  <c r="N72" i="34"/>
  <c r="Q71" i="34"/>
  <c r="T71" i="34"/>
  <c r="S223" i="32"/>
  <c r="V223" i="32"/>
  <c r="P224" i="32"/>
  <c r="O13" i="32"/>
  <c r="R12" i="32"/>
  <c r="U12" i="32"/>
  <c r="V42" i="35"/>
  <c r="P43" i="35"/>
  <c r="S42" i="35"/>
  <c r="N286" i="32"/>
  <c r="M153" i="30"/>
  <c r="S152" i="30"/>
  <c r="O72" i="30"/>
  <c r="U71" i="30"/>
  <c r="U161" i="35"/>
  <c r="O162" i="35"/>
  <c r="R161" i="35"/>
  <c r="X161" i="36" s="1"/>
  <c r="V70" i="34"/>
  <c r="S70" i="34"/>
  <c r="P71" i="34"/>
  <c r="V70" i="32"/>
  <c r="P71" i="32"/>
  <c r="X8" i="34"/>
  <c r="AD8" i="34"/>
  <c r="AG8" i="34" s="1"/>
  <c r="X8" i="35"/>
  <c r="Y222" i="35"/>
  <c r="P164" i="35"/>
  <c r="V163" i="35"/>
  <c r="S163" i="35"/>
  <c r="Y163" i="36" s="1"/>
  <c r="O224" i="30"/>
  <c r="U223" i="30"/>
  <c r="V101" i="35"/>
  <c r="P102" i="35"/>
  <c r="AC128" i="35"/>
  <c r="U192" i="30"/>
  <c r="O193" i="30"/>
  <c r="U164" i="32"/>
  <c r="O165" i="32"/>
  <c r="U224" i="32"/>
  <c r="O225" i="32"/>
  <c r="R256" i="34"/>
  <c r="O257" i="34"/>
  <c r="N72" i="35"/>
  <c r="T71" i="35"/>
  <c r="Q71" i="35"/>
  <c r="T315" i="34"/>
  <c r="N316" i="34"/>
  <c r="T316" i="35" s="1"/>
  <c r="Q315" i="34"/>
  <c r="V223" i="34"/>
  <c r="P224" i="34"/>
  <c r="S223" i="34"/>
  <c r="R194" i="35"/>
  <c r="X194" i="36" s="1"/>
  <c r="O195" i="35"/>
  <c r="M195" i="30"/>
  <c r="S194" i="30"/>
  <c r="P132" i="32"/>
  <c r="V131" i="32"/>
  <c r="V131" i="34"/>
  <c r="T70" i="32"/>
  <c r="O223" i="34"/>
  <c r="R222" i="34"/>
  <c r="AD222" i="34" s="1"/>
  <c r="AG222" i="34" s="1"/>
  <c r="U222" i="34"/>
  <c r="U222" i="35"/>
  <c r="AD129" i="35"/>
  <c r="AG129" i="35" s="1"/>
  <c r="Y129" i="35"/>
  <c r="X160" i="35"/>
  <c r="AD160" i="35"/>
  <c r="AG160" i="35" s="1"/>
  <c r="AA167" i="35"/>
  <c r="V285" i="32"/>
  <c r="P286" i="32"/>
  <c r="U315" i="32"/>
  <c r="O316" i="32"/>
  <c r="U315" i="34"/>
  <c r="T10" i="35"/>
  <c r="S162" i="30"/>
  <c r="M163" i="30"/>
  <c r="T162" i="32"/>
  <c r="AD343" i="34"/>
  <c r="AG343" i="34" s="1"/>
  <c r="S13" i="34"/>
  <c r="P14" i="34"/>
  <c r="W70" i="34"/>
  <c r="AD223" i="35"/>
  <c r="Y223" i="35"/>
  <c r="N183" i="32"/>
  <c r="V255" i="32"/>
  <c r="P256" i="32"/>
  <c r="V256" i="34" s="1"/>
  <c r="AD101" i="32"/>
  <c r="P317" i="35"/>
  <c r="V316" i="35"/>
  <c r="W191" i="35"/>
  <c r="T225" i="32"/>
  <c r="N226" i="32"/>
  <c r="P135" i="34"/>
  <c r="S134" i="34"/>
  <c r="N133" i="30"/>
  <c r="T132" i="30"/>
  <c r="O285" i="35"/>
  <c r="U284" i="35"/>
  <c r="M285" i="30"/>
  <c r="S284" i="30"/>
  <c r="O257" i="35"/>
  <c r="U256" i="35"/>
  <c r="P195" i="34"/>
  <c r="S194" i="34"/>
  <c r="V194" i="35"/>
  <c r="AD314" i="34"/>
  <c r="AG314" i="34" s="1"/>
  <c r="N43" i="34"/>
  <c r="Q42" i="34"/>
  <c r="T42" i="34"/>
  <c r="Y41" i="35"/>
  <c r="T345" i="32"/>
  <c r="M123" i="28"/>
  <c r="P122" i="28"/>
  <c r="T315" i="35"/>
  <c r="T284" i="32"/>
  <c r="AE290" i="35" l="1"/>
  <c r="AE291" i="35" s="1"/>
  <c r="AE292" i="35" s="1"/>
  <c r="AE293" i="35" s="1"/>
  <c r="AE294" i="35" s="1"/>
  <c r="AE295" i="35" s="1"/>
  <c r="AE296" i="35" s="1"/>
  <c r="O225" i="30"/>
  <c r="U224" i="30"/>
  <c r="O43" i="32"/>
  <c r="U42" i="32"/>
  <c r="Q12" i="28"/>
  <c r="N13" i="28"/>
  <c r="S12" i="35"/>
  <c r="P13" i="35"/>
  <c r="V12" i="35"/>
  <c r="P318" i="32"/>
  <c r="AA223" i="35"/>
  <c r="W223" i="35"/>
  <c r="N15" i="30"/>
  <c r="T14" i="30"/>
  <c r="Q14" i="30"/>
  <c r="W14" i="30" s="1"/>
  <c r="O133" i="35"/>
  <c r="R132" i="35"/>
  <c r="X191" i="35"/>
  <c r="AD191" i="34"/>
  <c r="AG191" i="34" s="1"/>
  <c r="N105" i="35"/>
  <c r="Q131" i="35"/>
  <c r="N132" i="35"/>
  <c r="T131" i="35"/>
  <c r="P226" i="35"/>
  <c r="S225" i="35"/>
  <c r="O195" i="32"/>
  <c r="AD344" i="34"/>
  <c r="AG344" i="34" s="1"/>
  <c r="U316" i="32"/>
  <c r="O317" i="32"/>
  <c r="U316" i="34"/>
  <c r="S43" i="35"/>
  <c r="P44" i="35"/>
  <c r="V43" i="35"/>
  <c r="N226" i="30"/>
  <c r="T225" i="30"/>
  <c r="P199" i="35"/>
  <c r="S198" i="35"/>
  <c r="Y198" i="36" s="1"/>
  <c r="O153" i="30"/>
  <c r="U152" i="30"/>
  <c r="Y11" i="35"/>
  <c r="AD11" i="35"/>
  <c r="AG11" i="35" s="1"/>
  <c r="M318" i="30"/>
  <c r="T318" i="32" s="1"/>
  <c r="S317" i="30"/>
  <c r="P53" i="28"/>
  <c r="M54" i="28"/>
  <c r="AA193" i="35"/>
  <c r="W193" i="35"/>
  <c r="T224" i="35"/>
  <c r="N225" i="35"/>
  <c r="Q224" i="35"/>
  <c r="N347" i="35"/>
  <c r="T346" i="35"/>
  <c r="Y10" i="32"/>
  <c r="AD10" i="32"/>
  <c r="AG10" i="32" s="1"/>
  <c r="Y10" i="34"/>
  <c r="U105" i="30"/>
  <c r="O106" i="30"/>
  <c r="V257" i="34"/>
  <c r="S257" i="34"/>
  <c r="P258" i="34"/>
  <c r="V257" i="35"/>
  <c r="W10" i="32"/>
  <c r="AA10" i="32"/>
  <c r="O226" i="32"/>
  <c r="U225" i="32"/>
  <c r="O73" i="30"/>
  <c r="U72" i="30"/>
  <c r="U10" i="34"/>
  <c r="O11" i="34"/>
  <c r="R10" i="34"/>
  <c r="U10" i="35"/>
  <c r="N318" i="35"/>
  <c r="O348" i="35"/>
  <c r="Q12" i="35"/>
  <c r="N13" i="35"/>
  <c r="W10" i="34"/>
  <c r="O317" i="30"/>
  <c r="U316" i="30"/>
  <c r="R11" i="30"/>
  <c r="X11" i="30" s="1"/>
  <c r="O12" i="30"/>
  <c r="U11" i="30"/>
  <c r="O144" i="32"/>
  <c r="U102" i="34"/>
  <c r="O103" i="34"/>
  <c r="R244" i="28"/>
  <c r="R235" i="28"/>
  <c r="R231" i="28"/>
  <c r="R230" i="28"/>
  <c r="R229" i="28"/>
  <c r="R228" i="28"/>
  <c r="R246" i="28"/>
  <c r="R245" i="28"/>
  <c r="R236" i="28"/>
  <c r="R224" i="28"/>
  <c r="R223" i="28"/>
  <c r="R222" i="28"/>
  <c r="R221" i="28"/>
  <c r="R220" i="28"/>
  <c r="R219" i="28"/>
  <c r="R241" i="28"/>
  <c r="R237" i="28"/>
  <c r="R218" i="28"/>
  <c r="R239" i="28"/>
  <c r="R248" i="28"/>
  <c r="R243" i="28"/>
  <c r="R234" i="28"/>
  <c r="R226" i="28"/>
  <c r="R232" i="28"/>
  <c r="R247" i="28"/>
  <c r="R242" i="28"/>
  <c r="R240" i="28"/>
  <c r="R225" i="28"/>
  <c r="R233" i="28"/>
  <c r="R238" i="28"/>
  <c r="R227" i="28"/>
  <c r="U254" i="32"/>
  <c r="O255" i="32"/>
  <c r="U254" i="34"/>
  <c r="V346" i="32"/>
  <c r="P347" i="32"/>
  <c r="N348" i="32"/>
  <c r="T347" i="32"/>
  <c r="N143" i="32"/>
  <c r="T194" i="35"/>
  <c r="N195" i="35"/>
  <c r="Q194" i="35"/>
  <c r="W194" i="36" s="1"/>
  <c r="N194" i="34"/>
  <c r="T193" i="34"/>
  <c r="Q193" i="34"/>
  <c r="N258" i="35"/>
  <c r="U345" i="34"/>
  <c r="O346" i="34"/>
  <c r="R345" i="34"/>
  <c r="U345" i="35"/>
  <c r="U257" i="35"/>
  <c r="O258" i="35"/>
  <c r="N184" i="32"/>
  <c r="V286" i="32"/>
  <c r="P287" i="32"/>
  <c r="V164" i="35"/>
  <c r="P165" i="35"/>
  <c r="S164" i="35"/>
  <c r="Y164" i="36" s="1"/>
  <c r="S71" i="34"/>
  <c r="V71" i="34"/>
  <c r="P72" i="34"/>
  <c r="W71" i="34"/>
  <c r="X9" i="34"/>
  <c r="AD9" i="34"/>
  <c r="AG9" i="34" s="1"/>
  <c r="X9" i="35"/>
  <c r="P317" i="34"/>
  <c r="V316" i="34"/>
  <c r="S316" i="34"/>
  <c r="AD102" i="32"/>
  <c r="N42" i="35"/>
  <c r="Q41" i="35"/>
  <c r="T41" i="35"/>
  <c r="AA11" i="35"/>
  <c r="U284" i="34"/>
  <c r="O285" i="34"/>
  <c r="N134" i="34"/>
  <c r="AG193" i="35"/>
  <c r="P260" i="35"/>
  <c r="U317" i="35"/>
  <c r="O318" i="35"/>
  <c r="U164" i="30"/>
  <c r="O165" i="30"/>
  <c r="M195" i="28"/>
  <c r="P194" i="28"/>
  <c r="U164" i="34"/>
  <c r="R164" i="34"/>
  <c r="O165" i="34"/>
  <c r="N45" i="32"/>
  <c r="T44" i="32"/>
  <c r="U42" i="34"/>
  <c r="R42" i="34"/>
  <c r="O43" i="34"/>
  <c r="P165" i="34"/>
  <c r="S164" i="34"/>
  <c r="V164" i="34"/>
  <c r="T193" i="35"/>
  <c r="N319" i="32"/>
  <c r="U131" i="32"/>
  <c r="O132" i="32"/>
  <c r="P142" i="28"/>
  <c r="M143" i="28"/>
  <c r="T193" i="32"/>
  <c r="N194" i="32"/>
  <c r="AA192" i="34"/>
  <c r="T164" i="30"/>
  <c r="N165" i="30"/>
  <c r="O104" i="32"/>
  <c r="R103" i="32"/>
  <c r="AA168" i="35"/>
  <c r="P196" i="34"/>
  <c r="S195" i="34"/>
  <c r="V195" i="35"/>
  <c r="P72" i="32"/>
  <c r="V71" i="32"/>
  <c r="T165" i="34"/>
  <c r="Q165" i="34"/>
  <c r="N166" i="34"/>
  <c r="T165" i="35"/>
  <c r="T319" i="30"/>
  <c r="N320" i="30"/>
  <c r="O226" i="35"/>
  <c r="R225" i="35"/>
  <c r="O347" i="32"/>
  <c r="U346" i="32"/>
  <c r="U285" i="35"/>
  <c r="O286" i="35"/>
  <c r="AD194" i="35"/>
  <c r="Y223" i="34"/>
  <c r="P103" i="35"/>
  <c r="V102" i="35"/>
  <c r="T72" i="34"/>
  <c r="N73" i="34"/>
  <c r="Q72" i="34"/>
  <c r="M348" i="28"/>
  <c r="P348" i="28" s="1"/>
  <c r="P347" i="28"/>
  <c r="O261" i="30"/>
  <c r="U260" i="30"/>
  <c r="M44" i="30"/>
  <c r="S43" i="30"/>
  <c r="N73" i="30"/>
  <c r="T72" i="30"/>
  <c r="U72" i="32"/>
  <c r="Q43" i="28"/>
  <c r="N44" i="28"/>
  <c r="X40" i="35"/>
  <c r="AD40" i="35"/>
  <c r="AG40" i="35" s="1"/>
  <c r="O72" i="35"/>
  <c r="R71" i="35"/>
  <c r="N103" i="32"/>
  <c r="T102" i="32"/>
  <c r="O14" i="35"/>
  <c r="R13" i="35"/>
  <c r="AG223" i="35"/>
  <c r="M164" i="30"/>
  <c r="S163" i="30"/>
  <c r="T163" i="32"/>
  <c r="V224" i="34"/>
  <c r="S224" i="34"/>
  <c r="P225" i="34"/>
  <c r="M154" i="30"/>
  <c r="S153" i="30"/>
  <c r="O14" i="32"/>
  <c r="R13" i="32"/>
  <c r="X13" i="32" s="1"/>
  <c r="U13" i="32"/>
  <c r="O137" i="30"/>
  <c r="U136" i="30"/>
  <c r="V136" i="32"/>
  <c r="S103" i="32"/>
  <c r="V103" i="32"/>
  <c r="P104" i="32"/>
  <c r="AA40" i="35"/>
  <c r="W40" i="35"/>
  <c r="T72" i="32"/>
  <c r="Q72" i="32"/>
  <c r="N73" i="32"/>
  <c r="M72" i="30"/>
  <c r="S71" i="30"/>
  <c r="T286" i="34"/>
  <c r="N287" i="34"/>
  <c r="N225" i="34"/>
  <c r="Q224" i="34"/>
  <c r="T224" i="34"/>
  <c r="W10" i="35"/>
  <c r="P72" i="35"/>
  <c r="V71" i="35"/>
  <c r="S71" i="35"/>
  <c r="V193" i="32"/>
  <c r="P194" i="32"/>
  <c r="V193" i="34"/>
  <c r="P185" i="32"/>
  <c r="O132" i="34"/>
  <c r="U132" i="35" s="1"/>
  <c r="U131" i="34"/>
  <c r="P104" i="34"/>
  <c r="V103" i="34"/>
  <c r="T192" i="30"/>
  <c r="N193" i="30"/>
  <c r="U192" i="32"/>
  <c r="P166" i="32"/>
  <c r="V165" i="32"/>
  <c r="O42" i="35"/>
  <c r="U41" i="35"/>
  <c r="R41" i="35"/>
  <c r="O76" i="32"/>
  <c r="O348" i="30"/>
  <c r="U347" i="30"/>
  <c r="N170" i="35"/>
  <c r="Q169" i="35"/>
  <c r="W169" i="36" s="1"/>
  <c r="N227" i="32"/>
  <c r="T226" i="32"/>
  <c r="U193" i="30"/>
  <c r="O194" i="30"/>
  <c r="M44" i="28"/>
  <c r="P44" i="28" s="1"/>
  <c r="P43" i="28"/>
  <c r="N317" i="34"/>
  <c r="T316" i="34"/>
  <c r="Q316" i="34"/>
  <c r="AD315" i="34"/>
  <c r="AG315" i="34" s="1"/>
  <c r="P318" i="35"/>
  <c r="V317" i="35"/>
  <c r="T102" i="30"/>
  <c r="N103" i="30"/>
  <c r="U103" i="32" s="1"/>
  <c r="O51" i="28"/>
  <c r="R50" i="28"/>
  <c r="U43" i="30"/>
  <c r="O44" i="30"/>
  <c r="M365" i="28"/>
  <c r="P364" i="28"/>
  <c r="T364" i="28" s="1"/>
  <c r="V364" i="28" s="1"/>
  <c r="AD163" i="34"/>
  <c r="AG163" i="34" s="1"/>
  <c r="T317" i="32"/>
  <c r="O287" i="30"/>
  <c r="U286" i="30"/>
  <c r="T132" i="32"/>
  <c r="N133" i="32"/>
  <c r="N166" i="32"/>
  <c r="T43" i="34"/>
  <c r="N44" i="34"/>
  <c r="Q43" i="34"/>
  <c r="S285" i="30"/>
  <c r="M286" i="30"/>
  <c r="X222" i="35"/>
  <c r="M196" i="30"/>
  <c r="S195" i="30"/>
  <c r="Q72" i="35"/>
  <c r="N73" i="35"/>
  <c r="T72" i="35"/>
  <c r="O166" i="32"/>
  <c r="X161" i="35"/>
  <c r="AD161" i="35"/>
  <c r="AG161" i="35" s="1"/>
  <c r="N287" i="32"/>
  <c r="T286" i="32"/>
  <c r="P225" i="32"/>
  <c r="V224" i="32"/>
  <c r="S224" i="32"/>
  <c r="P290" i="35"/>
  <c r="U286" i="32"/>
  <c r="O287" i="32"/>
  <c r="N32" i="28"/>
  <c r="Q31" i="28"/>
  <c r="N347" i="30"/>
  <c r="T346" i="30"/>
  <c r="AA71" i="32"/>
  <c r="Q103" i="34"/>
  <c r="N104" i="34"/>
  <c r="T103" i="34"/>
  <c r="S134" i="30"/>
  <c r="M135" i="30"/>
  <c r="N153" i="30"/>
  <c r="T152" i="30"/>
  <c r="S42" i="34"/>
  <c r="Y42" i="35" s="1"/>
  <c r="P43" i="34"/>
  <c r="V42" i="34"/>
  <c r="M257" i="30"/>
  <c r="S256" i="30"/>
  <c r="AA346" i="34"/>
  <c r="AC346" i="34" s="1"/>
  <c r="P286" i="34"/>
  <c r="V285" i="34"/>
  <c r="V285" i="35"/>
  <c r="S131" i="35"/>
  <c r="P132" i="35"/>
  <c r="V131" i="35"/>
  <c r="M104" i="30"/>
  <c r="S103" i="30"/>
  <c r="V347" i="34"/>
  <c r="P348" i="34"/>
  <c r="S347" i="34"/>
  <c r="V347" i="35"/>
  <c r="AA254" i="34"/>
  <c r="O103" i="35"/>
  <c r="U102" i="35"/>
  <c r="V43" i="32"/>
  <c r="T43" i="30"/>
  <c r="N44" i="30"/>
  <c r="M103" i="28"/>
  <c r="P102" i="28"/>
  <c r="T286" i="35"/>
  <c r="AD224" i="35"/>
  <c r="M228" i="30"/>
  <c r="S227" i="30"/>
  <c r="M124" i="28"/>
  <c r="P124" i="28" s="1"/>
  <c r="P123" i="28"/>
  <c r="R195" i="35"/>
  <c r="X195" i="36" s="1"/>
  <c r="O196" i="35"/>
  <c r="AD256" i="34"/>
  <c r="Y163" i="35"/>
  <c r="N134" i="30"/>
  <c r="T133" i="30"/>
  <c r="V132" i="32"/>
  <c r="P133" i="32"/>
  <c r="V132" i="34"/>
  <c r="W71" i="35"/>
  <c r="AA71" i="35"/>
  <c r="X12" i="32"/>
  <c r="P352" i="35"/>
  <c r="N12" i="34"/>
  <c r="Q11" i="34"/>
  <c r="W11" i="35" s="1"/>
  <c r="T11" i="34"/>
  <c r="Q255" i="34"/>
  <c r="T255" i="34"/>
  <c r="N256" i="34"/>
  <c r="T255" i="35"/>
  <c r="P143" i="32"/>
  <c r="P11" i="30"/>
  <c r="V11" i="30" s="1"/>
  <c r="M12" i="30"/>
  <c r="S11" i="30"/>
  <c r="Y194" i="35"/>
  <c r="P136" i="34"/>
  <c r="V135" i="34"/>
  <c r="S135" i="34"/>
  <c r="P257" i="32"/>
  <c r="V256" i="32"/>
  <c r="S14" i="34"/>
  <c r="P15" i="34"/>
  <c r="U223" i="34"/>
  <c r="O224" i="34"/>
  <c r="R223" i="34"/>
  <c r="U223" i="35"/>
  <c r="R257" i="34"/>
  <c r="O258" i="34"/>
  <c r="O163" i="35"/>
  <c r="U162" i="35"/>
  <c r="R162" i="35"/>
  <c r="X162" i="36" s="1"/>
  <c r="T285" i="32"/>
  <c r="O320" i="34"/>
  <c r="R319" i="34"/>
  <c r="S346" i="30"/>
  <c r="M347" i="30"/>
  <c r="T286" i="30"/>
  <c r="N287" i="30"/>
  <c r="M328" i="28"/>
  <c r="P327" i="28"/>
  <c r="R14" i="28"/>
  <c r="O15" i="28"/>
  <c r="T255" i="30"/>
  <c r="N256" i="30"/>
  <c r="AD41" i="34"/>
  <c r="AG41" i="34" s="1"/>
  <c r="AD69" i="34"/>
  <c r="AG69" i="34" s="1"/>
  <c r="Y70" i="35"/>
  <c r="AD70" i="35"/>
  <c r="AG70" i="35" s="1"/>
  <c r="AA164" i="34"/>
  <c r="AC164" i="34" s="1"/>
  <c r="W164" i="35"/>
  <c r="T347" i="34"/>
  <c r="N348" i="34"/>
  <c r="Q347" i="34"/>
  <c r="AD130" i="35"/>
  <c r="AG130" i="35" s="1"/>
  <c r="Y130" i="35"/>
  <c r="V316" i="32"/>
  <c r="V346" i="34"/>
  <c r="S11" i="32"/>
  <c r="P12" i="32"/>
  <c r="V11" i="32"/>
  <c r="V11" i="34"/>
  <c r="U131" i="35"/>
  <c r="P45" i="32"/>
  <c r="R192" i="34"/>
  <c r="U192" i="34"/>
  <c r="O193" i="34"/>
  <c r="U192" i="35"/>
  <c r="M13" i="28"/>
  <c r="P12" i="28"/>
  <c r="T103" i="35"/>
  <c r="U70" i="34"/>
  <c r="O71" i="34"/>
  <c r="U71" i="35" s="1"/>
  <c r="R70" i="34"/>
  <c r="AA130" i="35"/>
  <c r="T255" i="32"/>
  <c r="N256" i="32"/>
  <c r="T287" i="35"/>
  <c r="N288" i="35"/>
  <c r="N12" i="32"/>
  <c r="Q11" i="32"/>
  <c r="T11" i="32"/>
  <c r="V224" i="35"/>
  <c r="M133" i="28"/>
  <c r="P132" i="28"/>
  <c r="AE297" i="35" l="1"/>
  <c r="AE298" i="35" s="1"/>
  <c r="AE299" i="35" s="1"/>
  <c r="AE300" i="35" s="1"/>
  <c r="AE301" i="35" s="1"/>
  <c r="AE302" i="35" s="1"/>
  <c r="AE303" i="35" s="1"/>
  <c r="N349" i="34"/>
  <c r="T348" i="34"/>
  <c r="Q348" i="34"/>
  <c r="N74" i="32"/>
  <c r="Q73" i="32"/>
  <c r="U225" i="30"/>
  <c r="O226" i="30"/>
  <c r="AA72" i="35"/>
  <c r="W72" i="35"/>
  <c r="N195" i="32"/>
  <c r="T194" i="32"/>
  <c r="O44" i="34"/>
  <c r="R43" i="34"/>
  <c r="U43" i="34"/>
  <c r="O347" i="34"/>
  <c r="U346" i="34"/>
  <c r="R346" i="34"/>
  <c r="U346" i="35"/>
  <c r="O318" i="30"/>
  <c r="U317" i="30"/>
  <c r="N319" i="35"/>
  <c r="P200" i="35"/>
  <c r="S199" i="35"/>
  <c r="Y199" i="36" s="1"/>
  <c r="O196" i="32"/>
  <c r="AD192" i="34"/>
  <c r="AG192" i="34" s="1"/>
  <c r="X192" i="35"/>
  <c r="V12" i="32"/>
  <c r="S12" i="32"/>
  <c r="P13" i="32"/>
  <c r="V12" i="34"/>
  <c r="T256" i="30"/>
  <c r="N257" i="30"/>
  <c r="M329" i="28"/>
  <c r="M330" i="28" s="1"/>
  <c r="P328" i="28"/>
  <c r="P353" i="35"/>
  <c r="M104" i="28"/>
  <c r="P103" i="28"/>
  <c r="O104" i="35"/>
  <c r="U103" i="35"/>
  <c r="P349" i="34"/>
  <c r="S348" i="34"/>
  <c r="V348" i="35"/>
  <c r="T287" i="32"/>
  <c r="N288" i="32"/>
  <c r="Q44" i="34"/>
  <c r="N45" i="34"/>
  <c r="T44" i="34"/>
  <c r="M366" i="28"/>
  <c r="P365" i="28"/>
  <c r="T317" i="34"/>
  <c r="N318" i="34"/>
  <c r="Q317" i="34"/>
  <c r="T227" i="32"/>
  <c r="N228" i="32"/>
  <c r="U42" i="35"/>
  <c r="O43" i="35"/>
  <c r="R42" i="35"/>
  <c r="P105" i="34"/>
  <c r="V104" i="34"/>
  <c r="V194" i="32"/>
  <c r="P195" i="32"/>
  <c r="V194" i="34"/>
  <c r="N226" i="34"/>
  <c r="Q225" i="34"/>
  <c r="T225" i="34"/>
  <c r="M155" i="30"/>
  <c r="S154" i="30"/>
  <c r="R14" i="35"/>
  <c r="O15" i="35"/>
  <c r="T73" i="30"/>
  <c r="N74" i="30"/>
  <c r="U73" i="32"/>
  <c r="V103" i="35"/>
  <c r="P104" i="35"/>
  <c r="Y195" i="35"/>
  <c r="N320" i="32"/>
  <c r="P261" i="35"/>
  <c r="N185" i="32"/>
  <c r="AA194" i="35"/>
  <c r="N349" i="32"/>
  <c r="T348" i="32"/>
  <c r="T317" i="35"/>
  <c r="U226" i="32"/>
  <c r="O227" i="32"/>
  <c r="T347" i="35"/>
  <c r="N348" i="35"/>
  <c r="P45" i="35"/>
  <c r="S44" i="35"/>
  <c r="P319" i="32"/>
  <c r="N257" i="32"/>
  <c r="T256" i="32"/>
  <c r="Y11" i="32"/>
  <c r="AD11" i="32"/>
  <c r="AG11" i="32" s="1"/>
  <c r="Y11" i="34"/>
  <c r="T287" i="30"/>
  <c r="N288" i="30"/>
  <c r="X162" i="35"/>
  <c r="AD162" i="35"/>
  <c r="AG162" i="35" s="1"/>
  <c r="P258" i="32"/>
  <c r="V257" i="32"/>
  <c r="T256" i="34"/>
  <c r="N257" i="34"/>
  <c r="Q256" i="34"/>
  <c r="T256" i="35"/>
  <c r="S132" i="35"/>
  <c r="P133" i="35"/>
  <c r="V132" i="35"/>
  <c r="M258" i="30"/>
  <c r="S257" i="30"/>
  <c r="S196" i="30"/>
  <c r="M197" i="30"/>
  <c r="AA169" i="35"/>
  <c r="N288" i="34"/>
  <c r="T287" i="34"/>
  <c r="V225" i="34"/>
  <c r="P226" i="34"/>
  <c r="S225" i="34"/>
  <c r="AA72" i="34"/>
  <c r="W72" i="34"/>
  <c r="AD223" i="34"/>
  <c r="AG223" i="34" s="1"/>
  <c r="R104" i="32"/>
  <c r="U104" i="32"/>
  <c r="O105" i="32"/>
  <c r="P143" i="28"/>
  <c r="M144" i="28"/>
  <c r="P195" i="28"/>
  <c r="M196" i="28"/>
  <c r="V317" i="34"/>
  <c r="S317" i="34"/>
  <c r="P318" i="34"/>
  <c r="V318" i="35" s="1"/>
  <c r="AD71" i="34"/>
  <c r="AG71" i="34" s="1"/>
  <c r="N196" i="35"/>
  <c r="Q195" i="35"/>
  <c r="W195" i="36" s="1"/>
  <c r="V347" i="32"/>
  <c r="P348" i="32"/>
  <c r="R277" i="28"/>
  <c r="R276" i="28"/>
  <c r="R275" i="28"/>
  <c r="R274" i="28"/>
  <c r="R258" i="28"/>
  <c r="R257" i="28"/>
  <c r="R256" i="28"/>
  <c r="R255" i="28"/>
  <c r="R254" i="28"/>
  <c r="R253" i="28"/>
  <c r="R273" i="28"/>
  <c r="R265" i="28"/>
  <c r="R261" i="28"/>
  <c r="R278" i="28"/>
  <c r="R271" i="28"/>
  <c r="R252" i="28"/>
  <c r="R267" i="28"/>
  <c r="R263" i="28"/>
  <c r="R272" i="28"/>
  <c r="R270" i="28"/>
  <c r="R259" i="28"/>
  <c r="R264" i="28"/>
  <c r="R269" i="28"/>
  <c r="R251" i="28"/>
  <c r="R260" i="28"/>
  <c r="R266" i="28"/>
  <c r="R250" i="28"/>
  <c r="R268" i="28"/>
  <c r="R249" i="28"/>
  <c r="R262" i="28"/>
  <c r="O107" i="30"/>
  <c r="U106" i="30"/>
  <c r="P54" i="28"/>
  <c r="M55" i="28"/>
  <c r="AD225" i="35"/>
  <c r="Y225" i="35"/>
  <c r="N106" i="35"/>
  <c r="T105" i="35"/>
  <c r="V317" i="32"/>
  <c r="N13" i="34"/>
  <c r="T13" i="35" s="1"/>
  <c r="Q12" i="34"/>
  <c r="W12" i="34" s="1"/>
  <c r="T12" i="34"/>
  <c r="N105" i="34"/>
  <c r="Q104" i="34"/>
  <c r="S225" i="32"/>
  <c r="P226" i="32"/>
  <c r="V225" i="32"/>
  <c r="U72" i="35"/>
  <c r="O73" i="35"/>
  <c r="R72" i="35"/>
  <c r="P166" i="34"/>
  <c r="S165" i="34"/>
  <c r="V165" i="34"/>
  <c r="N14" i="28"/>
  <c r="Q13" i="28"/>
  <c r="N289" i="35"/>
  <c r="T153" i="30"/>
  <c r="N154" i="30"/>
  <c r="AA43" i="34"/>
  <c r="AJ43" i="36" s="1"/>
  <c r="O287" i="35"/>
  <c r="P133" i="28"/>
  <c r="T133" i="28" s="1"/>
  <c r="V133" i="28" s="1"/>
  <c r="M134" i="28"/>
  <c r="P134" i="28" s="1"/>
  <c r="P46" i="32"/>
  <c r="O45" i="30"/>
  <c r="U44" i="30"/>
  <c r="Y224" i="34"/>
  <c r="P73" i="32"/>
  <c r="V72" i="32"/>
  <c r="T165" i="30"/>
  <c r="N166" i="30"/>
  <c r="U166" i="32" s="1"/>
  <c r="O166" i="30"/>
  <c r="U165" i="30"/>
  <c r="O259" i="35"/>
  <c r="U258" i="35"/>
  <c r="N259" i="35"/>
  <c r="T12" i="35"/>
  <c r="AA224" i="35"/>
  <c r="W224" i="35"/>
  <c r="O154" i="30"/>
  <c r="U153" i="30"/>
  <c r="T104" i="35"/>
  <c r="M14" i="28"/>
  <c r="P13" i="28"/>
  <c r="T13" i="28" s="1"/>
  <c r="V13" i="28" s="1"/>
  <c r="V44" i="32"/>
  <c r="S347" i="30"/>
  <c r="M348" i="30"/>
  <c r="U163" i="35"/>
  <c r="O164" i="35"/>
  <c r="R163" i="35"/>
  <c r="X163" i="36" s="1"/>
  <c r="O225" i="34"/>
  <c r="R224" i="34"/>
  <c r="AD224" i="34" s="1"/>
  <c r="AG224" i="34" s="1"/>
  <c r="U224" i="34"/>
  <c r="U224" i="35"/>
  <c r="S12" i="30"/>
  <c r="M13" i="30"/>
  <c r="P12" i="30"/>
  <c r="AA255" i="34"/>
  <c r="AC255" i="34" s="1"/>
  <c r="N135" i="30"/>
  <c r="T134" i="30"/>
  <c r="S228" i="30"/>
  <c r="M229" i="30"/>
  <c r="T44" i="30"/>
  <c r="N45" i="30"/>
  <c r="V43" i="34"/>
  <c r="P44" i="34"/>
  <c r="V44" i="35" s="1"/>
  <c r="S43" i="34"/>
  <c r="Y43" i="35" s="1"/>
  <c r="M136" i="30"/>
  <c r="S135" i="30"/>
  <c r="T135" i="32"/>
  <c r="N348" i="30"/>
  <c r="T347" i="30"/>
  <c r="P291" i="35"/>
  <c r="U165" i="32"/>
  <c r="U287" i="30"/>
  <c r="O288" i="30"/>
  <c r="P319" i="35"/>
  <c r="N171" i="35"/>
  <c r="Q170" i="35"/>
  <c r="W170" i="36" s="1"/>
  <c r="P167" i="32"/>
  <c r="V166" i="32"/>
  <c r="T103" i="32"/>
  <c r="N104" i="32"/>
  <c r="M45" i="30"/>
  <c r="T45" i="32" s="1"/>
  <c r="S44" i="30"/>
  <c r="N167" i="34"/>
  <c r="T166" i="34"/>
  <c r="Q166" i="34"/>
  <c r="T166" i="35"/>
  <c r="X70" i="35"/>
  <c r="N46" i="32"/>
  <c r="AA41" i="35"/>
  <c r="W41" i="35"/>
  <c r="P166" i="35"/>
  <c r="S165" i="35"/>
  <c r="Y165" i="36" s="1"/>
  <c r="V165" i="35"/>
  <c r="N144" i="32"/>
  <c r="Q13" i="35"/>
  <c r="N14" i="35"/>
  <c r="O12" i="34"/>
  <c r="R11" i="34"/>
  <c r="U11" i="34"/>
  <c r="U11" i="35"/>
  <c r="N226" i="35"/>
  <c r="T225" i="35"/>
  <c r="Q225" i="35"/>
  <c r="O318" i="32"/>
  <c r="U317" i="32"/>
  <c r="U317" i="34"/>
  <c r="V225" i="35"/>
  <c r="Q12" i="32"/>
  <c r="N13" i="32"/>
  <c r="T12" i="32"/>
  <c r="O321" i="34"/>
  <c r="R320" i="34"/>
  <c r="P134" i="32"/>
  <c r="V133" i="32"/>
  <c r="V133" i="34"/>
  <c r="P288" i="32"/>
  <c r="V287" i="32"/>
  <c r="U73" i="30"/>
  <c r="O74" i="30"/>
  <c r="M319" i="30"/>
  <c r="T319" i="32" s="1"/>
  <c r="S318" i="30"/>
  <c r="U71" i="34"/>
  <c r="O72" i="34"/>
  <c r="R71" i="34"/>
  <c r="AG256" i="34"/>
  <c r="N134" i="32"/>
  <c r="T133" i="32"/>
  <c r="U348" i="30"/>
  <c r="O349" i="30"/>
  <c r="AA72" i="32"/>
  <c r="N321" i="30"/>
  <c r="T320" i="30"/>
  <c r="AD316" i="34"/>
  <c r="AG316" i="34" s="1"/>
  <c r="O16" i="28"/>
  <c r="R15" i="28"/>
  <c r="X223" i="35"/>
  <c r="O77" i="32"/>
  <c r="U137" i="30"/>
  <c r="O138" i="30"/>
  <c r="V137" i="32"/>
  <c r="Q73" i="34"/>
  <c r="N74" i="34"/>
  <c r="T73" i="34"/>
  <c r="O348" i="32"/>
  <c r="U347" i="32"/>
  <c r="P197" i="34"/>
  <c r="S196" i="34"/>
  <c r="V196" i="35"/>
  <c r="Y164" i="35"/>
  <c r="O145" i="32"/>
  <c r="X10" i="34"/>
  <c r="AD10" i="34"/>
  <c r="AG10" i="34" s="1"/>
  <c r="X10" i="35"/>
  <c r="T226" i="30"/>
  <c r="N227" i="30"/>
  <c r="V226" i="35"/>
  <c r="P227" i="35"/>
  <c r="S226" i="35"/>
  <c r="O134" i="35"/>
  <c r="U133" i="35"/>
  <c r="R133" i="35"/>
  <c r="U43" i="32"/>
  <c r="O44" i="32"/>
  <c r="O259" i="34"/>
  <c r="R258" i="34"/>
  <c r="S136" i="34"/>
  <c r="P137" i="34"/>
  <c r="V136" i="34"/>
  <c r="Y224" i="35"/>
  <c r="S104" i="30"/>
  <c r="M105" i="30"/>
  <c r="AD42" i="34"/>
  <c r="AG42" i="34" s="1"/>
  <c r="O167" i="32"/>
  <c r="O195" i="30"/>
  <c r="U194" i="30"/>
  <c r="AG255" i="34"/>
  <c r="U132" i="34"/>
  <c r="O133" i="34"/>
  <c r="P73" i="35"/>
  <c r="V72" i="35"/>
  <c r="S72" i="35"/>
  <c r="M73" i="30"/>
  <c r="S72" i="30"/>
  <c r="V104" i="32"/>
  <c r="S104" i="32"/>
  <c r="P105" i="32"/>
  <c r="N45" i="28"/>
  <c r="Q44" i="28"/>
  <c r="W165" i="35"/>
  <c r="U318" i="35"/>
  <c r="T133" i="34"/>
  <c r="N43" i="35"/>
  <c r="Q42" i="35"/>
  <c r="T42" i="35"/>
  <c r="U255" i="32"/>
  <c r="O256" i="32"/>
  <c r="U255" i="34"/>
  <c r="R12" i="30"/>
  <c r="X12" i="30" s="1"/>
  <c r="U12" i="30"/>
  <c r="O13" i="30"/>
  <c r="AA12" i="35"/>
  <c r="P259" i="34"/>
  <c r="S258" i="34"/>
  <c r="V258" i="35"/>
  <c r="P14" i="35"/>
  <c r="V13" i="35"/>
  <c r="S13" i="35"/>
  <c r="R193" i="34"/>
  <c r="U193" i="34"/>
  <c r="O194" i="34"/>
  <c r="U193" i="35"/>
  <c r="P144" i="32"/>
  <c r="AD195" i="35"/>
  <c r="U287" i="32"/>
  <c r="O288" i="32"/>
  <c r="T73" i="35"/>
  <c r="Q73" i="35"/>
  <c r="N74" i="35"/>
  <c r="N167" i="32"/>
  <c r="T103" i="30"/>
  <c r="N104" i="30"/>
  <c r="X41" i="35"/>
  <c r="AD41" i="35"/>
  <c r="AG41" i="35" s="1"/>
  <c r="AD103" i="32"/>
  <c r="S164" i="30"/>
  <c r="M165" i="30"/>
  <c r="T164" i="32"/>
  <c r="U261" i="30"/>
  <c r="O262" i="30"/>
  <c r="R226" i="35"/>
  <c r="O227" i="35"/>
  <c r="AD345" i="34"/>
  <c r="AG345" i="34" s="1"/>
  <c r="AA131" i="35"/>
  <c r="V72" i="34"/>
  <c r="P73" i="34"/>
  <c r="S72" i="34"/>
  <c r="Y131" i="35"/>
  <c r="AD131" i="35"/>
  <c r="AG131" i="35" s="1"/>
  <c r="AD71" i="35"/>
  <c r="AG71" i="35" s="1"/>
  <c r="Y71" i="35"/>
  <c r="N135" i="34"/>
  <c r="AA11" i="32"/>
  <c r="AC11" i="32" s="1"/>
  <c r="W11" i="32"/>
  <c r="P16" i="34"/>
  <c r="S15" i="34"/>
  <c r="W11" i="34"/>
  <c r="R196" i="35"/>
  <c r="X196" i="36" s="1"/>
  <c r="O197" i="35"/>
  <c r="AG224" i="35"/>
  <c r="V286" i="34"/>
  <c r="P287" i="34"/>
  <c r="V286" i="35"/>
  <c r="N33" i="28"/>
  <c r="Q33" i="28" s="1"/>
  <c r="Q32" i="28"/>
  <c r="S286" i="30"/>
  <c r="M287" i="30"/>
  <c r="O52" i="28"/>
  <c r="R51" i="28"/>
  <c r="N194" i="30"/>
  <c r="T193" i="30"/>
  <c r="U193" i="32"/>
  <c r="R14" i="32"/>
  <c r="X14" i="32" s="1"/>
  <c r="U14" i="32"/>
  <c r="O15" i="32"/>
  <c r="X71" i="35"/>
  <c r="AD70" i="34"/>
  <c r="AG70" i="34" s="1"/>
  <c r="AG194" i="35"/>
  <c r="AC192" i="34"/>
  <c r="O133" i="32"/>
  <c r="U132" i="32"/>
  <c r="AD164" i="34"/>
  <c r="AG164" i="34" s="1"/>
  <c r="O166" i="34"/>
  <c r="R165" i="34"/>
  <c r="U165" i="34"/>
  <c r="U285" i="34"/>
  <c r="O286" i="34"/>
  <c r="U286" i="35" s="1"/>
  <c r="Q194" i="34"/>
  <c r="N195" i="34"/>
  <c r="T194" i="34"/>
  <c r="U103" i="34"/>
  <c r="O104" i="34"/>
  <c r="O349" i="35"/>
  <c r="AD257" i="34"/>
  <c r="N133" i="35"/>
  <c r="Q132" i="35"/>
  <c r="T132" i="35"/>
  <c r="N16" i="30"/>
  <c r="T15" i="30"/>
  <c r="Q15" i="30"/>
  <c r="W15" i="30" s="1"/>
  <c r="Y12" i="35"/>
  <c r="AD12" i="35"/>
  <c r="AG12" i="35" s="1"/>
  <c r="AE304" i="35" l="1"/>
  <c r="AE305" i="35" s="1"/>
  <c r="AE306" i="35" s="1"/>
  <c r="AE307" i="35" s="1"/>
  <c r="AE308" i="35" s="1"/>
  <c r="AE310" i="35" s="1"/>
  <c r="AG195" i="35"/>
  <c r="O16" i="32"/>
  <c r="U15" i="32"/>
  <c r="R15" i="32"/>
  <c r="X15" i="32" s="1"/>
  <c r="O14" i="30"/>
  <c r="R13" i="30"/>
  <c r="X13" i="30" s="1"/>
  <c r="U13" i="30"/>
  <c r="O135" i="35"/>
  <c r="R134" i="35"/>
  <c r="Y196" i="35"/>
  <c r="T134" i="32"/>
  <c r="V134" i="32"/>
  <c r="V134" i="34"/>
  <c r="N172" i="35"/>
  <c r="Q171" i="35"/>
  <c r="W171" i="36" s="1"/>
  <c r="U45" i="30"/>
  <c r="O46" i="30"/>
  <c r="V348" i="32"/>
  <c r="P349" i="32"/>
  <c r="M259" i="30"/>
  <c r="S258" i="30"/>
  <c r="V105" i="34"/>
  <c r="P106" i="34"/>
  <c r="R197" i="35"/>
  <c r="X197" i="36" s="1"/>
  <c r="O198" i="35"/>
  <c r="Q43" i="35"/>
  <c r="N44" i="35"/>
  <c r="T43" i="35"/>
  <c r="U195" i="30"/>
  <c r="O196" i="30"/>
  <c r="Y165" i="35"/>
  <c r="N136" i="30"/>
  <c r="T135" i="30"/>
  <c r="U135" i="32"/>
  <c r="O108" i="30"/>
  <c r="U107" i="30"/>
  <c r="O228" i="32"/>
  <c r="U227" i="32"/>
  <c r="N75" i="30"/>
  <c r="T74" i="30"/>
  <c r="U74" i="32"/>
  <c r="M105" i="28"/>
  <c r="P104" i="28"/>
  <c r="T195" i="32"/>
  <c r="N196" i="32"/>
  <c r="Q74" i="32"/>
  <c r="N75" i="32"/>
  <c r="N17" i="30"/>
  <c r="T16" i="30"/>
  <c r="Q16" i="30"/>
  <c r="W16" i="30" s="1"/>
  <c r="AD196" i="35"/>
  <c r="P74" i="34"/>
  <c r="S73" i="34"/>
  <c r="V73" i="34"/>
  <c r="R227" i="35"/>
  <c r="O228" i="35"/>
  <c r="N168" i="32"/>
  <c r="P74" i="35"/>
  <c r="S73" i="35"/>
  <c r="V73" i="35"/>
  <c r="M106" i="30"/>
  <c r="S105" i="30"/>
  <c r="O260" i="34"/>
  <c r="R259" i="34"/>
  <c r="Y226" i="35"/>
  <c r="AD226" i="35"/>
  <c r="P198" i="34"/>
  <c r="S197" i="34"/>
  <c r="V197" i="35"/>
  <c r="O139" i="30"/>
  <c r="U138" i="30"/>
  <c r="V138" i="32"/>
  <c r="R16" i="28"/>
  <c r="O17" i="28"/>
  <c r="R321" i="34"/>
  <c r="O322" i="34"/>
  <c r="V166" i="35"/>
  <c r="P167" i="35"/>
  <c r="S166" i="35"/>
  <c r="Y166" i="36" s="1"/>
  <c r="N105" i="32"/>
  <c r="T104" i="32"/>
  <c r="P320" i="35"/>
  <c r="V319" i="35"/>
  <c r="N349" i="30"/>
  <c r="T348" i="30"/>
  <c r="T45" i="30"/>
  <c r="N46" i="30"/>
  <c r="U225" i="34"/>
  <c r="R225" i="34"/>
  <c r="O226" i="34"/>
  <c r="U225" i="35"/>
  <c r="P14" i="28"/>
  <c r="T14" i="28" s="1"/>
  <c r="V14" i="28" s="1"/>
  <c r="M15" i="28"/>
  <c r="N260" i="35"/>
  <c r="P47" i="32"/>
  <c r="N15" i="28"/>
  <c r="Q14" i="28"/>
  <c r="S226" i="32"/>
  <c r="P227" i="32"/>
  <c r="V226" i="32"/>
  <c r="AG225" i="35"/>
  <c r="R308" i="28"/>
  <c r="R307" i="28"/>
  <c r="R306" i="28"/>
  <c r="R305" i="28"/>
  <c r="R304" i="28"/>
  <c r="R303" i="28"/>
  <c r="R302" i="28"/>
  <c r="R288" i="28"/>
  <c r="R301" i="28"/>
  <c r="R300" i="28"/>
  <c r="R299" i="28"/>
  <c r="R298" i="28"/>
  <c r="R297" i="28"/>
  <c r="R296" i="28"/>
  <c r="R295" i="28"/>
  <c r="R291" i="28"/>
  <c r="R283" i="28"/>
  <c r="R282" i="28"/>
  <c r="R281" i="28"/>
  <c r="R284" i="28"/>
  <c r="R290" i="28"/>
  <c r="R279" i="28"/>
  <c r="R287" i="28"/>
  <c r="R294" i="28"/>
  <c r="R286" i="28"/>
  <c r="R292" i="28"/>
  <c r="R280" i="28"/>
  <c r="R309" i="28"/>
  <c r="R285" i="28"/>
  <c r="R289" i="28"/>
  <c r="R293" i="28"/>
  <c r="N289" i="34"/>
  <c r="T288" i="34"/>
  <c r="P134" i="35"/>
  <c r="V133" i="35"/>
  <c r="S133" i="35"/>
  <c r="V258" i="32"/>
  <c r="P259" i="32"/>
  <c r="S45" i="35"/>
  <c r="P46" i="35"/>
  <c r="V45" i="35"/>
  <c r="N186" i="32"/>
  <c r="X42" i="35"/>
  <c r="AD42" i="35"/>
  <c r="AG42" i="35" s="1"/>
  <c r="Y12" i="32"/>
  <c r="AD12" i="32"/>
  <c r="AG12" i="32" s="1"/>
  <c r="Y12" i="34"/>
  <c r="AD346" i="34"/>
  <c r="AG346" i="34" s="1"/>
  <c r="O167" i="34"/>
  <c r="U166" i="34"/>
  <c r="R166" i="34"/>
  <c r="O195" i="34"/>
  <c r="U194" i="34"/>
  <c r="R194" i="34"/>
  <c r="U194" i="35"/>
  <c r="AD258" i="34"/>
  <c r="V105" i="32"/>
  <c r="P106" i="32"/>
  <c r="S105" i="32"/>
  <c r="O134" i="34"/>
  <c r="U133" i="34"/>
  <c r="O168" i="32"/>
  <c r="U44" i="32"/>
  <c r="O45" i="32"/>
  <c r="P228" i="35"/>
  <c r="S227" i="35"/>
  <c r="U145" i="32"/>
  <c r="O146" i="32"/>
  <c r="P289" i="32"/>
  <c r="V288" i="32"/>
  <c r="O319" i="32"/>
  <c r="U318" i="32"/>
  <c r="U318" i="34"/>
  <c r="X11" i="34"/>
  <c r="AD11" i="34"/>
  <c r="AG11" i="34" s="1"/>
  <c r="X11" i="35"/>
  <c r="W166" i="35"/>
  <c r="X163" i="35"/>
  <c r="AD163" i="35"/>
  <c r="AG163" i="35" s="1"/>
  <c r="V73" i="32"/>
  <c r="P74" i="32"/>
  <c r="V45" i="32"/>
  <c r="T154" i="30"/>
  <c r="N155" i="30"/>
  <c r="AA195" i="35"/>
  <c r="P196" i="28"/>
  <c r="T196" i="28" s="1"/>
  <c r="V196" i="28" s="1"/>
  <c r="M197" i="28"/>
  <c r="AD132" i="35"/>
  <c r="AG132" i="35" s="1"/>
  <c r="Y132" i="35"/>
  <c r="P262" i="35"/>
  <c r="N227" i="34"/>
  <c r="T226" i="34"/>
  <c r="Q226" i="34"/>
  <c r="R43" i="35"/>
  <c r="O44" i="35"/>
  <c r="U43" i="35"/>
  <c r="M367" i="28"/>
  <c r="P366" i="28"/>
  <c r="V349" i="34"/>
  <c r="P350" i="34"/>
  <c r="S349" i="34"/>
  <c r="V349" i="35"/>
  <c r="P354" i="35"/>
  <c r="P201" i="35"/>
  <c r="S200" i="35"/>
  <c r="Y200" i="36" s="1"/>
  <c r="AC72" i="35"/>
  <c r="AI72" i="35"/>
  <c r="W42" i="35"/>
  <c r="AA42" i="35"/>
  <c r="N47" i="32"/>
  <c r="V44" i="34"/>
  <c r="S44" i="34"/>
  <c r="P45" i="34"/>
  <c r="N290" i="35"/>
  <c r="P319" i="34"/>
  <c r="V318" i="34"/>
  <c r="S318" i="34"/>
  <c r="T318" i="34"/>
  <c r="N319" i="34"/>
  <c r="Q318" i="34"/>
  <c r="AJ43" i="35"/>
  <c r="N196" i="34"/>
  <c r="T195" i="34"/>
  <c r="Q195" i="34"/>
  <c r="W195" i="35" s="1"/>
  <c r="P145" i="32"/>
  <c r="P260" i="34"/>
  <c r="S259" i="34"/>
  <c r="V259" i="34"/>
  <c r="V259" i="35"/>
  <c r="U256" i="32"/>
  <c r="O257" i="32"/>
  <c r="U256" i="34"/>
  <c r="O73" i="34"/>
  <c r="R72" i="34"/>
  <c r="U72" i="34"/>
  <c r="U164" i="35"/>
  <c r="O165" i="35"/>
  <c r="R164" i="35"/>
  <c r="X164" i="36" s="1"/>
  <c r="N197" i="35"/>
  <c r="T196" i="35"/>
  <c r="Q196" i="35"/>
  <c r="W196" i="36" s="1"/>
  <c r="O16" i="35"/>
  <c r="R15" i="35"/>
  <c r="V348" i="34"/>
  <c r="Q133" i="35"/>
  <c r="N134" i="35"/>
  <c r="T133" i="35"/>
  <c r="T194" i="30"/>
  <c r="N195" i="30"/>
  <c r="U194" i="32"/>
  <c r="U262" i="30"/>
  <c r="O263" i="30"/>
  <c r="AA73" i="35"/>
  <c r="W73" i="35"/>
  <c r="X193" i="35"/>
  <c r="AD193" i="34"/>
  <c r="AG193" i="34" s="1"/>
  <c r="V258" i="34"/>
  <c r="N228" i="30"/>
  <c r="T227" i="30"/>
  <c r="N14" i="32"/>
  <c r="Q13" i="32"/>
  <c r="T13" i="32"/>
  <c r="T167" i="34"/>
  <c r="N168" i="34"/>
  <c r="Q167" i="34"/>
  <c r="T167" i="35"/>
  <c r="P168" i="32"/>
  <c r="V167" i="32"/>
  <c r="S136" i="30"/>
  <c r="M137" i="30"/>
  <c r="T136" i="32"/>
  <c r="M230" i="30"/>
  <c r="S229" i="30"/>
  <c r="S13" i="30"/>
  <c r="P13" i="30"/>
  <c r="V13" i="30" s="1"/>
  <c r="M14" i="30"/>
  <c r="O260" i="35"/>
  <c r="U259" i="35"/>
  <c r="V166" i="34"/>
  <c r="S166" i="34"/>
  <c r="P167" i="34"/>
  <c r="N106" i="34"/>
  <c r="T105" i="34"/>
  <c r="Q105" i="34"/>
  <c r="P55" i="28"/>
  <c r="T55" i="28" s="1"/>
  <c r="V55" i="28" s="1"/>
  <c r="M56" i="28"/>
  <c r="T195" i="35"/>
  <c r="P144" i="28"/>
  <c r="M145" i="28"/>
  <c r="AJ72" i="35"/>
  <c r="M198" i="30"/>
  <c r="S197" i="30"/>
  <c r="T288" i="30"/>
  <c r="N289" i="30"/>
  <c r="N258" i="32"/>
  <c r="T257" i="32"/>
  <c r="N350" i="32"/>
  <c r="T349" i="32"/>
  <c r="P105" i="35"/>
  <c r="V104" i="35"/>
  <c r="P196" i="32"/>
  <c r="V195" i="32"/>
  <c r="V195" i="34"/>
  <c r="T228" i="32"/>
  <c r="N229" i="32"/>
  <c r="T45" i="34"/>
  <c r="N46" i="34"/>
  <c r="Q45" i="34"/>
  <c r="P330" i="28"/>
  <c r="M331" i="28"/>
  <c r="T318" i="35"/>
  <c r="N350" i="34"/>
  <c r="T349" i="34"/>
  <c r="Q349" i="34"/>
  <c r="N107" i="35"/>
  <c r="T106" i="35"/>
  <c r="O197" i="32"/>
  <c r="U318" i="30"/>
  <c r="O319" i="30"/>
  <c r="M288" i="30"/>
  <c r="S287" i="30"/>
  <c r="N46" i="28"/>
  <c r="Q45" i="28"/>
  <c r="N145" i="32"/>
  <c r="T13" i="34"/>
  <c r="N14" i="34"/>
  <c r="Q13" i="34"/>
  <c r="S13" i="32"/>
  <c r="V13" i="32"/>
  <c r="P14" i="32"/>
  <c r="V13" i="34"/>
  <c r="AA132" i="35"/>
  <c r="T74" i="35"/>
  <c r="N75" i="35"/>
  <c r="Q74" i="35"/>
  <c r="U319" i="35"/>
  <c r="O349" i="32"/>
  <c r="U348" i="32"/>
  <c r="U349" i="30"/>
  <c r="O350" i="30"/>
  <c r="AA225" i="35"/>
  <c r="W225" i="35"/>
  <c r="O289" i="30"/>
  <c r="U288" i="30"/>
  <c r="Z12" i="30"/>
  <c r="AB12" i="30" s="1"/>
  <c r="V12" i="30"/>
  <c r="U347" i="34"/>
  <c r="O348" i="34"/>
  <c r="R347" i="34"/>
  <c r="U347" i="35"/>
  <c r="O105" i="34"/>
  <c r="U104" i="34"/>
  <c r="V287" i="34"/>
  <c r="P288" i="34"/>
  <c r="V287" i="35"/>
  <c r="P17" i="34"/>
  <c r="S16" i="34"/>
  <c r="N136" i="34"/>
  <c r="T135" i="34"/>
  <c r="Y13" i="35"/>
  <c r="AD13" i="35"/>
  <c r="AG13" i="35" s="1"/>
  <c r="V137" i="34"/>
  <c r="P138" i="34"/>
  <c r="S137" i="34"/>
  <c r="O78" i="32"/>
  <c r="N322" i="30"/>
  <c r="T321" i="30"/>
  <c r="W12" i="32"/>
  <c r="AA12" i="32"/>
  <c r="N227" i="35"/>
  <c r="T226" i="35"/>
  <c r="Q226" i="35"/>
  <c r="N15" i="35"/>
  <c r="Q14" i="35"/>
  <c r="T14" i="35"/>
  <c r="M349" i="30"/>
  <c r="S348" i="30"/>
  <c r="O155" i="30"/>
  <c r="U154" i="30"/>
  <c r="X72" i="35"/>
  <c r="T104" i="34"/>
  <c r="Y225" i="34"/>
  <c r="P320" i="32"/>
  <c r="V319" i="32"/>
  <c r="AA44" i="34"/>
  <c r="AC44" i="34" s="1"/>
  <c r="O105" i="35"/>
  <c r="U104" i="35"/>
  <c r="T257" i="30"/>
  <c r="N258" i="30"/>
  <c r="T319" i="35"/>
  <c r="N320" i="35"/>
  <c r="T320" i="35" s="1"/>
  <c r="O53" i="28"/>
  <c r="R52" i="28"/>
  <c r="M166" i="30"/>
  <c r="S165" i="30"/>
  <c r="T165" i="32"/>
  <c r="S14" i="35"/>
  <c r="P15" i="35"/>
  <c r="V14" i="35"/>
  <c r="Y72" i="35"/>
  <c r="AD72" i="35"/>
  <c r="AA73" i="34"/>
  <c r="AC73" i="34" s="1"/>
  <c r="W73" i="34"/>
  <c r="U74" i="30"/>
  <c r="O75" i="30"/>
  <c r="M46" i="30"/>
  <c r="T46" i="32" s="1"/>
  <c r="S45" i="30"/>
  <c r="N167" i="30"/>
  <c r="T166" i="30"/>
  <c r="O106" i="32"/>
  <c r="R105" i="32"/>
  <c r="U105" i="32"/>
  <c r="S155" i="30"/>
  <c r="M156" i="30"/>
  <c r="AA73" i="32"/>
  <c r="AC73" i="32" s="1"/>
  <c r="AG257" i="34"/>
  <c r="AD72" i="34"/>
  <c r="AG72" i="34" s="1"/>
  <c r="X224" i="35"/>
  <c r="AD317" i="34"/>
  <c r="AG317" i="34" s="1"/>
  <c r="O350" i="35"/>
  <c r="AD104" i="32"/>
  <c r="U12" i="34"/>
  <c r="O13" i="34"/>
  <c r="R12" i="34"/>
  <c r="U12" i="35"/>
  <c r="AD165" i="34"/>
  <c r="AG165" i="34" s="1"/>
  <c r="O227" i="30"/>
  <c r="U226" i="30"/>
  <c r="U286" i="34"/>
  <c r="O287" i="34"/>
  <c r="U287" i="35" s="1"/>
  <c r="U133" i="32"/>
  <c r="O134" i="32"/>
  <c r="T134" i="34"/>
  <c r="N105" i="30"/>
  <c r="T104" i="30"/>
  <c r="U288" i="32"/>
  <c r="O289" i="32"/>
  <c r="W12" i="35"/>
  <c r="M74" i="30"/>
  <c r="T74" i="32" s="1"/>
  <c r="S73" i="30"/>
  <c r="T74" i="34"/>
  <c r="N75" i="34"/>
  <c r="Q74" i="34"/>
  <c r="M320" i="30"/>
  <c r="S319" i="30"/>
  <c r="AA13" i="35"/>
  <c r="AA170" i="35"/>
  <c r="AC170" i="35" s="1"/>
  <c r="P292" i="35"/>
  <c r="AD43" i="34"/>
  <c r="U166" i="30"/>
  <c r="O167" i="30"/>
  <c r="O288" i="35"/>
  <c r="T288" i="35"/>
  <c r="R73" i="35"/>
  <c r="O74" i="35"/>
  <c r="S226" i="34"/>
  <c r="V226" i="34"/>
  <c r="P227" i="34"/>
  <c r="N258" i="34"/>
  <c r="Q257" i="34"/>
  <c r="T257" i="34"/>
  <c r="T257" i="35"/>
  <c r="V318" i="32"/>
  <c r="N349" i="35"/>
  <c r="T348" i="35"/>
  <c r="W194" i="35"/>
  <c r="T320" i="32"/>
  <c r="N321" i="32"/>
  <c r="AA317" i="34"/>
  <c r="N289" i="32"/>
  <c r="T288" i="32"/>
  <c r="O45" i="34"/>
  <c r="R44" i="34"/>
  <c r="U44" i="34"/>
  <c r="T73" i="32"/>
  <c r="AG43" i="34" l="1"/>
  <c r="AH43" i="36"/>
  <c r="AE311" i="35"/>
  <c r="AE312" i="35" s="1"/>
  <c r="AE313" i="35" s="1"/>
  <c r="AE314" i="35" s="1"/>
  <c r="AE315" i="35" s="1"/>
  <c r="AE316" i="35" s="1"/>
  <c r="AE317" i="35" s="1"/>
  <c r="AE340" i="35"/>
  <c r="AE341" i="35" s="1"/>
  <c r="AE342" i="35" s="1"/>
  <c r="AE343" i="35" s="1"/>
  <c r="AE344" i="35" s="1"/>
  <c r="AE345" i="35" s="1"/>
  <c r="AE346" i="35" s="1"/>
  <c r="AE347" i="35" s="1"/>
  <c r="AE348" i="35" s="1"/>
  <c r="AE349" i="35" s="1"/>
  <c r="AE350" i="35" s="1"/>
  <c r="AE351" i="35" s="1"/>
  <c r="AE352" i="35" s="1"/>
  <c r="AE353" i="35" s="1"/>
  <c r="AE354" i="35" s="1"/>
  <c r="AE355" i="35" s="1"/>
  <c r="AE356" i="35" s="1"/>
  <c r="AE357" i="35" s="1"/>
  <c r="AE358" i="35" s="1"/>
  <c r="AE359" i="35" s="1"/>
  <c r="AE360" i="35" s="1"/>
  <c r="AE361" i="35" s="1"/>
  <c r="AE362" i="35" s="1"/>
  <c r="AE363" i="35" s="1"/>
  <c r="AE364" i="35" s="1"/>
  <c r="AE365" i="35" s="1"/>
  <c r="AE366" i="35" s="1"/>
  <c r="U75" i="30"/>
  <c r="O76" i="30"/>
  <c r="N137" i="34"/>
  <c r="T136" i="34"/>
  <c r="R73" i="34"/>
  <c r="AD73" i="34" s="1"/>
  <c r="AG73" i="34" s="1"/>
  <c r="U73" i="34"/>
  <c r="O74" i="34"/>
  <c r="AA226" i="34"/>
  <c r="S134" i="35"/>
  <c r="V134" i="35"/>
  <c r="P135" i="35"/>
  <c r="N16" i="28"/>
  <c r="Q15" i="28"/>
  <c r="N350" i="30"/>
  <c r="T349" i="30"/>
  <c r="AD73" i="35"/>
  <c r="AG73" i="35" s="1"/>
  <c r="Y73" i="35"/>
  <c r="O156" i="30"/>
  <c r="U155" i="30"/>
  <c r="T145" i="32"/>
  <c r="N146" i="32"/>
  <c r="P351" i="34"/>
  <c r="S350" i="34"/>
  <c r="V350" i="35"/>
  <c r="P197" i="28"/>
  <c r="M198" i="28"/>
  <c r="P290" i="32"/>
  <c r="V289" i="32"/>
  <c r="O227" i="34"/>
  <c r="U226" i="34"/>
  <c r="R226" i="34"/>
  <c r="U226" i="35"/>
  <c r="O140" i="30"/>
  <c r="U139" i="30"/>
  <c r="V139" i="32"/>
  <c r="P75" i="35"/>
  <c r="S74" i="35"/>
  <c r="V74" i="35"/>
  <c r="V74" i="34"/>
  <c r="P75" i="34"/>
  <c r="S74" i="34"/>
  <c r="AA74" i="32"/>
  <c r="AC74" i="32" s="1"/>
  <c r="T75" i="30"/>
  <c r="N76" i="30"/>
  <c r="U75" i="32"/>
  <c r="U196" i="30"/>
  <c r="O197" i="30"/>
  <c r="P107" i="34"/>
  <c r="V106" i="34"/>
  <c r="O47" i="30"/>
  <c r="U46" i="30"/>
  <c r="U73" i="35"/>
  <c r="S320" i="30"/>
  <c r="M321" i="30"/>
  <c r="U134" i="32"/>
  <c r="R106" i="32"/>
  <c r="O107" i="32"/>
  <c r="T227" i="35"/>
  <c r="N228" i="35"/>
  <c r="Q227" i="35"/>
  <c r="O106" i="34"/>
  <c r="U105" i="34"/>
  <c r="O290" i="30"/>
  <c r="U289" i="30"/>
  <c r="P331" i="28"/>
  <c r="M332" i="28"/>
  <c r="Q106" i="34"/>
  <c r="N107" i="34"/>
  <c r="P169" i="32"/>
  <c r="N15" i="32"/>
  <c r="Q14" i="32"/>
  <c r="T14" i="32"/>
  <c r="T195" i="30"/>
  <c r="N196" i="30"/>
  <c r="U195" i="32"/>
  <c r="U257" i="32"/>
  <c r="O258" i="32"/>
  <c r="U257" i="34"/>
  <c r="Q227" i="34"/>
  <c r="T227" i="34"/>
  <c r="N228" i="34"/>
  <c r="U45" i="32"/>
  <c r="O46" i="32"/>
  <c r="AD105" i="32"/>
  <c r="U195" i="34"/>
  <c r="R195" i="34"/>
  <c r="O196" i="34"/>
  <c r="U195" i="35"/>
  <c r="N290" i="34"/>
  <c r="T289" i="34"/>
  <c r="P48" i="32"/>
  <c r="V47" i="32"/>
  <c r="X225" i="35"/>
  <c r="P321" i="35"/>
  <c r="R322" i="34"/>
  <c r="O323" i="34"/>
  <c r="AG196" i="35"/>
  <c r="O109" i="30"/>
  <c r="U108" i="30"/>
  <c r="R135" i="35"/>
  <c r="U135" i="35"/>
  <c r="O136" i="35"/>
  <c r="N322" i="32"/>
  <c r="P293" i="35"/>
  <c r="W74" i="34"/>
  <c r="U289" i="32"/>
  <c r="O290" i="32"/>
  <c r="X12" i="34"/>
  <c r="AD12" i="34"/>
  <c r="AG12" i="34" s="1"/>
  <c r="X12" i="35"/>
  <c r="S166" i="30"/>
  <c r="M167" i="30"/>
  <c r="T166" i="32"/>
  <c r="AD225" i="34"/>
  <c r="AG225" i="34" s="1"/>
  <c r="S349" i="30"/>
  <c r="M350" i="30"/>
  <c r="P139" i="34"/>
  <c r="S138" i="34"/>
  <c r="V138" i="34"/>
  <c r="AA74" i="35"/>
  <c r="W74" i="35"/>
  <c r="AD13" i="32"/>
  <c r="AG13" i="32" s="1"/>
  <c r="Y13" i="32"/>
  <c r="Y13" i="34"/>
  <c r="V196" i="32"/>
  <c r="P197" i="32"/>
  <c r="V196" i="34"/>
  <c r="P145" i="28"/>
  <c r="T145" i="28" s="1"/>
  <c r="V145" i="28" s="1"/>
  <c r="M146" i="28"/>
  <c r="P168" i="34"/>
  <c r="V167" i="34"/>
  <c r="S167" i="34"/>
  <c r="O17" i="35"/>
  <c r="R16" i="35"/>
  <c r="X164" i="35"/>
  <c r="AD164" i="35"/>
  <c r="AG164" i="35" s="1"/>
  <c r="V319" i="34"/>
  <c r="P320" i="34"/>
  <c r="S319" i="34"/>
  <c r="N48" i="32"/>
  <c r="T47" i="32"/>
  <c r="P202" i="35"/>
  <c r="S201" i="35"/>
  <c r="Y201" i="36" s="1"/>
  <c r="P263" i="35"/>
  <c r="V106" i="32"/>
  <c r="S106" i="32"/>
  <c r="P107" i="32"/>
  <c r="P260" i="32"/>
  <c r="V259" i="32"/>
  <c r="V46" i="32"/>
  <c r="R260" i="34"/>
  <c r="O261" i="34"/>
  <c r="N169" i="32"/>
  <c r="N197" i="32"/>
  <c r="T196" i="32"/>
  <c r="AA171" i="35"/>
  <c r="O75" i="35"/>
  <c r="U74" i="35"/>
  <c r="R74" i="35"/>
  <c r="O79" i="32"/>
  <c r="S14" i="30"/>
  <c r="M15" i="30"/>
  <c r="P14" i="30"/>
  <c r="AA133" i="35"/>
  <c r="P229" i="35"/>
  <c r="V228" i="35"/>
  <c r="S228" i="35"/>
  <c r="P321" i="32"/>
  <c r="O198" i="32"/>
  <c r="AD318" i="34"/>
  <c r="AG318" i="34" s="1"/>
  <c r="S46" i="35"/>
  <c r="P47" i="35"/>
  <c r="O289" i="35"/>
  <c r="U13" i="34"/>
  <c r="O14" i="34"/>
  <c r="R13" i="34"/>
  <c r="U13" i="35"/>
  <c r="T167" i="30"/>
  <c r="N168" i="30"/>
  <c r="O106" i="35"/>
  <c r="U105" i="35"/>
  <c r="S17" i="34"/>
  <c r="P18" i="34"/>
  <c r="Q75" i="35"/>
  <c r="N76" i="35"/>
  <c r="T75" i="35"/>
  <c r="N47" i="28"/>
  <c r="Q46" i="28"/>
  <c r="AD166" i="34"/>
  <c r="AG166" i="34" s="1"/>
  <c r="T228" i="30"/>
  <c r="N229" i="30"/>
  <c r="O147" i="32"/>
  <c r="U146" i="32"/>
  <c r="O18" i="28"/>
  <c r="R17" i="28"/>
  <c r="O229" i="32"/>
  <c r="U228" i="32"/>
  <c r="Q44" i="35"/>
  <c r="T44" i="35"/>
  <c r="N45" i="35"/>
  <c r="U45" i="34"/>
  <c r="R45" i="34"/>
  <c r="O46" i="34"/>
  <c r="S227" i="34"/>
  <c r="V227" i="34"/>
  <c r="P228" i="34"/>
  <c r="O54" i="28"/>
  <c r="R53" i="28"/>
  <c r="O349" i="34"/>
  <c r="U348" i="34"/>
  <c r="R348" i="34"/>
  <c r="U348" i="35"/>
  <c r="O351" i="30"/>
  <c r="U350" i="30"/>
  <c r="N15" i="34"/>
  <c r="Q14" i="34"/>
  <c r="W14" i="34" s="1"/>
  <c r="T14" i="34"/>
  <c r="N108" i="35"/>
  <c r="N47" i="34"/>
  <c r="Q46" i="34"/>
  <c r="T46" i="34"/>
  <c r="T289" i="30"/>
  <c r="N290" i="30"/>
  <c r="N169" i="34"/>
  <c r="Q168" i="34"/>
  <c r="T168" i="34"/>
  <c r="T168" i="35"/>
  <c r="T289" i="35"/>
  <c r="O169" i="32"/>
  <c r="U168" i="32"/>
  <c r="P228" i="32"/>
  <c r="V227" i="32"/>
  <c r="S227" i="32"/>
  <c r="N261" i="35"/>
  <c r="N47" i="30"/>
  <c r="T46" i="30"/>
  <c r="N106" i="32"/>
  <c r="T105" i="32"/>
  <c r="W43" i="35"/>
  <c r="AA43" i="35"/>
  <c r="M260" i="30"/>
  <c r="S259" i="30"/>
  <c r="Q172" i="35"/>
  <c r="W172" i="36" s="1"/>
  <c r="N173" i="35"/>
  <c r="R14" i="30"/>
  <c r="X14" i="30" s="1"/>
  <c r="U14" i="30"/>
  <c r="O15" i="30"/>
  <c r="N290" i="32"/>
  <c r="T289" i="32"/>
  <c r="Y14" i="35"/>
  <c r="AD14" i="35"/>
  <c r="AG14" i="35" s="1"/>
  <c r="W226" i="35"/>
  <c r="AA226" i="35"/>
  <c r="AC226" i="35" s="1"/>
  <c r="O350" i="32"/>
  <c r="U349" i="32"/>
  <c r="T350" i="34"/>
  <c r="N351" i="34"/>
  <c r="Q350" i="34"/>
  <c r="M199" i="30"/>
  <c r="S198" i="30"/>
  <c r="X194" i="35"/>
  <c r="AD194" i="34"/>
  <c r="AG194" i="34" s="1"/>
  <c r="Q75" i="32"/>
  <c r="N76" i="32"/>
  <c r="T75" i="32"/>
  <c r="R16" i="32"/>
  <c r="X16" i="32" s="1"/>
  <c r="O17" i="32"/>
  <c r="U16" i="32"/>
  <c r="V14" i="32"/>
  <c r="P15" i="32"/>
  <c r="S14" i="32"/>
  <c r="V14" i="34"/>
  <c r="AA13" i="32"/>
  <c r="W13" i="32"/>
  <c r="V145" i="32"/>
  <c r="P146" i="32"/>
  <c r="N259" i="34"/>
  <c r="Q258" i="34"/>
  <c r="T258" i="34"/>
  <c r="T258" i="35"/>
  <c r="N76" i="34"/>
  <c r="Q75" i="34"/>
  <c r="T75" i="34"/>
  <c r="AH72" i="35"/>
  <c r="AG72" i="35"/>
  <c r="AD347" i="34"/>
  <c r="AG347" i="34" s="1"/>
  <c r="W13" i="34"/>
  <c r="N259" i="32"/>
  <c r="T258" i="32"/>
  <c r="S230" i="30"/>
  <c r="M231" i="30"/>
  <c r="O264" i="30"/>
  <c r="U263" i="30"/>
  <c r="N291" i="35"/>
  <c r="T290" i="35"/>
  <c r="M368" i="28"/>
  <c r="P367" i="28"/>
  <c r="P75" i="32"/>
  <c r="V74" i="32"/>
  <c r="Y197" i="35"/>
  <c r="R228" i="35"/>
  <c r="O229" i="35"/>
  <c r="U167" i="30"/>
  <c r="O168" i="30"/>
  <c r="W13" i="35"/>
  <c r="AA14" i="35"/>
  <c r="N323" i="30"/>
  <c r="T322" i="30"/>
  <c r="P289" i="34"/>
  <c r="V288" i="34"/>
  <c r="V288" i="35"/>
  <c r="S288" i="30"/>
  <c r="M289" i="30"/>
  <c r="P56" i="28"/>
  <c r="M57" i="28"/>
  <c r="AD259" i="34"/>
  <c r="N197" i="34"/>
  <c r="T196" i="34"/>
  <c r="Q196" i="34"/>
  <c r="W196" i="35" s="1"/>
  <c r="AA318" i="34"/>
  <c r="AC318" i="34" s="1"/>
  <c r="V45" i="34"/>
  <c r="P46" i="34"/>
  <c r="V46" i="35" s="1"/>
  <c r="S45" i="34"/>
  <c r="Y45" i="35" s="1"/>
  <c r="P355" i="35"/>
  <c r="U44" i="35"/>
  <c r="R44" i="35"/>
  <c r="O45" i="35"/>
  <c r="Y227" i="35"/>
  <c r="AD227" i="35"/>
  <c r="U167" i="32"/>
  <c r="Y133" i="35"/>
  <c r="AD133" i="35"/>
  <c r="AG133" i="35" s="1"/>
  <c r="P15" i="28"/>
  <c r="M16" i="28"/>
  <c r="Y166" i="35"/>
  <c r="P199" i="34"/>
  <c r="S198" i="34"/>
  <c r="V198" i="35"/>
  <c r="M107" i="30"/>
  <c r="S106" i="30"/>
  <c r="P105" i="28"/>
  <c r="T105" i="28" s="1"/>
  <c r="V105" i="28" s="1"/>
  <c r="M106" i="28"/>
  <c r="N137" i="30"/>
  <c r="T136" i="30"/>
  <c r="U136" i="32"/>
  <c r="O199" i="35"/>
  <c r="R198" i="35"/>
  <c r="X198" i="36" s="1"/>
  <c r="V349" i="32"/>
  <c r="P350" i="32"/>
  <c r="O351" i="35"/>
  <c r="N156" i="30"/>
  <c r="T155" i="30"/>
  <c r="O135" i="34"/>
  <c r="U134" i="34"/>
  <c r="U134" i="35"/>
  <c r="X73" i="35"/>
  <c r="S74" i="30"/>
  <c r="M75" i="30"/>
  <c r="T258" i="30"/>
  <c r="N259" i="30"/>
  <c r="U320" i="35"/>
  <c r="N351" i="32"/>
  <c r="T350" i="32"/>
  <c r="T197" i="35"/>
  <c r="N198" i="35"/>
  <c r="Q197" i="35"/>
  <c r="W197" i="36" s="1"/>
  <c r="O288" i="34"/>
  <c r="U288" i="35" s="1"/>
  <c r="U287" i="34"/>
  <c r="S156" i="30"/>
  <c r="W167" i="35"/>
  <c r="O166" i="35"/>
  <c r="U165" i="35"/>
  <c r="R165" i="35"/>
  <c r="X165" i="36" s="1"/>
  <c r="T349" i="35"/>
  <c r="N350" i="35"/>
  <c r="Y226" i="34"/>
  <c r="AD226" i="34"/>
  <c r="AG226" i="34" s="1"/>
  <c r="T105" i="30"/>
  <c r="N106" i="30"/>
  <c r="U106" i="32" s="1"/>
  <c r="U227" i="30"/>
  <c r="O228" i="30"/>
  <c r="M47" i="30"/>
  <c r="S46" i="30"/>
  <c r="V15" i="35"/>
  <c r="S15" i="35"/>
  <c r="P16" i="35"/>
  <c r="T15" i="35"/>
  <c r="Q15" i="35"/>
  <c r="N16" i="35"/>
  <c r="U319" i="30"/>
  <c r="O320" i="30"/>
  <c r="N230" i="32"/>
  <c r="T229" i="32"/>
  <c r="V105" i="35"/>
  <c r="P106" i="35"/>
  <c r="O261" i="35"/>
  <c r="U260" i="35"/>
  <c r="M138" i="30"/>
  <c r="S137" i="30"/>
  <c r="T137" i="32"/>
  <c r="Q134" i="35"/>
  <c r="N135" i="35"/>
  <c r="T134" i="35"/>
  <c r="AA196" i="35"/>
  <c r="P261" i="34"/>
  <c r="S260" i="34"/>
  <c r="V260" i="34"/>
  <c r="V260" i="35"/>
  <c r="T319" i="34"/>
  <c r="Q319" i="34"/>
  <c r="N320" i="34"/>
  <c r="AD44" i="34"/>
  <c r="AG44" i="34" s="1"/>
  <c r="X43" i="35"/>
  <c r="AD43" i="35"/>
  <c r="U319" i="32"/>
  <c r="O320" i="32"/>
  <c r="U319" i="34"/>
  <c r="V227" i="35"/>
  <c r="O168" i="34"/>
  <c r="U167" i="34"/>
  <c r="R167" i="34"/>
  <c r="T186" i="34"/>
  <c r="R338" i="28"/>
  <c r="R337" i="28"/>
  <c r="R336" i="28"/>
  <c r="R335" i="28"/>
  <c r="R334" i="28"/>
  <c r="R333" i="28"/>
  <c r="R332" i="28"/>
  <c r="R331" i="28"/>
  <c r="R330" i="28"/>
  <c r="R329" i="28"/>
  <c r="R328" i="28"/>
  <c r="R326" i="28"/>
  <c r="R317" i="28"/>
  <c r="R322" i="28"/>
  <c r="R313" i="28"/>
  <c r="R323" i="28"/>
  <c r="R318" i="28"/>
  <c r="R315" i="28"/>
  <c r="R312" i="28"/>
  <c r="R327" i="28"/>
  <c r="R320" i="28"/>
  <c r="R310" i="28"/>
  <c r="R324" i="28"/>
  <c r="R325" i="28"/>
  <c r="R311" i="28"/>
  <c r="R319" i="28"/>
  <c r="R321" i="28"/>
  <c r="R339" i="28"/>
  <c r="R316" i="28"/>
  <c r="R314" i="28"/>
  <c r="P168" i="35"/>
  <c r="S167" i="35"/>
  <c r="Y167" i="36" s="1"/>
  <c r="V167" i="35"/>
  <c r="AG226" i="35"/>
  <c r="T17" i="30"/>
  <c r="N18" i="30"/>
  <c r="Q17" i="30"/>
  <c r="W17" i="30" s="1"/>
  <c r="Y44" i="35"/>
  <c r="AD197" i="35"/>
  <c r="AE318" i="35" l="1"/>
  <c r="AE319" i="35" s="1"/>
  <c r="AE320" i="35" s="1"/>
  <c r="AE321" i="35" s="1"/>
  <c r="AE322" i="35" s="1"/>
  <c r="AE323" i="35" s="1"/>
  <c r="AE324" i="35" s="1"/>
  <c r="AG227" i="35"/>
  <c r="AE367" i="35"/>
  <c r="AE368" i="35" s="1"/>
  <c r="AE369" i="35" s="1"/>
  <c r="AG197" i="35"/>
  <c r="N321" i="34"/>
  <c r="T320" i="34"/>
  <c r="Q320" i="34"/>
  <c r="U169" i="32"/>
  <c r="O170" i="32"/>
  <c r="U349" i="34"/>
  <c r="O350" i="34"/>
  <c r="R349" i="34"/>
  <c r="U349" i="35"/>
  <c r="U290" i="32"/>
  <c r="O291" i="32"/>
  <c r="P332" i="28"/>
  <c r="M333" i="28"/>
  <c r="U168" i="30"/>
  <c r="O169" i="30"/>
  <c r="N77" i="32"/>
  <c r="Q76" i="32"/>
  <c r="N174" i="35"/>
  <c r="Q173" i="35"/>
  <c r="W173" i="36" s="1"/>
  <c r="O107" i="35"/>
  <c r="U106" i="35"/>
  <c r="AD106" i="32"/>
  <c r="V197" i="32"/>
  <c r="P198" i="32"/>
  <c r="V197" i="34"/>
  <c r="P49" i="32"/>
  <c r="W227" i="35"/>
  <c r="AA227" i="35"/>
  <c r="M322" i="30"/>
  <c r="S321" i="30"/>
  <c r="P291" i="32"/>
  <c r="V290" i="32"/>
  <c r="U76" i="30"/>
  <c r="O77" i="30"/>
  <c r="V168" i="35"/>
  <c r="S168" i="35"/>
  <c r="Y168" i="36" s="1"/>
  <c r="P169" i="35"/>
  <c r="N322" i="35"/>
  <c r="U228" i="30"/>
  <c r="O229" i="30"/>
  <c r="N352" i="32"/>
  <c r="T351" i="32"/>
  <c r="T156" i="30"/>
  <c r="M108" i="30"/>
  <c r="S107" i="30"/>
  <c r="U45" i="35"/>
  <c r="O46" i="35"/>
  <c r="R45" i="35"/>
  <c r="P290" i="34"/>
  <c r="V289" i="34"/>
  <c r="V289" i="35"/>
  <c r="O265" i="30"/>
  <c r="U264" i="30"/>
  <c r="N260" i="34"/>
  <c r="T259" i="34"/>
  <c r="Q259" i="34"/>
  <c r="T259" i="35"/>
  <c r="Y14" i="32"/>
  <c r="AD14" i="32"/>
  <c r="AG14" i="32" s="1"/>
  <c r="Y14" i="34"/>
  <c r="AA75" i="32"/>
  <c r="S199" i="30"/>
  <c r="M200" i="30"/>
  <c r="AA172" i="35"/>
  <c r="T15" i="34"/>
  <c r="N16" i="34"/>
  <c r="Q15" i="34"/>
  <c r="O55" i="28"/>
  <c r="R54" i="28"/>
  <c r="T45" i="35"/>
  <c r="Q45" i="35"/>
  <c r="N46" i="35"/>
  <c r="U147" i="32"/>
  <c r="O148" i="32"/>
  <c r="O76" i="35"/>
  <c r="R75" i="35"/>
  <c r="R17" i="35"/>
  <c r="O18" i="35"/>
  <c r="R196" i="34"/>
  <c r="O197" i="34"/>
  <c r="U196" i="34"/>
  <c r="U196" i="35"/>
  <c r="Q228" i="34"/>
  <c r="N229" i="34"/>
  <c r="T228" i="34"/>
  <c r="P170" i="32"/>
  <c r="V169" i="32"/>
  <c r="N229" i="35"/>
  <c r="T228" i="35"/>
  <c r="Q228" i="35"/>
  <c r="V107" i="34"/>
  <c r="P108" i="34"/>
  <c r="AD74" i="34"/>
  <c r="AG74" i="34" s="1"/>
  <c r="P198" i="28"/>
  <c r="M199" i="28"/>
  <c r="N351" i="30"/>
  <c r="T350" i="30"/>
  <c r="R74" i="34"/>
  <c r="U74" i="34"/>
  <c r="O75" i="34"/>
  <c r="AH43" i="35"/>
  <c r="AG43" i="35"/>
  <c r="M139" i="30"/>
  <c r="S138" i="30"/>
  <c r="T138" i="32"/>
  <c r="N231" i="32"/>
  <c r="T230" i="32"/>
  <c r="X165" i="35"/>
  <c r="AD165" i="35"/>
  <c r="AG165" i="35" s="1"/>
  <c r="X44" i="35"/>
  <c r="AD44" i="35"/>
  <c r="AG44" i="35" s="1"/>
  <c r="P57" i="28"/>
  <c r="M58" i="28"/>
  <c r="P76" i="32"/>
  <c r="V75" i="32"/>
  <c r="S231" i="30"/>
  <c r="M232" i="30"/>
  <c r="S15" i="32"/>
  <c r="V15" i="32"/>
  <c r="P16" i="32"/>
  <c r="V15" i="34"/>
  <c r="S228" i="34"/>
  <c r="Y228" i="35" s="1"/>
  <c r="V228" i="34"/>
  <c r="P229" i="34"/>
  <c r="T76" i="35"/>
  <c r="N77" i="35"/>
  <c r="Q76" i="35"/>
  <c r="N169" i="30"/>
  <c r="T168" i="30"/>
  <c r="O290" i="35"/>
  <c r="P322" i="32"/>
  <c r="Z14" i="30"/>
  <c r="AB14" i="30" s="1"/>
  <c r="V14" i="30"/>
  <c r="AD319" i="34"/>
  <c r="AG319" i="34" s="1"/>
  <c r="AD167" i="34"/>
  <c r="AG167" i="34" s="1"/>
  <c r="P294" i="35"/>
  <c r="P322" i="35"/>
  <c r="V321" i="35"/>
  <c r="T290" i="34"/>
  <c r="N291" i="34"/>
  <c r="T291" i="35" s="1"/>
  <c r="AD195" i="34"/>
  <c r="AG195" i="34" s="1"/>
  <c r="X195" i="35"/>
  <c r="V168" i="32"/>
  <c r="O291" i="30"/>
  <c r="U290" i="30"/>
  <c r="O198" i="30"/>
  <c r="U197" i="30"/>
  <c r="V75" i="34"/>
  <c r="P76" i="34"/>
  <c r="S75" i="34"/>
  <c r="O141" i="30"/>
  <c r="U140" i="30"/>
  <c r="V140" i="32"/>
  <c r="N262" i="35"/>
  <c r="X74" i="35"/>
  <c r="R136" i="35"/>
  <c r="O137" i="35"/>
  <c r="T15" i="32"/>
  <c r="N16" i="32"/>
  <c r="Q15" i="32"/>
  <c r="T137" i="34"/>
  <c r="N138" i="34"/>
  <c r="N351" i="35"/>
  <c r="T350" i="35"/>
  <c r="O321" i="30"/>
  <c r="V321" i="32" s="1"/>
  <c r="U320" i="30"/>
  <c r="Y198" i="35"/>
  <c r="N324" i="30"/>
  <c r="T323" i="30"/>
  <c r="T229" i="30"/>
  <c r="N230" i="30"/>
  <c r="V320" i="34"/>
  <c r="S320" i="34"/>
  <c r="P321" i="34"/>
  <c r="O110" i="30"/>
  <c r="U109" i="30"/>
  <c r="AA227" i="34"/>
  <c r="AC227" i="34" s="1"/>
  <c r="N19" i="30"/>
  <c r="Q18" i="30"/>
  <c r="W18" i="30" s="1"/>
  <c r="T18" i="30"/>
  <c r="R370" i="28"/>
  <c r="R369" i="28"/>
  <c r="R368" i="28"/>
  <c r="R367" i="28"/>
  <c r="R366" i="28"/>
  <c r="R365" i="28"/>
  <c r="R350" i="28"/>
  <c r="R343" i="28"/>
  <c r="R342" i="28"/>
  <c r="R341" i="28"/>
  <c r="R340" i="28"/>
  <c r="R364" i="28"/>
  <c r="R363" i="28"/>
  <c r="R362" i="28"/>
  <c r="R361" i="28"/>
  <c r="R360" i="28"/>
  <c r="R349" i="28"/>
  <c r="R359" i="28"/>
  <c r="R358" i="28"/>
  <c r="R347" i="28"/>
  <c r="R345" i="28"/>
  <c r="R357" i="28"/>
  <c r="R346" i="28"/>
  <c r="R348" i="28"/>
  <c r="R352" i="28"/>
  <c r="R355" i="28"/>
  <c r="R351" i="28"/>
  <c r="R344" i="28"/>
  <c r="R356" i="28"/>
  <c r="R353" i="28"/>
  <c r="R354" i="28"/>
  <c r="Y15" i="35"/>
  <c r="AD15" i="35"/>
  <c r="AG15" i="35" s="1"/>
  <c r="U166" i="35"/>
  <c r="O167" i="35"/>
  <c r="R166" i="35"/>
  <c r="X166" i="36" s="1"/>
  <c r="T259" i="30"/>
  <c r="N260" i="30"/>
  <c r="V350" i="32"/>
  <c r="P351" i="32"/>
  <c r="N138" i="30"/>
  <c r="T137" i="30"/>
  <c r="U137" i="32"/>
  <c r="P200" i="34"/>
  <c r="S199" i="34"/>
  <c r="V199" i="35"/>
  <c r="P356" i="35"/>
  <c r="W14" i="35"/>
  <c r="M369" i="28"/>
  <c r="P368" i="28"/>
  <c r="W75" i="34"/>
  <c r="V146" i="32"/>
  <c r="P147" i="32"/>
  <c r="N291" i="32"/>
  <c r="M261" i="30"/>
  <c r="S260" i="30"/>
  <c r="AD227" i="34"/>
  <c r="AG227" i="34" s="1"/>
  <c r="Y227" i="34"/>
  <c r="S47" i="35"/>
  <c r="P48" i="35"/>
  <c r="P169" i="34"/>
  <c r="S168" i="34"/>
  <c r="V168" i="34"/>
  <c r="S350" i="30"/>
  <c r="M351" i="30"/>
  <c r="O107" i="34"/>
  <c r="U106" i="34"/>
  <c r="R107" i="32"/>
  <c r="O108" i="32"/>
  <c r="X226" i="35"/>
  <c r="S135" i="35"/>
  <c r="P136" i="35"/>
  <c r="V135" i="35"/>
  <c r="R199" i="35"/>
  <c r="X199" i="36" s="1"/>
  <c r="O200" i="35"/>
  <c r="V46" i="34"/>
  <c r="P47" i="34"/>
  <c r="S46" i="34"/>
  <c r="Y46" i="35" s="1"/>
  <c r="P230" i="35"/>
  <c r="V229" i="35"/>
  <c r="S229" i="35"/>
  <c r="R323" i="34"/>
  <c r="O324" i="34"/>
  <c r="U258" i="32"/>
  <c r="O259" i="32"/>
  <c r="U258" i="34"/>
  <c r="Q47" i="28"/>
  <c r="N48" i="28"/>
  <c r="O199" i="32"/>
  <c r="N49" i="32"/>
  <c r="T48" i="32"/>
  <c r="N147" i="32"/>
  <c r="T146" i="32"/>
  <c r="V16" i="35"/>
  <c r="S16" i="35"/>
  <c r="P17" i="35"/>
  <c r="O289" i="34"/>
  <c r="U288" i="34"/>
  <c r="O352" i="35"/>
  <c r="N352" i="34"/>
  <c r="T351" i="34"/>
  <c r="Q351" i="34"/>
  <c r="N107" i="32"/>
  <c r="T107" i="34" s="1"/>
  <c r="T106" i="32"/>
  <c r="O352" i="30"/>
  <c r="U351" i="30"/>
  <c r="V320" i="32"/>
  <c r="S139" i="34"/>
  <c r="P140" i="34"/>
  <c r="V139" i="34"/>
  <c r="T196" i="30"/>
  <c r="N197" i="30"/>
  <c r="U196" i="32"/>
  <c r="Q107" i="34"/>
  <c r="N108" i="34"/>
  <c r="U168" i="34"/>
  <c r="R168" i="34"/>
  <c r="O169" i="34"/>
  <c r="AD260" i="34"/>
  <c r="Q135" i="35"/>
  <c r="N136" i="35"/>
  <c r="T135" i="35"/>
  <c r="O262" i="35"/>
  <c r="U261" i="35"/>
  <c r="Q16" i="35"/>
  <c r="N17" i="35"/>
  <c r="AA197" i="35"/>
  <c r="P106" i="28"/>
  <c r="M107" i="28"/>
  <c r="M290" i="30"/>
  <c r="T290" i="32" s="1"/>
  <c r="S289" i="30"/>
  <c r="N260" i="32"/>
  <c r="T259" i="32"/>
  <c r="T76" i="34"/>
  <c r="N77" i="34"/>
  <c r="Q76" i="34"/>
  <c r="U17" i="32"/>
  <c r="O18" i="32"/>
  <c r="R17" i="32"/>
  <c r="X17" i="32" s="1"/>
  <c r="R15" i="30"/>
  <c r="X15" i="30" s="1"/>
  <c r="U15" i="30"/>
  <c r="O16" i="30"/>
  <c r="AI43" i="35"/>
  <c r="AC43" i="35"/>
  <c r="AG258" i="34"/>
  <c r="W168" i="35"/>
  <c r="N109" i="35"/>
  <c r="T108" i="35"/>
  <c r="AD348" i="34"/>
  <c r="AG348" i="34" s="1"/>
  <c r="U46" i="34"/>
  <c r="O47" i="34"/>
  <c r="R46" i="34"/>
  <c r="U229" i="32"/>
  <c r="O230" i="32"/>
  <c r="S18" i="34"/>
  <c r="P19" i="34"/>
  <c r="AD228" i="35"/>
  <c r="AG228" i="35" s="1"/>
  <c r="N198" i="32"/>
  <c r="T197" i="32"/>
  <c r="P146" i="28"/>
  <c r="M147" i="28"/>
  <c r="T321" i="32"/>
  <c r="T106" i="34"/>
  <c r="N77" i="30"/>
  <c r="T76" i="30"/>
  <c r="U76" i="32"/>
  <c r="AD74" i="35"/>
  <c r="AG74" i="35" s="1"/>
  <c r="Y74" i="35"/>
  <c r="V350" i="34"/>
  <c r="U156" i="30"/>
  <c r="T290" i="30"/>
  <c r="N291" i="30"/>
  <c r="R18" i="28"/>
  <c r="O19" i="28"/>
  <c r="U14" i="34"/>
  <c r="O15" i="34"/>
  <c r="R14" i="34"/>
  <c r="U14" i="35"/>
  <c r="V107" i="32"/>
  <c r="P108" i="32"/>
  <c r="S107" i="32"/>
  <c r="Y167" i="35"/>
  <c r="O321" i="32"/>
  <c r="U320" i="32"/>
  <c r="U320" i="34"/>
  <c r="M48" i="30"/>
  <c r="S47" i="30"/>
  <c r="P16" i="28"/>
  <c r="M17" i="28"/>
  <c r="R261" i="34"/>
  <c r="O262" i="34"/>
  <c r="M168" i="30"/>
  <c r="S167" i="30"/>
  <c r="T167" i="32"/>
  <c r="N107" i="30"/>
  <c r="U107" i="32" s="1"/>
  <c r="T106" i="30"/>
  <c r="U321" i="35"/>
  <c r="R229" i="35"/>
  <c r="O230" i="35"/>
  <c r="P229" i="32"/>
  <c r="V228" i="32"/>
  <c r="S228" i="32"/>
  <c r="T47" i="34"/>
  <c r="N48" i="34"/>
  <c r="Q47" i="34"/>
  <c r="W44" i="35"/>
  <c r="AA44" i="35"/>
  <c r="AA75" i="35"/>
  <c r="W75" i="35"/>
  <c r="M16" i="30"/>
  <c r="P15" i="30"/>
  <c r="V15" i="30" s="1"/>
  <c r="S15" i="30"/>
  <c r="P264" i="35"/>
  <c r="V320" i="35"/>
  <c r="N17" i="28"/>
  <c r="Q16" i="28"/>
  <c r="P262" i="34"/>
  <c r="S261" i="34"/>
  <c r="V261" i="35"/>
  <c r="AA134" i="35"/>
  <c r="P107" i="35"/>
  <c r="V106" i="35"/>
  <c r="W15" i="35"/>
  <c r="AA15" i="35"/>
  <c r="AC15" i="35" s="1"/>
  <c r="Q198" i="35"/>
  <c r="W198" i="36" s="1"/>
  <c r="N199" i="35"/>
  <c r="M76" i="30"/>
  <c r="S75" i="30"/>
  <c r="O136" i="34"/>
  <c r="U136" i="35" s="1"/>
  <c r="U135" i="34"/>
  <c r="AD198" i="35"/>
  <c r="AD45" i="34"/>
  <c r="AG45" i="34" s="1"/>
  <c r="Q197" i="34"/>
  <c r="T197" i="34"/>
  <c r="N198" i="34"/>
  <c r="T198" i="35" s="1"/>
  <c r="N292" i="35"/>
  <c r="O351" i="32"/>
  <c r="U350" i="32"/>
  <c r="N48" i="30"/>
  <c r="T47" i="30"/>
  <c r="Q169" i="34"/>
  <c r="T169" i="34"/>
  <c r="N170" i="34"/>
  <c r="T169" i="35"/>
  <c r="T107" i="35"/>
  <c r="X13" i="34"/>
  <c r="AD13" i="34"/>
  <c r="AG13" i="34" s="1"/>
  <c r="X13" i="35"/>
  <c r="O80" i="32"/>
  <c r="N170" i="32"/>
  <c r="P261" i="32"/>
  <c r="V261" i="34" s="1"/>
  <c r="V260" i="32"/>
  <c r="P203" i="35"/>
  <c r="S202" i="35"/>
  <c r="Y202" i="36" s="1"/>
  <c r="T322" i="32"/>
  <c r="N323" i="32"/>
  <c r="O47" i="32"/>
  <c r="U46" i="32"/>
  <c r="W14" i="32"/>
  <c r="AA14" i="32"/>
  <c r="AC14" i="32" s="1"/>
  <c r="U47" i="30"/>
  <c r="O48" i="30"/>
  <c r="V48" i="32" s="1"/>
  <c r="P76" i="35"/>
  <c r="V75" i="35"/>
  <c r="S75" i="35"/>
  <c r="R227" i="34"/>
  <c r="U227" i="34"/>
  <c r="O228" i="34"/>
  <c r="U227" i="35"/>
  <c r="P352" i="34"/>
  <c r="V351" i="34"/>
  <c r="S351" i="34"/>
  <c r="V351" i="35"/>
  <c r="Y134" i="35"/>
  <c r="AD134" i="35"/>
  <c r="AG134" i="35" s="1"/>
  <c r="AE325" i="35" l="1"/>
  <c r="AE326" i="35" s="1"/>
  <c r="AE327" i="35" s="1"/>
  <c r="AE328" i="35" s="1"/>
  <c r="AE329" i="35" s="1"/>
  <c r="AE330" i="35" s="1"/>
  <c r="AE331" i="35" s="1"/>
  <c r="AG198" i="35"/>
  <c r="P107" i="28"/>
  <c r="M108" i="28"/>
  <c r="O77" i="35"/>
  <c r="R76" i="35"/>
  <c r="S200" i="30"/>
  <c r="M201" i="30"/>
  <c r="AA76" i="32"/>
  <c r="N324" i="32"/>
  <c r="M77" i="30"/>
  <c r="S76" i="30"/>
  <c r="S229" i="32"/>
  <c r="P230" i="32"/>
  <c r="V229" i="32"/>
  <c r="O20" i="28"/>
  <c r="R19" i="28"/>
  <c r="S140" i="34"/>
  <c r="P141" i="34"/>
  <c r="V140" i="34"/>
  <c r="AD16" i="35"/>
  <c r="AG16" i="35" s="1"/>
  <c r="Y16" i="35"/>
  <c r="N50" i="32"/>
  <c r="Y135" i="35"/>
  <c r="AD135" i="35"/>
  <c r="AG135" i="35" s="1"/>
  <c r="AD168" i="34"/>
  <c r="AG168" i="34" s="1"/>
  <c r="O111" i="30"/>
  <c r="U110" i="30"/>
  <c r="N325" i="30"/>
  <c r="T324" i="30"/>
  <c r="U291" i="30"/>
  <c r="O292" i="30"/>
  <c r="R46" i="35"/>
  <c r="O47" i="35"/>
  <c r="U46" i="35"/>
  <c r="O78" i="30"/>
  <c r="U77" i="30"/>
  <c r="O81" i="32"/>
  <c r="Q199" i="35"/>
  <c r="W199" i="36" s="1"/>
  <c r="N200" i="35"/>
  <c r="AD107" i="32"/>
  <c r="T77" i="34"/>
  <c r="Q77" i="34"/>
  <c r="N78" i="34"/>
  <c r="N137" i="35"/>
  <c r="T136" i="35"/>
  <c r="Q136" i="35"/>
  <c r="V47" i="34"/>
  <c r="S47" i="34"/>
  <c r="P48" i="34"/>
  <c r="O108" i="34"/>
  <c r="U107" i="34"/>
  <c r="V169" i="34"/>
  <c r="P170" i="34"/>
  <c r="S169" i="34"/>
  <c r="P357" i="35"/>
  <c r="N139" i="30"/>
  <c r="T138" i="30"/>
  <c r="U138" i="32"/>
  <c r="T351" i="35"/>
  <c r="N352" i="35"/>
  <c r="R137" i="35"/>
  <c r="O138" i="35"/>
  <c r="U141" i="30"/>
  <c r="O142" i="30"/>
  <c r="V141" i="32"/>
  <c r="W76" i="35"/>
  <c r="AA76" i="35"/>
  <c r="P58" i="28"/>
  <c r="M59" i="28"/>
  <c r="N232" i="32"/>
  <c r="T231" i="32"/>
  <c r="V108" i="34"/>
  <c r="P109" i="34"/>
  <c r="O19" i="35"/>
  <c r="R18" i="35"/>
  <c r="Q16" i="34"/>
  <c r="N17" i="34"/>
  <c r="T16" i="34"/>
  <c r="Q260" i="34"/>
  <c r="N261" i="34"/>
  <c r="T260" i="34"/>
  <c r="T260" i="35"/>
  <c r="U229" i="30"/>
  <c r="O230" i="30"/>
  <c r="T76" i="32"/>
  <c r="O229" i="34"/>
  <c r="R228" i="34"/>
  <c r="AD228" i="34" s="1"/>
  <c r="AG228" i="34" s="1"/>
  <c r="U228" i="34"/>
  <c r="U228" i="35"/>
  <c r="O352" i="32"/>
  <c r="U351" i="32"/>
  <c r="AA198" i="35"/>
  <c r="AC198" i="35" s="1"/>
  <c r="W198" i="35"/>
  <c r="P265" i="35"/>
  <c r="O231" i="35"/>
  <c r="R230" i="35"/>
  <c r="S48" i="30"/>
  <c r="M49" i="30"/>
  <c r="S108" i="32"/>
  <c r="P109" i="32"/>
  <c r="V108" i="32"/>
  <c r="T291" i="30"/>
  <c r="N292" i="30"/>
  <c r="R16" i="30"/>
  <c r="X16" i="30" s="1"/>
  <c r="O17" i="30"/>
  <c r="U16" i="30"/>
  <c r="W197" i="35"/>
  <c r="AA135" i="35"/>
  <c r="AC135" i="35" s="1"/>
  <c r="T108" i="34"/>
  <c r="Q108" i="34"/>
  <c r="N109" i="34"/>
  <c r="T109" i="35" s="1"/>
  <c r="T352" i="34"/>
  <c r="N353" i="34"/>
  <c r="Q352" i="34"/>
  <c r="O200" i="32"/>
  <c r="R324" i="34"/>
  <c r="O325" i="34"/>
  <c r="S261" i="30"/>
  <c r="M262" i="30"/>
  <c r="M370" i="28"/>
  <c r="P370" i="28" s="1"/>
  <c r="T370" i="28" s="1"/>
  <c r="P369" i="28"/>
  <c r="V351" i="32"/>
  <c r="P352" i="32"/>
  <c r="V352" i="34" s="1"/>
  <c r="V321" i="34"/>
  <c r="P322" i="34"/>
  <c r="S321" i="34"/>
  <c r="P295" i="35"/>
  <c r="T77" i="35"/>
  <c r="N78" i="35"/>
  <c r="Q77" i="35"/>
  <c r="P17" i="32"/>
  <c r="V16" i="32"/>
  <c r="S16" i="32"/>
  <c r="V16" i="34"/>
  <c r="T229" i="34"/>
  <c r="N230" i="34"/>
  <c r="Q229" i="34"/>
  <c r="O108" i="35"/>
  <c r="U107" i="35"/>
  <c r="O170" i="30"/>
  <c r="U169" i="30"/>
  <c r="AD349" i="34"/>
  <c r="AG349" i="34" s="1"/>
  <c r="N171" i="32"/>
  <c r="U262" i="35"/>
  <c r="O263" i="35"/>
  <c r="T107" i="32"/>
  <c r="N108" i="32"/>
  <c r="V230" i="35"/>
  <c r="P231" i="35"/>
  <c r="S230" i="35"/>
  <c r="O168" i="35"/>
  <c r="U167" i="35"/>
  <c r="R167" i="35"/>
  <c r="X167" i="36" s="1"/>
  <c r="O56" i="28"/>
  <c r="R55" i="28"/>
  <c r="X45" i="35"/>
  <c r="AD45" i="35"/>
  <c r="AG45" i="35" s="1"/>
  <c r="P20" i="34"/>
  <c r="S19" i="34"/>
  <c r="AD46" i="34"/>
  <c r="AG46" i="34" s="1"/>
  <c r="P323" i="35"/>
  <c r="N170" i="30"/>
  <c r="T169" i="30"/>
  <c r="V76" i="32"/>
  <c r="P77" i="32"/>
  <c r="U75" i="34"/>
  <c r="O76" i="34"/>
  <c r="R75" i="34"/>
  <c r="AD75" i="34" s="1"/>
  <c r="AG75" i="34" s="1"/>
  <c r="P171" i="32"/>
  <c r="U148" i="32"/>
  <c r="O149" i="32"/>
  <c r="W15" i="34"/>
  <c r="AA15" i="34"/>
  <c r="N353" i="32"/>
  <c r="N78" i="32"/>
  <c r="Q77" i="32"/>
  <c r="T77" i="32"/>
  <c r="P204" i="35"/>
  <c r="S203" i="35"/>
  <c r="Y203" i="36" s="1"/>
  <c r="N171" i="34"/>
  <c r="Q170" i="34"/>
  <c r="T170" i="34"/>
  <c r="T170" i="35"/>
  <c r="N293" i="35"/>
  <c r="M169" i="30"/>
  <c r="S168" i="30"/>
  <c r="T168" i="32"/>
  <c r="T77" i="30"/>
  <c r="N78" i="30"/>
  <c r="U77" i="32"/>
  <c r="N199" i="32"/>
  <c r="T198" i="32"/>
  <c r="U230" i="32"/>
  <c r="O231" i="32"/>
  <c r="N110" i="35"/>
  <c r="T17" i="35"/>
  <c r="N18" i="35"/>
  <c r="Q17" i="35"/>
  <c r="AA107" i="34"/>
  <c r="O353" i="35"/>
  <c r="R200" i="35"/>
  <c r="X200" i="36" s="1"/>
  <c r="O201" i="35"/>
  <c r="Y199" i="35"/>
  <c r="AD320" i="34"/>
  <c r="AG320" i="34" s="1"/>
  <c r="T138" i="34"/>
  <c r="N139" i="34"/>
  <c r="V76" i="34"/>
  <c r="P77" i="34"/>
  <c r="S76" i="34"/>
  <c r="V322" i="32"/>
  <c r="P323" i="32"/>
  <c r="Q46" i="35"/>
  <c r="N47" i="35"/>
  <c r="T46" i="35"/>
  <c r="O266" i="30"/>
  <c r="U265" i="30"/>
  <c r="M109" i="30"/>
  <c r="S108" i="30"/>
  <c r="N323" i="35"/>
  <c r="P50" i="32"/>
  <c r="U350" i="34"/>
  <c r="O351" i="34"/>
  <c r="R350" i="34"/>
  <c r="U350" i="35"/>
  <c r="N322" i="34"/>
  <c r="T321" i="34"/>
  <c r="Q321" i="34"/>
  <c r="X227" i="35"/>
  <c r="T48" i="34"/>
  <c r="N49" i="34"/>
  <c r="Q48" i="34"/>
  <c r="R323" i="35"/>
  <c r="X323" i="36" s="1"/>
  <c r="U322" i="35"/>
  <c r="R262" i="34"/>
  <c r="O263" i="34"/>
  <c r="T260" i="32"/>
  <c r="N261" i="32"/>
  <c r="T16" i="35"/>
  <c r="U352" i="30"/>
  <c r="O353" i="30"/>
  <c r="Q48" i="28"/>
  <c r="N49" i="28"/>
  <c r="AD199" i="35"/>
  <c r="V47" i="35"/>
  <c r="N292" i="32"/>
  <c r="T260" i="30"/>
  <c r="N261" i="30"/>
  <c r="T19" i="30"/>
  <c r="Q19" i="30"/>
  <c r="W19" i="30" s="1"/>
  <c r="N20" i="30"/>
  <c r="P230" i="34"/>
  <c r="S229" i="34"/>
  <c r="V229" i="34"/>
  <c r="AD15" i="32"/>
  <c r="Y15" i="32"/>
  <c r="Y15" i="34"/>
  <c r="T351" i="30"/>
  <c r="N352" i="30"/>
  <c r="AA228" i="35"/>
  <c r="W228" i="35"/>
  <c r="W45" i="35"/>
  <c r="AA45" i="35"/>
  <c r="T321" i="35"/>
  <c r="P292" i="32"/>
  <c r="V291" i="32"/>
  <c r="AA173" i="35"/>
  <c r="P77" i="35"/>
  <c r="V76" i="35"/>
  <c r="S76" i="35"/>
  <c r="P17" i="28"/>
  <c r="M18" i="28"/>
  <c r="P18" i="35"/>
  <c r="S17" i="35"/>
  <c r="V17" i="35"/>
  <c r="U291" i="32"/>
  <c r="O292" i="32"/>
  <c r="P353" i="34"/>
  <c r="S352" i="34"/>
  <c r="V352" i="35"/>
  <c r="N18" i="28"/>
  <c r="Q17" i="28"/>
  <c r="P147" i="28"/>
  <c r="T147" i="28" s="1"/>
  <c r="V147" i="28" s="1"/>
  <c r="M148" i="28"/>
  <c r="W76" i="34"/>
  <c r="U259" i="32"/>
  <c r="O260" i="32"/>
  <c r="U259" i="34"/>
  <c r="Q198" i="34"/>
  <c r="N199" i="34"/>
  <c r="T199" i="35" s="1"/>
  <c r="T198" i="34"/>
  <c r="U136" i="34"/>
  <c r="O137" i="34"/>
  <c r="AD261" i="34"/>
  <c r="X14" i="34"/>
  <c r="AD14" i="34"/>
  <c r="AG14" i="34" s="1"/>
  <c r="X14" i="35"/>
  <c r="AA16" i="35"/>
  <c r="W16" i="35"/>
  <c r="R169" i="34"/>
  <c r="O170" i="34"/>
  <c r="U169" i="34"/>
  <c r="T197" i="30"/>
  <c r="N198" i="30"/>
  <c r="U197" i="32"/>
  <c r="N148" i="32"/>
  <c r="T147" i="32"/>
  <c r="Y229" i="35"/>
  <c r="AD229" i="35"/>
  <c r="M352" i="30"/>
  <c r="S351" i="30"/>
  <c r="V48" i="35"/>
  <c r="P49" i="35"/>
  <c r="S48" i="35"/>
  <c r="P201" i="34"/>
  <c r="S200" i="34"/>
  <c r="V200" i="35"/>
  <c r="T230" i="30"/>
  <c r="N231" i="30"/>
  <c r="O322" i="30"/>
  <c r="U321" i="30"/>
  <c r="AA15" i="32"/>
  <c r="W15" i="32"/>
  <c r="N263" i="35"/>
  <c r="N292" i="34"/>
  <c r="T291" i="34"/>
  <c r="O291" i="35"/>
  <c r="M233" i="30"/>
  <c r="S232" i="30"/>
  <c r="M140" i="30"/>
  <c r="S139" i="30"/>
  <c r="T139" i="32"/>
  <c r="P199" i="28"/>
  <c r="M200" i="28"/>
  <c r="X75" i="35"/>
  <c r="S169" i="35"/>
  <c r="Y169" i="36" s="1"/>
  <c r="P170" i="35"/>
  <c r="V169" i="35"/>
  <c r="V198" i="32"/>
  <c r="P199" i="32"/>
  <c r="V198" i="34"/>
  <c r="N175" i="35"/>
  <c r="Q174" i="35"/>
  <c r="W174" i="36" s="1"/>
  <c r="P333" i="28"/>
  <c r="M334" i="28"/>
  <c r="O48" i="32"/>
  <c r="U47" i="32"/>
  <c r="S136" i="35"/>
  <c r="P137" i="35"/>
  <c r="V136" i="35"/>
  <c r="AD196" i="34"/>
  <c r="AG196" i="34" s="1"/>
  <c r="X196" i="35"/>
  <c r="U48" i="30"/>
  <c r="O49" i="30"/>
  <c r="N49" i="30"/>
  <c r="T48" i="30"/>
  <c r="V107" i="35"/>
  <c r="P108" i="35"/>
  <c r="T107" i="30"/>
  <c r="N108" i="30"/>
  <c r="AD75" i="35"/>
  <c r="AG75" i="35" s="1"/>
  <c r="Y75" i="35"/>
  <c r="W169" i="35"/>
  <c r="P262" i="32"/>
  <c r="V261" i="32"/>
  <c r="S262" i="34"/>
  <c r="P263" i="34"/>
  <c r="V262" i="35"/>
  <c r="M17" i="30"/>
  <c r="P16" i="30"/>
  <c r="V16" i="30" s="1"/>
  <c r="S16" i="30"/>
  <c r="U321" i="32"/>
  <c r="O322" i="32"/>
  <c r="U321" i="34"/>
  <c r="U15" i="34"/>
  <c r="O16" i="34"/>
  <c r="R15" i="34"/>
  <c r="U15" i="35"/>
  <c r="U47" i="34"/>
  <c r="O48" i="34"/>
  <c r="R47" i="34"/>
  <c r="O19" i="32"/>
  <c r="R18" i="32"/>
  <c r="X18" i="32" s="1"/>
  <c r="U18" i="32"/>
  <c r="S290" i="30"/>
  <c r="M291" i="30"/>
  <c r="O290" i="34"/>
  <c r="U290" i="35" s="1"/>
  <c r="U289" i="34"/>
  <c r="AG259" i="34"/>
  <c r="O109" i="32"/>
  <c r="U108" i="32"/>
  <c r="R108" i="32"/>
  <c r="Y47" i="35"/>
  <c r="P148" i="32"/>
  <c r="V147" i="32"/>
  <c r="X166" i="35"/>
  <c r="AD166" i="35"/>
  <c r="AG166" i="35" s="1"/>
  <c r="Q16" i="32"/>
  <c r="T16" i="32"/>
  <c r="N17" i="32"/>
  <c r="O199" i="30"/>
  <c r="U198" i="30"/>
  <c r="U289" i="35"/>
  <c r="Y228" i="34"/>
  <c r="N230" i="35"/>
  <c r="T229" i="35"/>
  <c r="Q229" i="35"/>
  <c r="U197" i="34"/>
  <c r="R197" i="34"/>
  <c r="O198" i="34"/>
  <c r="U197" i="35"/>
  <c r="U75" i="35"/>
  <c r="V290" i="34"/>
  <c r="P291" i="34"/>
  <c r="V290" i="35"/>
  <c r="Y168" i="35"/>
  <c r="S322" i="30"/>
  <c r="M323" i="30"/>
  <c r="O171" i="32"/>
  <c r="U170" i="32"/>
  <c r="AE332" i="35" l="1"/>
  <c r="AE333" i="35" s="1"/>
  <c r="AE334" i="35" s="1"/>
  <c r="AE335" i="35" s="1"/>
  <c r="AE336" i="35" s="1"/>
  <c r="AE337" i="35" s="1"/>
  <c r="AE338" i="35" s="1"/>
  <c r="AG229" i="35"/>
  <c r="AG199" i="35"/>
  <c r="U149" i="32"/>
  <c r="O150" i="32"/>
  <c r="P323" i="34"/>
  <c r="V322" i="34"/>
  <c r="S322" i="34"/>
  <c r="V109" i="34"/>
  <c r="P110" i="34"/>
  <c r="V108" i="35"/>
  <c r="P109" i="35"/>
  <c r="Y169" i="35"/>
  <c r="O172" i="32"/>
  <c r="S291" i="30"/>
  <c r="M292" i="30"/>
  <c r="T108" i="30"/>
  <c r="N109" i="30"/>
  <c r="T49" i="30"/>
  <c r="N50" i="30"/>
  <c r="T292" i="34"/>
  <c r="N293" i="34"/>
  <c r="T293" i="35" s="1"/>
  <c r="U137" i="34"/>
  <c r="O138" i="34"/>
  <c r="P354" i="34"/>
  <c r="S353" i="34"/>
  <c r="V353" i="35"/>
  <c r="S18" i="35"/>
  <c r="P19" i="35"/>
  <c r="V18" i="35"/>
  <c r="O264" i="34"/>
  <c r="R263" i="34"/>
  <c r="O352" i="34"/>
  <c r="U351" i="34"/>
  <c r="R351" i="34"/>
  <c r="U351" i="35"/>
  <c r="S109" i="30"/>
  <c r="M110" i="30"/>
  <c r="P324" i="32"/>
  <c r="T292" i="35"/>
  <c r="P205" i="35"/>
  <c r="S204" i="35"/>
  <c r="Y204" i="36" s="1"/>
  <c r="U76" i="34"/>
  <c r="R76" i="34"/>
  <c r="X76" i="35" s="1"/>
  <c r="O77" i="34"/>
  <c r="P18" i="32"/>
  <c r="S17" i="32"/>
  <c r="V17" i="32"/>
  <c r="V17" i="34"/>
  <c r="S262" i="30"/>
  <c r="M263" i="30"/>
  <c r="N354" i="34"/>
  <c r="T353" i="34"/>
  <c r="Q353" i="34"/>
  <c r="P49" i="34"/>
  <c r="S48" i="34"/>
  <c r="Y48" i="35" s="1"/>
  <c r="V48" i="34"/>
  <c r="T78" i="34"/>
  <c r="Q78" i="34"/>
  <c r="N79" i="34"/>
  <c r="AA199" i="35"/>
  <c r="W199" i="35"/>
  <c r="X46" i="35"/>
  <c r="AD46" i="35"/>
  <c r="AG46" i="35" s="1"/>
  <c r="V230" i="32"/>
  <c r="P231" i="32"/>
  <c r="S230" i="32"/>
  <c r="M202" i="30"/>
  <c r="S201" i="30"/>
  <c r="S323" i="30"/>
  <c r="M324" i="30"/>
  <c r="T324" i="32" s="1"/>
  <c r="N231" i="35"/>
  <c r="T230" i="35"/>
  <c r="Q230" i="35"/>
  <c r="W16" i="32"/>
  <c r="AA16" i="32"/>
  <c r="AC16" i="32" s="1"/>
  <c r="X15" i="34"/>
  <c r="AD15" i="34"/>
  <c r="AG15" i="34" s="1"/>
  <c r="X15" i="35"/>
  <c r="V262" i="32"/>
  <c r="P263" i="32"/>
  <c r="P334" i="28"/>
  <c r="M335" i="28"/>
  <c r="T198" i="30"/>
  <c r="N199" i="30"/>
  <c r="U198" i="32"/>
  <c r="P18" i="28"/>
  <c r="M19" i="28"/>
  <c r="V292" i="32"/>
  <c r="P293" i="32"/>
  <c r="Q49" i="28"/>
  <c r="N50" i="28"/>
  <c r="N111" i="35"/>
  <c r="T78" i="30"/>
  <c r="N79" i="30"/>
  <c r="U78" i="32"/>
  <c r="N294" i="35"/>
  <c r="N109" i="32"/>
  <c r="T108" i="32"/>
  <c r="W77" i="35"/>
  <c r="AA77" i="35"/>
  <c r="AD321" i="34"/>
  <c r="AG321" i="34" s="1"/>
  <c r="U17" i="30"/>
  <c r="R17" i="30"/>
  <c r="X17" i="30" s="1"/>
  <c r="O18" i="30"/>
  <c r="M50" i="30"/>
  <c r="S49" i="30"/>
  <c r="O20" i="35"/>
  <c r="R19" i="35"/>
  <c r="U137" i="35"/>
  <c r="P358" i="35"/>
  <c r="AD47" i="34"/>
  <c r="AG47" i="34" s="1"/>
  <c r="W77" i="34"/>
  <c r="O293" i="30"/>
  <c r="U292" i="30"/>
  <c r="O17" i="34"/>
  <c r="R16" i="34"/>
  <c r="U16" i="34"/>
  <c r="U16" i="35"/>
  <c r="O50" i="30"/>
  <c r="U49" i="30"/>
  <c r="V170" i="35"/>
  <c r="P171" i="35"/>
  <c r="S170" i="35"/>
  <c r="Y170" i="36" s="1"/>
  <c r="S352" i="30"/>
  <c r="M353" i="30"/>
  <c r="U292" i="32"/>
  <c r="O293" i="32"/>
  <c r="AD76" i="34"/>
  <c r="AG76" i="34" s="1"/>
  <c r="V77" i="32"/>
  <c r="P78" i="32"/>
  <c r="N262" i="34"/>
  <c r="T261" i="34"/>
  <c r="Q261" i="34"/>
  <c r="AG261" i="34" s="1"/>
  <c r="T261" i="35"/>
  <c r="N353" i="35"/>
  <c r="T352" i="35"/>
  <c r="P17" i="30"/>
  <c r="V17" i="30" s="1"/>
  <c r="M18" i="30"/>
  <c r="S17" i="30"/>
  <c r="AA174" i="35"/>
  <c r="Y76" i="35"/>
  <c r="AD76" i="35"/>
  <c r="AG76" i="35" s="1"/>
  <c r="AA108" i="34"/>
  <c r="AC108" i="34" s="1"/>
  <c r="S170" i="34"/>
  <c r="P171" i="34"/>
  <c r="V170" i="34"/>
  <c r="O82" i="32"/>
  <c r="U77" i="35"/>
  <c r="O78" i="35"/>
  <c r="R77" i="35"/>
  <c r="R198" i="34"/>
  <c r="U198" i="34"/>
  <c r="O199" i="34"/>
  <c r="U198" i="35"/>
  <c r="U19" i="32"/>
  <c r="R19" i="32"/>
  <c r="X19" i="32" s="1"/>
  <c r="O20" i="32"/>
  <c r="AD136" i="35"/>
  <c r="AG136" i="35" s="1"/>
  <c r="Y136" i="35"/>
  <c r="U231" i="32"/>
  <c r="O232" i="32"/>
  <c r="AA170" i="34"/>
  <c r="W170" i="35"/>
  <c r="P21" i="34"/>
  <c r="S20" i="34"/>
  <c r="O264" i="35"/>
  <c r="U263" i="35"/>
  <c r="O171" i="30"/>
  <c r="U170" i="30"/>
  <c r="P296" i="35"/>
  <c r="U142" i="30"/>
  <c r="O143" i="30"/>
  <c r="V142" i="32"/>
  <c r="N325" i="32"/>
  <c r="AD197" i="34"/>
  <c r="AG197" i="34" s="1"/>
  <c r="X197" i="35"/>
  <c r="U322" i="32"/>
  <c r="O323" i="32"/>
  <c r="U322" i="34"/>
  <c r="V262" i="34"/>
  <c r="P200" i="28"/>
  <c r="M201" i="28"/>
  <c r="P202" i="34"/>
  <c r="S201" i="34"/>
  <c r="V201" i="35"/>
  <c r="AA198" i="34"/>
  <c r="N19" i="28"/>
  <c r="Q18" i="28"/>
  <c r="V77" i="35"/>
  <c r="P78" i="35"/>
  <c r="S77" i="35"/>
  <c r="Y229" i="34"/>
  <c r="T291" i="32"/>
  <c r="T322" i="34"/>
  <c r="Q322" i="34"/>
  <c r="N323" i="34"/>
  <c r="T322" i="35"/>
  <c r="Q47" i="35"/>
  <c r="N48" i="35"/>
  <c r="T47" i="35"/>
  <c r="O202" i="35"/>
  <c r="R201" i="35"/>
  <c r="X201" i="36" s="1"/>
  <c r="AG260" i="34"/>
  <c r="S169" i="30"/>
  <c r="M170" i="30"/>
  <c r="T169" i="32"/>
  <c r="Q171" i="34"/>
  <c r="N172" i="34"/>
  <c r="T171" i="34"/>
  <c r="T171" i="35"/>
  <c r="T352" i="32"/>
  <c r="P172" i="32"/>
  <c r="V171" i="32"/>
  <c r="N171" i="30"/>
  <c r="T170" i="30"/>
  <c r="O169" i="35"/>
  <c r="U168" i="35"/>
  <c r="R168" i="35"/>
  <c r="X168" i="36" s="1"/>
  <c r="O232" i="35"/>
  <c r="R231" i="35"/>
  <c r="O353" i="32"/>
  <c r="U352" i="32"/>
  <c r="T17" i="34"/>
  <c r="N18" i="34"/>
  <c r="Q17" i="34"/>
  <c r="AA136" i="35"/>
  <c r="O79" i="30"/>
  <c r="U78" i="30"/>
  <c r="N51" i="32"/>
  <c r="T50" i="32"/>
  <c r="T323" i="32"/>
  <c r="P108" i="28"/>
  <c r="M109" i="28"/>
  <c r="N264" i="35"/>
  <c r="M149" i="28"/>
  <c r="P148" i="28"/>
  <c r="T261" i="30"/>
  <c r="N262" i="30"/>
  <c r="T230" i="34"/>
  <c r="N231" i="34"/>
  <c r="Q230" i="34"/>
  <c r="O326" i="34"/>
  <c r="R325" i="34"/>
  <c r="S141" i="34"/>
  <c r="P142" i="34"/>
  <c r="V141" i="34"/>
  <c r="R109" i="32"/>
  <c r="O110" i="32"/>
  <c r="U109" i="32"/>
  <c r="Y200" i="35"/>
  <c r="U353" i="30"/>
  <c r="O354" i="30"/>
  <c r="V49" i="32"/>
  <c r="P78" i="34"/>
  <c r="S77" i="34"/>
  <c r="V77" i="34"/>
  <c r="AA77" i="32"/>
  <c r="X167" i="35"/>
  <c r="AD167" i="35"/>
  <c r="AG167" i="35" s="1"/>
  <c r="N293" i="30"/>
  <c r="T292" i="30"/>
  <c r="O230" i="34"/>
  <c r="R229" i="34"/>
  <c r="U229" i="34"/>
  <c r="U229" i="35"/>
  <c r="M78" i="30"/>
  <c r="S77" i="30"/>
  <c r="N176" i="35"/>
  <c r="Q175" i="35"/>
  <c r="W175" i="36" s="1"/>
  <c r="S233" i="30"/>
  <c r="M234" i="30"/>
  <c r="U170" i="34"/>
  <c r="O171" i="34"/>
  <c r="R170" i="34"/>
  <c r="N200" i="34"/>
  <c r="T200" i="35" s="1"/>
  <c r="T199" i="34"/>
  <c r="Q199" i="34"/>
  <c r="N293" i="32"/>
  <c r="U323" i="35"/>
  <c r="Q78" i="32"/>
  <c r="T78" i="32"/>
  <c r="N79" i="32"/>
  <c r="V352" i="32"/>
  <c r="P353" i="32"/>
  <c r="N326" i="30"/>
  <c r="T325" i="30"/>
  <c r="U76" i="35"/>
  <c r="P292" i="34"/>
  <c r="V291" i="34"/>
  <c r="V291" i="35"/>
  <c r="O200" i="30"/>
  <c r="U199" i="30"/>
  <c r="V148" i="32"/>
  <c r="P149" i="32"/>
  <c r="U290" i="34"/>
  <c r="O291" i="34"/>
  <c r="U48" i="34"/>
  <c r="R48" i="34"/>
  <c r="O49" i="34"/>
  <c r="P264" i="34"/>
  <c r="S263" i="34"/>
  <c r="V263" i="34"/>
  <c r="V263" i="35"/>
  <c r="U291" i="35"/>
  <c r="O292" i="35"/>
  <c r="O323" i="30"/>
  <c r="U322" i="30"/>
  <c r="V230" i="34"/>
  <c r="P231" i="34"/>
  <c r="V231" i="35" s="1"/>
  <c r="S230" i="34"/>
  <c r="T261" i="32"/>
  <c r="N262" i="32"/>
  <c r="T49" i="34"/>
  <c r="N50" i="34"/>
  <c r="Q49" i="34"/>
  <c r="T323" i="35"/>
  <c r="N324" i="35"/>
  <c r="AA46" i="35"/>
  <c r="W46" i="35"/>
  <c r="T139" i="34"/>
  <c r="N140" i="34"/>
  <c r="AD200" i="35"/>
  <c r="W17" i="35"/>
  <c r="AA17" i="35"/>
  <c r="N354" i="32"/>
  <c r="T353" i="32"/>
  <c r="V170" i="32"/>
  <c r="V322" i="35"/>
  <c r="Y230" i="35"/>
  <c r="AD230" i="35"/>
  <c r="AG230" i="35" s="1"/>
  <c r="Y16" i="32"/>
  <c r="AD16" i="32"/>
  <c r="Y16" i="34"/>
  <c r="O201" i="32"/>
  <c r="P110" i="32"/>
  <c r="V109" i="32"/>
  <c r="S109" i="32"/>
  <c r="U230" i="30"/>
  <c r="O231" i="30"/>
  <c r="AA16" i="34"/>
  <c r="AC16" i="34" s="1"/>
  <c r="W16" i="34"/>
  <c r="N233" i="32"/>
  <c r="T232" i="32"/>
  <c r="O109" i="34"/>
  <c r="U108" i="34"/>
  <c r="U111" i="30"/>
  <c r="O112" i="30"/>
  <c r="T49" i="32"/>
  <c r="O21" i="28"/>
  <c r="R20" i="28"/>
  <c r="S140" i="30"/>
  <c r="M141" i="30"/>
  <c r="T140" i="32"/>
  <c r="V50" i="32"/>
  <c r="P51" i="32"/>
  <c r="O354" i="35"/>
  <c r="O57" i="28"/>
  <c r="R56" i="28"/>
  <c r="N79" i="35"/>
  <c r="T78" i="35"/>
  <c r="Q78" i="35"/>
  <c r="T109" i="34"/>
  <c r="N110" i="34"/>
  <c r="Q109" i="34"/>
  <c r="X228" i="35"/>
  <c r="AD169" i="34"/>
  <c r="AG169" i="34" s="1"/>
  <c r="V137" i="35"/>
  <c r="P138" i="35"/>
  <c r="S137" i="35"/>
  <c r="O267" i="30"/>
  <c r="U266" i="30"/>
  <c r="AA229" i="35"/>
  <c r="W229" i="35"/>
  <c r="Q17" i="32"/>
  <c r="N18" i="32"/>
  <c r="T17" i="32"/>
  <c r="AD262" i="34"/>
  <c r="U48" i="32"/>
  <c r="O49" i="32"/>
  <c r="P200" i="32"/>
  <c r="V199" i="32"/>
  <c r="V199" i="34"/>
  <c r="N232" i="30"/>
  <c r="T231" i="30"/>
  <c r="S49" i="35"/>
  <c r="P50" i="35"/>
  <c r="T148" i="32"/>
  <c r="N149" i="32"/>
  <c r="U260" i="32"/>
  <c r="O261" i="32"/>
  <c r="U260" i="34"/>
  <c r="AD17" i="35"/>
  <c r="AG17" i="35" s="1"/>
  <c r="Y17" i="35"/>
  <c r="N353" i="30"/>
  <c r="T352" i="30"/>
  <c r="Q20" i="30"/>
  <c r="W20" i="30" s="1"/>
  <c r="N21" i="30"/>
  <c r="T20" i="30"/>
  <c r="AD350" i="34"/>
  <c r="AG350" i="34" s="1"/>
  <c r="Q18" i="35"/>
  <c r="N19" i="35"/>
  <c r="T18" i="35"/>
  <c r="N200" i="32"/>
  <c r="T199" i="32"/>
  <c r="P324" i="35"/>
  <c r="V323" i="35"/>
  <c r="P232" i="35"/>
  <c r="S231" i="35"/>
  <c r="N172" i="32"/>
  <c r="O109" i="35"/>
  <c r="U108" i="35"/>
  <c r="AA352" i="34"/>
  <c r="AD108" i="32"/>
  <c r="P266" i="35"/>
  <c r="P59" i="28"/>
  <c r="M60" i="28"/>
  <c r="R138" i="35"/>
  <c r="O139" i="35"/>
  <c r="N140" i="30"/>
  <c r="T139" i="30"/>
  <c r="U139" i="32"/>
  <c r="T137" i="35"/>
  <c r="N138" i="35"/>
  <c r="Q137" i="35"/>
  <c r="N201" i="35"/>
  <c r="Q200" i="35"/>
  <c r="W200" i="36" s="1"/>
  <c r="U47" i="35"/>
  <c r="O48" i="35"/>
  <c r="R47" i="35"/>
  <c r="AG200" i="35" l="1"/>
  <c r="N139" i="35"/>
  <c r="Q138" i="35"/>
  <c r="T138" i="35"/>
  <c r="N20" i="35"/>
  <c r="Q19" i="35"/>
  <c r="T19" i="35"/>
  <c r="P111" i="32"/>
  <c r="S110" i="32"/>
  <c r="V110" i="32"/>
  <c r="S49" i="34"/>
  <c r="Y49" i="35" s="1"/>
  <c r="V49" i="34"/>
  <c r="P50" i="34"/>
  <c r="X47" i="35"/>
  <c r="AD47" i="35"/>
  <c r="AG47" i="35" s="1"/>
  <c r="U139" i="35"/>
  <c r="O140" i="35"/>
  <c r="R139" i="35"/>
  <c r="AD231" i="35"/>
  <c r="T200" i="32"/>
  <c r="N201" i="32"/>
  <c r="O262" i="32"/>
  <c r="U261" i="32"/>
  <c r="U261" i="34"/>
  <c r="O268" i="30"/>
  <c r="U267" i="30"/>
  <c r="O355" i="35"/>
  <c r="AD109" i="32"/>
  <c r="U323" i="30"/>
  <c r="O324" i="30"/>
  <c r="O201" i="30"/>
  <c r="U200" i="30"/>
  <c r="P354" i="32"/>
  <c r="V353" i="32"/>
  <c r="N294" i="32"/>
  <c r="P149" i="28"/>
  <c r="T149" i="28" s="1"/>
  <c r="V149" i="28" s="1"/>
  <c r="M150" i="28"/>
  <c r="N52" i="32"/>
  <c r="U169" i="35"/>
  <c r="O170" i="35"/>
  <c r="R169" i="35"/>
  <c r="X169" i="36" s="1"/>
  <c r="N173" i="34"/>
  <c r="Q172" i="34"/>
  <c r="T172" i="34"/>
  <c r="T172" i="35"/>
  <c r="N20" i="28"/>
  <c r="Q19" i="28"/>
  <c r="P201" i="28"/>
  <c r="M202" i="28"/>
  <c r="S21" i="34"/>
  <c r="P22" i="34"/>
  <c r="R20" i="32"/>
  <c r="X20" i="32" s="1"/>
  <c r="O21" i="32"/>
  <c r="U20" i="32"/>
  <c r="P172" i="35"/>
  <c r="V171" i="35"/>
  <c r="S171" i="35"/>
  <c r="Y171" i="36" s="1"/>
  <c r="O18" i="34"/>
  <c r="R17" i="34"/>
  <c r="U17" i="34"/>
  <c r="U17" i="35"/>
  <c r="P19" i="28"/>
  <c r="M20" i="28"/>
  <c r="M264" i="30"/>
  <c r="S263" i="30"/>
  <c r="R264" i="34"/>
  <c r="O265" i="34"/>
  <c r="U138" i="34"/>
  <c r="O139" i="34"/>
  <c r="AA137" i="35"/>
  <c r="U138" i="35"/>
  <c r="T232" i="30"/>
  <c r="N233" i="30"/>
  <c r="AD137" i="35"/>
  <c r="AG137" i="35" s="1"/>
  <c r="Y137" i="35"/>
  <c r="T110" i="34"/>
  <c r="Q110" i="34"/>
  <c r="N111" i="34"/>
  <c r="T111" i="35" s="1"/>
  <c r="O110" i="34"/>
  <c r="U109" i="34"/>
  <c r="Y230" i="34"/>
  <c r="O293" i="35"/>
  <c r="U292" i="35"/>
  <c r="AA199" i="34"/>
  <c r="AC199" i="34" s="1"/>
  <c r="AA175" i="35"/>
  <c r="O327" i="34"/>
  <c r="R326" i="34"/>
  <c r="N265" i="35"/>
  <c r="AA171" i="34"/>
  <c r="AC171" i="34" s="1"/>
  <c r="W171" i="35"/>
  <c r="P297" i="35"/>
  <c r="U78" i="35"/>
  <c r="O79" i="35"/>
  <c r="R78" i="35"/>
  <c r="T353" i="35"/>
  <c r="N354" i="35"/>
  <c r="P359" i="35"/>
  <c r="R18" i="30"/>
  <c r="X18" i="30" s="1"/>
  <c r="U18" i="30"/>
  <c r="O19" i="30"/>
  <c r="T110" i="35"/>
  <c r="N232" i="35"/>
  <c r="T231" i="35"/>
  <c r="Q231" i="35"/>
  <c r="AD48" i="34"/>
  <c r="AG48" i="34" s="1"/>
  <c r="N110" i="30"/>
  <c r="T109" i="30"/>
  <c r="AD322" i="34"/>
  <c r="AG322" i="34" s="1"/>
  <c r="N354" i="30"/>
  <c r="T353" i="30"/>
  <c r="P139" i="35"/>
  <c r="V138" i="35"/>
  <c r="S138" i="35"/>
  <c r="P232" i="34"/>
  <c r="V231" i="34"/>
  <c r="S231" i="34"/>
  <c r="U291" i="34"/>
  <c r="O292" i="34"/>
  <c r="T293" i="30"/>
  <c r="N294" i="30"/>
  <c r="S78" i="34"/>
  <c r="V78" i="34"/>
  <c r="P79" i="34"/>
  <c r="U79" i="30"/>
  <c r="O80" i="30"/>
  <c r="T171" i="30"/>
  <c r="N172" i="30"/>
  <c r="Q48" i="35"/>
  <c r="N49" i="35"/>
  <c r="T48" i="35"/>
  <c r="N326" i="32"/>
  <c r="V19" i="35"/>
  <c r="P20" i="35"/>
  <c r="S19" i="35"/>
  <c r="AA78" i="35"/>
  <c r="W78" i="35"/>
  <c r="T233" i="32"/>
  <c r="N234" i="32"/>
  <c r="P293" i="34"/>
  <c r="V292" i="34"/>
  <c r="V292" i="35"/>
  <c r="U230" i="34"/>
  <c r="R230" i="34"/>
  <c r="AD230" i="34" s="1"/>
  <c r="AG230" i="34" s="1"/>
  <c r="O231" i="34"/>
  <c r="U230" i="35"/>
  <c r="AA47" i="35"/>
  <c r="W47" i="35"/>
  <c r="T199" i="30"/>
  <c r="N200" i="30"/>
  <c r="U199" i="32"/>
  <c r="AD351" i="34"/>
  <c r="AG351" i="34" s="1"/>
  <c r="R48" i="35"/>
  <c r="O49" i="35"/>
  <c r="U48" i="35"/>
  <c r="AA17" i="32"/>
  <c r="W17" i="32"/>
  <c r="U112" i="30"/>
  <c r="O113" i="30"/>
  <c r="O202" i="32"/>
  <c r="AD77" i="35"/>
  <c r="AG77" i="35" s="1"/>
  <c r="Y77" i="35"/>
  <c r="O51" i="30"/>
  <c r="V51" i="32" s="1"/>
  <c r="U50" i="30"/>
  <c r="N51" i="28"/>
  <c r="Q50" i="28"/>
  <c r="P267" i="35"/>
  <c r="U109" i="35"/>
  <c r="O110" i="35"/>
  <c r="P51" i="35"/>
  <c r="S50" i="35"/>
  <c r="O50" i="32"/>
  <c r="U49" i="32"/>
  <c r="Q79" i="35"/>
  <c r="T79" i="35"/>
  <c r="N80" i="35"/>
  <c r="N141" i="34"/>
  <c r="T140" i="34"/>
  <c r="Q50" i="34"/>
  <c r="N51" i="34"/>
  <c r="T50" i="34"/>
  <c r="AD263" i="34"/>
  <c r="P150" i="32"/>
  <c r="V149" i="32"/>
  <c r="U324" i="35"/>
  <c r="O172" i="34"/>
  <c r="R171" i="34"/>
  <c r="U171" i="34"/>
  <c r="M79" i="30"/>
  <c r="S78" i="30"/>
  <c r="V142" i="34"/>
  <c r="P143" i="34"/>
  <c r="S142" i="34"/>
  <c r="N263" i="30"/>
  <c r="T262" i="30"/>
  <c r="O233" i="35"/>
  <c r="R232" i="35"/>
  <c r="N324" i="34"/>
  <c r="Q323" i="34"/>
  <c r="T323" i="34"/>
  <c r="V78" i="35"/>
  <c r="P79" i="35"/>
  <c r="S78" i="35"/>
  <c r="Y201" i="35"/>
  <c r="U323" i="32"/>
  <c r="O324" i="32"/>
  <c r="U323" i="34"/>
  <c r="U143" i="30"/>
  <c r="O144" i="30"/>
  <c r="V143" i="32"/>
  <c r="O265" i="35"/>
  <c r="U264" i="35"/>
  <c r="R199" i="34"/>
  <c r="U199" i="34"/>
  <c r="O200" i="34"/>
  <c r="U199" i="35"/>
  <c r="N263" i="34"/>
  <c r="Q262" i="34"/>
  <c r="T262" i="34"/>
  <c r="T262" i="35"/>
  <c r="S353" i="30"/>
  <c r="M354" i="30"/>
  <c r="R20" i="35"/>
  <c r="O21" i="35"/>
  <c r="P335" i="28"/>
  <c r="M336" i="28"/>
  <c r="M203" i="30"/>
  <c r="S202" i="30"/>
  <c r="N80" i="34"/>
  <c r="Q79" i="34"/>
  <c r="T79" i="34"/>
  <c r="AA353" i="34"/>
  <c r="AC353" i="34" s="1"/>
  <c r="S18" i="32"/>
  <c r="V18" i="32"/>
  <c r="P19" i="32"/>
  <c r="V18" i="34"/>
  <c r="V323" i="32"/>
  <c r="U352" i="34"/>
  <c r="O353" i="34"/>
  <c r="R352" i="34"/>
  <c r="U352" i="35"/>
  <c r="T50" i="30"/>
  <c r="N51" i="30"/>
  <c r="U150" i="32"/>
  <c r="O151" i="32"/>
  <c r="N150" i="32"/>
  <c r="T149" i="32"/>
  <c r="P52" i="32"/>
  <c r="N325" i="35"/>
  <c r="T324" i="35"/>
  <c r="T79" i="32"/>
  <c r="Q79" i="32"/>
  <c r="N80" i="32"/>
  <c r="U353" i="32"/>
  <c r="O354" i="32"/>
  <c r="P206" i="35"/>
  <c r="S205" i="35"/>
  <c r="Y205" i="36" s="1"/>
  <c r="P60" i="28"/>
  <c r="M61" i="28"/>
  <c r="T18" i="32"/>
  <c r="N19" i="32"/>
  <c r="Q18" i="32"/>
  <c r="T200" i="34"/>
  <c r="N201" i="34"/>
  <c r="Q200" i="34"/>
  <c r="M110" i="28"/>
  <c r="P109" i="28"/>
  <c r="O83" i="32"/>
  <c r="U293" i="32"/>
  <c r="O294" i="32"/>
  <c r="AD18" i="35"/>
  <c r="AG18" i="35" s="1"/>
  <c r="Y18" i="35"/>
  <c r="P324" i="34"/>
  <c r="V323" i="34"/>
  <c r="S323" i="34"/>
  <c r="V200" i="32"/>
  <c r="P201" i="32"/>
  <c r="V200" i="34"/>
  <c r="O233" i="32"/>
  <c r="U232" i="32"/>
  <c r="N295" i="35"/>
  <c r="Y17" i="32"/>
  <c r="AD17" i="32"/>
  <c r="Y17" i="34"/>
  <c r="AA200" i="35"/>
  <c r="W200" i="35"/>
  <c r="V49" i="35"/>
  <c r="U231" i="30"/>
  <c r="O232" i="30"/>
  <c r="N355" i="32"/>
  <c r="P265" i="34"/>
  <c r="S264" i="34"/>
  <c r="V264" i="35"/>
  <c r="W17" i="34"/>
  <c r="X168" i="35"/>
  <c r="AD168" i="35"/>
  <c r="AG168" i="35" s="1"/>
  <c r="AD201" i="35"/>
  <c r="P203" i="34"/>
  <c r="S202" i="34"/>
  <c r="V202" i="35"/>
  <c r="V171" i="34"/>
  <c r="P172" i="34"/>
  <c r="S171" i="34"/>
  <c r="P18" i="30"/>
  <c r="V18" i="30" s="1"/>
  <c r="M19" i="30"/>
  <c r="S18" i="30"/>
  <c r="V78" i="32"/>
  <c r="P79" i="32"/>
  <c r="V293" i="32"/>
  <c r="P294" i="32"/>
  <c r="W78" i="34"/>
  <c r="U77" i="34"/>
  <c r="R77" i="34"/>
  <c r="X77" i="35" s="1"/>
  <c r="O78" i="34"/>
  <c r="V324" i="32"/>
  <c r="P325" i="32"/>
  <c r="V353" i="34"/>
  <c r="U171" i="32"/>
  <c r="P111" i="34"/>
  <c r="V110" i="34"/>
  <c r="V232" i="35"/>
  <c r="S232" i="35"/>
  <c r="P233" i="35"/>
  <c r="R21" i="28"/>
  <c r="O22" i="28"/>
  <c r="X229" i="35"/>
  <c r="U110" i="32"/>
  <c r="R110" i="32"/>
  <c r="O111" i="32"/>
  <c r="N112" i="35"/>
  <c r="S324" i="30"/>
  <c r="M325" i="30"/>
  <c r="V109" i="35"/>
  <c r="P110" i="35"/>
  <c r="AA18" i="35"/>
  <c r="N177" i="35"/>
  <c r="Q176" i="35"/>
  <c r="W176" i="36" s="1"/>
  <c r="N232" i="34"/>
  <c r="Q231" i="34"/>
  <c r="T231" i="34"/>
  <c r="S170" i="30"/>
  <c r="M171" i="30"/>
  <c r="T170" i="32"/>
  <c r="AD229" i="34"/>
  <c r="AG229" i="34" s="1"/>
  <c r="O172" i="30"/>
  <c r="V172" i="32" s="1"/>
  <c r="U171" i="30"/>
  <c r="AA261" i="34"/>
  <c r="T109" i="32"/>
  <c r="N110" i="32"/>
  <c r="N294" i="34"/>
  <c r="T293" i="34"/>
  <c r="M293" i="30"/>
  <c r="S292" i="30"/>
  <c r="P325" i="35"/>
  <c r="AA78" i="32"/>
  <c r="O355" i="30"/>
  <c r="U354" i="30"/>
  <c r="P173" i="32"/>
  <c r="U293" i="30"/>
  <c r="O294" i="30"/>
  <c r="N202" i="35"/>
  <c r="T201" i="35"/>
  <c r="Q201" i="35"/>
  <c r="W201" i="36" s="1"/>
  <c r="T140" i="30"/>
  <c r="N141" i="30"/>
  <c r="U140" i="32"/>
  <c r="N173" i="32"/>
  <c r="Q21" i="30"/>
  <c r="W21" i="30" s="1"/>
  <c r="T21" i="30"/>
  <c r="N22" i="30"/>
  <c r="O58" i="28"/>
  <c r="R57" i="28"/>
  <c r="M142" i="30"/>
  <c r="S141" i="30"/>
  <c r="T141" i="32"/>
  <c r="N263" i="32"/>
  <c r="T262" i="32"/>
  <c r="R49" i="34"/>
  <c r="U49" i="34"/>
  <c r="O50" i="34"/>
  <c r="N327" i="30"/>
  <c r="T326" i="30"/>
  <c r="T292" i="32"/>
  <c r="M235" i="30"/>
  <c r="S234" i="30"/>
  <c r="N19" i="34"/>
  <c r="Q18" i="34"/>
  <c r="W18" i="34" s="1"/>
  <c r="T18" i="34"/>
  <c r="R202" i="35"/>
  <c r="X202" i="36" s="1"/>
  <c r="O203" i="35"/>
  <c r="AD198" i="34"/>
  <c r="AG198" i="34" s="1"/>
  <c r="X198" i="35"/>
  <c r="AD170" i="34"/>
  <c r="AG170" i="34" s="1"/>
  <c r="Y170" i="35"/>
  <c r="X16" i="34"/>
  <c r="AD16" i="34"/>
  <c r="AG16" i="34" s="1"/>
  <c r="X16" i="35"/>
  <c r="S50" i="30"/>
  <c r="M51" i="30"/>
  <c r="T79" i="30"/>
  <c r="N80" i="30"/>
  <c r="U79" i="32"/>
  <c r="P264" i="32"/>
  <c r="V264" i="34" s="1"/>
  <c r="V263" i="32"/>
  <c r="AA230" i="35"/>
  <c r="W230" i="35"/>
  <c r="P232" i="32"/>
  <c r="S231" i="32"/>
  <c r="V231" i="32"/>
  <c r="T354" i="34"/>
  <c r="N355" i="34"/>
  <c r="Q354" i="34"/>
  <c r="M111" i="30"/>
  <c r="S110" i="30"/>
  <c r="V354" i="34"/>
  <c r="P355" i="34"/>
  <c r="S354" i="34"/>
  <c r="V354" i="35"/>
  <c r="O173" i="32"/>
  <c r="AG231" i="35" l="1"/>
  <c r="O174" i="32"/>
  <c r="N233" i="34"/>
  <c r="Q232" i="34"/>
  <c r="T232" i="34"/>
  <c r="V172" i="34"/>
  <c r="S172" i="34"/>
  <c r="P173" i="34"/>
  <c r="N81" i="32"/>
  <c r="Q80" i="32"/>
  <c r="M355" i="30"/>
  <c r="S354" i="30"/>
  <c r="AA176" i="35"/>
  <c r="S232" i="32"/>
  <c r="P233" i="32"/>
  <c r="V232" i="32"/>
  <c r="M52" i="30"/>
  <c r="S51" i="30"/>
  <c r="O204" i="35"/>
  <c r="R203" i="35"/>
  <c r="X203" i="36" s="1"/>
  <c r="P174" i="32"/>
  <c r="P326" i="35"/>
  <c r="P111" i="35"/>
  <c r="V110" i="35"/>
  <c r="V233" i="35"/>
  <c r="P234" i="35"/>
  <c r="S233" i="35"/>
  <c r="T295" i="35"/>
  <c r="N296" i="35"/>
  <c r="AD323" i="34"/>
  <c r="AG323" i="34" s="1"/>
  <c r="O84" i="32"/>
  <c r="N20" i="32"/>
  <c r="Q19" i="32"/>
  <c r="T19" i="32"/>
  <c r="N52" i="30"/>
  <c r="T51" i="30"/>
  <c r="AD78" i="35"/>
  <c r="AG78" i="35" s="1"/>
  <c r="Y78" i="35"/>
  <c r="O234" i="35"/>
  <c r="R233" i="35"/>
  <c r="N52" i="28"/>
  <c r="Q51" i="28"/>
  <c r="O114" i="30"/>
  <c r="U113" i="30"/>
  <c r="T172" i="30"/>
  <c r="N173" i="30"/>
  <c r="V139" i="35"/>
  <c r="P140" i="35"/>
  <c r="S139" i="35"/>
  <c r="U110" i="34"/>
  <c r="O111" i="34"/>
  <c r="N234" i="30"/>
  <c r="T233" i="30"/>
  <c r="U21" i="32"/>
  <c r="O22" i="32"/>
  <c r="R21" i="32"/>
  <c r="X21" i="32" s="1"/>
  <c r="N21" i="28"/>
  <c r="Q20" i="28"/>
  <c r="T51" i="32"/>
  <c r="O263" i="32"/>
  <c r="U262" i="32"/>
  <c r="U262" i="34"/>
  <c r="AD110" i="32"/>
  <c r="U172" i="32"/>
  <c r="M112" i="30"/>
  <c r="S111" i="30"/>
  <c r="AD202" i="35"/>
  <c r="N23" i="30"/>
  <c r="Q22" i="30"/>
  <c r="W22" i="30" s="1"/>
  <c r="T22" i="30"/>
  <c r="O112" i="32"/>
  <c r="R111" i="32"/>
  <c r="U111" i="32"/>
  <c r="Y232" i="35"/>
  <c r="AD232" i="35"/>
  <c r="P326" i="32"/>
  <c r="V294" i="32"/>
  <c r="P295" i="32"/>
  <c r="AD171" i="34"/>
  <c r="AG171" i="34" s="1"/>
  <c r="AG201" i="35"/>
  <c r="P53" i="32"/>
  <c r="AA79" i="34"/>
  <c r="W79" i="34"/>
  <c r="U200" i="34"/>
  <c r="O201" i="34"/>
  <c r="R200" i="34"/>
  <c r="U200" i="35"/>
  <c r="V79" i="35"/>
  <c r="P80" i="35"/>
  <c r="S79" i="35"/>
  <c r="N81" i="35"/>
  <c r="Q80" i="35"/>
  <c r="T80" i="35"/>
  <c r="S51" i="35"/>
  <c r="P52" i="35"/>
  <c r="U231" i="34"/>
  <c r="O232" i="34"/>
  <c r="R231" i="34"/>
  <c r="U231" i="35"/>
  <c r="O293" i="34"/>
  <c r="U292" i="34"/>
  <c r="R19" i="30"/>
  <c r="X19" i="30" s="1"/>
  <c r="O20" i="30"/>
  <c r="U19" i="30"/>
  <c r="O80" i="35"/>
  <c r="U79" i="35"/>
  <c r="R79" i="35"/>
  <c r="N266" i="35"/>
  <c r="R265" i="34"/>
  <c r="O266" i="34"/>
  <c r="X17" i="34"/>
  <c r="AD17" i="34"/>
  <c r="AG17" i="34" s="1"/>
  <c r="X17" i="35"/>
  <c r="T52" i="32"/>
  <c r="N53" i="32"/>
  <c r="V354" i="32"/>
  <c r="P355" i="32"/>
  <c r="N202" i="32"/>
  <c r="T201" i="32"/>
  <c r="S111" i="32"/>
  <c r="V111" i="32"/>
  <c r="P112" i="32"/>
  <c r="AA201" i="35"/>
  <c r="AD264" i="34"/>
  <c r="V324" i="34"/>
  <c r="P325" i="34"/>
  <c r="S324" i="34"/>
  <c r="Q80" i="34"/>
  <c r="N81" i="34"/>
  <c r="T80" i="34"/>
  <c r="O173" i="34"/>
  <c r="R172" i="34"/>
  <c r="U172" i="34"/>
  <c r="O81" i="30"/>
  <c r="U80" i="30"/>
  <c r="T354" i="30"/>
  <c r="N355" i="30"/>
  <c r="P23" i="34"/>
  <c r="S22" i="34"/>
  <c r="O173" i="30"/>
  <c r="V173" i="32" s="1"/>
  <c r="U172" i="30"/>
  <c r="P80" i="32"/>
  <c r="V79" i="32"/>
  <c r="P266" i="34"/>
  <c r="S265" i="34"/>
  <c r="V265" i="35"/>
  <c r="U233" i="32"/>
  <c r="O234" i="32"/>
  <c r="V19" i="32"/>
  <c r="S19" i="32"/>
  <c r="P20" i="32"/>
  <c r="V19" i="34"/>
  <c r="AD199" i="34"/>
  <c r="AG199" i="34" s="1"/>
  <c r="X199" i="35"/>
  <c r="O111" i="35"/>
  <c r="U110" i="35"/>
  <c r="Y231" i="34"/>
  <c r="W172" i="35"/>
  <c r="Y231" i="35"/>
  <c r="N174" i="32"/>
  <c r="T354" i="32"/>
  <c r="AA50" i="34"/>
  <c r="AJ50" i="36" s="1"/>
  <c r="P298" i="35"/>
  <c r="U293" i="35"/>
  <c r="O294" i="35"/>
  <c r="N21" i="35"/>
  <c r="Q20" i="35"/>
  <c r="V355" i="34"/>
  <c r="P356" i="34"/>
  <c r="S355" i="34"/>
  <c r="V355" i="35"/>
  <c r="Q19" i="34"/>
  <c r="W19" i="34" s="1"/>
  <c r="T19" i="34"/>
  <c r="N20" i="34"/>
  <c r="U294" i="30"/>
  <c r="O295" i="30"/>
  <c r="N111" i="32"/>
  <c r="T111" i="34" s="1"/>
  <c r="T110" i="32"/>
  <c r="N178" i="35"/>
  <c r="Q177" i="35"/>
  <c r="W177" i="36" s="1"/>
  <c r="N356" i="32"/>
  <c r="O295" i="32"/>
  <c r="U294" i="32"/>
  <c r="N202" i="34"/>
  <c r="T202" i="35" s="1"/>
  <c r="Q201" i="34"/>
  <c r="T201" i="34"/>
  <c r="P207" i="35"/>
  <c r="S206" i="35"/>
  <c r="Y206" i="36" s="1"/>
  <c r="AD18" i="32"/>
  <c r="Y18" i="32"/>
  <c r="Y18" i="34"/>
  <c r="P336" i="28"/>
  <c r="T336" i="28" s="1"/>
  <c r="V336" i="28" s="1"/>
  <c r="M337" i="28"/>
  <c r="U265" i="35"/>
  <c r="O266" i="35"/>
  <c r="T324" i="34"/>
  <c r="Q324" i="34"/>
  <c r="N325" i="34"/>
  <c r="T325" i="35" s="1"/>
  <c r="V232" i="34"/>
  <c r="S232" i="34"/>
  <c r="P233" i="34"/>
  <c r="W231" i="35"/>
  <c r="AA231" i="35"/>
  <c r="AD77" i="34"/>
  <c r="AG77" i="34" s="1"/>
  <c r="O140" i="34"/>
  <c r="U139" i="34"/>
  <c r="P20" i="28"/>
  <c r="T20" i="28" s="1"/>
  <c r="V20" i="28" s="1"/>
  <c r="M21" i="28"/>
  <c r="P173" i="35"/>
  <c r="V172" i="35"/>
  <c r="S172" i="35"/>
  <c r="Y172" i="36" s="1"/>
  <c r="P202" i="28"/>
  <c r="M203" i="28"/>
  <c r="X169" i="35"/>
  <c r="AD169" i="35"/>
  <c r="AG169" i="35" s="1"/>
  <c r="U324" i="30"/>
  <c r="O325" i="30"/>
  <c r="V325" i="32" s="1"/>
  <c r="O269" i="30"/>
  <c r="U268" i="30"/>
  <c r="N328" i="30"/>
  <c r="T327" i="30"/>
  <c r="S293" i="30"/>
  <c r="M294" i="30"/>
  <c r="T263" i="30"/>
  <c r="N264" i="30"/>
  <c r="U51" i="30"/>
  <c r="O52" i="30"/>
  <c r="V52" i="32" s="1"/>
  <c r="U50" i="34"/>
  <c r="R50" i="34"/>
  <c r="O51" i="34"/>
  <c r="O356" i="30"/>
  <c r="U355" i="30"/>
  <c r="AA79" i="32"/>
  <c r="U324" i="32"/>
  <c r="O325" i="32"/>
  <c r="U324" i="34"/>
  <c r="AA79" i="35"/>
  <c r="AC79" i="35" s="1"/>
  <c r="W79" i="35"/>
  <c r="T200" i="30"/>
  <c r="N201" i="30"/>
  <c r="U200" i="32"/>
  <c r="Y19" i="35"/>
  <c r="AD19" i="35"/>
  <c r="AG19" i="35" s="1"/>
  <c r="U201" i="30"/>
  <c r="O202" i="30"/>
  <c r="P265" i="32"/>
  <c r="V264" i="32"/>
  <c r="P112" i="34"/>
  <c r="V111" i="34"/>
  <c r="M204" i="30"/>
  <c r="S203" i="30"/>
  <c r="V143" i="34"/>
  <c r="P144" i="34"/>
  <c r="S143" i="34"/>
  <c r="U325" i="35"/>
  <c r="P21" i="35"/>
  <c r="S20" i="35"/>
  <c r="V20" i="35"/>
  <c r="P80" i="34"/>
  <c r="S79" i="34"/>
  <c r="V79" i="34"/>
  <c r="P360" i="35"/>
  <c r="R327" i="34"/>
  <c r="O328" i="34"/>
  <c r="M265" i="30"/>
  <c r="S264" i="30"/>
  <c r="Q173" i="34"/>
  <c r="T173" i="34"/>
  <c r="N174" i="34"/>
  <c r="T173" i="35"/>
  <c r="S50" i="34"/>
  <c r="P51" i="34"/>
  <c r="V51" i="35" s="1"/>
  <c r="V50" i="34"/>
  <c r="T80" i="30"/>
  <c r="N81" i="30"/>
  <c r="U80" i="32"/>
  <c r="R58" i="28"/>
  <c r="O59" i="28"/>
  <c r="S171" i="30"/>
  <c r="M172" i="30"/>
  <c r="T171" i="32"/>
  <c r="W18" i="35"/>
  <c r="N113" i="35"/>
  <c r="R22" i="28"/>
  <c r="O23" i="28"/>
  <c r="R23" i="28" s="1"/>
  <c r="S19" i="30"/>
  <c r="M20" i="30"/>
  <c r="P19" i="30"/>
  <c r="Y202" i="35"/>
  <c r="U232" i="30"/>
  <c r="O233" i="30"/>
  <c r="V201" i="32"/>
  <c r="P202" i="32"/>
  <c r="V201" i="34"/>
  <c r="N326" i="35"/>
  <c r="O152" i="32"/>
  <c r="U151" i="32"/>
  <c r="AD352" i="34"/>
  <c r="AG352" i="34" s="1"/>
  <c r="AA262" i="34"/>
  <c r="AC262" i="34" s="1"/>
  <c r="P151" i="32"/>
  <c r="V150" i="32"/>
  <c r="N142" i="34"/>
  <c r="T141" i="34"/>
  <c r="O51" i="32"/>
  <c r="U50" i="32"/>
  <c r="P268" i="35"/>
  <c r="O203" i="32"/>
  <c r="U49" i="35"/>
  <c r="R49" i="35"/>
  <c r="O50" i="35"/>
  <c r="V293" i="34"/>
  <c r="P294" i="34"/>
  <c r="V293" i="35"/>
  <c r="N327" i="32"/>
  <c r="T326" i="32"/>
  <c r="T49" i="35"/>
  <c r="N50" i="35"/>
  <c r="Q49" i="35"/>
  <c r="Y138" i="35"/>
  <c r="AD138" i="35"/>
  <c r="AG138" i="35" s="1"/>
  <c r="T354" i="35"/>
  <c r="N355" i="35"/>
  <c r="U170" i="35"/>
  <c r="O171" i="35"/>
  <c r="R170" i="35"/>
  <c r="X170" i="36" s="1"/>
  <c r="N295" i="32"/>
  <c r="T294" i="32"/>
  <c r="AD49" i="34"/>
  <c r="AG49" i="34" s="1"/>
  <c r="AA138" i="35"/>
  <c r="P61" i="28"/>
  <c r="M62" i="28"/>
  <c r="P62" i="28" s="1"/>
  <c r="T62" i="28" s="1"/>
  <c r="V62" i="28" s="1"/>
  <c r="X230" i="35"/>
  <c r="N112" i="34"/>
  <c r="T112" i="35" s="1"/>
  <c r="Q111" i="34"/>
  <c r="O19" i="34"/>
  <c r="R18" i="34"/>
  <c r="U18" i="34"/>
  <c r="U18" i="35"/>
  <c r="O356" i="35"/>
  <c r="M143" i="30"/>
  <c r="S142" i="30"/>
  <c r="T142" i="32"/>
  <c r="M326" i="30"/>
  <c r="S325" i="30"/>
  <c r="R78" i="34"/>
  <c r="AD78" i="34" s="1"/>
  <c r="AG78" i="34" s="1"/>
  <c r="U78" i="34"/>
  <c r="O79" i="34"/>
  <c r="M111" i="28"/>
  <c r="P110" i="28"/>
  <c r="Q51" i="34"/>
  <c r="N52" i="34"/>
  <c r="T51" i="34"/>
  <c r="Y171" i="35"/>
  <c r="M151" i="28"/>
  <c r="P150" i="28"/>
  <c r="AA19" i="35"/>
  <c r="T355" i="34"/>
  <c r="N356" i="34"/>
  <c r="Q355" i="34"/>
  <c r="N203" i="35"/>
  <c r="Q202" i="35"/>
  <c r="W202" i="36" s="1"/>
  <c r="N295" i="34"/>
  <c r="T294" i="34"/>
  <c r="N151" i="32"/>
  <c r="T150" i="32"/>
  <c r="M236" i="30"/>
  <c r="S235" i="30"/>
  <c r="N264" i="32"/>
  <c r="T263" i="32"/>
  <c r="T141" i="30"/>
  <c r="N142" i="30"/>
  <c r="U141" i="32"/>
  <c r="V324" i="35"/>
  <c r="P204" i="34"/>
  <c r="S203" i="34"/>
  <c r="V203" i="35"/>
  <c r="T294" i="35"/>
  <c r="AA18" i="32"/>
  <c r="AC18" i="32" s="1"/>
  <c r="W18" i="32"/>
  <c r="U354" i="32"/>
  <c r="O355" i="32"/>
  <c r="O354" i="34"/>
  <c r="U353" i="34"/>
  <c r="R353" i="34"/>
  <c r="U353" i="35"/>
  <c r="O22" i="35"/>
  <c r="R21" i="35"/>
  <c r="Q263" i="34"/>
  <c r="T263" i="34"/>
  <c r="N264" i="34"/>
  <c r="T263" i="35"/>
  <c r="U144" i="30"/>
  <c r="V144" i="32"/>
  <c r="M80" i="30"/>
  <c r="S79" i="30"/>
  <c r="V50" i="35"/>
  <c r="X48" i="35"/>
  <c r="AD48" i="35"/>
  <c r="AG48" i="35" s="1"/>
  <c r="N235" i="32"/>
  <c r="T234" i="32"/>
  <c r="T325" i="32"/>
  <c r="W48" i="35"/>
  <c r="AA48" i="35"/>
  <c r="N295" i="30"/>
  <c r="T294" i="30"/>
  <c r="T110" i="30"/>
  <c r="N111" i="30"/>
  <c r="N233" i="35"/>
  <c r="T232" i="35"/>
  <c r="Q232" i="35"/>
  <c r="AG262" i="34"/>
  <c r="T293" i="32"/>
  <c r="O141" i="35"/>
  <c r="R140" i="35"/>
  <c r="T139" i="35"/>
  <c r="N140" i="35"/>
  <c r="Q139" i="35"/>
  <c r="AG202" i="35" l="1"/>
  <c r="AG232" i="35"/>
  <c r="U354" i="34"/>
  <c r="O355" i="34"/>
  <c r="R354" i="34"/>
  <c r="U354" i="35"/>
  <c r="V112" i="34"/>
  <c r="P113" i="34"/>
  <c r="T21" i="35"/>
  <c r="N22" i="35"/>
  <c r="Q21" i="35"/>
  <c r="AD111" i="32"/>
  <c r="O23" i="32"/>
  <c r="R22" i="32"/>
  <c r="X22" i="32" s="1"/>
  <c r="U22" i="32"/>
  <c r="U355" i="32"/>
  <c r="O356" i="32"/>
  <c r="N143" i="34"/>
  <c r="T142" i="34"/>
  <c r="AD353" i="34"/>
  <c r="AG353" i="34" s="1"/>
  <c r="M112" i="28"/>
  <c r="P111" i="28"/>
  <c r="U19" i="34"/>
  <c r="O20" i="34"/>
  <c r="R19" i="34"/>
  <c r="U19" i="35"/>
  <c r="O172" i="35"/>
  <c r="U171" i="35"/>
  <c r="R171" i="35"/>
  <c r="X171" i="36" s="1"/>
  <c r="W49" i="35"/>
  <c r="AA49" i="35"/>
  <c r="U50" i="35"/>
  <c r="O51" i="35"/>
  <c r="R50" i="35"/>
  <c r="N327" i="35"/>
  <c r="V21" i="35"/>
  <c r="S21" i="35"/>
  <c r="P22" i="35"/>
  <c r="M205" i="30"/>
  <c r="S204" i="30"/>
  <c r="O52" i="34"/>
  <c r="R51" i="34"/>
  <c r="U51" i="34"/>
  <c r="P21" i="28"/>
  <c r="M22" i="28"/>
  <c r="S233" i="34"/>
  <c r="V233" i="34"/>
  <c r="P234" i="34"/>
  <c r="V234" i="35" s="1"/>
  <c r="P337" i="28"/>
  <c r="M338" i="28"/>
  <c r="P338" i="28" s="1"/>
  <c r="AA177" i="35"/>
  <c r="AC177" i="35" s="1"/>
  <c r="AA20" i="35"/>
  <c r="P81" i="32"/>
  <c r="V80" i="32"/>
  <c r="AD324" i="34"/>
  <c r="AG324" i="34" s="1"/>
  <c r="V112" i="32"/>
  <c r="S112" i="32"/>
  <c r="P113" i="32"/>
  <c r="N54" i="32"/>
  <c r="N267" i="35"/>
  <c r="P54" i="32"/>
  <c r="P327" i="32"/>
  <c r="V326" i="32"/>
  <c r="N22" i="28"/>
  <c r="Q21" i="28"/>
  <c r="P327" i="35"/>
  <c r="V173" i="34"/>
  <c r="S173" i="34"/>
  <c r="P174" i="34"/>
  <c r="AA139" i="35"/>
  <c r="Q264" i="34"/>
  <c r="N265" i="34"/>
  <c r="T264" i="34"/>
  <c r="T264" i="35"/>
  <c r="Y203" i="35"/>
  <c r="T151" i="32"/>
  <c r="N152" i="32"/>
  <c r="U79" i="34"/>
  <c r="R79" i="34"/>
  <c r="X79" i="35" s="1"/>
  <c r="O80" i="34"/>
  <c r="U80" i="35" s="1"/>
  <c r="M144" i="30"/>
  <c r="S143" i="30"/>
  <c r="T143" i="32"/>
  <c r="Q50" i="35"/>
  <c r="N51" i="35"/>
  <c r="T50" i="35"/>
  <c r="X49" i="35"/>
  <c r="AD49" i="35"/>
  <c r="AG49" i="35" s="1"/>
  <c r="O52" i="32"/>
  <c r="U51" i="32"/>
  <c r="N82" i="30"/>
  <c r="T81" i="30"/>
  <c r="U81" i="32"/>
  <c r="W173" i="35"/>
  <c r="U326" i="35"/>
  <c r="S294" i="30"/>
  <c r="M295" i="30"/>
  <c r="Y232" i="34"/>
  <c r="N179" i="35"/>
  <c r="Q178" i="35"/>
  <c r="W178" i="36" s="1"/>
  <c r="T20" i="34"/>
  <c r="N21" i="34"/>
  <c r="Q20" i="34"/>
  <c r="W20" i="34" s="1"/>
  <c r="T20" i="35"/>
  <c r="AJ50" i="35"/>
  <c r="U111" i="35"/>
  <c r="O112" i="35"/>
  <c r="O235" i="32"/>
  <c r="U234" i="32"/>
  <c r="O82" i="30"/>
  <c r="U81" i="30"/>
  <c r="V325" i="34"/>
  <c r="P326" i="34"/>
  <c r="S325" i="34"/>
  <c r="O294" i="34"/>
  <c r="U293" i="34"/>
  <c r="X78" i="35"/>
  <c r="O235" i="35"/>
  <c r="R234" i="35"/>
  <c r="W19" i="32"/>
  <c r="AA19" i="32"/>
  <c r="Y233" i="35"/>
  <c r="AD233" i="35"/>
  <c r="AD172" i="34"/>
  <c r="AG172" i="34" s="1"/>
  <c r="N141" i="35"/>
  <c r="Q140" i="35"/>
  <c r="T140" i="35"/>
  <c r="O174" i="30"/>
  <c r="U173" i="30"/>
  <c r="Q23" i="30"/>
  <c r="W23" i="30" s="1"/>
  <c r="N24" i="30"/>
  <c r="T23" i="30"/>
  <c r="U114" i="30"/>
  <c r="O115" i="30"/>
  <c r="P235" i="35"/>
  <c r="S234" i="35"/>
  <c r="V233" i="32"/>
  <c r="P234" i="32"/>
  <c r="S233" i="32"/>
  <c r="W232" i="35"/>
  <c r="AA232" i="35"/>
  <c r="O357" i="35"/>
  <c r="Q325" i="34"/>
  <c r="N326" i="34"/>
  <c r="T325" i="34"/>
  <c r="V140" i="35"/>
  <c r="P141" i="35"/>
  <c r="S140" i="35"/>
  <c r="T327" i="32"/>
  <c r="N328" i="32"/>
  <c r="P52" i="34"/>
  <c r="S51" i="34"/>
  <c r="V51" i="34"/>
  <c r="V144" i="34"/>
  <c r="S144" i="34"/>
  <c r="P145" i="34"/>
  <c r="AA324" i="34"/>
  <c r="T111" i="32"/>
  <c r="N112" i="32"/>
  <c r="X231" i="35"/>
  <c r="O205" i="35"/>
  <c r="R204" i="35"/>
  <c r="X204" i="36" s="1"/>
  <c r="N234" i="35"/>
  <c r="T233" i="35"/>
  <c r="Q233" i="35"/>
  <c r="R22" i="35"/>
  <c r="O23" i="35"/>
  <c r="N296" i="34"/>
  <c r="T295" i="34"/>
  <c r="W19" i="35"/>
  <c r="T52" i="34"/>
  <c r="N53" i="34"/>
  <c r="Q52" i="34"/>
  <c r="M327" i="30"/>
  <c r="S326" i="30"/>
  <c r="P269" i="35"/>
  <c r="U233" i="30"/>
  <c r="O234" i="30"/>
  <c r="AD50" i="34"/>
  <c r="M266" i="30"/>
  <c r="S265" i="30"/>
  <c r="S80" i="34"/>
  <c r="P81" i="34"/>
  <c r="V80" i="34"/>
  <c r="P266" i="32"/>
  <c r="V265" i="32"/>
  <c r="Y172" i="35"/>
  <c r="AD231" i="34"/>
  <c r="AG231" i="34" s="1"/>
  <c r="V265" i="34"/>
  <c r="S23" i="34"/>
  <c r="P24" i="34"/>
  <c r="P356" i="32"/>
  <c r="V355" i="32"/>
  <c r="R266" i="34"/>
  <c r="O267" i="34"/>
  <c r="R232" i="34"/>
  <c r="O233" i="34"/>
  <c r="U232" i="34"/>
  <c r="U232" i="35"/>
  <c r="U263" i="32"/>
  <c r="O264" i="32"/>
  <c r="U263" i="34"/>
  <c r="N235" i="30"/>
  <c r="T234" i="30"/>
  <c r="N174" i="30"/>
  <c r="T173" i="30"/>
  <c r="P112" i="35"/>
  <c r="V111" i="35"/>
  <c r="AA80" i="32"/>
  <c r="AC80" i="32" s="1"/>
  <c r="N234" i="34"/>
  <c r="Q233" i="34"/>
  <c r="T233" i="34"/>
  <c r="N265" i="32"/>
  <c r="T264" i="32"/>
  <c r="T355" i="35"/>
  <c r="N356" i="35"/>
  <c r="Q202" i="34"/>
  <c r="N203" i="34"/>
  <c r="T202" i="34"/>
  <c r="Y139" i="35"/>
  <c r="AD139" i="35"/>
  <c r="AG139" i="35" s="1"/>
  <c r="Q20" i="32"/>
  <c r="T20" i="32"/>
  <c r="N21" i="32"/>
  <c r="V174" i="32"/>
  <c r="P175" i="32"/>
  <c r="N113" i="34"/>
  <c r="Q112" i="34"/>
  <c r="T112" i="34"/>
  <c r="P203" i="32"/>
  <c r="V202" i="32"/>
  <c r="V202" i="34"/>
  <c r="U140" i="34"/>
  <c r="O141" i="34"/>
  <c r="O295" i="35"/>
  <c r="U294" i="35"/>
  <c r="R201" i="34"/>
  <c r="U201" i="34"/>
  <c r="O202" i="34"/>
  <c r="U201" i="35"/>
  <c r="AD203" i="35"/>
  <c r="U140" i="35"/>
  <c r="M81" i="30"/>
  <c r="T81" i="32" s="1"/>
  <c r="S80" i="30"/>
  <c r="U52" i="30"/>
  <c r="O53" i="30"/>
  <c r="V53" i="32" s="1"/>
  <c r="AD265" i="34"/>
  <c r="R173" i="34"/>
  <c r="O174" i="34"/>
  <c r="U173" i="34"/>
  <c r="T202" i="32"/>
  <c r="N203" i="32"/>
  <c r="R80" i="35"/>
  <c r="O81" i="35"/>
  <c r="N82" i="35"/>
  <c r="T81" i="35"/>
  <c r="Q81" i="35"/>
  <c r="Q52" i="28"/>
  <c r="N53" i="28"/>
  <c r="M356" i="30"/>
  <c r="S355" i="30"/>
  <c r="U141" i="35"/>
  <c r="O142" i="35"/>
  <c r="R141" i="35"/>
  <c r="T111" i="30"/>
  <c r="N112" i="30"/>
  <c r="N143" i="30"/>
  <c r="T142" i="30"/>
  <c r="U142" i="32"/>
  <c r="W202" i="35"/>
  <c r="AA202" i="35"/>
  <c r="AA51" i="34"/>
  <c r="AC51" i="34" s="1"/>
  <c r="N296" i="32"/>
  <c r="T295" i="32"/>
  <c r="V294" i="34"/>
  <c r="P295" i="34"/>
  <c r="V294" i="35"/>
  <c r="R59" i="28"/>
  <c r="O60" i="28"/>
  <c r="O329" i="34"/>
  <c r="R328" i="34"/>
  <c r="O203" i="30"/>
  <c r="U202" i="30"/>
  <c r="O270" i="30"/>
  <c r="U269" i="30"/>
  <c r="U266" i="35"/>
  <c r="O267" i="35"/>
  <c r="P208" i="35"/>
  <c r="S207" i="35"/>
  <c r="Y207" i="36" s="1"/>
  <c r="T355" i="32"/>
  <c r="U295" i="30"/>
  <c r="O296" i="30"/>
  <c r="V356" i="34"/>
  <c r="P357" i="34"/>
  <c r="S356" i="34"/>
  <c r="V356" i="35"/>
  <c r="P299" i="35"/>
  <c r="N175" i="32"/>
  <c r="V20" i="32"/>
  <c r="P21" i="32"/>
  <c r="S20" i="32"/>
  <c r="V20" i="34"/>
  <c r="P267" i="34"/>
  <c r="V266" i="34"/>
  <c r="S266" i="34"/>
  <c r="V266" i="35"/>
  <c r="T355" i="30"/>
  <c r="N356" i="30"/>
  <c r="T81" i="34"/>
  <c r="N82" i="34"/>
  <c r="Q81" i="34"/>
  <c r="W201" i="35"/>
  <c r="R20" i="30"/>
  <c r="X20" i="30" s="1"/>
  <c r="O21" i="30"/>
  <c r="U20" i="30"/>
  <c r="Y79" i="35"/>
  <c r="AD79" i="35"/>
  <c r="AG79" i="35" s="1"/>
  <c r="P296" i="32"/>
  <c r="V295" i="32"/>
  <c r="O113" i="32"/>
  <c r="R112" i="32"/>
  <c r="S112" i="30"/>
  <c r="M113" i="30"/>
  <c r="U111" i="34"/>
  <c r="O112" i="34"/>
  <c r="Y50" i="35"/>
  <c r="T80" i="32"/>
  <c r="U173" i="32"/>
  <c r="N296" i="30"/>
  <c r="T295" i="30"/>
  <c r="P205" i="34"/>
  <c r="S204" i="34"/>
  <c r="V204" i="35"/>
  <c r="T356" i="34"/>
  <c r="N357" i="34"/>
  <c r="Q356" i="34"/>
  <c r="Z19" i="30"/>
  <c r="AB19" i="30" s="1"/>
  <c r="V19" i="30"/>
  <c r="P361" i="35"/>
  <c r="U325" i="32"/>
  <c r="O326" i="32"/>
  <c r="U325" i="34"/>
  <c r="X200" i="35"/>
  <c r="AD200" i="34"/>
  <c r="AG200" i="34" s="1"/>
  <c r="O204" i="32"/>
  <c r="M21" i="30"/>
  <c r="S20" i="30"/>
  <c r="P20" i="30"/>
  <c r="V20" i="30" s="1"/>
  <c r="T201" i="30"/>
  <c r="N202" i="30"/>
  <c r="U201" i="32"/>
  <c r="P203" i="28"/>
  <c r="T203" i="28" s="1"/>
  <c r="V203" i="28" s="1"/>
  <c r="M204" i="28"/>
  <c r="W80" i="35"/>
  <c r="AA80" i="35"/>
  <c r="O85" i="32"/>
  <c r="S236" i="30"/>
  <c r="M237" i="30"/>
  <c r="M173" i="30"/>
  <c r="S172" i="30"/>
  <c r="T172" i="32"/>
  <c r="AD79" i="34"/>
  <c r="AG79" i="34" s="1"/>
  <c r="T328" i="30"/>
  <c r="N329" i="30"/>
  <c r="U295" i="32"/>
  <c r="O296" i="32"/>
  <c r="T235" i="32"/>
  <c r="N236" i="32"/>
  <c r="N204" i="35"/>
  <c r="T203" i="35"/>
  <c r="Q203" i="35"/>
  <c r="W203" i="36" s="1"/>
  <c r="P151" i="28"/>
  <c r="M152" i="28"/>
  <c r="X18" i="34"/>
  <c r="AD18" i="34"/>
  <c r="AG18" i="34" s="1"/>
  <c r="X18" i="35"/>
  <c r="X170" i="35"/>
  <c r="AD170" i="35"/>
  <c r="AG170" i="35" s="1"/>
  <c r="V151" i="32"/>
  <c r="P152" i="32"/>
  <c r="U152" i="32"/>
  <c r="O153" i="32"/>
  <c r="T113" i="35"/>
  <c r="N114" i="35"/>
  <c r="T174" i="34"/>
  <c r="Q174" i="34"/>
  <c r="N175" i="34"/>
  <c r="T174" i="35"/>
  <c r="AD20" i="35"/>
  <c r="AG20" i="35" s="1"/>
  <c r="Y20" i="35"/>
  <c r="U356" i="30"/>
  <c r="O357" i="30"/>
  <c r="T264" i="30"/>
  <c r="N265" i="30"/>
  <c r="U325" i="30"/>
  <c r="O326" i="30"/>
  <c r="P174" i="35"/>
  <c r="V173" i="35"/>
  <c r="S173" i="35"/>
  <c r="Y173" i="36" s="1"/>
  <c r="T356" i="32"/>
  <c r="N357" i="32"/>
  <c r="Y19" i="32"/>
  <c r="AD19" i="32"/>
  <c r="Y19" i="34"/>
  <c r="AA80" i="34"/>
  <c r="AC80" i="34" s="1"/>
  <c r="W80" i="34"/>
  <c r="P53" i="35"/>
  <c r="S52" i="35"/>
  <c r="V80" i="35"/>
  <c r="S80" i="35"/>
  <c r="P81" i="35"/>
  <c r="AG263" i="34"/>
  <c r="N53" i="30"/>
  <c r="T52" i="30"/>
  <c r="N297" i="35"/>
  <c r="T296" i="35"/>
  <c r="V325" i="35"/>
  <c r="M53" i="30"/>
  <c r="S52" i="30"/>
  <c r="Q81" i="32"/>
  <c r="N82" i="32"/>
  <c r="O175" i="32"/>
  <c r="AG50" i="34" l="1"/>
  <c r="AH50" i="36"/>
  <c r="R202" i="34"/>
  <c r="U202" i="34"/>
  <c r="O203" i="34"/>
  <c r="U202" i="35"/>
  <c r="X232" i="35"/>
  <c r="O206" i="35"/>
  <c r="R205" i="35"/>
  <c r="X205" i="36" s="1"/>
  <c r="V52" i="34"/>
  <c r="P53" i="34"/>
  <c r="S52" i="34"/>
  <c r="Y52" i="35" s="1"/>
  <c r="P114" i="34"/>
  <c r="V113" i="34"/>
  <c r="S53" i="30"/>
  <c r="M54" i="30"/>
  <c r="P175" i="35"/>
  <c r="V174" i="35"/>
  <c r="S174" i="35"/>
  <c r="Y174" i="36" s="1"/>
  <c r="T236" i="32"/>
  <c r="N237" i="32"/>
  <c r="AA81" i="32"/>
  <c r="AC81" i="32" s="1"/>
  <c r="V52" i="35"/>
  <c r="O358" i="30"/>
  <c r="U357" i="30"/>
  <c r="N115" i="35"/>
  <c r="AA203" i="35"/>
  <c r="N203" i="30"/>
  <c r="T202" i="30"/>
  <c r="U202" i="32"/>
  <c r="R113" i="32"/>
  <c r="O114" i="32"/>
  <c r="N380" i="32"/>
  <c r="U296" i="30"/>
  <c r="O297" i="30"/>
  <c r="O61" i="28"/>
  <c r="R60" i="28"/>
  <c r="N113" i="30"/>
  <c r="T112" i="30"/>
  <c r="AA233" i="34"/>
  <c r="N175" i="30"/>
  <c r="T174" i="30"/>
  <c r="P25" i="34"/>
  <c r="S24" i="34"/>
  <c r="O24" i="35"/>
  <c r="R23" i="35"/>
  <c r="AD204" i="35"/>
  <c r="AA140" i="35"/>
  <c r="P327" i="34"/>
  <c r="V326" i="34"/>
  <c r="S326" i="34"/>
  <c r="O53" i="32"/>
  <c r="U52" i="32"/>
  <c r="T152" i="32"/>
  <c r="N153" i="32"/>
  <c r="AD112" i="32"/>
  <c r="T53" i="30"/>
  <c r="N54" i="30"/>
  <c r="S53" i="35"/>
  <c r="P54" i="35"/>
  <c r="V53" i="35"/>
  <c r="Y173" i="35"/>
  <c r="Y204" i="35"/>
  <c r="O113" i="34"/>
  <c r="U112" i="34"/>
  <c r="U112" i="32"/>
  <c r="AD266" i="34"/>
  <c r="O271" i="30"/>
  <c r="U270" i="30"/>
  <c r="W81" i="35"/>
  <c r="AA81" i="35"/>
  <c r="P380" i="32"/>
  <c r="T203" i="34"/>
  <c r="N204" i="34"/>
  <c r="Q203" i="34"/>
  <c r="Q234" i="34"/>
  <c r="T234" i="34"/>
  <c r="N235" i="34"/>
  <c r="R233" i="34"/>
  <c r="O234" i="34"/>
  <c r="U233" i="34"/>
  <c r="U233" i="35"/>
  <c r="M267" i="30"/>
  <c r="S266" i="30"/>
  <c r="S327" i="30"/>
  <c r="M328" i="30"/>
  <c r="T328" i="32" s="1"/>
  <c r="N113" i="32"/>
  <c r="T112" i="32"/>
  <c r="AD51" i="34"/>
  <c r="AG51" i="34" s="1"/>
  <c r="S234" i="32"/>
  <c r="P235" i="32"/>
  <c r="V234" i="32"/>
  <c r="N142" i="35"/>
  <c r="Q141" i="35"/>
  <c r="T141" i="35"/>
  <c r="R235" i="35"/>
  <c r="O236" i="35"/>
  <c r="N180" i="35"/>
  <c r="Q179" i="35"/>
  <c r="W179" i="36" s="1"/>
  <c r="U327" i="35"/>
  <c r="Y51" i="35"/>
  <c r="X171" i="35"/>
  <c r="AD171" i="35"/>
  <c r="AG171" i="35" s="1"/>
  <c r="M113" i="28"/>
  <c r="P112" i="28"/>
  <c r="T112" i="28" s="1"/>
  <c r="V112" i="28" s="1"/>
  <c r="O86" i="32"/>
  <c r="R174" i="34"/>
  <c r="U174" i="34"/>
  <c r="O175" i="34"/>
  <c r="S144" i="30"/>
  <c r="T144" i="32"/>
  <c r="W81" i="34"/>
  <c r="N83" i="35"/>
  <c r="Q82" i="35"/>
  <c r="T82" i="35"/>
  <c r="T356" i="35"/>
  <c r="N357" i="35"/>
  <c r="R267" i="34"/>
  <c r="O268" i="34"/>
  <c r="N54" i="34"/>
  <c r="Q53" i="34"/>
  <c r="T53" i="34"/>
  <c r="N329" i="32"/>
  <c r="AD234" i="35"/>
  <c r="O83" i="30"/>
  <c r="U82" i="30"/>
  <c r="P175" i="34"/>
  <c r="S174" i="34"/>
  <c r="V174" i="34"/>
  <c r="N268" i="35"/>
  <c r="R52" i="34"/>
  <c r="O53" i="34"/>
  <c r="U52" i="34"/>
  <c r="P82" i="35"/>
  <c r="V81" i="35"/>
  <c r="S81" i="35"/>
  <c r="U326" i="30"/>
  <c r="O327" i="30"/>
  <c r="O204" i="30"/>
  <c r="U203" i="30"/>
  <c r="U234" i="30"/>
  <c r="O235" i="30"/>
  <c r="V327" i="32"/>
  <c r="P328" i="32"/>
  <c r="X50" i="35"/>
  <c r="AD50" i="35"/>
  <c r="O380" i="32"/>
  <c r="T175" i="34"/>
  <c r="Q175" i="34"/>
  <c r="N176" i="34"/>
  <c r="T175" i="35"/>
  <c r="U296" i="32"/>
  <c r="O297" i="32"/>
  <c r="S173" i="30"/>
  <c r="M174" i="30"/>
  <c r="T173" i="32"/>
  <c r="P204" i="28"/>
  <c r="M205" i="28"/>
  <c r="N297" i="30"/>
  <c r="T296" i="30"/>
  <c r="M114" i="30"/>
  <c r="S113" i="30"/>
  <c r="Y20" i="32"/>
  <c r="AD20" i="32"/>
  <c r="Y20" i="34"/>
  <c r="AG265" i="34"/>
  <c r="W20" i="32"/>
  <c r="AA20" i="32"/>
  <c r="P113" i="35"/>
  <c r="V112" i="35"/>
  <c r="N235" i="35"/>
  <c r="T234" i="35"/>
  <c r="Q234" i="35"/>
  <c r="AG264" i="34"/>
  <c r="S145" i="34"/>
  <c r="P146" i="34"/>
  <c r="V145" i="34"/>
  <c r="Y140" i="35"/>
  <c r="AD140" i="35"/>
  <c r="AG140" i="35" s="1"/>
  <c r="O358" i="35"/>
  <c r="O175" i="30"/>
  <c r="U174" i="30"/>
  <c r="O236" i="32"/>
  <c r="U235" i="32"/>
  <c r="T21" i="34"/>
  <c r="N22" i="34"/>
  <c r="Q21" i="34"/>
  <c r="W21" i="34" s="1"/>
  <c r="S295" i="30"/>
  <c r="M296" i="30"/>
  <c r="T296" i="32" s="1"/>
  <c r="T51" i="35"/>
  <c r="Q51" i="35"/>
  <c r="N52" i="35"/>
  <c r="N55" i="32"/>
  <c r="T54" i="32"/>
  <c r="P82" i="32"/>
  <c r="V81" i="32"/>
  <c r="M206" i="30"/>
  <c r="S205" i="30"/>
  <c r="U51" i="35"/>
  <c r="O52" i="35"/>
  <c r="R51" i="35"/>
  <c r="X19" i="34"/>
  <c r="AD19" i="34"/>
  <c r="AG19" i="34" s="1"/>
  <c r="X19" i="35"/>
  <c r="AD354" i="34"/>
  <c r="AG354" i="34" s="1"/>
  <c r="T204" i="35"/>
  <c r="Q204" i="35"/>
  <c r="W204" i="36" s="1"/>
  <c r="N205" i="35"/>
  <c r="P300" i="35"/>
  <c r="T235" i="30"/>
  <c r="N236" i="30"/>
  <c r="Q24" i="30"/>
  <c r="W24" i="30" s="1"/>
  <c r="N25" i="30"/>
  <c r="T24" i="30"/>
  <c r="U153" i="32"/>
  <c r="O154" i="32"/>
  <c r="P206" i="34"/>
  <c r="S205" i="34"/>
  <c r="V205" i="35"/>
  <c r="V296" i="32"/>
  <c r="P297" i="32"/>
  <c r="W233" i="35"/>
  <c r="AA233" i="35"/>
  <c r="AC233" i="35" s="1"/>
  <c r="AA325" i="34"/>
  <c r="AC325" i="34" s="1"/>
  <c r="AD232" i="34"/>
  <c r="AG232" i="34" s="1"/>
  <c r="O81" i="34"/>
  <c r="R80" i="34"/>
  <c r="U80" i="34"/>
  <c r="N328" i="35"/>
  <c r="R23" i="32"/>
  <c r="X23" i="32" s="1"/>
  <c r="O24" i="32"/>
  <c r="U23" i="32"/>
  <c r="T82" i="34"/>
  <c r="N83" i="34"/>
  <c r="Q82" i="34"/>
  <c r="P209" i="35"/>
  <c r="S208" i="35"/>
  <c r="Y208" i="36" s="1"/>
  <c r="AD201" i="34"/>
  <c r="AG201" i="34" s="1"/>
  <c r="X201" i="35"/>
  <c r="O265" i="32"/>
  <c r="U264" i="32"/>
  <c r="U264" i="34"/>
  <c r="P267" i="32"/>
  <c r="V267" i="34" s="1"/>
  <c r="V266" i="32"/>
  <c r="P236" i="35"/>
  <c r="S235" i="35"/>
  <c r="AG233" i="35"/>
  <c r="AD173" i="34"/>
  <c r="AG173" i="34" s="1"/>
  <c r="T53" i="32"/>
  <c r="V234" i="34"/>
  <c r="S234" i="34"/>
  <c r="P235" i="34"/>
  <c r="Y80" i="35"/>
  <c r="AD80" i="35"/>
  <c r="AG80" i="35" s="1"/>
  <c r="T297" i="35"/>
  <c r="N298" i="35"/>
  <c r="T265" i="30"/>
  <c r="N266" i="30"/>
  <c r="W174" i="35"/>
  <c r="P153" i="32"/>
  <c r="V152" i="32"/>
  <c r="M153" i="28"/>
  <c r="P152" i="28"/>
  <c r="M238" i="30"/>
  <c r="S237" i="30"/>
  <c r="M22" i="30"/>
  <c r="S21" i="30"/>
  <c r="P21" i="30"/>
  <c r="V21" i="30" s="1"/>
  <c r="T357" i="34"/>
  <c r="N358" i="34"/>
  <c r="Q357" i="34"/>
  <c r="N357" i="30"/>
  <c r="T356" i="30"/>
  <c r="P22" i="32"/>
  <c r="V21" i="32"/>
  <c r="S21" i="32"/>
  <c r="V21" i="34"/>
  <c r="P358" i="34"/>
  <c r="S357" i="34"/>
  <c r="V357" i="35"/>
  <c r="O268" i="35"/>
  <c r="U267" i="35"/>
  <c r="O330" i="34"/>
  <c r="R329" i="34"/>
  <c r="N297" i="32"/>
  <c r="T143" i="30"/>
  <c r="N144" i="30"/>
  <c r="U143" i="32"/>
  <c r="M357" i="30"/>
  <c r="S356" i="30"/>
  <c r="O296" i="35"/>
  <c r="T265" i="32"/>
  <c r="N266" i="32"/>
  <c r="P82" i="34"/>
  <c r="S81" i="34"/>
  <c r="V81" i="34"/>
  <c r="P270" i="35"/>
  <c r="V141" i="35"/>
  <c r="S141" i="35"/>
  <c r="P142" i="35"/>
  <c r="U115" i="30"/>
  <c r="O116" i="30"/>
  <c r="U294" i="34"/>
  <c r="O295" i="34"/>
  <c r="U295" i="35" s="1"/>
  <c r="T82" i="30"/>
  <c r="N83" i="30"/>
  <c r="U82" i="32"/>
  <c r="AA50" i="35"/>
  <c r="W50" i="35"/>
  <c r="P328" i="35"/>
  <c r="V327" i="35"/>
  <c r="AD233" i="34"/>
  <c r="AG233" i="34" s="1"/>
  <c r="Y233" i="34"/>
  <c r="V22" i="35"/>
  <c r="P23" i="35"/>
  <c r="S22" i="35"/>
  <c r="U20" i="34"/>
  <c r="O21" i="34"/>
  <c r="R20" i="34"/>
  <c r="U20" i="35"/>
  <c r="T143" i="34"/>
  <c r="N144" i="34"/>
  <c r="AA21" i="35"/>
  <c r="U355" i="34"/>
  <c r="O356" i="34"/>
  <c r="R355" i="34"/>
  <c r="U355" i="35"/>
  <c r="P362" i="35"/>
  <c r="T326" i="34"/>
  <c r="Q326" i="34"/>
  <c r="N327" i="34"/>
  <c r="N23" i="28"/>
  <c r="Q23" i="28" s="1"/>
  <c r="Q22" i="28"/>
  <c r="T326" i="35"/>
  <c r="P268" i="34"/>
  <c r="S267" i="34"/>
  <c r="V267" i="35"/>
  <c r="P296" i="34"/>
  <c r="V295" i="34"/>
  <c r="V295" i="35"/>
  <c r="O143" i="35"/>
  <c r="R142" i="35"/>
  <c r="M82" i="30"/>
  <c r="T82" i="32" s="1"/>
  <c r="S81" i="30"/>
  <c r="T21" i="32"/>
  <c r="Q21" i="32"/>
  <c r="N22" i="32"/>
  <c r="U172" i="35"/>
  <c r="O173" i="35"/>
  <c r="R172" i="35"/>
  <c r="X172" i="36" s="1"/>
  <c r="U174" i="32"/>
  <c r="O82" i="35"/>
  <c r="U81" i="35"/>
  <c r="R81" i="35"/>
  <c r="P204" i="32"/>
  <c r="V203" i="32"/>
  <c r="V203" i="34"/>
  <c r="N83" i="32"/>
  <c r="Q82" i="32"/>
  <c r="N358" i="32"/>
  <c r="N330" i="30"/>
  <c r="T329" i="30"/>
  <c r="O205" i="32"/>
  <c r="U326" i="32"/>
  <c r="O327" i="32"/>
  <c r="U326" i="34"/>
  <c r="O22" i="30"/>
  <c r="U21" i="30"/>
  <c r="R21" i="30"/>
  <c r="X21" i="30" s="1"/>
  <c r="Q53" i="28"/>
  <c r="N54" i="28"/>
  <c r="N204" i="32"/>
  <c r="T203" i="32"/>
  <c r="O54" i="30"/>
  <c r="V54" i="32" s="1"/>
  <c r="U53" i="30"/>
  <c r="AG203" i="35"/>
  <c r="O142" i="34"/>
  <c r="U141" i="34"/>
  <c r="Q113" i="34"/>
  <c r="N114" i="34"/>
  <c r="T114" i="35" s="1"/>
  <c r="T113" i="34"/>
  <c r="V356" i="32"/>
  <c r="P357" i="32"/>
  <c r="AD80" i="34"/>
  <c r="AG80" i="34" s="1"/>
  <c r="N297" i="34"/>
  <c r="T296" i="34"/>
  <c r="AD325" i="34"/>
  <c r="AG325" i="34" s="1"/>
  <c r="O113" i="35"/>
  <c r="U112" i="35"/>
  <c r="AA178" i="35"/>
  <c r="T265" i="34"/>
  <c r="Q265" i="34"/>
  <c r="N266" i="34"/>
  <c r="T265" i="35"/>
  <c r="V326" i="35"/>
  <c r="P55" i="32"/>
  <c r="V113" i="32"/>
  <c r="P114" i="32"/>
  <c r="S113" i="32"/>
  <c r="W20" i="35"/>
  <c r="P22" i="28"/>
  <c r="M23" i="28"/>
  <c r="P23" i="28" s="1"/>
  <c r="AD21" i="35"/>
  <c r="AG21" i="35" s="1"/>
  <c r="Y21" i="35"/>
  <c r="O357" i="32"/>
  <c r="U356" i="32"/>
  <c r="N23" i="35"/>
  <c r="Q22" i="35"/>
  <c r="T22" i="35"/>
  <c r="AG204" i="35" l="1"/>
  <c r="AD355" i="34"/>
  <c r="AG355" i="34" s="1"/>
  <c r="X233" i="35"/>
  <c r="P56" i="32"/>
  <c r="O143" i="34"/>
  <c r="U142" i="34"/>
  <c r="O206" i="32"/>
  <c r="U82" i="35"/>
  <c r="O83" i="35"/>
  <c r="R82" i="35"/>
  <c r="N328" i="34"/>
  <c r="Q327" i="34"/>
  <c r="T327" i="34"/>
  <c r="O357" i="34"/>
  <c r="U356" i="34"/>
  <c r="R356" i="34"/>
  <c r="U356" i="35"/>
  <c r="S22" i="32"/>
  <c r="P23" i="32"/>
  <c r="V22" i="32"/>
  <c r="V22" i="34"/>
  <c r="AD235" i="35"/>
  <c r="Y235" i="35"/>
  <c r="U81" i="34"/>
  <c r="R81" i="34"/>
  <c r="O82" i="34"/>
  <c r="P301" i="35"/>
  <c r="V175" i="34"/>
  <c r="S175" i="34"/>
  <c r="P176" i="34"/>
  <c r="O358" i="32"/>
  <c r="U357" i="32"/>
  <c r="T358" i="32"/>
  <c r="N359" i="32"/>
  <c r="V204" i="32"/>
  <c r="P205" i="32"/>
  <c r="V204" i="34"/>
  <c r="T22" i="32"/>
  <c r="Q22" i="32"/>
  <c r="N23" i="32"/>
  <c r="P363" i="35"/>
  <c r="T144" i="34"/>
  <c r="N145" i="34"/>
  <c r="T83" i="30"/>
  <c r="N84" i="30"/>
  <c r="U83" i="32"/>
  <c r="Y141" i="35"/>
  <c r="AD141" i="35"/>
  <c r="AG141" i="35" s="1"/>
  <c r="S82" i="34"/>
  <c r="P83" i="34"/>
  <c r="V82" i="34"/>
  <c r="S357" i="30"/>
  <c r="M358" i="30"/>
  <c r="T327" i="35"/>
  <c r="U154" i="32"/>
  <c r="O155" i="32"/>
  <c r="W51" i="35"/>
  <c r="AA51" i="35"/>
  <c r="U236" i="32"/>
  <c r="O237" i="32"/>
  <c r="S146" i="34"/>
  <c r="P147" i="34"/>
  <c r="V146" i="34"/>
  <c r="P114" i="35"/>
  <c r="V113" i="35"/>
  <c r="N269" i="35"/>
  <c r="T357" i="35"/>
  <c r="N358" i="35"/>
  <c r="AA141" i="35"/>
  <c r="P26" i="34"/>
  <c r="S25" i="34"/>
  <c r="T113" i="30"/>
  <c r="N114" i="30"/>
  <c r="U113" i="32"/>
  <c r="T237" i="32"/>
  <c r="N238" i="32"/>
  <c r="O207" i="35"/>
  <c r="R206" i="35"/>
  <c r="X206" i="36" s="1"/>
  <c r="N298" i="34"/>
  <c r="T297" i="34"/>
  <c r="T204" i="32"/>
  <c r="N205" i="32"/>
  <c r="U327" i="32"/>
  <c r="O328" i="32"/>
  <c r="U327" i="34"/>
  <c r="X81" i="35"/>
  <c r="W21" i="32"/>
  <c r="AA21" i="32"/>
  <c r="T266" i="32"/>
  <c r="N267" i="32"/>
  <c r="O331" i="34"/>
  <c r="R330" i="34"/>
  <c r="AD21" i="32"/>
  <c r="Y21" i="32"/>
  <c r="Y21" i="34"/>
  <c r="P154" i="32"/>
  <c r="V153" i="32"/>
  <c r="W82" i="34"/>
  <c r="S206" i="30"/>
  <c r="M207" i="30"/>
  <c r="P205" i="28"/>
  <c r="M206" i="28"/>
  <c r="T176" i="34"/>
  <c r="Q176" i="34"/>
  <c r="N177" i="34"/>
  <c r="T176" i="35"/>
  <c r="P329" i="32"/>
  <c r="Y81" i="35"/>
  <c r="AD81" i="35"/>
  <c r="AG81" i="35" s="1"/>
  <c r="N330" i="32"/>
  <c r="O87" i="32"/>
  <c r="AA179" i="35"/>
  <c r="T142" i="35"/>
  <c r="N143" i="35"/>
  <c r="Q142" i="35"/>
  <c r="T113" i="32"/>
  <c r="N114" i="32"/>
  <c r="R234" i="34"/>
  <c r="U234" i="34"/>
  <c r="O235" i="34"/>
  <c r="U234" i="35"/>
  <c r="U53" i="32"/>
  <c r="O54" i="32"/>
  <c r="U114" i="32"/>
  <c r="O115" i="32"/>
  <c r="R114" i="32"/>
  <c r="N116" i="35"/>
  <c r="P297" i="34"/>
  <c r="V296" i="34"/>
  <c r="V296" i="35"/>
  <c r="P298" i="32"/>
  <c r="V297" i="32"/>
  <c r="O176" i="30"/>
  <c r="U175" i="30"/>
  <c r="N181" i="35"/>
  <c r="Q180" i="35"/>
  <c r="W180" i="36" s="1"/>
  <c r="M23" i="30"/>
  <c r="P22" i="30"/>
  <c r="V22" i="30" s="1"/>
  <c r="S22" i="30"/>
  <c r="P236" i="34"/>
  <c r="V236" i="35" s="1"/>
  <c r="V235" i="34"/>
  <c r="S235" i="34"/>
  <c r="W234" i="35"/>
  <c r="AA234" i="35"/>
  <c r="O236" i="30"/>
  <c r="U235" i="30"/>
  <c r="W82" i="35"/>
  <c r="AA82" i="35"/>
  <c r="N236" i="34"/>
  <c r="Q235" i="34"/>
  <c r="T235" i="34"/>
  <c r="P55" i="35"/>
  <c r="S54" i="35"/>
  <c r="O62" i="28"/>
  <c r="R62" i="28" s="1"/>
  <c r="R61" i="28"/>
  <c r="AD52" i="34"/>
  <c r="AG52" i="34" s="1"/>
  <c r="V357" i="32"/>
  <c r="P358" i="32"/>
  <c r="AD267" i="34"/>
  <c r="U21" i="34"/>
  <c r="O22" i="34"/>
  <c r="R21" i="34"/>
  <c r="U21" i="35"/>
  <c r="Q205" i="35"/>
  <c r="W205" i="36" s="1"/>
  <c r="N206" i="35"/>
  <c r="S174" i="30"/>
  <c r="M175" i="30"/>
  <c r="T174" i="32"/>
  <c r="T54" i="34"/>
  <c r="N55" i="34"/>
  <c r="Q54" i="34"/>
  <c r="T83" i="35"/>
  <c r="N84" i="35"/>
  <c r="Q83" i="35"/>
  <c r="R236" i="35"/>
  <c r="O237" i="35"/>
  <c r="P328" i="34"/>
  <c r="V327" i="34"/>
  <c r="S327" i="34"/>
  <c r="AA22" i="35"/>
  <c r="AC22" i="35" s="1"/>
  <c r="U113" i="35"/>
  <c r="O114" i="35"/>
  <c r="X172" i="35"/>
  <c r="AD172" i="35"/>
  <c r="AG172" i="35" s="1"/>
  <c r="U142" i="35"/>
  <c r="V268" i="34"/>
  <c r="P269" i="34"/>
  <c r="S268" i="34"/>
  <c r="V268" i="35"/>
  <c r="O117" i="30"/>
  <c r="U116" i="30"/>
  <c r="P271" i="35"/>
  <c r="T357" i="30"/>
  <c r="N358" i="30"/>
  <c r="M239" i="30"/>
  <c r="S238" i="30"/>
  <c r="T266" i="30"/>
  <c r="N267" i="30"/>
  <c r="V235" i="35"/>
  <c r="U24" i="32"/>
  <c r="O25" i="32"/>
  <c r="R24" i="32"/>
  <c r="X24" i="32" s="1"/>
  <c r="Y205" i="35"/>
  <c r="N26" i="30"/>
  <c r="Q25" i="30"/>
  <c r="W25" i="30" s="1"/>
  <c r="T25" i="30"/>
  <c r="AA204" i="35"/>
  <c r="X51" i="35"/>
  <c r="AD51" i="35"/>
  <c r="AG51" i="35" s="1"/>
  <c r="N56" i="32"/>
  <c r="T22" i="34"/>
  <c r="N23" i="34"/>
  <c r="Q22" i="34"/>
  <c r="T235" i="35"/>
  <c r="N236" i="35"/>
  <c r="Q235" i="35"/>
  <c r="M115" i="30"/>
  <c r="S114" i="30"/>
  <c r="U53" i="34"/>
  <c r="R53" i="34"/>
  <c r="O54" i="34"/>
  <c r="U83" i="30"/>
  <c r="O84" i="30"/>
  <c r="R268" i="34"/>
  <c r="O269" i="34"/>
  <c r="U175" i="34"/>
  <c r="O176" i="34"/>
  <c r="R175" i="34"/>
  <c r="AA234" i="34"/>
  <c r="AC234" i="34" s="1"/>
  <c r="T54" i="30"/>
  <c r="N55" i="30"/>
  <c r="T203" i="30"/>
  <c r="N204" i="30"/>
  <c r="U203" i="32"/>
  <c r="S54" i="30"/>
  <c r="M55" i="30"/>
  <c r="U203" i="34"/>
  <c r="R203" i="34"/>
  <c r="O204" i="34"/>
  <c r="U203" i="35"/>
  <c r="Q54" i="28"/>
  <c r="N55" i="28"/>
  <c r="T144" i="30"/>
  <c r="U144" i="32"/>
  <c r="T83" i="34"/>
  <c r="N84" i="34"/>
  <c r="Q83" i="34"/>
  <c r="W175" i="35"/>
  <c r="AD326" i="34"/>
  <c r="AG326" i="34" s="1"/>
  <c r="V114" i="34"/>
  <c r="P115" i="34"/>
  <c r="AA82" i="32"/>
  <c r="X20" i="34"/>
  <c r="AD20" i="34"/>
  <c r="AG20" i="34" s="1"/>
  <c r="X20" i="35"/>
  <c r="V82" i="32"/>
  <c r="P83" i="32"/>
  <c r="O359" i="35"/>
  <c r="V82" i="35"/>
  <c r="S82" i="35"/>
  <c r="P83" i="35"/>
  <c r="S235" i="32"/>
  <c r="P236" i="32"/>
  <c r="V235" i="32"/>
  <c r="N176" i="30"/>
  <c r="T175" i="30"/>
  <c r="M83" i="30"/>
  <c r="S82" i="30"/>
  <c r="Y234" i="34"/>
  <c r="AD234" i="34"/>
  <c r="AG234" i="34" s="1"/>
  <c r="N154" i="32"/>
  <c r="T153" i="32"/>
  <c r="O298" i="30"/>
  <c r="U297" i="30"/>
  <c r="O359" i="30"/>
  <c r="U358" i="30"/>
  <c r="P176" i="35"/>
  <c r="V175" i="35"/>
  <c r="S175" i="35"/>
  <c r="Y175" i="36" s="1"/>
  <c r="V53" i="34"/>
  <c r="P54" i="34"/>
  <c r="S53" i="34"/>
  <c r="Y53" i="35" s="1"/>
  <c r="Q23" i="35"/>
  <c r="N24" i="35"/>
  <c r="T23" i="35"/>
  <c r="AD113" i="32"/>
  <c r="N267" i="34"/>
  <c r="T266" i="34"/>
  <c r="Q266" i="34"/>
  <c r="AG266" i="34" s="1"/>
  <c r="T266" i="35"/>
  <c r="O23" i="30"/>
  <c r="U22" i="30"/>
  <c r="R22" i="30"/>
  <c r="X22" i="30" s="1"/>
  <c r="T330" i="30"/>
  <c r="N331" i="30"/>
  <c r="O174" i="35"/>
  <c r="U173" i="35"/>
  <c r="R173" i="35"/>
  <c r="X173" i="36" s="1"/>
  <c r="W21" i="35"/>
  <c r="AD22" i="35"/>
  <c r="AG22" i="35" s="1"/>
  <c r="Y22" i="35"/>
  <c r="AC50" i="35"/>
  <c r="AI50" i="35"/>
  <c r="X80" i="35"/>
  <c r="N298" i="32"/>
  <c r="V358" i="34"/>
  <c r="P359" i="34"/>
  <c r="S358" i="34"/>
  <c r="V358" i="35"/>
  <c r="P207" i="34"/>
  <c r="S206" i="34"/>
  <c r="V206" i="35"/>
  <c r="U52" i="35"/>
  <c r="R52" i="35"/>
  <c r="O53" i="35"/>
  <c r="O298" i="32"/>
  <c r="U297" i="32"/>
  <c r="U175" i="32"/>
  <c r="U204" i="30"/>
  <c r="O205" i="30"/>
  <c r="AG234" i="35"/>
  <c r="S267" i="30"/>
  <c r="M268" i="30"/>
  <c r="O272" i="30"/>
  <c r="U271" i="30"/>
  <c r="R24" i="35"/>
  <c r="O25" i="35"/>
  <c r="W203" i="35"/>
  <c r="AD205" i="35"/>
  <c r="O296" i="34"/>
  <c r="U295" i="34"/>
  <c r="U265" i="32"/>
  <c r="O266" i="32"/>
  <c r="U265" i="34"/>
  <c r="S296" i="30"/>
  <c r="M297" i="30"/>
  <c r="T297" i="32" s="1"/>
  <c r="AD174" i="34"/>
  <c r="AG174" i="34" s="1"/>
  <c r="V175" i="32"/>
  <c r="Y174" i="35"/>
  <c r="U268" i="35"/>
  <c r="O269" i="35"/>
  <c r="P113" i="28"/>
  <c r="M114" i="28"/>
  <c r="P114" i="28" s="1"/>
  <c r="S328" i="30"/>
  <c r="M329" i="30"/>
  <c r="T329" i="32" s="1"/>
  <c r="O114" i="34"/>
  <c r="U113" i="34"/>
  <c r="N84" i="32"/>
  <c r="Q83" i="32"/>
  <c r="T83" i="32"/>
  <c r="P329" i="35"/>
  <c r="V328" i="35"/>
  <c r="O297" i="35"/>
  <c r="U296" i="35"/>
  <c r="P237" i="35"/>
  <c r="S236" i="35"/>
  <c r="P115" i="32"/>
  <c r="V114" i="32"/>
  <c r="S114" i="32"/>
  <c r="N115" i="34"/>
  <c r="Q114" i="34"/>
  <c r="T114" i="34"/>
  <c r="O55" i="30"/>
  <c r="V55" i="32" s="1"/>
  <c r="U54" i="30"/>
  <c r="T357" i="32"/>
  <c r="O144" i="35"/>
  <c r="R143" i="35"/>
  <c r="U143" i="35"/>
  <c r="P24" i="35"/>
  <c r="V23" i="35"/>
  <c r="S23" i="35"/>
  <c r="P143" i="35"/>
  <c r="S142" i="35"/>
  <c r="V142" i="35"/>
  <c r="AD81" i="34"/>
  <c r="AG81" i="34" s="1"/>
  <c r="V357" i="34"/>
  <c r="T358" i="34"/>
  <c r="N359" i="34"/>
  <c r="Q358" i="34"/>
  <c r="M154" i="28"/>
  <c r="P153" i="28"/>
  <c r="N299" i="35"/>
  <c r="T298" i="35"/>
  <c r="P268" i="32"/>
  <c r="V267" i="32"/>
  <c r="P210" i="35"/>
  <c r="S209" i="35"/>
  <c r="Y209" i="36" s="1"/>
  <c r="T328" i="35"/>
  <c r="N329" i="35"/>
  <c r="N237" i="30"/>
  <c r="T236" i="30"/>
  <c r="T52" i="35"/>
  <c r="Q52" i="35"/>
  <c r="N53" i="35"/>
  <c r="T297" i="30"/>
  <c r="N298" i="30"/>
  <c r="AH50" i="35"/>
  <c r="AG50" i="35"/>
  <c r="O328" i="30"/>
  <c r="V328" i="32" s="1"/>
  <c r="U327" i="30"/>
  <c r="Y234" i="35"/>
  <c r="U328" i="35"/>
  <c r="N205" i="34"/>
  <c r="T205" i="35" s="1"/>
  <c r="Q204" i="34"/>
  <c r="W204" i="35" s="1"/>
  <c r="T204" i="34"/>
  <c r="X202" i="35"/>
  <c r="AD202" i="34"/>
  <c r="AG202" i="34" s="1"/>
  <c r="AG235" i="35" l="1"/>
  <c r="R237" i="35"/>
  <c r="O238" i="35"/>
  <c r="N270" i="35"/>
  <c r="O145" i="35"/>
  <c r="R144" i="35"/>
  <c r="O298" i="35"/>
  <c r="V24" i="35"/>
  <c r="P25" i="35"/>
  <c r="S24" i="35"/>
  <c r="AA83" i="32"/>
  <c r="U296" i="34"/>
  <c r="O297" i="34"/>
  <c r="O273" i="30"/>
  <c r="U272" i="30"/>
  <c r="V176" i="35"/>
  <c r="P177" i="35"/>
  <c r="S176" i="35"/>
  <c r="Y176" i="36" s="1"/>
  <c r="V83" i="32"/>
  <c r="P84" i="32"/>
  <c r="P116" i="34"/>
  <c r="V115" i="34"/>
  <c r="AD203" i="34"/>
  <c r="AG203" i="34" s="1"/>
  <c r="X203" i="35"/>
  <c r="U176" i="34"/>
  <c r="O177" i="34"/>
  <c r="R176" i="34"/>
  <c r="AA22" i="34"/>
  <c r="W22" i="34"/>
  <c r="T358" i="30"/>
  <c r="N359" i="30"/>
  <c r="O118" i="30"/>
  <c r="U117" i="30"/>
  <c r="AA205" i="35"/>
  <c r="AC205" i="35" s="1"/>
  <c r="V297" i="34"/>
  <c r="P298" i="34"/>
  <c r="V297" i="35"/>
  <c r="U54" i="32"/>
  <c r="O55" i="32"/>
  <c r="O88" i="32"/>
  <c r="T177" i="34"/>
  <c r="Q177" i="34"/>
  <c r="N178" i="34"/>
  <c r="T177" i="35"/>
  <c r="M208" i="30"/>
  <c r="S207" i="30"/>
  <c r="AD206" i="35"/>
  <c r="Q23" i="32"/>
  <c r="T23" i="32"/>
  <c r="N24" i="32"/>
  <c r="U82" i="34"/>
  <c r="R82" i="34"/>
  <c r="O83" i="34"/>
  <c r="AD22" i="32"/>
  <c r="Y22" i="32"/>
  <c r="Y22" i="34"/>
  <c r="X82" i="35"/>
  <c r="V56" i="32"/>
  <c r="P57" i="32"/>
  <c r="U329" i="35"/>
  <c r="T298" i="30"/>
  <c r="N299" i="30"/>
  <c r="N330" i="35"/>
  <c r="N300" i="35"/>
  <c r="AA114" i="34"/>
  <c r="P238" i="35"/>
  <c r="S237" i="35"/>
  <c r="N85" i="32"/>
  <c r="Q84" i="32"/>
  <c r="AG205" i="35"/>
  <c r="P208" i="34"/>
  <c r="S207" i="34"/>
  <c r="V207" i="35"/>
  <c r="T298" i="32"/>
  <c r="N299" i="32"/>
  <c r="U23" i="30"/>
  <c r="R23" i="30"/>
  <c r="X23" i="30" s="1"/>
  <c r="O24" i="30"/>
  <c r="N25" i="35"/>
  <c r="Q24" i="35"/>
  <c r="P237" i="32"/>
  <c r="V236" i="32"/>
  <c r="S236" i="32"/>
  <c r="N24" i="34"/>
  <c r="T24" i="35" s="1"/>
  <c r="Q23" i="34"/>
  <c r="T23" i="34"/>
  <c r="O26" i="32"/>
  <c r="R25" i="32"/>
  <c r="X25" i="32" s="1"/>
  <c r="U25" i="32"/>
  <c r="O115" i="35"/>
  <c r="U114" i="35"/>
  <c r="T55" i="34"/>
  <c r="Q55" i="34"/>
  <c r="N56" i="34"/>
  <c r="Y235" i="34"/>
  <c r="N182" i="35"/>
  <c r="Q181" i="35"/>
  <c r="W181" i="36" s="1"/>
  <c r="W176" i="35"/>
  <c r="O208" i="35"/>
  <c r="R207" i="35"/>
  <c r="X207" i="36" s="1"/>
  <c r="O238" i="32"/>
  <c r="U237" i="32"/>
  <c r="M359" i="30"/>
  <c r="T359" i="32" s="1"/>
  <c r="S358" i="30"/>
  <c r="T84" i="30"/>
  <c r="N85" i="30"/>
  <c r="U84" i="32"/>
  <c r="W22" i="32"/>
  <c r="AA22" i="32"/>
  <c r="U83" i="35"/>
  <c r="O84" i="35"/>
  <c r="R83" i="35"/>
  <c r="O270" i="35"/>
  <c r="U269" i="35"/>
  <c r="M269" i="30"/>
  <c r="S268" i="30"/>
  <c r="X173" i="35"/>
  <c r="AD173" i="35"/>
  <c r="AG173" i="35" s="1"/>
  <c r="O360" i="30"/>
  <c r="U359" i="30"/>
  <c r="S55" i="30"/>
  <c r="M56" i="30"/>
  <c r="T53" i="35"/>
  <c r="Q53" i="35"/>
  <c r="N54" i="35"/>
  <c r="AD53" i="34"/>
  <c r="AG53" i="34" s="1"/>
  <c r="S269" i="34"/>
  <c r="P270" i="34"/>
  <c r="V269" i="35"/>
  <c r="V236" i="34"/>
  <c r="S236" i="34"/>
  <c r="P237" i="34"/>
  <c r="N239" i="32"/>
  <c r="T238" i="32"/>
  <c r="T145" i="34"/>
  <c r="N146" i="34"/>
  <c r="O207" i="32"/>
  <c r="P211" i="35"/>
  <c r="S210" i="35"/>
  <c r="Y210" i="36" s="1"/>
  <c r="O115" i="34"/>
  <c r="U114" i="34"/>
  <c r="O26" i="35"/>
  <c r="R25" i="35"/>
  <c r="V54" i="34"/>
  <c r="S54" i="34"/>
  <c r="P55" i="34"/>
  <c r="Y82" i="35"/>
  <c r="AD82" i="35"/>
  <c r="AG82" i="35" s="1"/>
  <c r="N56" i="28"/>
  <c r="Q55" i="28"/>
  <c r="T26" i="30"/>
  <c r="N27" i="30"/>
  <c r="Q26" i="30"/>
  <c r="W26" i="30" s="1"/>
  <c r="N268" i="30"/>
  <c r="T267" i="30"/>
  <c r="W22" i="35"/>
  <c r="M176" i="30"/>
  <c r="S175" i="30"/>
  <c r="T175" i="32"/>
  <c r="R235" i="34"/>
  <c r="U235" i="34"/>
  <c r="O236" i="34"/>
  <c r="U235" i="35"/>
  <c r="N268" i="32"/>
  <c r="T267" i="32"/>
  <c r="N206" i="32"/>
  <c r="T205" i="32"/>
  <c r="P115" i="35"/>
  <c r="V114" i="35"/>
  <c r="S83" i="34"/>
  <c r="P84" i="34"/>
  <c r="V83" i="34"/>
  <c r="P206" i="32"/>
  <c r="V205" i="32"/>
  <c r="V205" i="34"/>
  <c r="AD175" i="34"/>
  <c r="AG175" i="34" s="1"/>
  <c r="O358" i="34"/>
  <c r="U357" i="34"/>
  <c r="R357" i="34"/>
  <c r="U357" i="35"/>
  <c r="T359" i="34"/>
  <c r="N360" i="34"/>
  <c r="Q359" i="34"/>
  <c r="V143" i="35"/>
  <c r="P144" i="35"/>
  <c r="S143" i="35"/>
  <c r="P330" i="35"/>
  <c r="V329" i="35"/>
  <c r="S329" i="30"/>
  <c r="M330" i="30"/>
  <c r="U266" i="32"/>
  <c r="O267" i="32"/>
  <c r="U266" i="34"/>
  <c r="T331" i="30"/>
  <c r="N332" i="30"/>
  <c r="N268" i="34"/>
  <c r="T267" i="34"/>
  <c r="Q267" i="34"/>
  <c r="T267" i="35"/>
  <c r="S83" i="30"/>
  <c r="M84" i="30"/>
  <c r="T84" i="32" s="1"/>
  <c r="O85" i="30"/>
  <c r="U84" i="30"/>
  <c r="W235" i="35"/>
  <c r="AA235" i="35"/>
  <c r="T55" i="32"/>
  <c r="AD327" i="34"/>
  <c r="AG327" i="34" s="1"/>
  <c r="W83" i="35"/>
  <c r="AA83" i="35"/>
  <c r="V54" i="35"/>
  <c r="V298" i="32"/>
  <c r="P299" i="32"/>
  <c r="O116" i="32"/>
  <c r="R115" i="32"/>
  <c r="O156" i="32"/>
  <c r="U155" i="32"/>
  <c r="U298" i="32"/>
  <c r="O299" i="32"/>
  <c r="N56" i="30"/>
  <c r="T55" i="30"/>
  <c r="AD268" i="34"/>
  <c r="N117" i="35"/>
  <c r="N331" i="32"/>
  <c r="T330" i="32"/>
  <c r="P154" i="28"/>
  <c r="T154" i="28" s="1"/>
  <c r="M155" i="28"/>
  <c r="P155" i="28" s="1"/>
  <c r="R53" i="35"/>
  <c r="O54" i="35"/>
  <c r="U53" i="35"/>
  <c r="U22" i="34"/>
  <c r="O23" i="34"/>
  <c r="R22" i="34"/>
  <c r="U22" i="35"/>
  <c r="U176" i="30"/>
  <c r="O177" i="30"/>
  <c r="V176" i="32"/>
  <c r="P27" i="34"/>
  <c r="S26" i="34"/>
  <c r="V176" i="34"/>
  <c r="S176" i="34"/>
  <c r="P177" i="34"/>
  <c r="AD114" i="32"/>
  <c r="X52" i="35"/>
  <c r="AD52" i="35"/>
  <c r="AG52" i="35" s="1"/>
  <c r="U174" i="35"/>
  <c r="O175" i="35"/>
  <c r="R174" i="35"/>
  <c r="X174" i="36" s="1"/>
  <c r="N57" i="32"/>
  <c r="T56" i="32"/>
  <c r="P272" i="35"/>
  <c r="P155" i="32"/>
  <c r="V154" i="32"/>
  <c r="O329" i="30"/>
  <c r="U328" i="30"/>
  <c r="Y23" i="35"/>
  <c r="AD23" i="35"/>
  <c r="AG23" i="35" s="1"/>
  <c r="O56" i="30"/>
  <c r="U55" i="30"/>
  <c r="P116" i="32"/>
  <c r="S115" i="32"/>
  <c r="V115" i="32"/>
  <c r="O206" i="30"/>
  <c r="U205" i="30"/>
  <c r="Y175" i="35"/>
  <c r="N155" i="32"/>
  <c r="T154" i="32"/>
  <c r="W83" i="34"/>
  <c r="N205" i="30"/>
  <c r="T204" i="30"/>
  <c r="U204" i="32"/>
  <c r="T236" i="35"/>
  <c r="N237" i="35"/>
  <c r="Q236" i="35"/>
  <c r="T84" i="35"/>
  <c r="Q84" i="35"/>
  <c r="N85" i="35"/>
  <c r="AG267" i="34"/>
  <c r="Y54" i="35"/>
  <c r="U236" i="30"/>
  <c r="O237" i="30"/>
  <c r="P23" i="30"/>
  <c r="V23" i="30" s="1"/>
  <c r="S23" i="30"/>
  <c r="M24" i="30"/>
  <c r="X234" i="35"/>
  <c r="V329" i="32"/>
  <c r="P330" i="32"/>
  <c r="N115" i="30"/>
  <c r="T114" i="30"/>
  <c r="P364" i="35"/>
  <c r="N360" i="32"/>
  <c r="N116" i="34"/>
  <c r="Q115" i="34"/>
  <c r="T115" i="34"/>
  <c r="S297" i="30"/>
  <c r="M298" i="30"/>
  <c r="AA23" i="35"/>
  <c r="W23" i="35"/>
  <c r="R269" i="34"/>
  <c r="O270" i="34"/>
  <c r="X21" i="34"/>
  <c r="AD21" i="34"/>
  <c r="AG21" i="34" s="1"/>
  <c r="X21" i="35"/>
  <c r="N237" i="34"/>
  <c r="Q236" i="34"/>
  <c r="T236" i="34"/>
  <c r="AA142" i="35"/>
  <c r="AC142" i="35" s="1"/>
  <c r="U328" i="32"/>
  <c r="O329" i="32"/>
  <c r="U328" i="34"/>
  <c r="O359" i="32"/>
  <c r="U358" i="32"/>
  <c r="AD356" i="34"/>
  <c r="AG356" i="34" s="1"/>
  <c r="S83" i="35"/>
  <c r="V83" i="35"/>
  <c r="P84" i="35"/>
  <c r="T115" i="35"/>
  <c r="T143" i="35"/>
  <c r="N144" i="35"/>
  <c r="Q143" i="35"/>
  <c r="P206" i="28"/>
  <c r="T206" i="28" s="1"/>
  <c r="V206" i="28" s="1"/>
  <c r="M207" i="28"/>
  <c r="O332" i="34"/>
  <c r="R331" i="34"/>
  <c r="AA52" i="35"/>
  <c r="W52" i="35"/>
  <c r="AD142" i="35"/>
  <c r="AG142" i="35" s="1"/>
  <c r="Y142" i="35"/>
  <c r="O299" i="30"/>
  <c r="U298" i="30"/>
  <c r="M116" i="30"/>
  <c r="S115" i="30"/>
  <c r="T205" i="34"/>
  <c r="N206" i="34"/>
  <c r="Q205" i="34"/>
  <c r="T237" i="30"/>
  <c r="N238" i="30"/>
  <c r="P269" i="32"/>
  <c r="V268" i="32"/>
  <c r="AD236" i="35"/>
  <c r="Y236" i="35"/>
  <c r="Y206" i="35"/>
  <c r="P360" i="34"/>
  <c r="S359" i="34"/>
  <c r="V359" i="35"/>
  <c r="T176" i="30"/>
  <c r="N177" i="30"/>
  <c r="U176" i="32"/>
  <c r="O360" i="35"/>
  <c r="T84" i="34"/>
  <c r="Q84" i="34"/>
  <c r="W84" i="34" s="1"/>
  <c r="N85" i="34"/>
  <c r="R204" i="34"/>
  <c r="O205" i="34"/>
  <c r="U204" i="34"/>
  <c r="U204" i="35"/>
  <c r="U54" i="34"/>
  <c r="R54" i="34"/>
  <c r="O55" i="34"/>
  <c r="M240" i="30"/>
  <c r="S239" i="30"/>
  <c r="V328" i="34"/>
  <c r="P329" i="34"/>
  <c r="S328" i="34"/>
  <c r="N207" i="35"/>
  <c r="T206" i="35"/>
  <c r="Q206" i="35"/>
  <c r="W206" i="36" s="1"/>
  <c r="V358" i="32"/>
  <c r="P359" i="32"/>
  <c r="S55" i="35"/>
  <c r="P56" i="35"/>
  <c r="V55" i="35"/>
  <c r="AA180" i="35"/>
  <c r="T114" i="32"/>
  <c r="N115" i="32"/>
  <c r="N299" i="34"/>
  <c r="T298" i="34"/>
  <c r="N359" i="35"/>
  <c r="T358" i="35"/>
  <c r="S147" i="34"/>
  <c r="P148" i="34"/>
  <c r="V147" i="34"/>
  <c r="P302" i="35"/>
  <c r="S23" i="32"/>
  <c r="P24" i="32"/>
  <c r="V23" i="32"/>
  <c r="V23" i="34"/>
  <c r="N329" i="34"/>
  <c r="Q328" i="34"/>
  <c r="T328" i="34"/>
  <c r="U143" i="34"/>
  <c r="O144" i="34"/>
  <c r="N117" i="34" l="1"/>
  <c r="Q116" i="34"/>
  <c r="N207" i="32"/>
  <c r="T206" i="32"/>
  <c r="T54" i="35"/>
  <c r="Q54" i="35"/>
  <c r="N55" i="35"/>
  <c r="N86" i="32"/>
  <c r="Q85" i="32"/>
  <c r="T24" i="32"/>
  <c r="Q24" i="32"/>
  <c r="N25" i="32"/>
  <c r="N271" i="35"/>
  <c r="T329" i="34"/>
  <c r="N330" i="34"/>
  <c r="Q329" i="34"/>
  <c r="AA206" i="35"/>
  <c r="W206" i="35"/>
  <c r="T237" i="35"/>
  <c r="N238" i="35"/>
  <c r="Q237" i="35"/>
  <c r="T56" i="30"/>
  <c r="N57" i="30"/>
  <c r="N300" i="34"/>
  <c r="T299" i="34"/>
  <c r="AA205" i="34"/>
  <c r="W84" i="35"/>
  <c r="AA84" i="35"/>
  <c r="V155" i="32"/>
  <c r="P156" i="32"/>
  <c r="O176" i="35"/>
  <c r="U175" i="35"/>
  <c r="R175" i="35"/>
  <c r="X175" i="36" s="1"/>
  <c r="AD176" i="34"/>
  <c r="AG176" i="34" s="1"/>
  <c r="T268" i="34"/>
  <c r="Q268" i="34"/>
  <c r="N269" i="34"/>
  <c r="T268" i="35"/>
  <c r="S330" i="30"/>
  <c r="M331" i="30"/>
  <c r="T360" i="34"/>
  <c r="N361" i="34"/>
  <c r="Q360" i="34"/>
  <c r="X235" i="35"/>
  <c r="T27" i="30"/>
  <c r="Q27" i="30"/>
  <c r="W27" i="30" s="1"/>
  <c r="N28" i="30"/>
  <c r="P212" i="35"/>
  <c r="S211" i="35"/>
  <c r="Y211" i="36" s="1"/>
  <c r="N240" i="32"/>
  <c r="T239" i="32"/>
  <c r="T85" i="30"/>
  <c r="N86" i="30"/>
  <c r="U85" i="32"/>
  <c r="AD207" i="35"/>
  <c r="N301" i="35"/>
  <c r="T300" i="35"/>
  <c r="P26" i="35"/>
  <c r="S25" i="35"/>
  <c r="V25" i="35"/>
  <c r="P303" i="35"/>
  <c r="T115" i="32"/>
  <c r="N116" i="32"/>
  <c r="P360" i="32"/>
  <c r="V359" i="32"/>
  <c r="U205" i="34"/>
  <c r="O206" i="34"/>
  <c r="R205" i="34"/>
  <c r="U205" i="35"/>
  <c r="T177" i="30"/>
  <c r="N178" i="30"/>
  <c r="U177" i="32"/>
  <c r="Q206" i="34"/>
  <c r="T206" i="34"/>
  <c r="N207" i="34"/>
  <c r="AA143" i="35"/>
  <c r="Y83" i="35"/>
  <c r="AD83" i="35"/>
  <c r="AG83" i="35" s="1"/>
  <c r="R270" i="34"/>
  <c r="O271" i="34"/>
  <c r="AA115" i="34"/>
  <c r="AC115" i="34" s="1"/>
  <c r="X22" i="34"/>
  <c r="AD22" i="34"/>
  <c r="AG22" i="34" s="1"/>
  <c r="X22" i="35"/>
  <c r="U156" i="32"/>
  <c r="U379" i="32" s="1"/>
  <c r="U156" i="34"/>
  <c r="O379" i="32"/>
  <c r="U85" i="30"/>
  <c r="O86" i="30"/>
  <c r="T332" i="30"/>
  <c r="N333" i="30"/>
  <c r="P238" i="34"/>
  <c r="S237" i="34"/>
  <c r="V237" i="34"/>
  <c r="U360" i="30"/>
  <c r="O361" i="30"/>
  <c r="X83" i="35"/>
  <c r="O209" i="35"/>
  <c r="R208" i="35"/>
  <c r="X208" i="36" s="1"/>
  <c r="AD235" i="34"/>
  <c r="AG235" i="34" s="1"/>
  <c r="U115" i="35"/>
  <c r="O116" i="35"/>
  <c r="N300" i="32"/>
  <c r="T299" i="32"/>
  <c r="AA84" i="32"/>
  <c r="AC84" i="32" s="1"/>
  <c r="T299" i="35"/>
  <c r="P58" i="32"/>
  <c r="O89" i="32"/>
  <c r="W205" i="35"/>
  <c r="U237" i="30"/>
  <c r="O238" i="30"/>
  <c r="O24" i="34"/>
  <c r="R23" i="34"/>
  <c r="U23" i="34"/>
  <c r="U23" i="35"/>
  <c r="Y236" i="34"/>
  <c r="AD236" i="34"/>
  <c r="AG236" i="34" s="1"/>
  <c r="R84" i="35"/>
  <c r="O85" i="35"/>
  <c r="N331" i="35"/>
  <c r="T330" i="35"/>
  <c r="O56" i="32"/>
  <c r="U55" i="32"/>
  <c r="O299" i="35"/>
  <c r="S148" i="34"/>
  <c r="P149" i="34"/>
  <c r="V148" i="34"/>
  <c r="U55" i="34"/>
  <c r="R55" i="34"/>
  <c r="O56" i="34"/>
  <c r="P331" i="32"/>
  <c r="T155" i="32"/>
  <c r="N156" i="32"/>
  <c r="P273" i="35"/>
  <c r="P331" i="35"/>
  <c r="N57" i="28"/>
  <c r="Q56" i="28"/>
  <c r="AA24" i="35"/>
  <c r="T329" i="35"/>
  <c r="M209" i="30"/>
  <c r="S208" i="30"/>
  <c r="U297" i="34"/>
  <c r="O298" i="34"/>
  <c r="N269" i="32"/>
  <c r="T268" i="32"/>
  <c r="T56" i="34"/>
  <c r="Q56" i="34"/>
  <c r="N57" i="34"/>
  <c r="T25" i="35"/>
  <c r="N26" i="35"/>
  <c r="Q25" i="35"/>
  <c r="P239" i="35"/>
  <c r="S238" i="35"/>
  <c r="R177" i="34"/>
  <c r="U177" i="34"/>
  <c r="O178" i="34"/>
  <c r="V84" i="32"/>
  <c r="P85" i="32"/>
  <c r="T207" i="35"/>
  <c r="N208" i="35"/>
  <c r="Q207" i="35"/>
  <c r="W207" i="36" s="1"/>
  <c r="V359" i="34"/>
  <c r="P270" i="32"/>
  <c r="V269" i="32"/>
  <c r="S116" i="30"/>
  <c r="M117" i="30"/>
  <c r="O333" i="34"/>
  <c r="R332" i="34"/>
  <c r="U359" i="32"/>
  <c r="O360" i="32"/>
  <c r="T237" i="34"/>
  <c r="N238" i="34"/>
  <c r="Q237" i="34"/>
  <c r="P117" i="32"/>
  <c r="V116" i="32"/>
  <c r="S116" i="32"/>
  <c r="T116" i="35"/>
  <c r="U116" i="32"/>
  <c r="R116" i="32"/>
  <c r="O117" i="32"/>
  <c r="P145" i="35"/>
  <c r="S144" i="35"/>
  <c r="V144" i="35"/>
  <c r="O359" i="34"/>
  <c r="U358" i="34"/>
  <c r="R358" i="34"/>
  <c r="U358" i="35"/>
  <c r="AD83" i="34"/>
  <c r="AG83" i="34" s="1"/>
  <c r="U115" i="34"/>
  <c r="O116" i="34"/>
  <c r="T146" i="34"/>
  <c r="N147" i="34"/>
  <c r="V269" i="34"/>
  <c r="S56" i="30"/>
  <c r="M57" i="30"/>
  <c r="S269" i="30"/>
  <c r="M270" i="30"/>
  <c r="U238" i="32"/>
  <c r="O239" i="32"/>
  <c r="V237" i="35"/>
  <c r="T178" i="34"/>
  <c r="Q178" i="34"/>
  <c r="N179" i="34"/>
  <c r="T178" i="35"/>
  <c r="U118" i="30"/>
  <c r="O119" i="30"/>
  <c r="O146" i="35"/>
  <c r="R145" i="35"/>
  <c r="AD204" i="34"/>
  <c r="AG204" i="34" s="1"/>
  <c r="X204" i="35"/>
  <c r="T115" i="30"/>
  <c r="N116" i="30"/>
  <c r="V206" i="32"/>
  <c r="P207" i="32"/>
  <c r="V206" i="34"/>
  <c r="R26" i="35"/>
  <c r="O27" i="35"/>
  <c r="S237" i="32"/>
  <c r="V237" i="32"/>
  <c r="P238" i="32"/>
  <c r="V116" i="34"/>
  <c r="P117" i="34"/>
  <c r="N86" i="34"/>
  <c r="Q85" i="34"/>
  <c r="W85" i="34" s="1"/>
  <c r="T85" i="34"/>
  <c r="O208" i="32"/>
  <c r="U297" i="35"/>
  <c r="N361" i="32"/>
  <c r="U329" i="30"/>
  <c r="O330" i="30"/>
  <c r="P28" i="34"/>
  <c r="S27" i="34"/>
  <c r="O300" i="32"/>
  <c r="U299" i="32"/>
  <c r="S84" i="34"/>
  <c r="V84" i="34"/>
  <c r="P85" i="34"/>
  <c r="O27" i="32"/>
  <c r="U26" i="32"/>
  <c r="R26" i="32"/>
  <c r="X26" i="32" s="1"/>
  <c r="Y207" i="35"/>
  <c r="T299" i="30"/>
  <c r="N300" i="30"/>
  <c r="AA23" i="32"/>
  <c r="AC23" i="32" s="1"/>
  <c r="W23" i="32"/>
  <c r="U144" i="34"/>
  <c r="O145" i="34"/>
  <c r="V24" i="32"/>
  <c r="P25" i="32"/>
  <c r="S24" i="32"/>
  <c r="V24" i="34"/>
  <c r="T359" i="35"/>
  <c r="N360" i="35"/>
  <c r="AD328" i="34"/>
  <c r="AG328" i="34" s="1"/>
  <c r="O361" i="35"/>
  <c r="P361" i="34"/>
  <c r="V360" i="34"/>
  <c r="S360" i="34"/>
  <c r="V360" i="35"/>
  <c r="T238" i="30"/>
  <c r="N239" i="30"/>
  <c r="S298" i="30"/>
  <c r="M299" i="30"/>
  <c r="T57" i="32"/>
  <c r="N58" i="32"/>
  <c r="U177" i="30"/>
  <c r="O178" i="30"/>
  <c r="V177" i="32"/>
  <c r="R54" i="35"/>
  <c r="O55" i="35"/>
  <c r="U54" i="35"/>
  <c r="T117" i="35"/>
  <c r="N118" i="35"/>
  <c r="AD82" i="34"/>
  <c r="AG82" i="34" s="1"/>
  <c r="P300" i="32"/>
  <c r="V299" i="32"/>
  <c r="U267" i="32"/>
  <c r="O268" i="32"/>
  <c r="U267" i="34"/>
  <c r="R236" i="34"/>
  <c r="U236" i="34"/>
  <c r="O237" i="34"/>
  <c r="U236" i="35"/>
  <c r="N269" i="30"/>
  <c r="T268" i="30"/>
  <c r="P56" i="34"/>
  <c r="V56" i="35" s="1"/>
  <c r="S55" i="34"/>
  <c r="V55" i="34"/>
  <c r="V270" i="34"/>
  <c r="S270" i="34"/>
  <c r="P271" i="34"/>
  <c r="V270" i="35"/>
  <c r="AA181" i="35"/>
  <c r="AA23" i="34"/>
  <c r="AC23" i="34" s="1"/>
  <c r="W23" i="34"/>
  <c r="U24" i="30"/>
  <c r="O25" i="30"/>
  <c r="R24" i="30"/>
  <c r="X24" i="30" s="1"/>
  <c r="P209" i="34"/>
  <c r="S208" i="34"/>
  <c r="V208" i="35"/>
  <c r="U330" i="35"/>
  <c r="AA177" i="34"/>
  <c r="W177" i="35"/>
  <c r="V298" i="34"/>
  <c r="P299" i="34"/>
  <c r="V298" i="35"/>
  <c r="N360" i="30"/>
  <c r="T359" i="30"/>
  <c r="Y176" i="35"/>
  <c r="U144" i="35"/>
  <c r="M241" i="30"/>
  <c r="S240" i="30"/>
  <c r="T144" i="35"/>
  <c r="N145" i="35"/>
  <c r="Q144" i="35"/>
  <c r="W236" i="35"/>
  <c r="AA236" i="35"/>
  <c r="U206" i="30"/>
  <c r="O207" i="30"/>
  <c r="O274" i="30"/>
  <c r="U273" i="30"/>
  <c r="AG236" i="35"/>
  <c r="T331" i="32"/>
  <c r="N332" i="32"/>
  <c r="U115" i="32"/>
  <c r="M85" i="30"/>
  <c r="S84" i="30"/>
  <c r="AD357" i="34"/>
  <c r="AG357" i="34" s="1"/>
  <c r="M177" i="30"/>
  <c r="S176" i="30"/>
  <c r="T176" i="32"/>
  <c r="AA53" i="35"/>
  <c r="W53" i="35"/>
  <c r="M360" i="30"/>
  <c r="S359" i="30"/>
  <c r="AD237" i="35"/>
  <c r="Y237" i="35"/>
  <c r="R238" i="35"/>
  <c r="O239" i="35"/>
  <c r="AD115" i="32"/>
  <c r="AD143" i="35"/>
  <c r="AG143" i="35" s="1"/>
  <c r="Y143" i="35"/>
  <c r="AD23" i="32"/>
  <c r="Y23" i="32"/>
  <c r="Y23" i="34"/>
  <c r="P57" i="35"/>
  <c r="S56" i="35"/>
  <c r="V329" i="34"/>
  <c r="P330" i="34"/>
  <c r="S329" i="34"/>
  <c r="U299" i="30"/>
  <c r="O300" i="30"/>
  <c r="P207" i="28"/>
  <c r="M208" i="28"/>
  <c r="V84" i="35"/>
  <c r="P85" i="35"/>
  <c r="S84" i="35"/>
  <c r="U329" i="32"/>
  <c r="O330" i="32"/>
  <c r="U329" i="34"/>
  <c r="P365" i="35"/>
  <c r="S24" i="30"/>
  <c r="P24" i="30"/>
  <c r="M25" i="30"/>
  <c r="T85" i="35"/>
  <c r="N86" i="35"/>
  <c r="Q85" i="35"/>
  <c r="N206" i="30"/>
  <c r="T205" i="30"/>
  <c r="U205" i="32"/>
  <c r="U56" i="30"/>
  <c r="O57" i="30"/>
  <c r="X174" i="35"/>
  <c r="AD174" i="35"/>
  <c r="AG174" i="35" s="1"/>
  <c r="P178" i="34"/>
  <c r="V177" i="34"/>
  <c r="S177" i="34"/>
  <c r="X53" i="35"/>
  <c r="AD53" i="35"/>
  <c r="AG53" i="35" s="1"/>
  <c r="AA359" i="34"/>
  <c r="P116" i="35"/>
  <c r="V115" i="35"/>
  <c r="AD54" i="34"/>
  <c r="AG54" i="34" s="1"/>
  <c r="AD269" i="34"/>
  <c r="U270" i="35"/>
  <c r="O271" i="35"/>
  <c r="N183" i="35"/>
  <c r="Q182" i="35"/>
  <c r="W182" i="36" s="1"/>
  <c r="T24" i="34"/>
  <c r="N25" i="34"/>
  <c r="Q24" i="34"/>
  <c r="W24" i="34" s="1"/>
  <c r="U83" i="34"/>
  <c r="R83" i="34"/>
  <c r="O84" i="34"/>
  <c r="AG206" i="35"/>
  <c r="V177" i="35"/>
  <c r="P178" i="35"/>
  <c r="S177" i="35"/>
  <c r="Y177" i="36" s="1"/>
  <c r="AD24" i="35"/>
  <c r="AG24" i="35" s="1"/>
  <c r="Y24" i="35"/>
  <c r="AG207" i="35" l="1"/>
  <c r="AD329" i="34"/>
  <c r="AG329" i="34" s="1"/>
  <c r="M242" i="30"/>
  <c r="S241" i="30"/>
  <c r="T147" i="34"/>
  <c r="N148" i="34"/>
  <c r="T333" i="30"/>
  <c r="N334" i="30"/>
  <c r="AA182" i="35"/>
  <c r="P25" i="30"/>
  <c r="V25" i="30" s="1"/>
  <c r="S25" i="30"/>
  <c r="M26" i="30"/>
  <c r="P331" i="34"/>
  <c r="V330" i="34"/>
  <c r="S330" i="34"/>
  <c r="U268" i="32"/>
  <c r="O269" i="32"/>
  <c r="U268" i="34"/>
  <c r="V116" i="35"/>
  <c r="P117" i="35"/>
  <c r="AA85" i="35"/>
  <c r="W85" i="35"/>
  <c r="O301" i="30"/>
  <c r="U300" i="30"/>
  <c r="M361" i="30"/>
  <c r="T361" i="32" s="1"/>
  <c r="S360" i="30"/>
  <c r="T360" i="30"/>
  <c r="N361" i="30"/>
  <c r="O179" i="30"/>
  <c r="U178" i="30"/>
  <c r="V178" i="32"/>
  <c r="O146" i="34"/>
  <c r="U145" i="34"/>
  <c r="N362" i="32"/>
  <c r="O120" i="30"/>
  <c r="U119" i="30"/>
  <c r="U117" i="32"/>
  <c r="R117" i="32"/>
  <c r="O118" i="32"/>
  <c r="S117" i="30"/>
  <c r="M118" i="30"/>
  <c r="P240" i="35"/>
  <c r="V239" i="35"/>
  <c r="S239" i="35"/>
  <c r="N270" i="32"/>
  <c r="T269" i="32"/>
  <c r="S209" i="30"/>
  <c r="M210" i="30"/>
  <c r="P274" i="35"/>
  <c r="AD208" i="35"/>
  <c r="P239" i="34"/>
  <c r="S238" i="34"/>
  <c r="V238" i="34"/>
  <c r="AA206" i="34"/>
  <c r="AC206" i="34" s="1"/>
  <c r="AD25" i="35"/>
  <c r="AG25" i="35" s="1"/>
  <c r="Y25" i="35"/>
  <c r="AA237" i="35"/>
  <c r="W237" i="35"/>
  <c r="N272" i="35"/>
  <c r="Q55" i="35"/>
  <c r="N56" i="35"/>
  <c r="T55" i="35"/>
  <c r="Y177" i="35"/>
  <c r="N26" i="34"/>
  <c r="Q25" i="34"/>
  <c r="T25" i="34"/>
  <c r="T86" i="35"/>
  <c r="N87" i="35"/>
  <c r="Q86" i="35"/>
  <c r="U330" i="32"/>
  <c r="O331" i="32"/>
  <c r="U330" i="34"/>
  <c r="M86" i="30"/>
  <c r="T86" i="32" s="1"/>
  <c r="S85" i="30"/>
  <c r="U331" i="35"/>
  <c r="O332" i="35"/>
  <c r="X236" i="35"/>
  <c r="N119" i="35"/>
  <c r="T118" i="35"/>
  <c r="T360" i="35"/>
  <c r="N361" i="35"/>
  <c r="U300" i="32"/>
  <c r="O301" i="32"/>
  <c r="N87" i="34"/>
  <c r="Q86" i="34"/>
  <c r="T86" i="34"/>
  <c r="O28" i="35"/>
  <c r="R27" i="35"/>
  <c r="U239" i="32"/>
  <c r="O240" i="32"/>
  <c r="N239" i="34"/>
  <c r="Q238" i="34"/>
  <c r="T238" i="34"/>
  <c r="V85" i="32"/>
  <c r="P86" i="32"/>
  <c r="AA25" i="35"/>
  <c r="U56" i="32"/>
  <c r="O57" i="32"/>
  <c r="R209" i="35"/>
  <c r="X209" i="36" s="1"/>
  <c r="O210" i="35"/>
  <c r="V360" i="32"/>
  <c r="P361" i="32"/>
  <c r="S26" i="35"/>
  <c r="P27" i="35"/>
  <c r="V26" i="35"/>
  <c r="N302" i="35"/>
  <c r="Q269" i="34"/>
  <c r="AG269" i="34" s="1"/>
  <c r="T269" i="34"/>
  <c r="N270" i="34"/>
  <c r="T269" i="35"/>
  <c r="O177" i="35"/>
  <c r="U176" i="35"/>
  <c r="R176" i="35"/>
  <c r="X176" i="36" s="1"/>
  <c r="T238" i="35"/>
  <c r="N239" i="35"/>
  <c r="Q238" i="35"/>
  <c r="AA54" i="35"/>
  <c r="W54" i="35"/>
  <c r="O58" i="30"/>
  <c r="V58" i="32" s="1"/>
  <c r="U57" i="30"/>
  <c r="O240" i="35"/>
  <c r="R239" i="35"/>
  <c r="U207" i="30"/>
  <c r="O208" i="30"/>
  <c r="P300" i="34"/>
  <c r="V299" i="34"/>
  <c r="V299" i="35"/>
  <c r="AA268" i="34"/>
  <c r="N26" i="32"/>
  <c r="T25" i="32"/>
  <c r="Q25" i="32"/>
  <c r="Y84" i="35"/>
  <c r="AD84" i="35"/>
  <c r="AG84" i="35" s="1"/>
  <c r="N59" i="32"/>
  <c r="P118" i="34"/>
  <c r="V117" i="34"/>
  <c r="N332" i="35"/>
  <c r="N301" i="32"/>
  <c r="V156" i="32"/>
  <c r="V379" i="32" s="1"/>
  <c r="V156" i="34"/>
  <c r="P379" i="32"/>
  <c r="S85" i="35"/>
  <c r="V85" i="35"/>
  <c r="P86" i="35"/>
  <c r="P362" i="34"/>
  <c r="V361" i="34"/>
  <c r="S361" i="34"/>
  <c r="V361" i="35"/>
  <c r="AD24" i="32"/>
  <c r="AG24" i="32" s="1"/>
  <c r="Y24" i="32"/>
  <c r="Y24" i="34"/>
  <c r="O28" i="32"/>
  <c r="R27" i="32"/>
  <c r="X27" i="32" s="1"/>
  <c r="U27" i="32"/>
  <c r="U359" i="34"/>
  <c r="O360" i="34"/>
  <c r="R359" i="34"/>
  <c r="U359" i="35"/>
  <c r="N58" i="34"/>
  <c r="Q57" i="34"/>
  <c r="T57" i="34"/>
  <c r="O25" i="34"/>
  <c r="R24" i="34"/>
  <c r="U24" i="34"/>
  <c r="U24" i="35"/>
  <c r="O117" i="35"/>
  <c r="U116" i="35"/>
  <c r="O87" i="30"/>
  <c r="U86" i="30"/>
  <c r="T361" i="34"/>
  <c r="N362" i="34"/>
  <c r="Q361" i="34"/>
  <c r="N301" i="34"/>
  <c r="T301" i="35" s="1"/>
  <c r="T300" i="34"/>
  <c r="T207" i="32"/>
  <c r="N208" i="32"/>
  <c r="R84" i="34"/>
  <c r="U84" i="34"/>
  <c r="O85" i="34"/>
  <c r="U85" i="35" s="1"/>
  <c r="N184" i="35"/>
  <c r="Q183" i="35"/>
  <c r="W183" i="36" s="1"/>
  <c r="AD177" i="34"/>
  <c r="AG177" i="34" s="1"/>
  <c r="M178" i="30"/>
  <c r="S177" i="30"/>
  <c r="T177" i="32"/>
  <c r="T269" i="30"/>
  <c r="N270" i="30"/>
  <c r="O56" i="35"/>
  <c r="U55" i="35"/>
  <c r="R55" i="35"/>
  <c r="M300" i="30"/>
  <c r="S299" i="30"/>
  <c r="S25" i="32"/>
  <c r="V25" i="32"/>
  <c r="P26" i="32"/>
  <c r="V25" i="34"/>
  <c r="T300" i="30"/>
  <c r="N301" i="30"/>
  <c r="P86" i="34"/>
  <c r="S85" i="34"/>
  <c r="V85" i="34"/>
  <c r="O331" i="30"/>
  <c r="U330" i="30"/>
  <c r="S238" i="32"/>
  <c r="P239" i="32"/>
  <c r="V238" i="32"/>
  <c r="U145" i="35"/>
  <c r="AA178" i="34"/>
  <c r="AC178" i="34" s="1"/>
  <c r="W178" i="35"/>
  <c r="M58" i="30"/>
  <c r="S57" i="30"/>
  <c r="AD116" i="32"/>
  <c r="O299" i="34"/>
  <c r="U298" i="34"/>
  <c r="N58" i="28"/>
  <c r="Q57" i="28"/>
  <c r="V330" i="32"/>
  <c r="U298" i="35"/>
  <c r="X84" i="35"/>
  <c r="O239" i="30"/>
  <c r="U238" i="30"/>
  <c r="V57" i="32"/>
  <c r="AD205" i="34"/>
  <c r="AG205" i="34" s="1"/>
  <c r="X205" i="35"/>
  <c r="P304" i="35"/>
  <c r="T85" i="32"/>
  <c r="P179" i="35"/>
  <c r="S178" i="35"/>
  <c r="Y178" i="36" s="1"/>
  <c r="V178" i="35"/>
  <c r="AD55" i="34"/>
  <c r="AG55" i="34" s="1"/>
  <c r="Q26" i="35"/>
  <c r="N27" i="35"/>
  <c r="T26" i="35"/>
  <c r="T156" i="32"/>
  <c r="T379" i="32" s="1"/>
  <c r="T156" i="34"/>
  <c r="N379" i="32"/>
  <c r="T178" i="30"/>
  <c r="N179" i="30"/>
  <c r="U178" i="32"/>
  <c r="Y55" i="35"/>
  <c r="N333" i="32"/>
  <c r="Y208" i="35"/>
  <c r="P29" i="34"/>
  <c r="S28" i="34"/>
  <c r="O361" i="32"/>
  <c r="U360" i="32"/>
  <c r="X23" i="34"/>
  <c r="AD23" i="34"/>
  <c r="AG23" i="34" s="1"/>
  <c r="X23" i="35"/>
  <c r="W24" i="32"/>
  <c r="AA24" i="32"/>
  <c r="AC24" i="32" s="1"/>
  <c r="V207" i="32"/>
  <c r="P208" i="32"/>
  <c r="V207" i="34"/>
  <c r="N180" i="34"/>
  <c r="T179" i="34"/>
  <c r="Q179" i="34"/>
  <c r="T179" i="35"/>
  <c r="O117" i="34"/>
  <c r="U116" i="34"/>
  <c r="P271" i="32"/>
  <c r="V270" i="32"/>
  <c r="O86" i="35"/>
  <c r="R85" i="35"/>
  <c r="P59" i="32"/>
  <c r="O362" i="30"/>
  <c r="U361" i="30"/>
  <c r="P213" i="35"/>
  <c r="S212" i="35"/>
  <c r="Y212" i="36" s="1"/>
  <c r="AG268" i="34"/>
  <c r="U271" i="35"/>
  <c r="O272" i="35"/>
  <c r="P366" i="35"/>
  <c r="P208" i="28"/>
  <c r="M209" i="28"/>
  <c r="AG237" i="35"/>
  <c r="AA144" i="35"/>
  <c r="P272" i="34"/>
  <c r="S271" i="34"/>
  <c r="V271" i="35"/>
  <c r="X54" i="35"/>
  <c r="AD54" i="35"/>
  <c r="AG54" i="35" s="1"/>
  <c r="O362" i="35"/>
  <c r="N117" i="30"/>
  <c r="T116" i="30"/>
  <c r="AD144" i="35"/>
  <c r="AG144" i="35" s="1"/>
  <c r="Y144" i="35"/>
  <c r="W207" i="35"/>
  <c r="AA207" i="35"/>
  <c r="AD238" i="35"/>
  <c r="Y238" i="35"/>
  <c r="P332" i="35"/>
  <c r="V331" i="32"/>
  <c r="P332" i="32"/>
  <c r="U299" i="35"/>
  <c r="O300" i="35"/>
  <c r="U84" i="35"/>
  <c r="T207" i="34"/>
  <c r="N208" i="34"/>
  <c r="Q207" i="34"/>
  <c r="U206" i="34"/>
  <c r="R206" i="34"/>
  <c r="O207" i="34"/>
  <c r="U206" i="35"/>
  <c r="N29" i="30"/>
  <c r="T28" i="30"/>
  <c r="Q28" i="30"/>
  <c r="W28" i="30" s="1"/>
  <c r="M332" i="30"/>
  <c r="S331" i="30"/>
  <c r="N58" i="30"/>
  <c r="T57" i="30"/>
  <c r="T330" i="34"/>
  <c r="N331" i="34"/>
  <c r="T331" i="35" s="1"/>
  <c r="Q330" i="34"/>
  <c r="AA85" i="32"/>
  <c r="N118" i="34"/>
  <c r="Q117" i="34"/>
  <c r="AD358" i="34"/>
  <c r="AG358" i="34" s="1"/>
  <c r="N241" i="32"/>
  <c r="T240" i="32"/>
  <c r="S56" i="34"/>
  <c r="Y56" i="35" s="1"/>
  <c r="V56" i="34"/>
  <c r="P57" i="34"/>
  <c r="M271" i="30"/>
  <c r="S270" i="30"/>
  <c r="U178" i="34"/>
  <c r="O179" i="34"/>
  <c r="R178" i="34"/>
  <c r="W24" i="35"/>
  <c r="S149" i="34"/>
  <c r="P150" i="34"/>
  <c r="V149" i="34"/>
  <c r="O90" i="32"/>
  <c r="N117" i="32"/>
  <c r="T117" i="34" s="1"/>
  <c r="T116" i="32"/>
  <c r="AA360" i="34"/>
  <c r="AC360" i="34" s="1"/>
  <c r="Z24" i="30"/>
  <c r="AB24" i="30" s="1"/>
  <c r="V24" i="30"/>
  <c r="P210" i="34"/>
  <c r="S209" i="34"/>
  <c r="V209" i="35"/>
  <c r="O209" i="32"/>
  <c r="P179" i="34"/>
  <c r="V178" i="34"/>
  <c r="S178" i="34"/>
  <c r="N207" i="30"/>
  <c r="T206" i="30"/>
  <c r="U206" i="32"/>
  <c r="P58" i="35"/>
  <c r="V57" i="35"/>
  <c r="S57" i="35"/>
  <c r="U274" i="30"/>
  <c r="O275" i="30"/>
  <c r="N146" i="35"/>
  <c r="Q145" i="35"/>
  <c r="T145" i="35"/>
  <c r="R25" i="30"/>
  <c r="X25" i="30" s="1"/>
  <c r="O26" i="30"/>
  <c r="U25" i="30"/>
  <c r="AD270" i="34"/>
  <c r="U237" i="34"/>
  <c r="O238" i="34"/>
  <c r="R237" i="34"/>
  <c r="U237" i="35"/>
  <c r="P301" i="32"/>
  <c r="V300" i="32"/>
  <c r="T239" i="30"/>
  <c r="N240" i="30"/>
  <c r="AD84" i="34"/>
  <c r="AG84" i="34" s="1"/>
  <c r="T360" i="32"/>
  <c r="U146" i="35"/>
  <c r="O147" i="35"/>
  <c r="R146" i="35"/>
  <c r="P146" i="35"/>
  <c r="S145" i="35"/>
  <c r="V145" i="35"/>
  <c r="P118" i="32"/>
  <c r="V117" i="32"/>
  <c r="S117" i="32"/>
  <c r="O334" i="34"/>
  <c r="R333" i="34"/>
  <c r="N209" i="35"/>
  <c r="Q208" i="35"/>
  <c r="W208" i="36" s="1"/>
  <c r="V238" i="35"/>
  <c r="V330" i="35"/>
  <c r="R56" i="34"/>
  <c r="U56" i="34"/>
  <c r="O57" i="34"/>
  <c r="AD237" i="34"/>
  <c r="AG237" i="34" s="1"/>
  <c r="Y237" i="34"/>
  <c r="R271" i="34"/>
  <c r="O272" i="34"/>
  <c r="T86" i="30"/>
  <c r="N87" i="30"/>
  <c r="U86" i="32"/>
  <c r="X175" i="35"/>
  <c r="AD175" i="35"/>
  <c r="AG175" i="35" s="1"/>
  <c r="Q86" i="32"/>
  <c r="N87" i="32"/>
  <c r="T116" i="34"/>
  <c r="AG238" i="35" l="1"/>
  <c r="AG208" i="35"/>
  <c r="AD117" i="32"/>
  <c r="P333" i="35"/>
  <c r="Y178" i="35"/>
  <c r="T301" i="30"/>
  <c r="N302" i="30"/>
  <c r="O88" i="30"/>
  <c r="U87" i="30"/>
  <c r="AA25" i="32"/>
  <c r="AC25" i="32" s="1"/>
  <c r="W25" i="32"/>
  <c r="R28" i="35"/>
  <c r="O29" i="35"/>
  <c r="N88" i="30"/>
  <c r="T87" i="30"/>
  <c r="U87" i="32"/>
  <c r="O335" i="34"/>
  <c r="R334" i="34"/>
  <c r="N241" i="30"/>
  <c r="T240" i="30"/>
  <c r="O276" i="30"/>
  <c r="U275" i="30"/>
  <c r="AD178" i="34"/>
  <c r="AG178" i="34" s="1"/>
  <c r="O91" i="32"/>
  <c r="N242" i="32"/>
  <c r="T241" i="32"/>
  <c r="O273" i="35"/>
  <c r="U272" i="35"/>
  <c r="U362" i="30"/>
  <c r="O363" i="30"/>
  <c r="V271" i="32"/>
  <c r="P272" i="32"/>
  <c r="N334" i="32"/>
  <c r="T333" i="32"/>
  <c r="P305" i="35"/>
  <c r="X24" i="34"/>
  <c r="AD24" i="34"/>
  <c r="AG24" i="34" s="1"/>
  <c r="X24" i="35"/>
  <c r="AD359" i="34"/>
  <c r="AG359" i="34" s="1"/>
  <c r="M24" i="32"/>
  <c r="K24" i="32" s="1"/>
  <c r="M21" i="32"/>
  <c r="K21" i="32" s="1"/>
  <c r="M17" i="32"/>
  <c r="K17" i="32" s="1"/>
  <c r="M23" i="32"/>
  <c r="K23" i="32" s="1"/>
  <c r="M15" i="32"/>
  <c r="K15" i="32" s="1"/>
  <c r="M20" i="32"/>
  <c r="K20" i="32" s="1"/>
  <c r="M19" i="32"/>
  <c r="K19" i="32" s="1"/>
  <c r="M16" i="32"/>
  <c r="K16" i="32" s="1"/>
  <c r="M22" i="32"/>
  <c r="K22" i="32" s="1"/>
  <c r="M18" i="32"/>
  <c r="K18" i="32" s="1"/>
  <c r="N333" i="35"/>
  <c r="R240" i="35"/>
  <c r="O241" i="35"/>
  <c r="N303" i="35"/>
  <c r="O211" i="35"/>
  <c r="R210" i="35"/>
  <c r="X210" i="36" s="1"/>
  <c r="V86" i="32"/>
  <c r="P87" i="32"/>
  <c r="T361" i="35"/>
  <c r="N362" i="35"/>
  <c r="T56" i="35"/>
  <c r="Q56" i="35"/>
  <c r="N57" i="35"/>
  <c r="Y238" i="34"/>
  <c r="N363" i="32"/>
  <c r="N362" i="30"/>
  <c r="T361" i="30"/>
  <c r="V331" i="34"/>
  <c r="P332" i="34"/>
  <c r="V332" i="35" s="1"/>
  <c r="S331" i="34"/>
  <c r="O148" i="35"/>
  <c r="R147" i="35"/>
  <c r="U147" i="35"/>
  <c r="S332" i="30"/>
  <c r="M333" i="30"/>
  <c r="V331" i="35"/>
  <c r="P60" i="32"/>
  <c r="V208" i="32"/>
  <c r="P209" i="32"/>
  <c r="V208" i="34"/>
  <c r="O362" i="32"/>
  <c r="U361" i="32"/>
  <c r="T332" i="32"/>
  <c r="P87" i="34"/>
  <c r="S86" i="34"/>
  <c r="V86" i="34"/>
  <c r="S300" i="30"/>
  <c r="M301" i="30"/>
  <c r="S178" i="30"/>
  <c r="M179" i="30"/>
  <c r="T178" i="32"/>
  <c r="R25" i="34"/>
  <c r="O26" i="34"/>
  <c r="U25" i="34"/>
  <c r="U25" i="35"/>
  <c r="O361" i="34"/>
  <c r="U360" i="34"/>
  <c r="R360" i="34"/>
  <c r="U360" i="35"/>
  <c r="X176" i="35"/>
  <c r="AD176" i="35"/>
  <c r="AG176" i="35" s="1"/>
  <c r="AD209" i="35"/>
  <c r="AA55" i="35"/>
  <c r="W55" i="35"/>
  <c r="P240" i="34"/>
  <c r="V239" i="34"/>
  <c r="S239" i="34"/>
  <c r="V117" i="35"/>
  <c r="P118" i="35"/>
  <c r="M27" i="30"/>
  <c r="S26" i="30"/>
  <c r="P26" i="30"/>
  <c r="T148" i="34"/>
  <c r="N149" i="34"/>
  <c r="V179" i="34"/>
  <c r="S179" i="34"/>
  <c r="P180" i="34"/>
  <c r="N209" i="34"/>
  <c r="Q208" i="34"/>
  <c r="T208" i="34"/>
  <c r="T208" i="32"/>
  <c r="N209" i="32"/>
  <c r="R118" i="32"/>
  <c r="O119" i="32"/>
  <c r="V301" i="32"/>
  <c r="P302" i="32"/>
  <c r="AD271" i="34"/>
  <c r="P30" i="34"/>
  <c r="S29" i="34"/>
  <c r="V179" i="35"/>
  <c r="P180" i="35"/>
  <c r="S179" i="35"/>
  <c r="Y179" i="36" s="1"/>
  <c r="P28" i="35"/>
  <c r="S27" i="35"/>
  <c r="V27" i="35"/>
  <c r="AD239" i="35"/>
  <c r="Y239" i="35"/>
  <c r="S361" i="30"/>
  <c r="M362" i="30"/>
  <c r="S58" i="35"/>
  <c r="P59" i="35"/>
  <c r="V271" i="34"/>
  <c r="N180" i="30"/>
  <c r="T179" i="30"/>
  <c r="U179" i="32"/>
  <c r="AA183" i="35"/>
  <c r="O118" i="35"/>
  <c r="U117" i="35"/>
  <c r="V118" i="34"/>
  <c r="P119" i="34"/>
  <c r="O209" i="30"/>
  <c r="U208" i="30"/>
  <c r="AA86" i="34"/>
  <c r="W86" i="34"/>
  <c r="O332" i="32"/>
  <c r="U331" i="32"/>
  <c r="U331" i="34"/>
  <c r="O147" i="34"/>
  <c r="U146" i="34"/>
  <c r="T208" i="35"/>
  <c r="X237" i="35"/>
  <c r="AD56" i="34"/>
  <c r="AG56" i="34" s="1"/>
  <c r="O301" i="35"/>
  <c r="N118" i="30"/>
  <c r="T117" i="30"/>
  <c r="V272" i="34"/>
  <c r="P273" i="34"/>
  <c r="S272" i="34"/>
  <c r="V272" i="35"/>
  <c r="W179" i="35"/>
  <c r="S58" i="30"/>
  <c r="M59" i="30"/>
  <c r="V26" i="32"/>
  <c r="S26" i="32"/>
  <c r="P27" i="32"/>
  <c r="V26" i="34"/>
  <c r="N271" i="30"/>
  <c r="T270" i="30"/>
  <c r="N302" i="34"/>
  <c r="T301" i="34"/>
  <c r="AA57" i="34"/>
  <c r="O29" i="32"/>
  <c r="R28" i="32"/>
  <c r="X28" i="32" s="1"/>
  <c r="U28" i="32"/>
  <c r="P87" i="35"/>
  <c r="V86" i="35"/>
  <c r="S86" i="35"/>
  <c r="T58" i="32"/>
  <c r="Q270" i="34"/>
  <c r="N271" i="34"/>
  <c r="T270" i="34"/>
  <c r="T270" i="35"/>
  <c r="V361" i="32"/>
  <c r="P362" i="32"/>
  <c r="N88" i="34"/>
  <c r="T87" i="34"/>
  <c r="Q87" i="34"/>
  <c r="P241" i="35"/>
  <c r="S240" i="35"/>
  <c r="U301" i="30"/>
  <c r="O302" i="30"/>
  <c r="M243" i="30"/>
  <c r="S242" i="30"/>
  <c r="N88" i="32"/>
  <c r="Q87" i="32"/>
  <c r="O118" i="34"/>
  <c r="U117" i="34"/>
  <c r="X55" i="35"/>
  <c r="AD55" i="35"/>
  <c r="AG55" i="35" s="1"/>
  <c r="S150" i="34"/>
  <c r="P151" i="34"/>
  <c r="V150" i="34"/>
  <c r="N332" i="34"/>
  <c r="T332" i="35" s="1"/>
  <c r="Q331" i="34"/>
  <c r="T331" i="34"/>
  <c r="W25" i="34"/>
  <c r="AA86" i="32"/>
  <c r="AA208" i="35"/>
  <c r="N30" i="30"/>
  <c r="T29" i="30"/>
  <c r="Q29" i="30"/>
  <c r="W29" i="30" s="1"/>
  <c r="P209" i="28"/>
  <c r="M210" i="28"/>
  <c r="AA26" i="35"/>
  <c r="W26" i="35"/>
  <c r="N59" i="28"/>
  <c r="Q58" i="28"/>
  <c r="U56" i="35"/>
  <c r="O57" i="35"/>
  <c r="R56" i="35"/>
  <c r="Q26" i="32"/>
  <c r="T26" i="32"/>
  <c r="N27" i="32"/>
  <c r="AD26" i="35"/>
  <c r="AG26" i="35" s="1"/>
  <c r="Y26" i="35"/>
  <c r="Q239" i="34"/>
  <c r="N240" i="34"/>
  <c r="T239" i="34"/>
  <c r="N27" i="34"/>
  <c r="T26" i="34"/>
  <c r="Q26" i="34"/>
  <c r="U269" i="32"/>
  <c r="O270" i="32"/>
  <c r="U269" i="34"/>
  <c r="N210" i="35"/>
  <c r="Q209" i="35"/>
  <c r="W209" i="36" s="1"/>
  <c r="Y145" i="35"/>
  <c r="AD145" i="35"/>
  <c r="AG145" i="35" s="1"/>
  <c r="U238" i="34"/>
  <c r="R238" i="34"/>
  <c r="AD238" i="34" s="1"/>
  <c r="AG238" i="34" s="1"/>
  <c r="O239" i="34"/>
  <c r="U238" i="35"/>
  <c r="AA145" i="35"/>
  <c r="Y209" i="35"/>
  <c r="U207" i="34"/>
  <c r="R207" i="34"/>
  <c r="O208" i="34"/>
  <c r="U207" i="35"/>
  <c r="O363" i="35"/>
  <c r="P214" i="35"/>
  <c r="S213" i="35"/>
  <c r="Y213" i="36" s="1"/>
  <c r="U86" i="35"/>
  <c r="R86" i="35"/>
  <c r="O87" i="35"/>
  <c r="O300" i="34"/>
  <c r="U299" i="34"/>
  <c r="O332" i="30"/>
  <c r="U331" i="30"/>
  <c r="N185" i="35"/>
  <c r="Q184" i="35"/>
  <c r="W184" i="36" s="1"/>
  <c r="Q58" i="34"/>
  <c r="T58" i="34"/>
  <c r="N59" i="34"/>
  <c r="T300" i="32"/>
  <c r="AA238" i="35"/>
  <c r="W238" i="35"/>
  <c r="U240" i="32"/>
  <c r="O241" i="32"/>
  <c r="O302" i="32"/>
  <c r="U301" i="32"/>
  <c r="W86" i="35"/>
  <c r="AA86" i="35"/>
  <c r="AC86" i="35" s="1"/>
  <c r="P275" i="35"/>
  <c r="AD330" i="34"/>
  <c r="AG330" i="34" s="1"/>
  <c r="N335" i="30"/>
  <c r="T334" i="30"/>
  <c r="R272" i="34"/>
  <c r="O273" i="34"/>
  <c r="S271" i="30"/>
  <c r="M272" i="30"/>
  <c r="O59" i="30"/>
  <c r="V59" i="32" s="1"/>
  <c r="U58" i="30"/>
  <c r="M87" i="30"/>
  <c r="S86" i="30"/>
  <c r="N271" i="32"/>
  <c r="T270" i="32"/>
  <c r="R26" i="30"/>
  <c r="X26" i="30" s="1"/>
  <c r="O27" i="30"/>
  <c r="U26" i="30"/>
  <c r="O210" i="32"/>
  <c r="P58" i="34"/>
  <c r="S57" i="34"/>
  <c r="Y57" i="35" s="1"/>
  <c r="V57" i="34"/>
  <c r="Q27" i="35"/>
  <c r="N28" i="35"/>
  <c r="V239" i="32"/>
  <c r="P240" i="32"/>
  <c r="S239" i="32"/>
  <c r="P301" i="34"/>
  <c r="V300" i="34"/>
  <c r="V300" i="35"/>
  <c r="U177" i="35"/>
  <c r="O178" i="35"/>
  <c r="R177" i="35"/>
  <c r="X177" i="36" s="1"/>
  <c r="O58" i="32"/>
  <c r="U57" i="32"/>
  <c r="N120" i="35"/>
  <c r="T119" i="35"/>
  <c r="N273" i="35"/>
  <c r="V118" i="32"/>
  <c r="P119" i="32"/>
  <c r="S118" i="32"/>
  <c r="P363" i="34"/>
  <c r="V362" i="34"/>
  <c r="S362" i="34"/>
  <c r="V362" i="35"/>
  <c r="U57" i="34"/>
  <c r="O58" i="34"/>
  <c r="R57" i="34"/>
  <c r="V146" i="35"/>
  <c r="P147" i="35"/>
  <c r="S146" i="35"/>
  <c r="N147" i="35"/>
  <c r="Q146" i="35"/>
  <c r="T146" i="35"/>
  <c r="T207" i="30"/>
  <c r="N208" i="30"/>
  <c r="U207" i="32"/>
  <c r="P211" i="34"/>
  <c r="S210" i="34"/>
  <c r="V210" i="35"/>
  <c r="N118" i="32"/>
  <c r="T117" i="32"/>
  <c r="U179" i="34"/>
  <c r="R179" i="34"/>
  <c r="O180" i="34"/>
  <c r="N119" i="34"/>
  <c r="Q118" i="34"/>
  <c r="T118" i="34"/>
  <c r="N59" i="30"/>
  <c r="T58" i="30"/>
  <c r="X206" i="35"/>
  <c r="AD206" i="34"/>
  <c r="AG206" i="34" s="1"/>
  <c r="P333" i="32"/>
  <c r="V332" i="32"/>
  <c r="P367" i="35"/>
  <c r="N181" i="34"/>
  <c r="T180" i="34"/>
  <c r="Q180" i="34"/>
  <c r="T180" i="35"/>
  <c r="O240" i="30"/>
  <c r="U239" i="30"/>
  <c r="Y25" i="32"/>
  <c r="AD25" i="32"/>
  <c r="AG25" i="32" s="1"/>
  <c r="Y25" i="34"/>
  <c r="O86" i="34"/>
  <c r="R85" i="34"/>
  <c r="X85" i="35" s="1"/>
  <c r="U85" i="34"/>
  <c r="N363" i="34"/>
  <c r="T362" i="34"/>
  <c r="Q362" i="34"/>
  <c r="Y85" i="35"/>
  <c r="AD85" i="35"/>
  <c r="AG85" i="35" s="1"/>
  <c r="T301" i="32"/>
  <c r="N302" i="32"/>
  <c r="T59" i="32"/>
  <c r="N60" i="32"/>
  <c r="N240" i="35"/>
  <c r="T239" i="35"/>
  <c r="Q239" i="35"/>
  <c r="AA269" i="34"/>
  <c r="AC269" i="34" s="1"/>
  <c r="W25" i="35"/>
  <c r="O333" i="35"/>
  <c r="U332" i="35"/>
  <c r="N88" i="35"/>
  <c r="T87" i="35"/>
  <c r="Q87" i="35"/>
  <c r="S210" i="30"/>
  <c r="M211" i="30"/>
  <c r="M119" i="30"/>
  <c r="S118" i="30"/>
  <c r="O121" i="30"/>
  <c r="U120" i="30"/>
  <c r="O180" i="30"/>
  <c r="U179" i="30"/>
  <c r="V179" i="32"/>
  <c r="AJ57" i="36" l="1"/>
  <c r="AJ65" i="36"/>
  <c r="AG239" i="35"/>
  <c r="P241" i="32"/>
  <c r="S240" i="32"/>
  <c r="V240" i="32"/>
  <c r="M88" i="30"/>
  <c r="S87" i="30"/>
  <c r="U241" i="32"/>
  <c r="O242" i="32"/>
  <c r="N60" i="28"/>
  <c r="Q59" i="28"/>
  <c r="Y86" i="35"/>
  <c r="AD86" i="35"/>
  <c r="AG86" i="35" s="1"/>
  <c r="Y179" i="35"/>
  <c r="Z26" i="30"/>
  <c r="AB26" i="30" s="1"/>
  <c r="V26" i="30"/>
  <c r="P241" i="34"/>
  <c r="V240" i="34"/>
  <c r="S240" i="34"/>
  <c r="V87" i="34"/>
  <c r="S87" i="34"/>
  <c r="P88" i="34"/>
  <c r="P61" i="32"/>
  <c r="N364" i="32"/>
  <c r="T88" i="30"/>
  <c r="N89" i="30"/>
  <c r="U88" i="32"/>
  <c r="M120" i="30"/>
  <c r="S119" i="30"/>
  <c r="U333" i="35"/>
  <c r="O334" i="35"/>
  <c r="N364" i="34"/>
  <c r="T363" i="34"/>
  <c r="Q363" i="34"/>
  <c r="U240" i="30"/>
  <c r="O241" i="30"/>
  <c r="P334" i="32"/>
  <c r="AA146" i="35"/>
  <c r="X177" i="35"/>
  <c r="AD177" i="35"/>
  <c r="AG177" i="35" s="1"/>
  <c r="O88" i="35"/>
  <c r="R87" i="35"/>
  <c r="W209" i="35"/>
  <c r="AA209" i="35"/>
  <c r="N28" i="34"/>
  <c r="T27" i="34"/>
  <c r="Q27" i="34"/>
  <c r="W26" i="32"/>
  <c r="AA26" i="32"/>
  <c r="T30" i="30"/>
  <c r="N31" i="30"/>
  <c r="Q30" i="30"/>
  <c r="W30" i="30" s="1"/>
  <c r="U302" i="30"/>
  <c r="O303" i="30"/>
  <c r="P363" i="32"/>
  <c r="V362" i="32"/>
  <c r="T302" i="34"/>
  <c r="N303" i="34"/>
  <c r="S59" i="30"/>
  <c r="M60" i="30"/>
  <c r="U332" i="32"/>
  <c r="O333" i="32"/>
  <c r="U332" i="34"/>
  <c r="M363" i="30"/>
  <c r="T363" i="32" s="1"/>
  <c r="S362" i="30"/>
  <c r="P181" i="35"/>
  <c r="V180" i="35"/>
  <c r="S180" i="35"/>
  <c r="Y180" i="36" s="1"/>
  <c r="N210" i="34"/>
  <c r="T209" i="34"/>
  <c r="Q209" i="34"/>
  <c r="AD360" i="34"/>
  <c r="AG360" i="34" s="1"/>
  <c r="O149" i="35"/>
  <c r="R148" i="35"/>
  <c r="T362" i="32"/>
  <c r="P88" i="32"/>
  <c r="V87" i="32"/>
  <c r="R241" i="35"/>
  <c r="O242" i="35"/>
  <c r="N335" i="32"/>
  <c r="T242" i="32"/>
  <c r="N243" i="32"/>
  <c r="T241" i="30"/>
  <c r="N242" i="30"/>
  <c r="R29" i="35"/>
  <c r="O30" i="35"/>
  <c r="O89" i="30"/>
  <c r="U88" i="30"/>
  <c r="P334" i="35"/>
  <c r="Q119" i="34"/>
  <c r="N120" i="34"/>
  <c r="T119" i="34"/>
  <c r="Y210" i="35"/>
  <c r="T147" i="35"/>
  <c r="N148" i="35"/>
  <c r="Q147" i="35"/>
  <c r="N274" i="35"/>
  <c r="U178" i="35"/>
  <c r="O179" i="35"/>
  <c r="R178" i="35"/>
  <c r="X178" i="36" s="1"/>
  <c r="Q28" i="35"/>
  <c r="T28" i="35"/>
  <c r="N29" i="35"/>
  <c r="T335" i="30"/>
  <c r="N336" i="30"/>
  <c r="AA184" i="35"/>
  <c r="AC184" i="35" s="1"/>
  <c r="AC380" i="35" s="1"/>
  <c r="U208" i="34"/>
  <c r="R208" i="34"/>
  <c r="O209" i="34"/>
  <c r="U208" i="35"/>
  <c r="T209" i="35"/>
  <c r="X56" i="35"/>
  <c r="AD56" i="35"/>
  <c r="AG56" i="35" s="1"/>
  <c r="W208" i="35"/>
  <c r="AA331" i="34"/>
  <c r="O119" i="34"/>
  <c r="U118" i="34"/>
  <c r="P88" i="35"/>
  <c r="S87" i="35"/>
  <c r="V87" i="35"/>
  <c r="N119" i="30"/>
  <c r="T118" i="30"/>
  <c r="U118" i="32"/>
  <c r="V180" i="34"/>
  <c r="S180" i="34"/>
  <c r="P181" i="34"/>
  <c r="P27" i="30"/>
  <c r="V27" i="30" s="1"/>
  <c r="M28" i="30"/>
  <c r="S27" i="30"/>
  <c r="S179" i="30"/>
  <c r="M180" i="30"/>
  <c r="T179" i="32"/>
  <c r="AE15" i="32"/>
  <c r="K375" i="32"/>
  <c r="V272" i="32"/>
  <c r="P273" i="32"/>
  <c r="T302" i="30"/>
  <c r="N303" i="30"/>
  <c r="T118" i="32"/>
  <c r="N119" i="32"/>
  <c r="O59" i="34"/>
  <c r="U58" i="34"/>
  <c r="R58" i="34"/>
  <c r="O211" i="32"/>
  <c r="U300" i="34"/>
  <c r="O301" i="34"/>
  <c r="M244" i="30"/>
  <c r="S243" i="30"/>
  <c r="N181" i="30"/>
  <c r="T180" i="30"/>
  <c r="U180" i="32"/>
  <c r="Y146" i="35"/>
  <c r="AD146" i="35"/>
  <c r="AG146" i="35" s="1"/>
  <c r="AA27" i="35"/>
  <c r="W27" i="35"/>
  <c r="N211" i="35"/>
  <c r="Q210" i="35"/>
  <c r="W210" i="36" s="1"/>
  <c r="AD179" i="34"/>
  <c r="AG179" i="34" s="1"/>
  <c r="O362" i="34"/>
  <c r="U361" i="34"/>
  <c r="R361" i="34"/>
  <c r="U361" i="35"/>
  <c r="O87" i="34"/>
  <c r="R86" i="34"/>
  <c r="X86" i="35" s="1"/>
  <c r="U86" i="34"/>
  <c r="P148" i="35"/>
  <c r="S147" i="35"/>
  <c r="V147" i="35"/>
  <c r="T27" i="35"/>
  <c r="S272" i="30"/>
  <c r="M273" i="30"/>
  <c r="Y240" i="35"/>
  <c r="AD240" i="35"/>
  <c r="P31" i="34"/>
  <c r="S30" i="34"/>
  <c r="AG209" i="35"/>
  <c r="S301" i="30"/>
  <c r="M302" i="30"/>
  <c r="M334" i="30"/>
  <c r="S333" i="30"/>
  <c r="N58" i="35"/>
  <c r="T57" i="35"/>
  <c r="Q57" i="35"/>
  <c r="O212" i="35"/>
  <c r="R211" i="35"/>
  <c r="X211" i="36" s="1"/>
  <c r="T333" i="35"/>
  <c r="N334" i="35"/>
  <c r="O364" i="30"/>
  <c r="U363" i="30"/>
  <c r="R335" i="34"/>
  <c r="O336" i="34"/>
  <c r="W87" i="35"/>
  <c r="AA87" i="35"/>
  <c r="AA239" i="35"/>
  <c r="W239" i="35"/>
  <c r="N182" i="34"/>
  <c r="T181" i="34"/>
  <c r="Q181" i="34"/>
  <c r="T181" i="35"/>
  <c r="P364" i="34"/>
  <c r="S363" i="34"/>
  <c r="V363" i="35"/>
  <c r="P215" i="35"/>
  <c r="S214" i="35"/>
  <c r="Y214" i="36" s="1"/>
  <c r="X238" i="35"/>
  <c r="U270" i="32"/>
  <c r="O271" i="32"/>
  <c r="U270" i="34"/>
  <c r="P210" i="28"/>
  <c r="T210" i="28" s="1"/>
  <c r="V210" i="28" s="1"/>
  <c r="M211" i="28"/>
  <c r="V151" i="34"/>
  <c r="S151" i="34"/>
  <c r="P152" i="34"/>
  <c r="T87" i="32"/>
  <c r="P242" i="35"/>
  <c r="V241" i="35"/>
  <c r="S241" i="35"/>
  <c r="T271" i="34"/>
  <c r="Q271" i="34"/>
  <c r="N272" i="34"/>
  <c r="T271" i="35"/>
  <c r="O30" i="32"/>
  <c r="R29" i="32"/>
  <c r="X29" i="32" s="1"/>
  <c r="U29" i="32"/>
  <c r="S27" i="32"/>
  <c r="V27" i="32"/>
  <c r="P28" i="32"/>
  <c r="V27" i="34"/>
  <c r="U301" i="35"/>
  <c r="O302" i="35"/>
  <c r="U147" i="34"/>
  <c r="O148" i="34"/>
  <c r="O210" i="30"/>
  <c r="U209" i="30"/>
  <c r="P60" i="35"/>
  <c r="S59" i="35"/>
  <c r="N210" i="32"/>
  <c r="T209" i="32"/>
  <c r="T149" i="34"/>
  <c r="N150" i="34"/>
  <c r="P210" i="32"/>
  <c r="V209" i="32"/>
  <c r="V209" i="34"/>
  <c r="W56" i="35"/>
  <c r="AA56" i="35"/>
  <c r="AD85" i="34"/>
  <c r="AG85" i="34" s="1"/>
  <c r="O364" i="35"/>
  <c r="P303" i="32"/>
  <c r="V302" i="32"/>
  <c r="M212" i="30"/>
  <c r="S211" i="30"/>
  <c r="N303" i="32"/>
  <c r="T302" i="32"/>
  <c r="U59" i="30"/>
  <c r="O60" i="30"/>
  <c r="X207" i="35"/>
  <c r="AD207" i="34"/>
  <c r="AG207" i="34" s="1"/>
  <c r="T240" i="34"/>
  <c r="Q240" i="34"/>
  <c r="N241" i="34"/>
  <c r="V118" i="35"/>
  <c r="P119" i="35"/>
  <c r="U362" i="32"/>
  <c r="O363" i="32"/>
  <c r="O92" i="32"/>
  <c r="O181" i="30"/>
  <c r="U180" i="30"/>
  <c r="V180" i="32"/>
  <c r="P212" i="34"/>
  <c r="S211" i="34"/>
  <c r="V211" i="35"/>
  <c r="N121" i="35"/>
  <c r="T120" i="35"/>
  <c r="U239" i="34"/>
  <c r="O240" i="34"/>
  <c r="R239" i="34"/>
  <c r="AD239" i="34" s="1"/>
  <c r="AG239" i="34" s="1"/>
  <c r="U239" i="35"/>
  <c r="AA87" i="32"/>
  <c r="AC87" i="32" s="1"/>
  <c r="U300" i="35"/>
  <c r="P333" i="34"/>
  <c r="V332" i="34"/>
  <c r="S332" i="34"/>
  <c r="T208" i="30"/>
  <c r="N209" i="30"/>
  <c r="U208" i="32"/>
  <c r="AD118" i="32"/>
  <c r="P302" i="34"/>
  <c r="V301" i="34"/>
  <c r="V301" i="35"/>
  <c r="AD57" i="34"/>
  <c r="T271" i="32"/>
  <c r="N272" i="32"/>
  <c r="P276" i="35"/>
  <c r="T59" i="34"/>
  <c r="N60" i="34"/>
  <c r="Q59" i="34"/>
  <c r="U332" i="30"/>
  <c r="O333" i="30"/>
  <c r="Q88" i="32"/>
  <c r="N89" i="32"/>
  <c r="AA87" i="34"/>
  <c r="AC87" i="34" s="1"/>
  <c r="W87" i="34"/>
  <c r="Y26" i="32"/>
  <c r="AD26" i="32"/>
  <c r="AG26" i="32" s="1"/>
  <c r="Y26" i="34"/>
  <c r="AD272" i="34"/>
  <c r="P120" i="34"/>
  <c r="V119" i="34"/>
  <c r="Y27" i="35"/>
  <c r="AD27" i="35"/>
  <c r="AG27" i="35" s="1"/>
  <c r="Y239" i="34"/>
  <c r="O27" i="34"/>
  <c r="R26" i="34"/>
  <c r="U26" i="34"/>
  <c r="U26" i="35"/>
  <c r="AG270" i="34"/>
  <c r="T302" i="35"/>
  <c r="P306" i="35"/>
  <c r="N61" i="32"/>
  <c r="T60" i="32"/>
  <c r="O59" i="32"/>
  <c r="U58" i="32"/>
  <c r="AA58" i="34"/>
  <c r="AC58" i="34" s="1"/>
  <c r="AC376" i="34" s="1"/>
  <c r="N89" i="34"/>
  <c r="Q88" i="34"/>
  <c r="T88" i="34"/>
  <c r="W180" i="35"/>
  <c r="U180" i="34"/>
  <c r="O181" i="34"/>
  <c r="R180" i="34"/>
  <c r="R27" i="30"/>
  <c r="X27" i="30" s="1"/>
  <c r="U27" i="30"/>
  <c r="O28" i="30"/>
  <c r="Q185" i="35"/>
  <c r="W185" i="36" s="1"/>
  <c r="N380" i="35"/>
  <c r="R57" i="35"/>
  <c r="O58" i="35"/>
  <c r="U57" i="35"/>
  <c r="T332" i="34"/>
  <c r="N333" i="34"/>
  <c r="Q332" i="34"/>
  <c r="V240" i="35"/>
  <c r="N272" i="30"/>
  <c r="T271" i="30"/>
  <c r="U118" i="35"/>
  <c r="O119" i="35"/>
  <c r="R119" i="32"/>
  <c r="U119" i="32"/>
  <c r="O120" i="32"/>
  <c r="AD331" i="34"/>
  <c r="AG331" i="34" s="1"/>
  <c r="AD210" i="35"/>
  <c r="O122" i="30"/>
  <c r="U121" i="30"/>
  <c r="N89" i="35"/>
  <c r="T88" i="35"/>
  <c r="Q88" i="35"/>
  <c r="T240" i="35"/>
  <c r="N241" i="35"/>
  <c r="Q240" i="35"/>
  <c r="P368" i="35"/>
  <c r="T59" i="30"/>
  <c r="N60" i="30"/>
  <c r="V119" i="32"/>
  <c r="P120" i="32"/>
  <c r="S119" i="32"/>
  <c r="S58" i="34"/>
  <c r="V58" i="34"/>
  <c r="P59" i="34"/>
  <c r="R273" i="34"/>
  <c r="O274" i="34"/>
  <c r="U302" i="32"/>
  <c r="O303" i="32"/>
  <c r="W26" i="34"/>
  <c r="N28" i="32"/>
  <c r="T27" i="32"/>
  <c r="Q27" i="32"/>
  <c r="AJ57" i="35"/>
  <c r="AJ65" i="35"/>
  <c r="P274" i="34"/>
  <c r="S273" i="34"/>
  <c r="V273" i="34"/>
  <c r="V273" i="35"/>
  <c r="V58" i="35"/>
  <c r="P29" i="35"/>
  <c r="V28" i="35"/>
  <c r="S28" i="35"/>
  <c r="AG271" i="34"/>
  <c r="X25" i="34"/>
  <c r="AD25" i="34"/>
  <c r="AG25" i="34" s="1"/>
  <c r="X25" i="35"/>
  <c r="AD86" i="34"/>
  <c r="AG86" i="34" s="1"/>
  <c r="N363" i="30"/>
  <c r="T362" i="30"/>
  <c r="N363" i="35"/>
  <c r="T362" i="35"/>
  <c r="T303" i="35"/>
  <c r="N304" i="35"/>
  <c r="U273" i="35"/>
  <c r="O274" i="35"/>
  <c r="O277" i="30"/>
  <c r="U276" i="30"/>
  <c r="AG57" i="34" l="1"/>
  <c r="AH57" i="36"/>
  <c r="AH65" i="36"/>
  <c r="AG210" i="35"/>
  <c r="AA27" i="32"/>
  <c r="W27" i="32"/>
  <c r="Y211" i="35"/>
  <c r="Y27" i="32"/>
  <c r="AD27" i="32"/>
  <c r="AG27" i="32" s="1"/>
  <c r="Y27" i="34"/>
  <c r="AD147" i="35"/>
  <c r="AG147" i="35" s="1"/>
  <c r="Y147" i="35"/>
  <c r="P28" i="30"/>
  <c r="V28" i="30" s="1"/>
  <c r="S28" i="30"/>
  <c r="M29" i="30"/>
  <c r="N120" i="30"/>
  <c r="T119" i="30"/>
  <c r="P335" i="35"/>
  <c r="T243" i="32"/>
  <c r="N244" i="32"/>
  <c r="P89" i="32"/>
  <c r="V88" i="32"/>
  <c r="U333" i="32"/>
  <c r="O334" i="32"/>
  <c r="U333" i="34"/>
  <c r="P364" i="32"/>
  <c r="V363" i="32"/>
  <c r="W27" i="34"/>
  <c r="V61" i="32"/>
  <c r="P62" i="32"/>
  <c r="N61" i="28"/>
  <c r="Q60" i="28"/>
  <c r="P60" i="34"/>
  <c r="S59" i="34"/>
  <c r="V59" i="34"/>
  <c r="N242" i="35"/>
  <c r="T241" i="35"/>
  <c r="Q241" i="35"/>
  <c r="N334" i="34"/>
  <c r="T333" i="34"/>
  <c r="Q333" i="34"/>
  <c r="R28" i="30"/>
  <c r="X28" i="30" s="1"/>
  <c r="O29" i="30"/>
  <c r="U28" i="30"/>
  <c r="O60" i="32"/>
  <c r="U59" i="32"/>
  <c r="AA88" i="32"/>
  <c r="AC88" i="32" s="1"/>
  <c r="V302" i="34"/>
  <c r="P303" i="34"/>
  <c r="V302" i="35"/>
  <c r="P334" i="34"/>
  <c r="V333" i="34"/>
  <c r="S333" i="34"/>
  <c r="N304" i="32"/>
  <c r="O365" i="30"/>
  <c r="U364" i="30"/>
  <c r="Q58" i="35"/>
  <c r="N59" i="35"/>
  <c r="T58" i="35"/>
  <c r="P149" i="35"/>
  <c r="S148" i="35"/>
  <c r="V148" i="35"/>
  <c r="S244" i="30"/>
  <c r="M245" i="30"/>
  <c r="U59" i="34"/>
  <c r="R59" i="34"/>
  <c r="O60" i="34"/>
  <c r="X178" i="35"/>
  <c r="AD178" i="35"/>
  <c r="AG178" i="35" s="1"/>
  <c r="N211" i="34"/>
  <c r="Q210" i="34"/>
  <c r="T210" i="34"/>
  <c r="U303" i="30"/>
  <c r="O304" i="30"/>
  <c r="O243" i="32"/>
  <c r="U242" i="32"/>
  <c r="N305" i="35"/>
  <c r="Q28" i="32"/>
  <c r="N29" i="32"/>
  <c r="T28" i="32"/>
  <c r="P277" i="35"/>
  <c r="P213" i="34"/>
  <c r="S212" i="34"/>
  <c r="V212" i="35"/>
  <c r="P120" i="35"/>
  <c r="V119" i="35"/>
  <c r="N211" i="32"/>
  <c r="T210" i="32"/>
  <c r="V242" i="35"/>
  <c r="P243" i="35"/>
  <c r="S242" i="35"/>
  <c r="O272" i="32"/>
  <c r="U271" i="32"/>
  <c r="U271" i="34"/>
  <c r="N335" i="35"/>
  <c r="T334" i="35"/>
  <c r="AG240" i="35"/>
  <c r="U362" i="34"/>
  <c r="O363" i="34"/>
  <c r="R362" i="34"/>
  <c r="U362" i="35"/>
  <c r="U301" i="34"/>
  <c r="O302" i="34"/>
  <c r="N120" i="32"/>
  <c r="T119" i="32"/>
  <c r="AE16" i="32"/>
  <c r="AG15" i="32"/>
  <c r="P182" i="34"/>
  <c r="V181" i="34"/>
  <c r="S181" i="34"/>
  <c r="AD87" i="35"/>
  <c r="AG87" i="35" s="1"/>
  <c r="Y87" i="35"/>
  <c r="U179" i="35"/>
  <c r="R179" i="35"/>
  <c r="X179" i="36" s="1"/>
  <c r="O180" i="35"/>
  <c r="O90" i="30"/>
  <c r="U89" i="30"/>
  <c r="N336" i="32"/>
  <c r="T335" i="32"/>
  <c r="Y180" i="35"/>
  <c r="S60" i="30"/>
  <c r="M61" i="30"/>
  <c r="T28" i="34"/>
  <c r="N29" i="34"/>
  <c r="T29" i="35" s="1"/>
  <c r="Q28" i="34"/>
  <c r="T89" i="30"/>
  <c r="N90" i="30"/>
  <c r="U89" i="32"/>
  <c r="V88" i="34"/>
  <c r="P89" i="34"/>
  <c r="S88" i="34"/>
  <c r="O275" i="35"/>
  <c r="U274" i="35"/>
  <c r="AA332" i="34"/>
  <c r="AC332" i="34" s="1"/>
  <c r="Q89" i="32"/>
  <c r="N90" i="32"/>
  <c r="R240" i="34"/>
  <c r="U240" i="34"/>
  <c r="O241" i="34"/>
  <c r="U240" i="35"/>
  <c r="O364" i="32"/>
  <c r="U363" i="32"/>
  <c r="U148" i="34"/>
  <c r="O149" i="34"/>
  <c r="AD58" i="34"/>
  <c r="AG58" i="34" s="1"/>
  <c r="N61" i="30"/>
  <c r="T60" i="30"/>
  <c r="O120" i="35"/>
  <c r="U119" i="35"/>
  <c r="Y58" i="35"/>
  <c r="N273" i="32"/>
  <c r="T272" i="32"/>
  <c r="M213" i="30"/>
  <c r="S212" i="30"/>
  <c r="O303" i="35"/>
  <c r="M335" i="30"/>
  <c r="S334" i="30"/>
  <c r="AD180" i="34"/>
  <c r="AG180" i="34" s="1"/>
  <c r="T334" i="32"/>
  <c r="X26" i="34"/>
  <c r="AD26" i="34"/>
  <c r="AG26" i="34" s="1"/>
  <c r="X26" i="35"/>
  <c r="O334" i="30"/>
  <c r="U333" i="30"/>
  <c r="T336" i="30"/>
  <c r="N337" i="30"/>
  <c r="N275" i="35"/>
  <c r="R242" i="35"/>
  <c r="O243" i="35"/>
  <c r="U149" i="35"/>
  <c r="O150" i="35"/>
  <c r="R149" i="35"/>
  <c r="V181" i="35"/>
  <c r="P182" i="35"/>
  <c r="S181" i="35"/>
  <c r="Y181" i="36" s="1"/>
  <c r="N32" i="30"/>
  <c r="T31" i="30"/>
  <c r="Q31" i="30"/>
  <c r="W31" i="30" s="1"/>
  <c r="O335" i="35"/>
  <c r="U334" i="35"/>
  <c r="N365" i="32"/>
  <c r="T364" i="32"/>
  <c r="M89" i="30"/>
  <c r="T89" i="32" s="1"/>
  <c r="S88" i="30"/>
  <c r="T363" i="35"/>
  <c r="N364" i="35"/>
  <c r="S274" i="34"/>
  <c r="P275" i="34"/>
  <c r="V274" i="35"/>
  <c r="Q89" i="35"/>
  <c r="N90" i="35"/>
  <c r="T89" i="35"/>
  <c r="X57" i="35"/>
  <c r="AD57" i="35"/>
  <c r="Q89" i="34"/>
  <c r="W89" i="34" s="1"/>
  <c r="N90" i="34"/>
  <c r="T89" i="34"/>
  <c r="N62" i="32"/>
  <c r="T61" i="32"/>
  <c r="O28" i="34"/>
  <c r="R27" i="34"/>
  <c r="U27" i="34"/>
  <c r="U27" i="35"/>
  <c r="N210" i="30"/>
  <c r="T209" i="30"/>
  <c r="U209" i="32"/>
  <c r="N122" i="35"/>
  <c r="O182" i="30"/>
  <c r="U181" i="30"/>
  <c r="V181" i="32"/>
  <c r="O61" i="30"/>
  <c r="U60" i="30"/>
  <c r="V303" i="32"/>
  <c r="P304" i="32"/>
  <c r="V210" i="32"/>
  <c r="P211" i="32"/>
  <c r="V210" i="34"/>
  <c r="V60" i="35"/>
  <c r="S60" i="35"/>
  <c r="P61" i="35"/>
  <c r="T272" i="34"/>
  <c r="N273" i="34"/>
  <c r="Q272" i="34"/>
  <c r="T272" i="35"/>
  <c r="O337" i="34"/>
  <c r="R336" i="34"/>
  <c r="R212" i="35"/>
  <c r="X212" i="36" s="1"/>
  <c r="O213" i="35"/>
  <c r="R87" i="34"/>
  <c r="X87" i="35" s="1"/>
  <c r="U87" i="34"/>
  <c r="O88" i="34"/>
  <c r="AA210" i="35"/>
  <c r="W210" i="35"/>
  <c r="T303" i="30"/>
  <c r="N304" i="30"/>
  <c r="M181" i="30"/>
  <c r="S180" i="30"/>
  <c r="T180" i="32"/>
  <c r="U119" i="34"/>
  <c r="O120" i="34"/>
  <c r="N121" i="34"/>
  <c r="Q120" i="34"/>
  <c r="N304" i="34"/>
  <c r="T304" i="35" s="1"/>
  <c r="T303" i="34"/>
  <c r="V333" i="32"/>
  <c r="Y240" i="34"/>
  <c r="S29" i="35"/>
  <c r="P30" i="35"/>
  <c r="V29" i="35"/>
  <c r="AA240" i="34"/>
  <c r="AD241" i="35"/>
  <c r="T182" i="34"/>
  <c r="Q182" i="34"/>
  <c r="N183" i="34"/>
  <c r="T182" i="35"/>
  <c r="AD361" i="34"/>
  <c r="AG361" i="34" s="1"/>
  <c r="U148" i="35"/>
  <c r="U303" i="32"/>
  <c r="O304" i="32"/>
  <c r="W88" i="34"/>
  <c r="V59" i="35"/>
  <c r="V152" i="34"/>
  <c r="P153" i="34"/>
  <c r="S152" i="34"/>
  <c r="V363" i="34"/>
  <c r="AD211" i="35"/>
  <c r="M274" i="30"/>
  <c r="S273" i="30"/>
  <c r="R30" i="35"/>
  <c r="O31" i="35"/>
  <c r="Y28" i="35"/>
  <c r="AD28" i="35"/>
  <c r="AG28" i="35" s="1"/>
  <c r="R274" i="34"/>
  <c r="O275" i="34"/>
  <c r="AD119" i="32"/>
  <c r="P369" i="35"/>
  <c r="T272" i="30"/>
  <c r="N273" i="30"/>
  <c r="P121" i="34"/>
  <c r="V120" i="34"/>
  <c r="O365" i="35"/>
  <c r="N151" i="34"/>
  <c r="T150" i="34"/>
  <c r="V28" i="32"/>
  <c r="S28" i="32"/>
  <c r="P29" i="32"/>
  <c r="V28" i="34"/>
  <c r="W181" i="35"/>
  <c r="T210" i="35"/>
  <c r="O212" i="32"/>
  <c r="R209" i="34"/>
  <c r="U209" i="34"/>
  <c r="O210" i="34"/>
  <c r="U209" i="35"/>
  <c r="N30" i="35"/>
  <c r="Q29" i="35"/>
  <c r="AA147" i="35"/>
  <c r="N243" i="30"/>
  <c r="T242" i="30"/>
  <c r="M364" i="30"/>
  <c r="S363" i="30"/>
  <c r="U87" i="35"/>
  <c r="V334" i="32"/>
  <c r="P335" i="32"/>
  <c r="W240" i="35"/>
  <c r="AA240" i="35"/>
  <c r="AC240" i="35" s="1"/>
  <c r="P216" i="35"/>
  <c r="S215" i="35"/>
  <c r="Y215" i="36" s="1"/>
  <c r="S31" i="34"/>
  <c r="P32" i="34"/>
  <c r="W28" i="35"/>
  <c r="AA28" i="35"/>
  <c r="W88" i="35"/>
  <c r="AA88" i="35"/>
  <c r="Y59" i="35"/>
  <c r="U30" i="32"/>
  <c r="O31" i="32"/>
  <c r="R30" i="32"/>
  <c r="X30" i="32" s="1"/>
  <c r="P365" i="34"/>
  <c r="V364" i="34"/>
  <c r="S364" i="34"/>
  <c r="V364" i="35"/>
  <c r="V88" i="35"/>
  <c r="S88" i="35"/>
  <c r="P89" i="35"/>
  <c r="T364" i="34"/>
  <c r="N365" i="34"/>
  <c r="Q364" i="34"/>
  <c r="AD273" i="34"/>
  <c r="O59" i="35"/>
  <c r="U58" i="35"/>
  <c r="R58" i="35"/>
  <c r="M303" i="30"/>
  <c r="S302" i="30"/>
  <c r="O278" i="30"/>
  <c r="U278" i="30" s="1"/>
  <c r="U277" i="30"/>
  <c r="T363" i="30"/>
  <c r="N364" i="30"/>
  <c r="P121" i="32"/>
  <c r="S120" i="32"/>
  <c r="V120" i="32"/>
  <c r="O123" i="30"/>
  <c r="U122" i="30"/>
  <c r="U120" i="32"/>
  <c r="R120" i="32"/>
  <c r="O121" i="32"/>
  <c r="AA185" i="35"/>
  <c r="AA380" i="35" s="1"/>
  <c r="Q380" i="35"/>
  <c r="O182" i="34"/>
  <c r="R181" i="34"/>
  <c r="U181" i="34"/>
  <c r="P307" i="35"/>
  <c r="AG272" i="34"/>
  <c r="T88" i="32"/>
  <c r="T60" i="34"/>
  <c r="N61" i="34"/>
  <c r="Q60" i="34"/>
  <c r="AD332" i="34"/>
  <c r="AG332" i="34" s="1"/>
  <c r="X239" i="35"/>
  <c r="O93" i="32"/>
  <c r="N242" i="34"/>
  <c r="T241" i="34"/>
  <c r="Q241" i="34"/>
  <c r="O211" i="30"/>
  <c r="U210" i="30"/>
  <c r="M212" i="28"/>
  <c r="P211" i="28"/>
  <c r="W57" i="35"/>
  <c r="AA57" i="35"/>
  <c r="N212" i="35"/>
  <c r="T211" i="35"/>
  <c r="Q211" i="35"/>
  <c r="W211" i="36" s="1"/>
  <c r="T181" i="30"/>
  <c r="N182" i="30"/>
  <c r="U181" i="32"/>
  <c r="P274" i="32"/>
  <c r="V273" i="32"/>
  <c r="X208" i="35"/>
  <c r="AD208" i="34"/>
  <c r="AG208" i="34" s="1"/>
  <c r="N149" i="35"/>
  <c r="Q148" i="35"/>
  <c r="T148" i="35"/>
  <c r="V333" i="35"/>
  <c r="U88" i="35"/>
  <c r="O89" i="35"/>
  <c r="R88" i="35"/>
  <c r="O242" i="30"/>
  <c r="U241" i="30"/>
  <c r="M121" i="30"/>
  <c r="S120" i="30"/>
  <c r="V60" i="32"/>
  <c r="P242" i="34"/>
  <c r="V241" i="34"/>
  <c r="S241" i="34"/>
  <c r="S241" i="32"/>
  <c r="P242" i="32"/>
  <c r="V241" i="32"/>
  <c r="AG211" i="35" l="1"/>
  <c r="Y241" i="34"/>
  <c r="O243" i="30"/>
  <c r="U242" i="30"/>
  <c r="T149" i="35"/>
  <c r="Q149" i="35"/>
  <c r="N150" i="35"/>
  <c r="T182" i="30"/>
  <c r="N183" i="30"/>
  <c r="U182" i="32"/>
  <c r="Q242" i="34"/>
  <c r="N243" i="34"/>
  <c r="T242" i="34"/>
  <c r="T61" i="34"/>
  <c r="Q61" i="34"/>
  <c r="N62" i="34"/>
  <c r="O183" i="34"/>
  <c r="U182" i="34"/>
  <c r="R182" i="34"/>
  <c r="S216" i="35"/>
  <c r="Y216" i="36" s="1"/>
  <c r="P381" i="35"/>
  <c r="P383" i="35"/>
  <c r="P385" i="35"/>
  <c r="P384" i="35"/>
  <c r="P386" i="35"/>
  <c r="O213" i="32"/>
  <c r="O366" i="35"/>
  <c r="Y241" i="35"/>
  <c r="O29" i="34"/>
  <c r="R28" i="34"/>
  <c r="U28" i="34"/>
  <c r="U28" i="35"/>
  <c r="T364" i="35"/>
  <c r="N365" i="35"/>
  <c r="M214" i="30"/>
  <c r="S213" i="30"/>
  <c r="U364" i="32"/>
  <c r="O365" i="32"/>
  <c r="T90" i="30"/>
  <c r="N91" i="30"/>
  <c r="U90" i="32"/>
  <c r="X179" i="35"/>
  <c r="AD179" i="35"/>
  <c r="AG179" i="35" s="1"/>
  <c r="AE17" i="32"/>
  <c r="AG16" i="32"/>
  <c r="U363" i="34"/>
  <c r="O364" i="34"/>
  <c r="R363" i="34"/>
  <c r="U363" i="35"/>
  <c r="V120" i="35"/>
  <c r="P121" i="35"/>
  <c r="U60" i="34"/>
  <c r="R60" i="34"/>
  <c r="O61" i="34"/>
  <c r="O61" i="32"/>
  <c r="U60" i="32"/>
  <c r="N62" i="28"/>
  <c r="Q61" i="28"/>
  <c r="O335" i="32"/>
  <c r="U334" i="32"/>
  <c r="U334" i="34"/>
  <c r="X88" i="35"/>
  <c r="O124" i="30"/>
  <c r="U123" i="30"/>
  <c r="AA29" i="35"/>
  <c r="AC29" i="35" s="1"/>
  <c r="AC375" i="35" s="1"/>
  <c r="S29" i="32"/>
  <c r="P30" i="32"/>
  <c r="V29" i="32"/>
  <c r="V29" i="34"/>
  <c r="V370" i="35"/>
  <c r="O32" i="35"/>
  <c r="R31" i="35"/>
  <c r="O121" i="34"/>
  <c r="U120" i="34"/>
  <c r="P62" i="35"/>
  <c r="S61" i="35"/>
  <c r="V61" i="35"/>
  <c r="T122" i="35"/>
  <c r="N123" i="35"/>
  <c r="T61" i="30"/>
  <c r="N62" i="30"/>
  <c r="U272" i="32"/>
  <c r="O273" i="32"/>
  <c r="U272" i="34"/>
  <c r="O305" i="30"/>
  <c r="U304" i="30"/>
  <c r="T59" i="35"/>
  <c r="Q59" i="35"/>
  <c r="N60" i="35"/>
  <c r="V334" i="34"/>
  <c r="P335" i="34"/>
  <c r="S334" i="34"/>
  <c r="AA241" i="35"/>
  <c r="W241" i="35"/>
  <c r="V62" i="32"/>
  <c r="P63" i="32"/>
  <c r="P243" i="34"/>
  <c r="S242" i="34"/>
  <c r="V242" i="34"/>
  <c r="O90" i="35"/>
  <c r="R89" i="35"/>
  <c r="W211" i="35"/>
  <c r="AA211" i="35"/>
  <c r="O94" i="32"/>
  <c r="T365" i="34"/>
  <c r="N366" i="34"/>
  <c r="Q365" i="34"/>
  <c r="P366" i="34"/>
  <c r="V365" i="34"/>
  <c r="S365" i="34"/>
  <c r="V365" i="35"/>
  <c r="S364" i="30"/>
  <c r="M365" i="30"/>
  <c r="T365" i="32" s="1"/>
  <c r="Y28" i="32"/>
  <c r="AD28" i="32"/>
  <c r="AG28" i="32" s="1"/>
  <c r="Y28" i="34"/>
  <c r="P154" i="34"/>
  <c r="V153" i="34"/>
  <c r="S153" i="34"/>
  <c r="R88" i="34"/>
  <c r="U88" i="34"/>
  <c r="O89" i="34"/>
  <c r="U89" i="35" s="1"/>
  <c r="O338" i="34"/>
  <c r="R337" i="34"/>
  <c r="O62" i="30"/>
  <c r="U61" i="30"/>
  <c r="Q90" i="35"/>
  <c r="T90" i="35"/>
  <c r="N91" i="35"/>
  <c r="N33" i="30"/>
  <c r="T32" i="30"/>
  <c r="Q32" i="30"/>
  <c r="W32" i="30" s="1"/>
  <c r="R243" i="35"/>
  <c r="O244" i="35"/>
  <c r="U334" i="30"/>
  <c r="O335" i="30"/>
  <c r="N274" i="32"/>
  <c r="T273" i="32"/>
  <c r="U241" i="34"/>
  <c r="O242" i="34"/>
  <c r="R241" i="34"/>
  <c r="AD241" i="34" s="1"/>
  <c r="AG241" i="34" s="1"/>
  <c r="U241" i="35"/>
  <c r="W28" i="34"/>
  <c r="AD242" i="35"/>
  <c r="Y242" i="35"/>
  <c r="N30" i="32"/>
  <c r="Q29" i="32"/>
  <c r="T29" i="32"/>
  <c r="AA58" i="35"/>
  <c r="W58" i="35"/>
  <c r="T120" i="30"/>
  <c r="N121" i="30"/>
  <c r="S303" i="30"/>
  <c r="M304" i="30"/>
  <c r="N31" i="35"/>
  <c r="T30" i="35"/>
  <c r="Q30" i="35"/>
  <c r="N63" i="32"/>
  <c r="P244" i="35"/>
  <c r="S243" i="35"/>
  <c r="W28" i="32"/>
  <c r="AA28" i="32"/>
  <c r="S245" i="30"/>
  <c r="M246" i="30"/>
  <c r="O30" i="30"/>
  <c r="R29" i="30"/>
  <c r="X29" i="30" s="1"/>
  <c r="U29" i="30"/>
  <c r="M30" i="30"/>
  <c r="P29" i="30"/>
  <c r="V29" i="30" s="1"/>
  <c r="S29" i="30"/>
  <c r="N213" i="35"/>
  <c r="Q212" i="35"/>
  <c r="W212" i="36" s="1"/>
  <c r="P308" i="35"/>
  <c r="X58" i="35"/>
  <c r="AD58" i="35"/>
  <c r="AG58" i="35" s="1"/>
  <c r="S32" i="34"/>
  <c r="P33" i="34"/>
  <c r="V121" i="34"/>
  <c r="P122" i="34"/>
  <c r="T210" i="30"/>
  <c r="N211" i="30"/>
  <c r="U210" i="32"/>
  <c r="AD88" i="34"/>
  <c r="AG88" i="34" s="1"/>
  <c r="N337" i="32"/>
  <c r="U302" i="34"/>
  <c r="O303" i="34"/>
  <c r="U303" i="35" s="1"/>
  <c r="N245" i="32"/>
  <c r="T244" i="32"/>
  <c r="Y88" i="35"/>
  <c r="AD88" i="35"/>
  <c r="AG88" i="35" s="1"/>
  <c r="T243" i="30"/>
  <c r="N244" i="30"/>
  <c r="R210" i="34"/>
  <c r="O211" i="34"/>
  <c r="U210" i="34"/>
  <c r="U210" i="35"/>
  <c r="N152" i="34"/>
  <c r="T151" i="34"/>
  <c r="O276" i="34"/>
  <c r="R275" i="34"/>
  <c r="M275" i="30"/>
  <c r="S274" i="30"/>
  <c r="W182" i="35"/>
  <c r="AD29" i="35"/>
  <c r="Y29" i="35"/>
  <c r="M182" i="30"/>
  <c r="S181" i="30"/>
  <c r="T181" i="32"/>
  <c r="O214" i="35"/>
  <c r="R213" i="35"/>
  <c r="X213" i="36" s="1"/>
  <c r="P212" i="32"/>
  <c r="V211" i="32"/>
  <c r="V211" i="34"/>
  <c r="T90" i="34"/>
  <c r="N91" i="34"/>
  <c r="Q90" i="34"/>
  <c r="W90" i="34" s="1"/>
  <c r="S275" i="34"/>
  <c r="P276" i="34"/>
  <c r="V275" i="35"/>
  <c r="N366" i="32"/>
  <c r="U302" i="35"/>
  <c r="V89" i="34"/>
  <c r="P90" i="34"/>
  <c r="S89" i="34"/>
  <c r="S61" i="30"/>
  <c r="M62" i="30"/>
  <c r="T62" i="32" s="1"/>
  <c r="P214" i="34"/>
  <c r="S213" i="34"/>
  <c r="V213" i="35"/>
  <c r="N306" i="35"/>
  <c r="Q211" i="34"/>
  <c r="N212" i="34"/>
  <c r="T212" i="35" s="1"/>
  <c r="T211" i="34"/>
  <c r="T304" i="32"/>
  <c r="N305" i="32"/>
  <c r="AD59" i="34"/>
  <c r="AG59" i="34" s="1"/>
  <c r="M213" i="28"/>
  <c r="P212" i="28"/>
  <c r="AD120" i="32"/>
  <c r="M90" i="30"/>
  <c r="S89" i="30"/>
  <c r="N30" i="34"/>
  <c r="Q29" i="34"/>
  <c r="W29" i="35" s="1"/>
  <c r="T29" i="34"/>
  <c r="V303" i="34"/>
  <c r="P304" i="34"/>
  <c r="V303" i="35"/>
  <c r="P90" i="32"/>
  <c r="V89" i="32"/>
  <c r="R121" i="32"/>
  <c r="O122" i="32"/>
  <c r="V89" i="35"/>
  <c r="P90" i="35"/>
  <c r="S89" i="35"/>
  <c r="S30" i="35"/>
  <c r="V30" i="35"/>
  <c r="P31" i="35"/>
  <c r="P183" i="35"/>
  <c r="V182" i="35"/>
  <c r="S182" i="35"/>
  <c r="Y182" i="36" s="1"/>
  <c r="X240" i="35"/>
  <c r="AD181" i="34"/>
  <c r="AG181" i="34" s="1"/>
  <c r="M122" i="30"/>
  <c r="S121" i="30"/>
  <c r="T304" i="30"/>
  <c r="N305" i="30"/>
  <c r="O183" i="30"/>
  <c r="U182" i="30"/>
  <c r="V182" i="32"/>
  <c r="AD274" i="34"/>
  <c r="T337" i="30"/>
  <c r="N338" i="30"/>
  <c r="T338" i="30" s="1"/>
  <c r="AD87" i="34"/>
  <c r="AG87" i="34" s="1"/>
  <c r="O304" i="35"/>
  <c r="O121" i="35"/>
  <c r="U120" i="35"/>
  <c r="N91" i="32"/>
  <c r="Q90" i="32"/>
  <c r="U90" i="30"/>
  <c r="O91" i="30"/>
  <c r="P183" i="34"/>
  <c r="V182" i="34"/>
  <c r="S182" i="34"/>
  <c r="N212" i="32"/>
  <c r="T211" i="32"/>
  <c r="Y148" i="35"/>
  <c r="AD148" i="35"/>
  <c r="AG148" i="35" s="1"/>
  <c r="T303" i="32"/>
  <c r="S60" i="34"/>
  <c r="V60" i="34"/>
  <c r="P61" i="34"/>
  <c r="P365" i="32"/>
  <c r="V364" i="32"/>
  <c r="P336" i="35"/>
  <c r="T304" i="34"/>
  <c r="N305" i="34"/>
  <c r="AA89" i="35"/>
  <c r="AC89" i="35" s="1"/>
  <c r="W89" i="35"/>
  <c r="Y181" i="35"/>
  <c r="U275" i="35"/>
  <c r="O276" i="35"/>
  <c r="N121" i="32"/>
  <c r="T120" i="32"/>
  <c r="Y212" i="35"/>
  <c r="T242" i="35"/>
  <c r="N243" i="35"/>
  <c r="Q242" i="35"/>
  <c r="V121" i="32"/>
  <c r="S121" i="32"/>
  <c r="P122" i="32"/>
  <c r="R31" i="32"/>
  <c r="X31" i="32" s="1"/>
  <c r="U31" i="32"/>
  <c r="O32" i="32"/>
  <c r="T183" i="34"/>
  <c r="Q183" i="34"/>
  <c r="N184" i="34"/>
  <c r="T183" i="35"/>
  <c r="N276" i="35"/>
  <c r="S335" i="30"/>
  <c r="M336" i="30"/>
  <c r="U149" i="34"/>
  <c r="O150" i="34"/>
  <c r="T335" i="35"/>
  <c r="N336" i="35"/>
  <c r="U365" i="30"/>
  <c r="O366" i="30"/>
  <c r="P275" i="32"/>
  <c r="V274" i="32"/>
  <c r="O212" i="30"/>
  <c r="U211" i="30"/>
  <c r="P243" i="32"/>
  <c r="V242" i="32"/>
  <c r="S242" i="32"/>
  <c r="AA241" i="34"/>
  <c r="AC241" i="34" s="1"/>
  <c r="AC382" i="34" s="1"/>
  <c r="N365" i="30"/>
  <c r="T364" i="30"/>
  <c r="U59" i="35"/>
  <c r="O60" i="35"/>
  <c r="R59" i="35"/>
  <c r="P336" i="32"/>
  <c r="V335" i="32"/>
  <c r="T273" i="30"/>
  <c r="N274" i="30"/>
  <c r="U304" i="32"/>
  <c r="O305" i="32"/>
  <c r="T120" i="34"/>
  <c r="AD212" i="35"/>
  <c r="AA148" i="35"/>
  <c r="AC57" i="35"/>
  <c r="AC376" i="35" s="1"/>
  <c r="AI57" i="35"/>
  <c r="AI65" i="35"/>
  <c r="AG273" i="34"/>
  <c r="AD209" i="34"/>
  <c r="AG209" i="34" s="1"/>
  <c r="X209" i="35"/>
  <c r="AG241" i="35"/>
  <c r="AD240" i="34"/>
  <c r="AG240" i="34" s="1"/>
  <c r="T121" i="34"/>
  <c r="N122" i="34"/>
  <c r="Q121" i="34"/>
  <c r="N274" i="34"/>
  <c r="Q273" i="34"/>
  <c r="T273" i="34"/>
  <c r="T273" i="35"/>
  <c r="P305" i="32"/>
  <c r="V304" i="32"/>
  <c r="T121" i="35"/>
  <c r="X27" i="34"/>
  <c r="AD27" i="34"/>
  <c r="AG27" i="34" s="1"/>
  <c r="X27" i="35"/>
  <c r="AH57" i="35"/>
  <c r="AG57" i="35"/>
  <c r="AH65" i="35"/>
  <c r="V274" i="34"/>
  <c r="U335" i="35"/>
  <c r="O336" i="35"/>
  <c r="O151" i="35"/>
  <c r="U150" i="35"/>
  <c r="R150" i="35"/>
  <c r="AA89" i="32"/>
  <c r="U180" i="35"/>
  <c r="O181" i="35"/>
  <c r="R180" i="35"/>
  <c r="X180" i="36" s="1"/>
  <c r="AD362" i="34"/>
  <c r="AG362" i="34" s="1"/>
  <c r="O244" i="32"/>
  <c r="U243" i="32"/>
  <c r="V149" i="35"/>
  <c r="P150" i="35"/>
  <c r="S149" i="35"/>
  <c r="AD333" i="34"/>
  <c r="AG333" i="34" s="1"/>
  <c r="N335" i="34"/>
  <c r="Q334" i="34"/>
  <c r="T334" i="34"/>
  <c r="V334" i="35"/>
  <c r="AG212" i="35" l="1"/>
  <c r="AG242" i="35"/>
  <c r="U305" i="32"/>
  <c r="O306" i="32"/>
  <c r="N92" i="32"/>
  <c r="Q91" i="32"/>
  <c r="AD30" i="35"/>
  <c r="AG30" i="35" s="1"/>
  <c r="Y30" i="35"/>
  <c r="V90" i="32"/>
  <c r="P91" i="32"/>
  <c r="S90" i="30"/>
  <c r="M91" i="30"/>
  <c r="T91" i="32" s="1"/>
  <c r="N306" i="32"/>
  <c r="Y213" i="35"/>
  <c r="T152" i="34"/>
  <c r="N153" i="34"/>
  <c r="S33" i="34"/>
  <c r="P34" i="34"/>
  <c r="S246" i="30"/>
  <c r="M247" i="30"/>
  <c r="N64" i="32"/>
  <c r="T63" i="32"/>
  <c r="T121" i="30"/>
  <c r="N122" i="30"/>
  <c r="T274" i="32"/>
  <c r="N275" i="32"/>
  <c r="T33" i="30"/>
  <c r="N34" i="30"/>
  <c r="Q33" i="30"/>
  <c r="W33" i="30" s="1"/>
  <c r="O95" i="32"/>
  <c r="Y242" i="34"/>
  <c r="V335" i="34"/>
  <c r="P336" i="34"/>
  <c r="S335" i="34"/>
  <c r="V30" i="32"/>
  <c r="S30" i="32"/>
  <c r="P31" i="32"/>
  <c r="V30" i="34"/>
  <c r="U61" i="32"/>
  <c r="O62" i="32"/>
  <c r="T365" i="35"/>
  <c r="N366" i="35"/>
  <c r="O367" i="35"/>
  <c r="Q62" i="34"/>
  <c r="T62" i="34"/>
  <c r="N376" i="34"/>
  <c r="X180" i="35"/>
  <c r="AD180" i="35"/>
  <c r="AG180" i="35" s="1"/>
  <c r="O337" i="35"/>
  <c r="U336" i="35"/>
  <c r="AA121" i="34"/>
  <c r="X59" i="35"/>
  <c r="AD59" i="35"/>
  <c r="AG59" i="35" s="1"/>
  <c r="V365" i="32"/>
  <c r="P366" i="32"/>
  <c r="V366" i="34" s="1"/>
  <c r="N213" i="32"/>
  <c r="T212" i="32"/>
  <c r="T90" i="32"/>
  <c r="N306" i="30"/>
  <c r="T305" i="30"/>
  <c r="AD89" i="35"/>
  <c r="AG89" i="35" s="1"/>
  <c r="Y89" i="35"/>
  <c r="Q91" i="34"/>
  <c r="W91" i="34" s="1"/>
  <c r="T91" i="34"/>
  <c r="N92" i="34"/>
  <c r="N214" i="35"/>
  <c r="Q213" i="35"/>
  <c r="W213" i="36" s="1"/>
  <c r="O336" i="30"/>
  <c r="V336" i="32" s="1"/>
  <c r="U335" i="30"/>
  <c r="T91" i="35"/>
  <c r="N92" i="35"/>
  <c r="Q91" i="35"/>
  <c r="P155" i="34"/>
  <c r="V154" i="34"/>
  <c r="S154" i="34"/>
  <c r="P244" i="34"/>
  <c r="V243" i="34"/>
  <c r="S243" i="34"/>
  <c r="U273" i="32"/>
  <c r="O274" i="32"/>
  <c r="U273" i="34"/>
  <c r="AD29" i="32"/>
  <c r="AG29" i="32" s="1"/>
  <c r="Y29" i="32"/>
  <c r="Y29" i="34"/>
  <c r="U61" i="34"/>
  <c r="R61" i="34"/>
  <c r="O62" i="34"/>
  <c r="S383" i="35"/>
  <c r="S384" i="35"/>
  <c r="S385" i="35"/>
  <c r="S386" i="35"/>
  <c r="S381" i="35"/>
  <c r="AA61" i="34"/>
  <c r="AA376" i="34" s="1"/>
  <c r="Q150" i="35"/>
  <c r="N151" i="35"/>
  <c r="T150" i="35"/>
  <c r="AD149" i="35"/>
  <c r="AG149" i="35" s="1"/>
  <c r="Y149" i="35"/>
  <c r="U181" i="35"/>
  <c r="O182" i="35"/>
  <c r="R181" i="35"/>
  <c r="X181" i="36" s="1"/>
  <c r="T122" i="34"/>
  <c r="Q122" i="34"/>
  <c r="N123" i="34"/>
  <c r="U60" i="35"/>
  <c r="R60" i="35"/>
  <c r="O61" i="35"/>
  <c r="S243" i="32"/>
  <c r="P244" i="32"/>
  <c r="V243" i="32"/>
  <c r="N337" i="35"/>
  <c r="N277" i="35"/>
  <c r="S122" i="32"/>
  <c r="P123" i="32"/>
  <c r="V122" i="32"/>
  <c r="S61" i="34"/>
  <c r="P62" i="34"/>
  <c r="V61" i="34"/>
  <c r="AD182" i="34"/>
  <c r="AG182" i="34" s="1"/>
  <c r="Y182" i="35"/>
  <c r="V90" i="35"/>
  <c r="P91" i="35"/>
  <c r="S90" i="35"/>
  <c r="P305" i="34"/>
  <c r="V304" i="34"/>
  <c r="V304" i="35"/>
  <c r="P215" i="34"/>
  <c r="S214" i="34"/>
  <c r="V214" i="35"/>
  <c r="M276" i="30"/>
  <c r="S275" i="30"/>
  <c r="T60" i="35"/>
  <c r="N61" i="35"/>
  <c r="Q60" i="35"/>
  <c r="AD363" i="34"/>
  <c r="AG363" i="34" s="1"/>
  <c r="T91" i="30"/>
  <c r="N92" i="30"/>
  <c r="U91" i="32"/>
  <c r="O214" i="32"/>
  <c r="AA149" i="35"/>
  <c r="AC149" i="35" s="1"/>
  <c r="AC379" i="35" s="1"/>
  <c r="N275" i="34"/>
  <c r="Q274" i="34"/>
  <c r="T274" i="34"/>
  <c r="T274" i="35"/>
  <c r="N213" i="34"/>
  <c r="T213" i="35" s="1"/>
  <c r="Q212" i="34"/>
  <c r="W212" i="35" s="1"/>
  <c r="T212" i="34"/>
  <c r="R211" i="34"/>
  <c r="U211" i="34"/>
  <c r="O212" i="34"/>
  <c r="U211" i="35"/>
  <c r="W30" i="35"/>
  <c r="AA30" i="35"/>
  <c r="R338" i="34"/>
  <c r="W59" i="35"/>
  <c r="AA59" i="35"/>
  <c r="S62" i="35"/>
  <c r="V62" i="35"/>
  <c r="P376" i="35"/>
  <c r="U335" i="32"/>
  <c r="O336" i="32"/>
  <c r="U335" i="34"/>
  <c r="T305" i="34"/>
  <c r="N306" i="34"/>
  <c r="U121" i="35"/>
  <c r="O122" i="35"/>
  <c r="S122" i="30"/>
  <c r="M123" i="30"/>
  <c r="N63" i="30"/>
  <c r="T62" i="30"/>
  <c r="U365" i="32"/>
  <c r="O366" i="32"/>
  <c r="X28" i="34"/>
  <c r="AD28" i="34"/>
  <c r="AG28" i="34" s="1"/>
  <c r="X28" i="35"/>
  <c r="T365" i="30"/>
  <c r="N366" i="30"/>
  <c r="U150" i="34"/>
  <c r="O151" i="34"/>
  <c r="W183" i="35"/>
  <c r="W242" i="35"/>
  <c r="AA242" i="35"/>
  <c r="N122" i="32"/>
  <c r="T121" i="32"/>
  <c r="U91" i="30"/>
  <c r="O92" i="30"/>
  <c r="O305" i="35"/>
  <c r="U121" i="32"/>
  <c r="W29" i="34"/>
  <c r="AA29" i="34"/>
  <c r="N307" i="35"/>
  <c r="T306" i="35"/>
  <c r="S276" i="34"/>
  <c r="P277" i="34"/>
  <c r="V276" i="34"/>
  <c r="V276" i="35"/>
  <c r="P213" i="32"/>
  <c r="V212" i="32"/>
  <c r="V212" i="34"/>
  <c r="R276" i="34"/>
  <c r="O277" i="34"/>
  <c r="N245" i="30"/>
  <c r="T244" i="30"/>
  <c r="V122" i="34"/>
  <c r="P123" i="34"/>
  <c r="V243" i="35"/>
  <c r="N32" i="35"/>
  <c r="Q31" i="35"/>
  <c r="O243" i="34"/>
  <c r="U242" i="34"/>
  <c r="R242" i="34"/>
  <c r="U242" i="35"/>
  <c r="U62" i="30"/>
  <c r="O63" i="30"/>
  <c r="N63" i="28"/>
  <c r="Q63" i="28" s="1"/>
  <c r="Q62" i="28"/>
  <c r="R29" i="34"/>
  <c r="U29" i="34"/>
  <c r="O30" i="34"/>
  <c r="U29" i="35"/>
  <c r="O244" i="30"/>
  <c r="U243" i="30"/>
  <c r="S150" i="35"/>
  <c r="P151" i="35"/>
  <c r="V150" i="35"/>
  <c r="N367" i="32"/>
  <c r="S182" i="30"/>
  <c r="M183" i="30"/>
  <c r="T182" i="32"/>
  <c r="T245" i="32"/>
  <c r="N246" i="32"/>
  <c r="O245" i="35"/>
  <c r="R244" i="35"/>
  <c r="P64" i="32"/>
  <c r="R32" i="35"/>
  <c r="O33" i="35"/>
  <c r="O365" i="34"/>
  <c r="U364" i="34"/>
  <c r="R364" i="34"/>
  <c r="U364" i="35"/>
  <c r="V305" i="32"/>
  <c r="P306" i="32"/>
  <c r="AD60" i="34"/>
  <c r="AG60" i="34" s="1"/>
  <c r="P184" i="35"/>
  <c r="V183" i="35"/>
  <c r="S183" i="35"/>
  <c r="Y183" i="36" s="1"/>
  <c r="X210" i="35"/>
  <c r="AD210" i="34"/>
  <c r="AG210" i="34" s="1"/>
  <c r="P367" i="34"/>
  <c r="S366" i="34"/>
  <c r="V366" i="35"/>
  <c r="U244" i="32"/>
  <c r="O245" i="32"/>
  <c r="P337" i="32"/>
  <c r="V275" i="32"/>
  <c r="P276" i="32"/>
  <c r="N244" i="35"/>
  <c r="T243" i="35"/>
  <c r="Q243" i="35"/>
  <c r="U276" i="35"/>
  <c r="O277" i="35"/>
  <c r="V335" i="35"/>
  <c r="V31" i="35"/>
  <c r="S31" i="35"/>
  <c r="P32" i="35"/>
  <c r="T30" i="34"/>
  <c r="N31" i="34"/>
  <c r="T31" i="35" s="1"/>
  <c r="Q30" i="34"/>
  <c r="T305" i="35"/>
  <c r="AD89" i="34"/>
  <c r="AG89" i="34" s="1"/>
  <c r="V275" i="34"/>
  <c r="AD213" i="35"/>
  <c r="AG29" i="35"/>
  <c r="T337" i="32"/>
  <c r="N338" i="32"/>
  <c r="P245" i="35"/>
  <c r="V244" i="35"/>
  <c r="S244" i="35"/>
  <c r="M305" i="30"/>
  <c r="S304" i="30"/>
  <c r="AA29" i="32"/>
  <c r="W29" i="32"/>
  <c r="N367" i="34"/>
  <c r="T366" i="34"/>
  <c r="Q366" i="34"/>
  <c r="O91" i="35"/>
  <c r="U90" i="35"/>
  <c r="R90" i="35"/>
  <c r="O122" i="34"/>
  <c r="U121" i="34"/>
  <c r="U124" i="30"/>
  <c r="O125" i="30"/>
  <c r="P122" i="35"/>
  <c r="V121" i="35"/>
  <c r="AE18" i="32"/>
  <c r="AG17" i="32"/>
  <c r="U151" i="35"/>
  <c r="O152" i="35"/>
  <c r="R151" i="35"/>
  <c r="T274" i="30"/>
  <c r="N275" i="30"/>
  <c r="AD121" i="32"/>
  <c r="AG274" i="34"/>
  <c r="S62" i="30"/>
  <c r="M63" i="30"/>
  <c r="N212" i="30"/>
  <c r="T211" i="30"/>
  <c r="U211" i="32"/>
  <c r="AA90" i="35"/>
  <c r="W90" i="35"/>
  <c r="O213" i="30"/>
  <c r="U212" i="30"/>
  <c r="Q184" i="34"/>
  <c r="T184" i="34"/>
  <c r="N185" i="34"/>
  <c r="T184" i="35"/>
  <c r="S183" i="34"/>
  <c r="P184" i="34"/>
  <c r="V183" i="34"/>
  <c r="R122" i="32"/>
  <c r="O123" i="32"/>
  <c r="U122" i="32"/>
  <c r="M214" i="28"/>
  <c r="P213" i="28"/>
  <c r="U303" i="34"/>
  <c r="O304" i="34"/>
  <c r="U304" i="35" s="1"/>
  <c r="P30" i="30"/>
  <c r="V30" i="30" s="1"/>
  <c r="M31" i="30"/>
  <c r="S30" i="30"/>
  <c r="AD243" i="35"/>
  <c r="X241" i="35"/>
  <c r="U89" i="34"/>
  <c r="O90" i="34"/>
  <c r="R89" i="34"/>
  <c r="Q243" i="34"/>
  <c r="N244" i="34"/>
  <c r="T243" i="34"/>
  <c r="T335" i="34"/>
  <c r="Q335" i="34"/>
  <c r="N336" i="34"/>
  <c r="U366" i="30"/>
  <c r="O367" i="30"/>
  <c r="S336" i="30"/>
  <c r="M337" i="30"/>
  <c r="U32" i="32"/>
  <c r="R32" i="32"/>
  <c r="X32" i="32" s="1"/>
  <c r="O33" i="32"/>
  <c r="V336" i="35"/>
  <c r="P337" i="35"/>
  <c r="AA90" i="32"/>
  <c r="O184" i="30"/>
  <c r="U183" i="30"/>
  <c r="V183" i="32"/>
  <c r="P91" i="34"/>
  <c r="S90" i="34"/>
  <c r="V90" i="34"/>
  <c r="AD275" i="34"/>
  <c r="O215" i="35"/>
  <c r="R214" i="35"/>
  <c r="X214" i="36" s="1"/>
  <c r="T336" i="32"/>
  <c r="AA212" i="35"/>
  <c r="O31" i="30"/>
  <c r="R30" i="30"/>
  <c r="X30" i="30" s="1"/>
  <c r="U30" i="30"/>
  <c r="N31" i="32"/>
  <c r="Q30" i="32"/>
  <c r="T30" i="32"/>
  <c r="Y60" i="35"/>
  <c r="M366" i="30"/>
  <c r="T366" i="32" s="1"/>
  <c r="S365" i="30"/>
  <c r="AD334" i="34"/>
  <c r="AG334" i="34" s="1"/>
  <c r="U305" i="30"/>
  <c r="O306" i="30"/>
  <c r="N124" i="35"/>
  <c r="T123" i="35"/>
  <c r="M215" i="30"/>
  <c r="S214" i="30"/>
  <c r="U183" i="34"/>
  <c r="R183" i="34"/>
  <c r="O184" i="34"/>
  <c r="N184" i="30"/>
  <c r="T183" i="30"/>
  <c r="U183" i="32"/>
  <c r="AC212" i="35" l="1"/>
  <c r="AC385" i="35" s="1"/>
  <c r="AG213" i="35"/>
  <c r="AA184" i="34"/>
  <c r="W184" i="35"/>
  <c r="P123" i="35"/>
  <c r="V122" i="35"/>
  <c r="Y183" i="35"/>
  <c r="AD364" i="34"/>
  <c r="AG364" i="34" s="1"/>
  <c r="V64" i="32"/>
  <c r="V63" i="34"/>
  <c r="P376" i="32"/>
  <c r="AA31" i="35"/>
  <c r="N246" i="30"/>
  <c r="T245" i="30"/>
  <c r="T63" i="30"/>
  <c r="N307" i="34"/>
  <c r="T306" i="34"/>
  <c r="Q275" i="34"/>
  <c r="N276" i="34"/>
  <c r="T275" i="34"/>
  <c r="T275" i="35"/>
  <c r="Y214" i="35"/>
  <c r="V91" i="35"/>
  <c r="S91" i="35"/>
  <c r="P92" i="35"/>
  <c r="AD61" i="34"/>
  <c r="AG61" i="34" s="1"/>
  <c r="AA150" i="35"/>
  <c r="V155" i="34"/>
  <c r="S155" i="34"/>
  <c r="P379" i="34"/>
  <c r="N215" i="35"/>
  <c r="T214" i="35"/>
  <c r="Q214" i="35"/>
  <c r="W214" i="36" s="1"/>
  <c r="T306" i="30"/>
  <c r="N307" i="30"/>
  <c r="Q376" i="34"/>
  <c r="S34" i="34"/>
  <c r="P375" i="34"/>
  <c r="T184" i="30"/>
  <c r="N185" i="30"/>
  <c r="U184" i="32"/>
  <c r="T124" i="35"/>
  <c r="N378" i="35"/>
  <c r="P338" i="35"/>
  <c r="V337" i="35"/>
  <c r="P31" i="30"/>
  <c r="V31" i="30" s="1"/>
  <c r="S31" i="30"/>
  <c r="M32" i="30"/>
  <c r="O92" i="35"/>
  <c r="R91" i="35"/>
  <c r="S305" i="30"/>
  <c r="M306" i="30"/>
  <c r="P338" i="32"/>
  <c r="P368" i="34"/>
  <c r="S367" i="34"/>
  <c r="V367" i="35"/>
  <c r="U63" i="30"/>
  <c r="N33" i="35"/>
  <c r="Q32" i="35"/>
  <c r="S277" i="34"/>
  <c r="V277" i="34"/>
  <c r="P278" i="34"/>
  <c r="V277" i="35"/>
  <c r="O306" i="35"/>
  <c r="X89" i="35"/>
  <c r="X211" i="35"/>
  <c r="AD211" i="34"/>
  <c r="AG211" i="34" s="1"/>
  <c r="S244" i="32"/>
  <c r="P245" i="32"/>
  <c r="V244" i="32"/>
  <c r="X181" i="35"/>
  <c r="AD181" i="35"/>
  <c r="AG181" i="35" s="1"/>
  <c r="U274" i="32"/>
  <c r="O275" i="32"/>
  <c r="U274" i="34"/>
  <c r="V31" i="32"/>
  <c r="P32" i="32"/>
  <c r="S31" i="32"/>
  <c r="V31" i="34"/>
  <c r="N123" i="30"/>
  <c r="T122" i="30"/>
  <c r="N307" i="32"/>
  <c r="R184" i="34"/>
  <c r="O185" i="34"/>
  <c r="U184" i="34"/>
  <c r="O307" i="30"/>
  <c r="U306" i="30"/>
  <c r="O91" i="34"/>
  <c r="R90" i="34"/>
  <c r="U90" i="34"/>
  <c r="O214" i="30"/>
  <c r="U213" i="30"/>
  <c r="S63" i="30"/>
  <c r="O153" i="35"/>
  <c r="R152" i="35"/>
  <c r="U152" i="35"/>
  <c r="U125" i="30"/>
  <c r="AA366" i="34"/>
  <c r="AD244" i="35"/>
  <c r="W30" i="34"/>
  <c r="AA30" i="34"/>
  <c r="U278" i="35"/>
  <c r="U277" i="35"/>
  <c r="P185" i="35"/>
  <c r="V184" i="35"/>
  <c r="S184" i="35"/>
  <c r="Y184" i="36" s="1"/>
  <c r="O366" i="34"/>
  <c r="U365" i="34"/>
  <c r="R365" i="34"/>
  <c r="U365" i="35"/>
  <c r="N368" i="32"/>
  <c r="R277" i="34"/>
  <c r="O278" i="34"/>
  <c r="AD276" i="34"/>
  <c r="U92" i="30"/>
  <c r="O93" i="30"/>
  <c r="S123" i="30"/>
  <c r="M124" i="30"/>
  <c r="P216" i="34"/>
  <c r="S215" i="34"/>
  <c r="V215" i="35"/>
  <c r="S123" i="32"/>
  <c r="P124" i="32"/>
  <c r="V123" i="32"/>
  <c r="U182" i="35"/>
  <c r="O183" i="35"/>
  <c r="R182" i="35"/>
  <c r="X182" i="36" s="1"/>
  <c r="R62" i="34"/>
  <c r="U62" i="34"/>
  <c r="O376" i="34"/>
  <c r="W91" i="35"/>
  <c r="AA91" i="35"/>
  <c r="T92" i="34"/>
  <c r="Q92" i="34"/>
  <c r="W92" i="34" s="1"/>
  <c r="N93" i="34"/>
  <c r="O368" i="35"/>
  <c r="Y30" i="32"/>
  <c r="AD30" i="32"/>
  <c r="AG30" i="32" s="1"/>
  <c r="Y30" i="34"/>
  <c r="O377" i="32"/>
  <c r="T305" i="32"/>
  <c r="AA91" i="32"/>
  <c r="AG275" i="34"/>
  <c r="O368" i="30"/>
  <c r="U367" i="30"/>
  <c r="T336" i="34"/>
  <c r="N337" i="34"/>
  <c r="Q336" i="34"/>
  <c r="P185" i="34"/>
  <c r="S184" i="34"/>
  <c r="V184" i="34"/>
  <c r="U30" i="34"/>
  <c r="O31" i="34"/>
  <c r="R30" i="34"/>
  <c r="U30" i="35"/>
  <c r="O152" i="34"/>
  <c r="U151" i="34"/>
  <c r="U336" i="32"/>
  <c r="O337" i="32"/>
  <c r="U336" i="34"/>
  <c r="O215" i="32"/>
  <c r="U61" i="35"/>
  <c r="R61" i="35"/>
  <c r="O62" i="35"/>
  <c r="T92" i="35"/>
  <c r="Q92" i="35"/>
  <c r="N93" i="35"/>
  <c r="N214" i="32"/>
  <c r="T213" i="32"/>
  <c r="N367" i="35"/>
  <c r="T366" i="35"/>
  <c r="M92" i="30"/>
  <c r="S91" i="30"/>
  <c r="W30" i="32"/>
  <c r="AA30" i="32"/>
  <c r="AC30" i="32" s="1"/>
  <c r="N247" i="32"/>
  <c r="T246" i="32"/>
  <c r="N214" i="34"/>
  <c r="Q213" i="34"/>
  <c r="W213" i="35" s="1"/>
  <c r="T213" i="34"/>
  <c r="Y61" i="35"/>
  <c r="N35" i="30"/>
  <c r="T34" i="30"/>
  <c r="Q34" i="30"/>
  <c r="W34" i="30" s="1"/>
  <c r="N32" i="32"/>
  <c r="Q31" i="32"/>
  <c r="T31" i="32"/>
  <c r="R215" i="35"/>
  <c r="X215" i="36" s="1"/>
  <c r="O216" i="35"/>
  <c r="AE19" i="32"/>
  <c r="AG18" i="32"/>
  <c r="U122" i="34"/>
  <c r="O123" i="34"/>
  <c r="P307" i="32"/>
  <c r="V306" i="32"/>
  <c r="Y150" i="35"/>
  <c r="AD150" i="35"/>
  <c r="AG150" i="35" s="1"/>
  <c r="X29" i="34"/>
  <c r="AD29" i="34"/>
  <c r="X29" i="35"/>
  <c r="X242" i="35"/>
  <c r="P124" i="34"/>
  <c r="V123" i="34"/>
  <c r="S244" i="34"/>
  <c r="V244" i="34"/>
  <c r="P245" i="34"/>
  <c r="O63" i="32"/>
  <c r="U62" i="32"/>
  <c r="P337" i="34"/>
  <c r="V336" i="34"/>
  <c r="S336" i="34"/>
  <c r="T64" i="32"/>
  <c r="T376" i="32" s="1"/>
  <c r="T63" i="34"/>
  <c r="N376" i="32"/>
  <c r="V91" i="32"/>
  <c r="P92" i="32"/>
  <c r="O124" i="32"/>
  <c r="U123" i="32"/>
  <c r="R123" i="32"/>
  <c r="S91" i="34"/>
  <c r="V91" i="34"/>
  <c r="P92" i="34"/>
  <c r="Q31" i="34"/>
  <c r="W31" i="34" s="1"/>
  <c r="T31" i="34"/>
  <c r="N32" i="34"/>
  <c r="T32" i="35" s="1"/>
  <c r="U366" i="32"/>
  <c r="O367" i="32"/>
  <c r="AD122" i="32"/>
  <c r="Y243" i="34"/>
  <c r="T153" i="34"/>
  <c r="N154" i="34"/>
  <c r="AD183" i="34"/>
  <c r="AG183" i="34" s="1"/>
  <c r="N368" i="34"/>
  <c r="T367" i="34"/>
  <c r="Q367" i="34"/>
  <c r="U245" i="32"/>
  <c r="O246" i="32"/>
  <c r="O34" i="35"/>
  <c r="R33" i="35"/>
  <c r="N308" i="35"/>
  <c r="X60" i="35"/>
  <c r="AD60" i="35"/>
  <c r="AG60" i="35" s="1"/>
  <c r="P367" i="32"/>
  <c r="V366" i="32"/>
  <c r="S215" i="30"/>
  <c r="M216" i="30"/>
  <c r="U184" i="30"/>
  <c r="O185" i="30"/>
  <c r="V184" i="32"/>
  <c r="M338" i="30"/>
  <c r="S338" i="30" s="1"/>
  <c r="S337" i="30"/>
  <c r="Y243" i="35"/>
  <c r="M215" i="28"/>
  <c r="P214" i="28"/>
  <c r="T185" i="34"/>
  <c r="Q185" i="34"/>
  <c r="N380" i="34"/>
  <c r="T185" i="35"/>
  <c r="S32" i="35"/>
  <c r="P33" i="35"/>
  <c r="V32" i="35"/>
  <c r="N245" i="35"/>
  <c r="T244" i="35"/>
  <c r="Q244" i="35"/>
  <c r="P214" i="32"/>
  <c r="V213" i="32"/>
  <c r="V213" i="34"/>
  <c r="N123" i="32"/>
  <c r="T123" i="34" s="1"/>
  <c r="T122" i="32"/>
  <c r="N367" i="30"/>
  <c r="T366" i="30"/>
  <c r="U122" i="35"/>
  <c r="O123" i="35"/>
  <c r="T92" i="30"/>
  <c r="N93" i="30"/>
  <c r="U92" i="32"/>
  <c r="W60" i="35"/>
  <c r="AA60" i="35"/>
  <c r="M277" i="30"/>
  <c r="S276" i="30"/>
  <c r="P306" i="34"/>
  <c r="V305" i="34"/>
  <c r="V305" i="35"/>
  <c r="N338" i="35"/>
  <c r="Q123" i="34"/>
  <c r="N124" i="34"/>
  <c r="U336" i="30"/>
  <c r="O337" i="30"/>
  <c r="N276" i="32"/>
  <c r="T275" i="32"/>
  <c r="M248" i="30"/>
  <c r="S248" i="30" s="1"/>
  <c r="S247" i="30"/>
  <c r="U306" i="32"/>
  <c r="O307" i="32"/>
  <c r="R31" i="30"/>
  <c r="X31" i="30" s="1"/>
  <c r="O32" i="30"/>
  <c r="U31" i="30"/>
  <c r="U33" i="32"/>
  <c r="O34" i="32"/>
  <c r="R33" i="32"/>
  <c r="X33" i="32" s="1"/>
  <c r="U304" i="34"/>
  <c r="O305" i="34"/>
  <c r="U305" i="35" s="1"/>
  <c r="R245" i="35"/>
  <c r="O246" i="35"/>
  <c r="AA212" i="34"/>
  <c r="U337" i="35"/>
  <c r="O338" i="35"/>
  <c r="Q92" i="32"/>
  <c r="T92" i="32"/>
  <c r="N93" i="32"/>
  <c r="AD214" i="35"/>
  <c r="P246" i="35"/>
  <c r="S245" i="35"/>
  <c r="W243" i="35"/>
  <c r="AA243" i="35"/>
  <c r="P152" i="35"/>
  <c r="S151" i="35"/>
  <c r="V151" i="35"/>
  <c r="AD335" i="34"/>
  <c r="AG335" i="34" s="1"/>
  <c r="M367" i="30"/>
  <c r="T367" i="32" s="1"/>
  <c r="S366" i="30"/>
  <c r="N245" i="34"/>
  <c r="T244" i="34"/>
  <c r="Q244" i="34"/>
  <c r="AG243" i="35"/>
  <c r="N213" i="30"/>
  <c r="T212" i="30"/>
  <c r="U212" i="32"/>
  <c r="T275" i="30"/>
  <c r="N276" i="30"/>
  <c r="X90" i="35"/>
  <c r="T338" i="32"/>
  <c r="N339" i="32"/>
  <c r="Y31" i="35"/>
  <c r="AD31" i="35"/>
  <c r="AG31" i="35" s="1"/>
  <c r="V276" i="32"/>
  <c r="P277" i="32"/>
  <c r="V63" i="32"/>
  <c r="S183" i="30"/>
  <c r="M184" i="30"/>
  <c r="T183" i="32"/>
  <c r="U244" i="30"/>
  <c r="O245" i="30"/>
  <c r="Q95" i="28"/>
  <c r="Q93" i="28"/>
  <c r="Q88" i="28"/>
  <c r="Q90" i="28"/>
  <c r="Q86" i="28"/>
  <c r="Q77" i="28"/>
  <c r="Q72" i="28"/>
  <c r="Q67" i="28"/>
  <c r="Q92" i="28"/>
  <c r="Q91" i="28"/>
  <c r="Q87" i="28"/>
  <c r="Q73" i="28"/>
  <c r="Q68" i="28"/>
  <c r="Q94" i="28"/>
  <c r="Q79" i="28"/>
  <c r="Q76" i="28"/>
  <c r="Q70" i="28"/>
  <c r="Q85" i="28"/>
  <c r="Q71" i="28"/>
  <c r="Q65" i="28"/>
  <c r="Q69" i="28"/>
  <c r="Q78" i="28"/>
  <c r="Q89" i="28"/>
  <c r="Q75" i="28"/>
  <c r="Q82" i="28"/>
  <c r="Q81" i="28"/>
  <c r="Q74" i="28"/>
  <c r="Q83" i="28"/>
  <c r="Q84" i="28"/>
  <c r="Q66" i="28"/>
  <c r="Q80" i="28"/>
  <c r="U243" i="34"/>
  <c r="R243" i="34"/>
  <c r="AD243" i="34" s="1"/>
  <c r="AG243" i="34" s="1"/>
  <c r="O244" i="34"/>
  <c r="U243" i="35"/>
  <c r="S376" i="35"/>
  <c r="U212" i="34"/>
  <c r="O213" i="34"/>
  <c r="R212" i="34"/>
  <c r="U212" i="35"/>
  <c r="T61" i="35"/>
  <c r="Q61" i="35"/>
  <c r="N62" i="35"/>
  <c r="AD90" i="35"/>
  <c r="AG90" i="35" s="1"/>
  <c r="Y90" i="35"/>
  <c r="S62" i="34"/>
  <c r="V62" i="34"/>
  <c r="P376" i="34"/>
  <c r="T336" i="35"/>
  <c r="AA122" i="34"/>
  <c r="T151" i="35"/>
  <c r="N152" i="35"/>
  <c r="Q151" i="35"/>
  <c r="AA213" i="35"/>
  <c r="AD242" i="34"/>
  <c r="AG242" i="34" s="1"/>
  <c r="AC384" i="35" l="1"/>
  <c r="AC386" i="35"/>
  <c r="AC383" i="35"/>
  <c r="AC381" i="35"/>
  <c r="S152" i="35"/>
  <c r="P153" i="35"/>
  <c r="V152" i="35"/>
  <c r="T93" i="32"/>
  <c r="Q93" i="32"/>
  <c r="N94" i="32"/>
  <c r="O247" i="35"/>
  <c r="R246" i="35"/>
  <c r="AA244" i="35"/>
  <c r="W244" i="35"/>
  <c r="AA367" i="34"/>
  <c r="AC367" i="34" s="1"/>
  <c r="V92" i="32"/>
  <c r="P93" i="32"/>
  <c r="N33" i="32"/>
  <c r="T32" i="32"/>
  <c r="Q32" i="32"/>
  <c r="O216" i="32"/>
  <c r="O369" i="35"/>
  <c r="P125" i="32"/>
  <c r="V124" i="32"/>
  <c r="S124" i="32"/>
  <c r="S124" i="30"/>
  <c r="M125" i="30"/>
  <c r="R185" i="34"/>
  <c r="O186" i="34"/>
  <c r="U185" i="34"/>
  <c r="Y31" i="32"/>
  <c r="AD31" i="32"/>
  <c r="AG31" i="32" s="1"/>
  <c r="Y31" i="34"/>
  <c r="P339" i="32"/>
  <c r="S32" i="30"/>
  <c r="P32" i="30"/>
  <c r="V32" i="30" s="1"/>
  <c r="M33" i="30"/>
  <c r="N308" i="34"/>
  <c r="T307" i="34"/>
  <c r="T276" i="30"/>
  <c r="N277" i="30"/>
  <c r="N246" i="34"/>
  <c r="T245" i="34"/>
  <c r="Q245" i="34"/>
  <c r="N277" i="32"/>
  <c r="T276" i="32"/>
  <c r="T339" i="35"/>
  <c r="N368" i="30"/>
  <c r="T367" i="30"/>
  <c r="AA185" i="34"/>
  <c r="Q380" i="34"/>
  <c r="W185" i="35"/>
  <c r="O186" i="30"/>
  <c r="U185" i="30"/>
  <c r="V185" i="32"/>
  <c r="T308" i="35"/>
  <c r="O64" i="32"/>
  <c r="U63" i="32"/>
  <c r="V124" i="34"/>
  <c r="P378" i="34"/>
  <c r="N248" i="32"/>
  <c r="T248" i="32" s="1"/>
  <c r="T247" i="32"/>
  <c r="N215" i="32"/>
  <c r="T214" i="32"/>
  <c r="N338" i="34"/>
  <c r="T338" i="35" s="1"/>
  <c r="T337" i="34"/>
  <c r="Q337" i="34"/>
  <c r="R376" i="34"/>
  <c r="AD123" i="32"/>
  <c r="N369" i="32"/>
  <c r="V185" i="35"/>
  <c r="S185" i="35"/>
  <c r="Y185" i="36" s="1"/>
  <c r="P380" i="35"/>
  <c r="V32" i="32"/>
  <c r="P33" i="32"/>
  <c r="S32" i="32"/>
  <c r="V32" i="34"/>
  <c r="V245" i="32"/>
  <c r="P246" i="32"/>
  <c r="S245" i="32"/>
  <c r="S306" i="30"/>
  <c r="M307" i="30"/>
  <c r="N308" i="30"/>
  <c r="T307" i="30"/>
  <c r="O245" i="34"/>
  <c r="R244" i="34"/>
  <c r="U244" i="34"/>
  <c r="U244" i="35"/>
  <c r="P278" i="32"/>
  <c r="V278" i="32" s="1"/>
  <c r="V277" i="32"/>
  <c r="AA92" i="32"/>
  <c r="R32" i="30"/>
  <c r="X32" i="30" s="1"/>
  <c r="O33" i="30"/>
  <c r="U32" i="30"/>
  <c r="O338" i="30"/>
  <c r="U338" i="30" s="1"/>
  <c r="U337" i="30"/>
  <c r="T337" i="35"/>
  <c r="N246" i="35"/>
  <c r="T245" i="35"/>
  <c r="Q245" i="35"/>
  <c r="T307" i="35"/>
  <c r="T368" i="34"/>
  <c r="N369" i="34"/>
  <c r="Q368" i="34"/>
  <c r="S92" i="34"/>
  <c r="P93" i="34"/>
  <c r="V92" i="34"/>
  <c r="AE20" i="32"/>
  <c r="AG19" i="32"/>
  <c r="T93" i="35"/>
  <c r="N94" i="35"/>
  <c r="Q93" i="35"/>
  <c r="X30" i="34"/>
  <c r="AD30" i="34"/>
  <c r="AG30" i="34" s="1"/>
  <c r="X30" i="35"/>
  <c r="N94" i="34"/>
  <c r="Q93" i="34"/>
  <c r="T93" i="34"/>
  <c r="X182" i="35"/>
  <c r="AD182" i="35"/>
  <c r="AG182" i="35" s="1"/>
  <c r="O94" i="30"/>
  <c r="U93" i="30"/>
  <c r="O215" i="30"/>
  <c r="U214" i="30"/>
  <c r="T306" i="32"/>
  <c r="S278" i="34"/>
  <c r="V278" i="35"/>
  <c r="T185" i="30"/>
  <c r="N186" i="30"/>
  <c r="U185" i="32"/>
  <c r="V376" i="32"/>
  <c r="AD62" i="34"/>
  <c r="AG62" i="34" s="1"/>
  <c r="S376" i="34"/>
  <c r="N94" i="30"/>
  <c r="T93" i="30"/>
  <c r="U93" i="32"/>
  <c r="T35" i="30"/>
  <c r="Q35" i="30"/>
  <c r="U337" i="32"/>
  <c r="O338" i="32"/>
  <c r="U337" i="34"/>
  <c r="V123" i="35"/>
  <c r="P124" i="35"/>
  <c r="R213" i="34"/>
  <c r="O214" i="34"/>
  <c r="U213" i="34"/>
  <c r="U213" i="35"/>
  <c r="V33" i="35"/>
  <c r="S33" i="35"/>
  <c r="P34" i="35"/>
  <c r="T213" i="30"/>
  <c r="N214" i="30"/>
  <c r="U213" i="32"/>
  <c r="P247" i="35"/>
  <c r="V246" i="35"/>
  <c r="S246" i="35"/>
  <c r="P307" i="34"/>
  <c r="V306" i="34"/>
  <c r="V306" i="35"/>
  <c r="U123" i="35"/>
  <c r="O124" i="35"/>
  <c r="AD32" i="35"/>
  <c r="AG32" i="35" s="1"/>
  <c r="Y32" i="35"/>
  <c r="R34" i="35"/>
  <c r="O375" i="35"/>
  <c r="O368" i="32"/>
  <c r="U367" i="32"/>
  <c r="AD336" i="34"/>
  <c r="AG336" i="34" s="1"/>
  <c r="Y244" i="34"/>
  <c r="S92" i="30"/>
  <c r="M93" i="30"/>
  <c r="R62" i="35"/>
  <c r="U62" i="35"/>
  <c r="O376" i="35"/>
  <c r="P217" i="34"/>
  <c r="S216" i="34"/>
  <c r="V216" i="35"/>
  <c r="R91" i="34"/>
  <c r="U91" i="34"/>
  <c r="O92" i="34"/>
  <c r="T123" i="30"/>
  <c r="N124" i="30"/>
  <c r="P369" i="34"/>
  <c r="S368" i="34"/>
  <c r="V368" i="35"/>
  <c r="U91" i="35"/>
  <c r="V339" i="35"/>
  <c r="N216" i="35"/>
  <c r="Q215" i="35"/>
  <c r="W215" i="36" s="1"/>
  <c r="V92" i="35"/>
  <c r="P93" i="35"/>
  <c r="S92" i="35"/>
  <c r="N277" i="34"/>
  <c r="T276" i="34"/>
  <c r="Q276" i="34"/>
  <c r="AG276" i="34" s="1"/>
  <c r="T276" i="35"/>
  <c r="W31" i="35"/>
  <c r="X212" i="35"/>
  <c r="AD212" i="34"/>
  <c r="AG212" i="34" s="1"/>
  <c r="Q119" i="28"/>
  <c r="Q118" i="28"/>
  <c r="Q117" i="28"/>
  <c r="Q116" i="28"/>
  <c r="Q114" i="28"/>
  <c r="Q113" i="28"/>
  <c r="Q115" i="28"/>
  <c r="Q112" i="28"/>
  <c r="Q111" i="28"/>
  <c r="Q110" i="28"/>
  <c r="Q109" i="28"/>
  <c r="Q108" i="28"/>
  <c r="Q107" i="28"/>
  <c r="Q106" i="28"/>
  <c r="Q97" i="28"/>
  <c r="Q102" i="28"/>
  <c r="Q104" i="28"/>
  <c r="Q100" i="28"/>
  <c r="Q123" i="28"/>
  <c r="Q121" i="28"/>
  <c r="Q103" i="28"/>
  <c r="Q124" i="28"/>
  <c r="Q122" i="28"/>
  <c r="Q99" i="28"/>
  <c r="Q96" i="28"/>
  <c r="Q120" i="28"/>
  <c r="Q98" i="28"/>
  <c r="Q125" i="28"/>
  <c r="Q101" i="28"/>
  <c r="Q105" i="28"/>
  <c r="M368" i="30"/>
  <c r="S367" i="30"/>
  <c r="U339" i="35"/>
  <c r="U338" i="35"/>
  <c r="V245" i="34"/>
  <c r="P246" i="34"/>
  <c r="S245" i="34"/>
  <c r="R216" i="35"/>
  <c r="X216" i="36" s="1"/>
  <c r="O381" i="35"/>
  <c r="O384" i="35"/>
  <c r="O386" i="35"/>
  <c r="O383" i="35"/>
  <c r="O385" i="35"/>
  <c r="W92" i="35"/>
  <c r="AA92" i="35"/>
  <c r="O184" i="35"/>
  <c r="U183" i="35"/>
  <c r="R183" i="35"/>
  <c r="X183" i="36" s="1"/>
  <c r="T307" i="32"/>
  <c r="N308" i="32"/>
  <c r="V245" i="35"/>
  <c r="O308" i="32"/>
  <c r="U307" i="32"/>
  <c r="M216" i="28"/>
  <c r="P215" i="28"/>
  <c r="AD215" i="35"/>
  <c r="AC30" i="34"/>
  <c r="AC375" i="34" s="1"/>
  <c r="AA375" i="34"/>
  <c r="U275" i="32"/>
  <c r="O276" i="32"/>
  <c r="U275" i="34"/>
  <c r="N247" i="30"/>
  <c r="T246" i="30"/>
  <c r="Q62" i="35"/>
  <c r="T62" i="35"/>
  <c r="N376" i="35"/>
  <c r="T339" i="32"/>
  <c r="T339" i="34"/>
  <c r="AG214" i="35"/>
  <c r="U34" i="32"/>
  <c r="O35" i="32"/>
  <c r="R34" i="32"/>
  <c r="X34" i="32" s="1"/>
  <c r="V367" i="32"/>
  <c r="P368" i="32"/>
  <c r="V368" i="34" s="1"/>
  <c r="U246" i="32"/>
  <c r="O247" i="32"/>
  <c r="AG29" i="34"/>
  <c r="AH29" i="35"/>
  <c r="AH36" i="35"/>
  <c r="U123" i="34"/>
  <c r="O124" i="34"/>
  <c r="AA213" i="34"/>
  <c r="AC213" i="34" s="1"/>
  <c r="X61" i="35"/>
  <c r="AD61" i="35"/>
  <c r="AG61" i="35" s="1"/>
  <c r="O153" i="34"/>
  <c r="U152" i="34"/>
  <c r="AD184" i="34"/>
  <c r="AG184" i="34" s="1"/>
  <c r="R278" i="34"/>
  <c r="U366" i="34"/>
  <c r="O367" i="34"/>
  <c r="R366" i="34"/>
  <c r="U366" i="35"/>
  <c r="AG244" i="35"/>
  <c r="U153" i="35"/>
  <c r="O154" i="35"/>
  <c r="R153" i="35"/>
  <c r="U307" i="30"/>
  <c r="O308" i="30"/>
  <c r="AA32" i="35"/>
  <c r="V367" i="34"/>
  <c r="S375" i="34"/>
  <c r="Y91" i="35"/>
  <c r="AD91" i="35"/>
  <c r="AG91" i="35" s="1"/>
  <c r="AA275" i="34"/>
  <c r="AA151" i="35"/>
  <c r="X243" i="35"/>
  <c r="AD245" i="35"/>
  <c r="U305" i="34"/>
  <c r="O306" i="34"/>
  <c r="N124" i="32"/>
  <c r="T123" i="32"/>
  <c r="S216" i="30"/>
  <c r="M217" i="30"/>
  <c r="S217" i="30" s="1"/>
  <c r="O32" i="34"/>
  <c r="R31" i="34"/>
  <c r="U31" i="34"/>
  <c r="U31" i="35"/>
  <c r="Y215" i="35"/>
  <c r="X91" i="35"/>
  <c r="AA214" i="35"/>
  <c r="Q152" i="35"/>
  <c r="T152" i="35"/>
  <c r="N153" i="35"/>
  <c r="O246" i="30"/>
  <c r="U245" i="30"/>
  <c r="V307" i="32"/>
  <c r="P308" i="32"/>
  <c r="U368" i="30"/>
  <c r="O369" i="30"/>
  <c r="AD365" i="34"/>
  <c r="AG365" i="34" s="1"/>
  <c r="AD277" i="34"/>
  <c r="O93" i="35"/>
  <c r="U92" i="35"/>
  <c r="R92" i="35"/>
  <c r="AC122" i="34"/>
  <c r="AC378" i="34" s="1"/>
  <c r="AA378" i="34"/>
  <c r="AA61" i="35"/>
  <c r="W61" i="35"/>
  <c r="Y62" i="35"/>
  <c r="S184" i="30"/>
  <c r="M185" i="30"/>
  <c r="T184" i="32"/>
  <c r="AD151" i="35"/>
  <c r="AG151" i="35" s="1"/>
  <c r="Y151" i="35"/>
  <c r="AA385" i="34"/>
  <c r="Q124" i="34"/>
  <c r="T124" i="34"/>
  <c r="N125" i="34"/>
  <c r="M278" i="30"/>
  <c r="S278" i="30" s="1"/>
  <c r="S277" i="30"/>
  <c r="V214" i="32"/>
  <c r="P215" i="32"/>
  <c r="V214" i="34"/>
  <c r="N155" i="34"/>
  <c r="T154" i="34"/>
  <c r="T32" i="34"/>
  <c r="N33" i="34"/>
  <c r="T33" i="35" s="1"/>
  <c r="Q32" i="34"/>
  <c r="W32" i="34" s="1"/>
  <c r="U124" i="32"/>
  <c r="O125" i="32"/>
  <c r="R124" i="32"/>
  <c r="P338" i="34"/>
  <c r="V337" i="34"/>
  <c r="S337" i="34"/>
  <c r="W31" i="32"/>
  <c r="AA31" i="32"/>
  <c r="Q214" i="34"/>
  <c r="T214" i="34"/>
  <c r="N215" i="34"/>
  <c r="T367" i="35"/>
  <c r="N368" i="35"/>
  <c r="S185" i="34"/>
  <c r="V185" i="34"/>
  <c r="P380" i="34"/>
  <c r="Y184" i="35"/>
  <c r="Y244" i="35"/>
  <c r="AD90" i="34"/>
  <c r="AG90" i="34" s="1"/>
  <c r="O307" i="35"/>
  <c r="U306" i="35"/>
  <c r="Q33" i="35"/>
  <c r="N34" i="35"/>
  <c r="V337" i="32"/>
  <c r="S379" i="34"/>
  <c r="AG215" i="35" l="1"/>
  <c r="AG245" i="35"/>
  <c r="P94" i="35"/>
  <c r="V93" i="35"/>
  <c r="S93" i="35"/>
  <c r="U124" i="35"/>
  <c r="O378" i="35"/>
  <c r="V247" i="35"/>
  <c r="S247" i="35"/>
  <c r="U338" i="32"/>
  <c r="U338" i="34"/>
  <c r="S299" i="34"/>
  <c r="S297" i="34"/>
  <c r="S295" i="34"/>
  <c r="S288" i="34"/>
  <c r="S282" i="34"/>
  <c r="S300" i="34"/>
  <c r="S296" i="34"/>
  <c r="S289" i="34"/>
  <c r="S284" i="34"/>
  <c r="S302" i="34"/>
  <c r="S293" i="34"/>
  <c r="S285" i="34"/>
  <c r="S283" i="34"/>
  <c r="S280" i="34"/>
  <c r="S290" i="34"/>
  <c r="S306" i="34"/>
  <c r="S304" i="34"/>
  <c r="S298" i="34"/>
  <c r="S291" i="34"/>
  <c r="S281" i="34"/>
  <c r="S279" i="34"/>
  <c r="S301" i="34"/>
  <c r="S305" i="34"/>
  <c r="S303" i="34"/>
  <c r="S294" i="34"/>
  <c r="S292" i="34"/>
  <c r="S287" i="34"/>
  <c r="S286" i="34"/>
  <c r="S307" i="34"/>
  <c r="W93" i="35"/>
  <c r="AA93" i="35"/>
  <c r="AC93" i="35" s="1"/>
  <c r="AC377" i="35" s="1"/>
  <c r="R380" i="34"/>
  <c r="P94" i="32"/>
  <c r="V93" i="32"/>
  <c r="AD185" i="34"/>
  <c r="AG185" i="34" s="1"/>
  <c r="S380" i="34"/>
  <c r="AD337" i="34"/>
  <c r="AG337" i="34" s="1"/>
  <c r="AA384" i="34"/>
  <c r="AG277" i="34"/>
  <c r="T247" i="30"/>
  <c r="N248" i="30"/>
  <c r="T248" i="30" s="1"/>
  <c r="U308" i="32"/>
  <c r="O309" i="32"/>
  <c r="U309" i="32" s="1"/>
  <c r="Y245" i="34"/>
  <c r="X62" i="35"/>
  <c r="R376" i="35"/>
  <c r="AD62" i="35"/>
  <c r="AG62" i="35" s="1"/>
  <c r="N95" i="35"/>
  <c r="Q94" i="35"/>
  <c r="T94" i="35"/>
  <c r="T369" i="34"/>
  <c r="Q369" i="34"/>
  <c r="T368" i="30"/>
  <c r="N369" i="30"/>
  <c r="T246" i="34"/>
  <c r="N247" i="34"/>
  <c r="Q246" i="34"/>
  <c r="V338" i="32"/>
  <c r="U370" i="35"/>
  <c r="R247" i="35"/>
  <c r="U307" i="35"/>
  <c r="O308" i="35"/>
  <c r="N369" i="35"/>
  <c r="T368" i="35"/>
  <c r="Q125" i="34"/>
  <c r="T125" i="35"/>
  <c r="N378" i="34"/>
  <c r="U246" i="30"/>
  <c r="O247" i="30"/>
  <c r="O155" i="35"/>
  <c r="R154" i="35"/>
  <c r="R306" i="34"/>
  <c r="R304" i="34"/>
  <c r="R302" i="34"/>
  <c r="R286" i="34"/>
  <c r="R307" i="34"/>
  <c r="R303" i="34"/>
  <c r="R291" i="34"/>
  <c r="R287" i="34"/>
  <c r="R282" i="34"/>
  <c r="R281" i="34"/>
  <c r="R292" i="34"/>
  <c r="R289" i="34"/>
  <c r="R283" i="34"/>
  <c r="R280" i="34"/>
  <c r="R300" i="34"/>
  <c r="R297" i="34"/>
  <c r="R296" i="34"/>
  <c r="R290" i="34"/>
  <c r="R284" i="34"/>
  <c r="R299" i="34"/>
  <c r="R301" i="34"/>
  <c r="R279" i="34"/>
  <c r="R288" i="34"/>
  <c r="R285" i="34"/>
  <c r="R293" i="34"/>
  <c r="R298" i="34"/>
  <c r="R305" i="34"/>
  <c r="R294" i="34"/>
  <c r="R295" i="34"/>
  <c r="S246" i="34"/>
  <c r="V246" i="34"/>
  <c r="P247" i="34"/>
  <c r="AA215" i="35"/>
  <c r="S93" i="30"/>
  <c r="M94" i="30"/>
  <c r="U368" i="32"/>
  <c r="O369" i="32"/>
  <c r="N215" i="30"/>
  <c r="T214" i="30"/>
  <c r="U214" i="32"/>
  <c r="U214" i="34"/>
  <c r="R214" i="34"/>
  <c r="O215" i="34"/>
  <c r="U214" i="35"/>
  <c r="Q36" i="30"/>
  <c r="W36" i="30" s="1"/>
  <c r="W35" i="30"/>
  <c r="Q37" i="30"/>
  <c r="W37" i="30" s="1"/>
  <c r="Q38" i="30"/>
  <c r="W38" i="30" s="1"/>
  <c r="Q39" i="30"/>
  <c r="W39" i="30" s="1"/>
  <c r="Q40" i="30"/>
  <c r="W40" i="30" s="1"/>
  <c r="Q41" i="30"/>
  <c r="W41" i="30" s="1"/>
  <c r="Q42" i="30"/>
  <c r="W42" i="30" s="1"/>
  <c r="Q43" i="30"/>
  <c r="W43" i="30" s="1"/>
  <c r="Q44" i="30"/>
  <c r="W44" i="30" s="1"/>
  <c r="Q45" i="30"/>
  <c r="W45" i="30" s="1"/>
  <c r="Q46" i="30"/>
  <c r="W46" i="30" s="1"/>
  <c r="Q47" i="30"/>
  <c r="W47" i="30" s="1"/>
  <c r="Q48" i="30"/>
  <c r="W48" i="30" s="1"/>
  <c r="Q49" i="30"/>
  <c r="W49" i="30" s="1"/>
  <c r="Q50" i="30"/>
  <c r="W50" i="30" s="1"/>
  <c r="Q51" i="30"/>
  <c r="W51" i="30" s="1"/>
  <c r="Q52" i="30"/>
  <c r="W52" i="30" s="1"/>
  <c r="Q53" i="30"/>
  <c r="W53" i="30" s="1"/>
  <c r="Q54" i="30"/>
  <c r="W54" i="30" s="1"/>
  <c r="Q55" i="30"/>
  <c r="W55" i="30" s="1"/>
  <c r="Q56" i="30"/>
  <c r="W56" i="30" s="1"/>
  <c r="Q57" i="30"/>
  <c r="W57" i="30" s="1"/>
  <c r="Q58" i="30"/>
  <c r="W58" i="30" s="1"/>
  <c r="Q59" i="30"/>
  <c r="W59" i="30" s="1"/>
  <c r="Q60" i="30"/>
  <c r="W60" i="30" s="1"/>
  <c r="Q61" i="30"/>
  <c r="W61" i="30" s="1"/>
  <c r="Q62" i="30"/>
  <c r="W62" i="30" s="1"/>
  <c r="Q63" i="30"/>
  <c r="P247" i="32"/>
  <c r="S246" i="32"/>
  <c r="V246" i="32"/>
  <c r="Y185" i="35"/>
  <c r="S380" i="35"/>
  <c r="N278" i="30"/>
  <c r="T278" i="30" s="1"/>
  <c r="T277" i="30"/>
  <c r="V339" i="32"/>
  <c r="V339" i="34"/>
  <c r="N95" i="32"/>
  <c r="T94" i="32"/>
  <c r="Q94" i="32"/>
  <c r="AA33" i="35"/>
  <c r="W33" i="35"/>
  <c r="V338" i="34"/>
  <c r="S338" i="34"/>
  <c r="T153" i="35"/>
  <c r="Q153" i="35"/>
  <c r="N154" i="35"/>
  <c r="U247" i="32"/>
  <c r="O248" i="32"/>
  <c r="U248" i="32" s="1"/>
  <c r="T216" i="35"/>
  <c r="Q216" i="35"/>
  <c r="W216" i="36" s="1"/>
  <c r="N381" i="35"/>
  <c r="N383" i="35"/>
  <c r="N384" i="35"/>
  <c r="N385" i="35"/>
  <c r="N386" i="35"/>
  <c r="X244" i="35"/>
  <c r="U186" i="30"/>
  <c r="V186" i="32"/>
  <c r="V380" i="32" s="1"/>
  <c r="AA93" i="32"/>
  <c r="Q215" i="34"/>
  <c r="W215" i="35" s="1"/>
  <c r="T215" i="34"/>
  <c r="N216" i="34"/>
  <c r="O125" i="34"/>
  <c r="U124" i="34"/>
  <c r="AA276" i="34"/>
  <c r="AC276" i="34" s="1"/>
  <c r="V124" i="35"/>
  <c r="P378" i="35"/>
  <c r="AE21" i="32"/>
  <c r="AG20" i="32"/>
  <c r="O246" i="34"/>
  <c r="R245" i="34"/>
  <c r="AD245" i="34" s="1"/>
  <c r="AG245" i="34" s="1"/>
  <c r="U245" i="34"/>
  <c r="U245" i="35"/>
  <c r="T338" i="34"/>
  <c r="Q338" i="34"/>
  <c r="R125" i="32"/>
  <c r="O378" i="32"/>
  <c r="AA381" i="34"/>
  <c r="X92" i="35"/>
  <c r="U369" i="30"/>
  <c r="O370" i="30"/>
  <c r="U370" i="30" s="1"/>
  <c r="AA152" i="35"/>
  <c r="U306" i="34"/>
  <c r="O307" i="34"/>
  <c r="W32" i="35"/>
  <c r="V368" i="32"/>
  <c r="P369" i="32"/>
  <c r="O277" i="32"/>
  <c r="U276" i="32"/>
  <c r="U276" i="34"/>
  <c r="AD91" i="34"/>
  <c r="AG91" i="34" s="1"/>
  <c r="X183" i="35"/>
  <c r="AD183" i="35"/>
  <c r="AG183" i="35" s="1"/>
  <c r="V338" i="35"/>
  <c r="T124" i="30"/>
  <c r="N125" i="30"/>
  <c r="U125" i="32" s="1"/>
  <c r="U378" i="32" s="1"/>
  <c r="AD244" i="34"/>
  <c r="AG244" i="34" s="1"/>
  <c r="R375" i="35"/>
  <c r="V307" i="34"/>
  <c r="P308" i="34"/>
  <c r="V307" i="35"/>
  <c r="V34" i="35"/>
  <c r="S34" i="35"/>
  <c r="P375" i="35"/>
  <c r="U215" i="30"/>
  <c r="O216" i="30"/>
  <c r="AD32" i="32"/>
  <c r="AG32" i="32" s="1"/>
  <c r="Y32" i="32"/>
  <c r="Y32" i="34"/>
  <c r="T369" i="32"/>
  <c r="T277" i="32"/>
  <c r="N278" i="32"/>
  <c r="T278" i="32" s="1"/>
  <c r="T308" i="34"/>
  <c r="N309" i="34"/>
  <c r="AD124" i="32"/>
  <c r="AA32" i="32"/>
  <c r="AC32" i="32" s="1"/>
  <c r="W32" i="32"/>
  <c r="U35" i="32"/>
  <c r="U375" i="32" s="1"/>
  <c r="R35" i="32"/>
  <c r="U35" i="34"/>
  <c r="O375" i="32"/>
  <c r="M369" i="30"/>
  <c r="S368" i="30"/>
  <c r="N309" i="32"/>
  <c r="W93" i="34"/>
  <c r="AA93" i="34"/>
  <c r="O34" i="30"/>
  <c r="U33" i="30"/>
  <c r="R33" i="30"/>
  <c r="X33" i="30" s="1"/>
  <c r="O217" i="32"/>
  <c r="S383" i="34"/>
  <c r="S384" i="34"/>
  <c r="S381" i="34"/>
  <c r="S386" i="34"/>
  <c r="S385" i="34"/>
  <c r="Y216" i="35"/>
  <c r="T186" i="30"/>
  <c r="U186" i="32"/>
  <c r="U380" i="32" s="1"/>
  <c r="T94" i="34"/>
  <c r="Q94" i="34"/>
  <c r="N377" i="34"/>
  <c r="W245" i="35"/>
  <c r="AA245" i="35"/>
  <c r="T368" i="32"/>
  <c r="P216" i="32"/>
  <c r="V215" i="32"/>
  <c r="V215" i="34"/>
  <c r="AA386" i="34"/>
  <c r="M186" i="30"/>
  <c r="S185" i="30"/>
  <c r="T185" i="32"/>
  <c r="W214" i="35"/>
  <c r="X31" i="34"/>
  <c r="AD31" i="34"/>
  <c r="AG31" i="34" s="1"/>
  <c r="X31" i="35"/>
  <c r="AD366" i="34"/>
  <c r="AG366" i="34" s="1"/>
  <c r="U153" i="34"/>
  <c r="O154" i="34"/>
  <c r="N278" i="34"/>
  <c r="T277" i="34"/>
  <c r="Q277" i="34"/>
  <c r="T277" i="35"/>
  <c r="V217" i="35"/>
  <c r="V217" i="34"/>
  <c r="P383" i="34"/>
  <c r="P385" i="34"/>
  <c r="P386" i="34"/>
  <c r="P384" i="34"/>
  <c r="P381" i="34"/>
  <c r="AD246" i="35"/>
  <c r="Y246" i="35"/>
  <c r="Y33" i="35"/>
  <c r="AD33" i="35"/>
  <c r="AG33" i="35" s="1"/>
  <c r="T94" i="30"/>
  <c r="N95" i="30"/>
  <c r="U94" i="32"/>
  <c r="V93" i="34"/>
  <c r="P94" i="34"/>
  <c r="S93" i="34"/>
  <c r="T246" i="35"/>
  <c r="N247" i="35"/>
  <c r="Q246" i="35"/>
  <c r="T308" i="30"/>
  <c r="N309" i="30"/>
  <c r="T309" i="30" s="1"/>
  <c r="S33" i="32"/>
  <c r="P34" i="32"/>
  <c r="V33" i="32"/>
  <c r="V33" i="34"/>
  <c r="N216" i="32"/>
  <c r="T215" i="32"/>
  <c r="R64" i="32"/>
  <c r="U64" i="32"/>
  <c r="U376" i="32" s="1"/>
  <c r="U63" i="34"/>
  <c r="O376" i="32"/>
  <c r="P33" i="30"/>
  <c r="S33" i="30"/>
  <c r="M34" i="30"/>
  <c r="P154" i="35"/>
  <c r="S153" i="35"/>
  <c r="V153" i="35"/>
  <c r="T33" i="34"/>
  <c r="N34" i="34"/>
  <c r="Q33" i="34"/>
  <c r="AC383" i="34"/>
  <c r="AC385" i="34"/>
  <c r="AC381" i="34"/>
  <c r="AC386" i="34"/>
  <c r="AC384" i="34"/>
  <c r="Q154" i="28"/>
  <c r="Q153" i="28"/>
  <c r="Q152" i="28"/>
  <c r="Q151" i="28"/>
  <c r="Q150" i="28"/>
  <c r="Q134" i="28"/>
  <c r="Q142" i="28"/>
  <c r="Q131" i="28"/>
  <c r="Q144" i="28"/>
  <c r="Q145" i="28"/>
  <c r="Q141" i="28"/>
  <c r="Q129" i="28"/>
  <c r="Q136" i="28"/>
  <c r="Q133" i="28"/>
  <c r="Q130" i="28"/>
  <c r="Q148" i="28"/>
  <c r="Q132" i="28"/>
  <c r="Q146" i="28"/>
  <c r="Q140" i="28"/>
  <c r="Q138" i="28"/>
  <c r="Q135" i="28"/>
  <c r="Q156" i="28"/>
  <c r="Q139" i="28"/>
  <c r="Q126" i="28"/>
  <c r="Q143" i="28"/>
  <c r="Q137" i="28"/>
  <c r="Q147" i="28"/>
  <c r="Q128" i="28"/>
  <c r="Q149" i="28"/>
  <c r="Q127" i="28"/>
  <c r="Q155" i="28"/>
  <c r="V369" i="34"/>
  <c r="S369" i="34"/>
  <c r="V369" i="35"/>
  <c r="X213" i="35"/>
  <c r="AD213" i="34"/>
  <c r="AG213" i="34" s="1"/>
  <c r="S125" i="30"/>
  <c r="T155" i="34"/>
  <c r="N379" i="34"/>
  <c r="N125" i="32"/>
  <c r="T125" i="34" s="1"/>
  <c r="T124" i="32"/>
  <c r="T215" i="35"/>
  <c r="T34" i="35"/>
  <c r="Q34" i="35"/>
  <c r="N375" i="35"/>
  <c r="AA383" i="34"/>
  <c r="O94" i="35"/>
  <c r="R93" i="35"/>
  <c r="P309" i="32"/>
  <c r="V309" i="32" s="1"/>
  <c r="V308" i="32"/>
  <c r="R32" i="34"/>
  <c r="U32" i="34"/>
  <c r="O33" i="34"/>
  <c r="U32" i="35"/>
  <c r="Y245" i="35"/>
  <c r="O309" i="30"/>
  <c r="U309" i="30" s="1"/>
  <c r="U308" i="30"/>
  <c r="O368" i="34"/>
  <c r="U367" i="34"/>
  <c r="R367" i="34"/>
  <c r="U367" i="35"/>
  <c r="AA62" i="35"/>
  <c r="AA376" i="35" s="1"/>
  <c r="W62" i="35"/>
  <c r="Q376" i="35"/>
  <c r="M217" i="28"/>
  <c r="P217" i="28" s="1"/>
  <c r="P216" i="28"/>
  <c r="O185" i="35"/>
  <c r="U184" i="35"/>
  <c r="R184" i="35"/>
  <c r="X184" i="36" s="1"/>
  <c r="R384" i="35"/>
  <c r="R386" i="35"/>
  <c r="R381" i="35"/>
  <c r="R385" i="35"/>
  <c r="R383" i="35"/>
  <c r="AD216" i="35"/>
  <c r="AD92" i="35"/>
  <c r="AG92" i="35" s="1"/>
  <c r="Y92" i="35"/>
  <c r="U92" i="34"/>
  <c r="R92" i="34"/>
  <c r="O93" i="34"/>
  <c r="V278" i="34"/>
  <c r="O95" i="30"/>
  <c r="U95" i="30" s="1"/>
  <c r="U94" i="30"/>
  <c r="S307" i="30"/>
  <c r="M308" i="30"/>
  <c r="T309" i="35"/>
  <c r="AC185" i="34"/>
  <c r="AC380" i="34" s="1"/>
  <c r="AA380" i="34"/>
  <c r="U186" i="34"/>
  <c r="U186" i="35"/>
  <c r="O380" i="34"/>
  <c r="S125" i="32"/>
  <c r="V125" i="32"/>
  <c r="V378" i="32" s="1"/>
  <c r="V125" i="34"/>
  <c r="P378" i="32"/>
  <c r="Q33" i="32"/>
  <c r="N34" i="32"/>
  <c r="T33" i="32"/>
  <c r="Y152" i="35"/>
  <c r="AD152" i="35"/>
  <c r="AG152" i="35" s="1"/>
  <c r="AD247" i="35" l="1"/>
  <c r="AG216" i="35"/>
  <c r="P242" i="28"/>
  <c r="P243" i="28"/>
  <c r="P234" i="28"/>
  <c r="P233" i="28"/>
  <c r="P232" i="28"/>
  <c r="P226" i="28"/>
  <c r="P225" i="28"/>
  <c r="P247" i="28"/>
  <c r="P229" i="28"/>
  <c r="P241" i="28"/>
  <c r="P230" i="28"/>
  <c r="P219" i="28"/>
  <c r="P218" i="28"/>
  <c r="P236" i="28"/>
  <c r="P223" i="28"/>
  <c r="P248" i="28"/>
  <c r="P239" i="28"/>
  <c r="P244" i="28"/>
  <c r="P221" i="28"/>
  <c r="T217" i="28"/>
  <c r="V217" i="28" s="1"/>
  <c r="V218" i="28" s="1"/>
  <c r="P240" i="28"/>
  <c r="P238" i="28"/>
  <c r="T238" i="28" s="1"/>
  <c r="P228" i="28"/>
  <c r="P222" i="28"/>
  <c r="P227" i="28"/>
  <c r="T227" i="28" s="1"/>
  <c r="V227" i="28" s="1"/>
  <c r="P235" i="28"/>
  <c r="P246" i="28"/>
  <c r="P245" i="28"/>
  <c r="T245" i="28" s="1"/>
  <c r="P220" i="28"/>
  <c r="P231" i="28"/>
  <c r="T231" i="28" s="1"/>
  <c r="P224" i="28"/>
  <c r="T224" i="28" s="1"/>
  <c r="V224" i="28" s="1"/>
  <c r="AD153" i="35"/>
  <c r="AG153" i="35" s="1"/>
  <c r="Y153" i="35"/>
  <c r="AD34" i="35"/>
  <c r="AG34" i="35" s="1"/>
  <c r="Y34" i="35"/>
  <c r="S375" i="35"/>
  <c r="Q95" i="30"/>
  <c r="Q87" i="30"/>
  <c r="W87" i="30" s="1"/>
  <c r="Q83" i="30"/>
  <c r="W83" i="30" s="1"/>
  <c r="Q79" i="30"/>
  <c r="W79" i="30" s="1"/>
  <c r="Q73" i="30"/>
  <c r="W73" i="30" s="1"/>
  <c r="Q89" i="30"/>
  <c r="W89" i="30" s="1"/>
  <c r="Q80" i="30"/>
  <c r="W80" i="30" s="1"/>
  <c r="Q75" i="30"/>
  <c r="W75" i="30" s="1"/>
  <c r="Q74" i="30"/>
  <c r="W74" i="30" s="1"/>
  <c r="Q92" i="30"/>
  <c r="W92" i="30" s="1"/>
  <c r="Q88" i="30"/>
  <c r="W88" i="30" s="1"/>
  <c r="Q86" i="30"/>
  <c r="W86" i="30" s="1"/>
  <c r="Q84" i="30"/>
  <c r="W84" i="30" s="1"/>
  <c r="Q94" i="30"/>
  <c r="W94" i="30" s="1"/>
  <c r="Q91" i="30"/>
  <c r="W91" i="30" s="1"/>
  <c r="Q85" i="30"/>
  <c r="W85" i="30" s="1"/>
  <c r="Q78" i="30"/>
  <c r="W78" i="30" s="1"/>
  <c r="Q71" i="30"/>
  <c r="W71" i="30" s="1"/>
  <c r="Q69" i="30"/>
  <c r="W69" i="30" s="1"/>
  <c r="Q66" i="30"/>
  <c r="W66" i="30" s="1"/>
  <c r="Q76" i="30"/>
  <c r="W76" i="30" s="1"/>
  <c r="Q72" i="30"/>
  <c r="W72" i="30" s="1"/>
  <c r="Q93" i="30"/>
  <c r="W93" i="30" s="1"/>
  <c r="Q90" i="30"/>
  <c r="W90" i="30" s="1"/>
  <c r="Q81" i="30"/>
  <c r="W81" i="30" s="1"/>
  <c r="Q65" i="30"/>
  <c r="W65" i="30" s="1"/>
  <c r="W63" i="30"/>
  <c r="Q70" i="30"/>
  <c r="W70" i="30" s="1"/>
  <c r="Q68" i="30"/>
  <c r="W68" i="30" s="1"/>
  <c r="Q67" i="30"/>
  <c r="W67" i="30" s="1"/>
  <c r="Q77" i="30"/>
  <c r="W77" i="30" s="1"/>
  <c r="Q82" i="30"/>
  <c r="W82" i="30" s="1"/>
  <c r="Q247" i="34"/>
  <c r="T247" i="34"/>
  <c r="N248" i="34"/>
  <c r="P95" i="32"/>
  <c r="V94" i="32"/>
  <c r="AD287" i="34"/>
  <c r="AD279" i="34"/>
  <c r="AD283" i="34"/>
  <c r="AD282" i="34"/>
  <c r="M309" i="30"/>
  <c r="S309" i="30" s="1"/>
  <c r="S308" i="30"/>
  <c r="X93" i="35"/>
  <c r="Q182" i="28"/>
  <c r="Q181" i="28"/>
  <c r="Q180" i="28"/>
  <c r="Q179" i="28"/>
  <c r="Q178" i="28"/>
  <c r="Q177" i="28"/>
  <c r="Q186" i="28"/>
  <c r="Q157" i="28"/>
  <c r="Q183" i="28"/>
  <c r="Q160" i="28"/>
  <c r="Q158" i="28"/>
  <c r="Q159" i="28"/>
  <c r="Q172" i="28"/>
  <c r="Q185" i="28"/>
  <c r="Q170" i="28"/>
  <c r="Q184" i="28"/>
  <c r="Q176" i="28"/>
  <c r="Q169" i="28"/>
  <c r="Q161" i="28"/>
  <c r="Q171" i="28"/>
  <c r="Q165" i="28"/>
  <c r="Q175" i="28"/>
  <c r="Q167" i="28"/>
  <c r="Q164" i="28"/>
  <c r="Q163" i="28"/>
  <c r="Q166" i="28"/>
  <c r="Q174" i="28"/>
  <c r="Q168" i="28"/>
  <c r="Q173" i="28"/>
  <c r="Q162" i="28"/>
  <c r="S154" i="35"/>
  <c r="V154" i="35"/>
  <c r="P155" i="35"/>
  <c r="AA246" i="35"/>
  <c r="W246" i="35"/>
  <c r="O155" i="34"/>
  <c r="U154" i="34"/>
  <c r="T308" i="32"/>
  <c r="O278" i="32"/>
  <c r="U277" i="32"/>
  <c r="U277" i="34"/>
  <c r="T216" i="34"/>
  <c r="Q216" i="34"/>
  <c r="N217" i="34"/>
  <c r="O382" i="35"/>
  <c r="AA94" i="35"/>
  <c r="W94" i="35"/>
  <c r="AD292" i="34"/>
  <c r="AD281" i="34"/>
  <c r="AD285" i="34"/>
  <c r="AD288" i="34"/>
  <c r="V248" i="35"/>
  <c r="P382" i="35"/>
  <c r="O95" i="35"/>
  <c r="U94" i="35"/>
  <c r="R94" i="35"/>
  <c r="S34" i="30"/>
  <c r="M35" i="30"/>
  <c r="P34" i="30"/>
  <c r="V34" i="30" s="1"/>
  <c r="N217" i="32"/>
  <c r="T216" i="32"/>
  <c r="T247" i="35"/>
  <c r="Q247" i="35"/>
  <c r="O381" i="32"/>
  <c r="T309" i="32"/>
  <c r="V369" i="32"/>
  <c r="P370" i="32"/>
  <c r="AA94" i="32"/>
  <c r="AC94" i="32" s="1"/>
  <c r="P248" i="34"/>
  <c r="S247" i="34"/>
  <c r="Y247" i="35" s="1"/>
  <c r="V247" i="34"/>
  <c r="T369" i="30"/>
  <c r="N370" i="30"/>
  <c r="T370" i="30" s="1"/>
  <c r="T95" i="35"/>
  <c r="Q95" i="35"/>
  <c r="N377" i="35"/>
  <c r="AD294" i="34"/>
  <c r="AD291" i="34"/>
  <c r="AD293" i="34"/>
  <c r="AD295" i="34"/>
  <c r="AA338" i="34"/>
  <c r="T215" i="30"/>
  <c r="N216" i="30"/>
  <c r="U215" i="32"/>
  <c r="AD298" i="34"/>
  <c r="AD302" i="34"/>
  <c r="W33" i="34"/>
  <c r="S186" i="30"/>
  <c r="T186" i="32"/>
  <c r="T380" i="32" s="1"/>
  <c r="AA153" i="35"/>
  <c r="AD246" i="34"/>
  <c r="AG246" i="34" s="1"/>
  <c r="Y246" i="34"/>
  <c r="U154" i="35"/>
  <c r="AD304" i="34"/>
  <c r="AD367" i="34"/>
  <c r="AG367" i="34" s="1"/>
  <c r="T34" i="34"/>
  <c r="Q34" i="34"/>
  <c r="N375" i="34"/>
  <c r="P35" i="32"/>
  <c r="V34" i="32"/>
  <c r="S34" i="32"/>
  <c r="V34" i="34"/>
  <c r="V94" i="34"/>
  <c r="S94" i="34"/>
  <c r="P95" i="34"/>
  <c r="AG246" i="35"/>
  <c r="T309" i="34"/>
  <c r="O217" i="30"/>
  <c r="U216" i="30"/>
  <c r="U307" i="34"/>
  <c r="O308" i="34"/>
  <c r="U308" i="35" s="1"/>
  <c r="O247" i="34"/>
  <c r="U246" i="34"/>
  <c r="R246" i="34"/>
  <c r="U246" i="35"/>
  <c r="AD305" i="34"/>
  <c r="AD306" i="34"/>
  <c r="AD289" i="34"/>
  <c r="AD93" i="35"/>
  <c r="AG93" i="35" s="1"/>
  <c r="Y93" i="35"/>
  <c r="S135" i="32"/>
  <c r="S126" i="32"/>
  <c r="AD125" i="32"/>
  <c r="Y125" i="34"/>
  <c r="S136" i="32"/>
  <c r="S127" i="32"/>
  <c r="S137" i="32"/>
  <c r="S138" i="32"/>
  <c r="S128" i="32"/>
  <c r="S139" i="32"/>
  <c r="S129" i="32"/>
  <c r="S130" i="32"/>
  <c r="S140" i="32"/>
  <c r="S378" i="32"/>
  <c r="S141" i="32"/>
  <c r="S131" i="32"/>
  <c r="S142" i="32"/>
  <c r="S132" i="32"/>
  <c r="S133" i="32"/>
  <c r="S143" i="32"/>
  <c r="S134" i="32"/>
  <c r="S144" i="32"/>
  <c r="S145" i="32"/>
  <c r="S146" i="32"/>
  <c r="S147" i="32"/>
  <c r="S148" i="32"/>
  <c r="S149" i="32"/>
  <c r="S150" i="32"/>
  <c r="S151" i="32"/>
  <c r="S152" i="32"/>
  <c r="S153" i="32"/>
  <c r="S154" i="32"/>
  <c r="S155" i="32"/>
  <c r="S156" i="32"/>
  <c r="R93" i="34"/>
  <c r="X93" i="34" s="1"/>
  <c r="O94" i="34"/>
  <c r="U93" i="34"/>
  <c r="R92" i="32"/>
  <c r="X92" i="32" s="1"/>
  <c r="R86" i="32"/>
  <c r="R84" i="32"/>
  <c r="R81" i="32"/>
  <c r="R78" i="32"/>
  <c r="R70" i="32"/>
  <c r="R67" i="32"/>
  <c r="X64" i="32"/>
  <c r="R73" i="32"/>
  <c r="R94" i="32"/>
  <c r="X94" i="32" s="1"/>
  <c r="R80" i="32"/>
  <c r="R72" i="32"/>
  <c r="R66" i="32"/>
  <c r="R65" i="32"/>
  <c r="R93" i="32"/>
  <c r="X93" i="32" s="1"/>
  <c r="R88" i="32"/>
  <c r="R91" i="32"/>
  <c r="R85" i="32"/>
  <c r="R74" i="32"/>
  <c r="R87" i="32"/>
  <c r="R79" i="32"/>
  <c r="R75" i="32"/>
  <c r="R69" i="32"/>
  <c r="R90" i="32"/>
  <c r="R83" i="32"/>
  <c r="R71" i="32"/>
  <c r="R76" i="32"/>
  <c r="R77" i="32"/>
  <c r="R89" i="32"/>
  <c r="R82" i="32"/>
  <c r="R68" i="32"/>
  <c r="X63" i="34"/>
  <c r="T95" i="30"/>
  <c r="U95" i="32"/>
  <c r="U377" i="32" s="1"/>
  <c r="T278" i="34"/>
  <c r="Q278" i="34"/>
  <c r="T278" i="35"/>
  <c r="V216" i="32"/>
  <c r="P381" i="32"/>
  <c r="V216" i="34"/>
  <c r="T34" i="32"/>
  <c r="Q34" i="32"/>
  <c r="N35" i="32"/>
  <c r="U93" i="35"/>
  <c r="V308" i="34"/>
  <c r="P309" i="34"/>
  <c r="V308" i="35"/>
  <c r="Q154" i="35"/>
  <c r="N155" i="35"/>
  <c r="T154" i="35"/>
  <c r="Q126" i="34"/>
  <c r="W125" i="35"/>
  <c r="Q127" i="34"/>
  <c r="Q128" i="34"/>
  <c r="Q129" i="34"/>
  <c r="Q130" i="34"/>
  <c r="Q131" i="34"/>
  <c r="Q378" i="34"/>
  <c r="Q132" i="34"/>
  <c r="Q133" i="34"/>
  <c r="Q134" i="34"/>
  <c r="Q135" i="34"/>
  <c r="Q136" i="34"/>
  <c r="Q137" i="34"/>
  <c r="Q138" i="34"/>
  <c r="Q139" i="34"/>
  <c r="Q140" i="34"/>
  <c r="Q141" i="34"/>
  <c r="Q142" i="34"/>
  <c r="Q143" i="34"/>
  <c r="Q144" i="34"/>
  <c r="Q145" i="34"/>
  <c r="Q146" i="34"/>
  <c r="Q147" i="34"/>
  <c r="Q148" i="34"/>
  <c r="Q149" i="34"/>
  <c r="Q150" i="34"/>
  <c r="Q151" i="34"/>
  <c r="Q152" i="34"/>
  <c r="Q153" i="34"/>
  <c r="Q154" i="34"/>
  <c r="S308" i="34"/>
  <c r="AD297" i="34"/>
  <c r="V33" i="30"/>
  <c r="Z33" i="30"/>
  <c r="AB33" i="30" s="1"/>
  <c r="AD93" i="34"/>
  <c r="AG93" i="34" s="1"/>
  <c r="M370" i="30"/>
  <c r="S369" i="30"/>
  <c r="X245" i="35"/>
  <c r="Q95" i="32"/>
  <c r="T95" i="34"/>
  <c r="N377" i="32"/>
  <c r="U369" i="32"/>
  <c r="O370" i="32"/>
  <c r="AD303" i="34"/>
  <c r="AD284" i="34"/>
  <c r="AD299" i="34"/>
  <c r="U185" i="35"/>
  <c r="R185" i="35"/>
  <c r="X185" i="36" s="1"/>
  <c r="O380" i="35"/>
  <c r="X32" i="34"/>
  <c r="AD32" i="34"/>
  <c r="AG32" i="34" s="1"/>
  <c r="X32" i="35"/>
  <c r="AA34" i="35"/>
  <c r="AA375" i="35" s="1"/>
  <c r="W34" i="35"/>
  <c r="Q375" i="35"/>
  <c r="Q155" i="34"/>
  <c r="Y33" i="32"/>
  <c r="AD33" i="32"/>
  <c r="AG33" i="32" s="1"/>
  <c r="Y33" i="34"/>
  <c r="W94" i="34"/>
  <c r="AA94" i="34"/>
  <c r="Q377" i="34"/>
  <c r="R34" i="30"/>
  <c r="X34" i="30" s="1"/>
  <c r="O35" i="30"/>
  <c r="U34" i="30"/>
  <c r="AD338" i="34"/>
  <c r="AG338" i="34" s="1"/>
  <c r="R215" i="34"/>
  <c r="U215" i="34"/>
  <c r="O216" i="34"/>
  <c r="U215" i="35"/>
  <c r="S94" i="30"/>
  <c r="M95" i="30"/>
  <c r="S95" i="30" s="1"/>
  <c r="R155" i="35"/>
  <c r="U155" i="35"/>
  <c r="O379" i="35"/>
  <c r="T369" i="35"/>
  <c r="T370" i="35"/>
  <c r="AA369" i="34"/>
  <c r="AD307" i="34"/>
  <c r="AD301" i="34"/>
  <c r="AD290" i="34"/>
  <c r="AD296" i="34"/>
  <c r="Q125" i="30"/>
  <c r="T125" i="30"/>
  <c r="T125" i="32"/>
  <c r="T378" i="32" s="1"/>
  <c r="N378" i="32"/>
  <c r="AA33" i="32"/>
  <c r="W33" i="32"/>
  <c r="AD92" i="34"/>
  <c r="AG92" i="34" s="1"/>
  <c r="X184" i="35"/>
  <c r="AD184" i="35"/>
  <c r="AG184" i="35" s="1"/>
  <c r="U33" i="34"/>
  <c r="R33" i="34"/>
  <c r="O34" i="34"/>
  <c r="U33" i="35"/>
  <c r="U368" i="34"/>
  <c r="O369" i="34"/>
  <c r="R368" i="34"/>
  <c r="U368" i="35"/>
  <c r="X35" i="32"/>
  <c r="X375" i="32" s="1"/>
  <c r="R36" i="32"/>
  <c r="X35" i="34"/>
  <c r="R37" i="32"/>
  <c r="R38" i="32"/>
  <c r="R39" i="32"/>
  <c r="R40" i="32"/>
  <c r="R41" i="32"/>
  <c r="R375" i="32"/>
  <c r="R42" i="32"/>
  <c r="R43" i="32"/>
  <c r="R44" i="32"/>
  <c r="R45" i="32"/>
  <c r="R46" i="32"/>
  <c r="R47" i="32"/>
  <c r="R48" i="32"/>
  <c r="R49" i="32"/>
  <c r="R50" i="32"/>
  <c r="R51" i="32"/>
  <c r="R52" i="32"/>
  <c r="R53" i="32"/>
  <c r="R54" i="32"/>
  <c r="R55" i="32"/>
  <c r="R56" i="32"/>
  <c r="R57" i="32"/>
  <c r="R58" i="32"/>
  <c r="R59" i="32"/>
  <c r="R60" i="32"/>
  <c r="R61" i="32"/>
  <c r="R62" i="32"/>
  <c r="R63" i="32"/>
  <c r="X63" i="32" s="1"/>
  <c r="X125" i="32"/>
  <c r="R135" i="32"/>
  <c r="R136" i="32"/>
  <c r="R137" i="32"/>
  <c r="R126" i="32"/>
  <c r="R138" i="32"/>
  <c r="R139" i="32"/>
  <c r="R127" i="32"/>
  <c r="R128" i="32"/>
  <c r="R140" i="32"/>
  <c r="R141" i="32"/>
  <c r="R129" i="32"/>
  <c r="R142" i="32"/>
  <c r="R130" i="32"/>
  <c r="R131" i="32"/>
  <c r="R378" i="32"/>
  <c r="R143" i="32"/>
  <c r="R144" i="32"/>
  <c r="R132" i="32"/>
  <c r="R133" i="32"/>
  <c r="R145" i="32"/>
  <c r="R134" i="32"/>
  <c r="R146" i="32"/>
  <c r="R147" i="32"/>
  <c r="R148" i="32"/>
  <c r="R149" i="32"/>
  <c r="R150" i="32"/>
  <c r="R151" i="32"/>
  <c r="R152" i="32"/>
  <c r="R153" i="32"/>
  <c r="R154" i="32"/>
  <c r="R155" i="32"/>
  <c r="R156" i="32"/>
  <c r="AE22" i="32"/>
  <c r="AG21" i="32"/>
  <c r="U125" i="34"/>
  <c r="U125" i="35"/>
  <c r="O378" i="34"/>
  <c r="AA216" i="35"/>
  <c r="W216" i="35"/>
  <c r="Q383" i="35"/>
  <c r="Q381" i="35"/>
  <c r="Q384" i="35"/>
  <c r="Q385" i="35"/>
  <c r="Q386" i="35"/>
  <c r="S247" i="32"/>
  <c r="P248" i="32"/>
  <c r="V247" i="32"/>
  <c r="X214" i="35"/>
  <c r="AD214" i="34"/>
  <c r="AG214" i="34" s="1"/>
  <c r="O248" i="30"/>
  <c r="U248" i="30" s="1"/>
  <c r="U247" i="30"/>
  <c r="AD286" i="34"/>
  <c r="AD280" i="34"/>
  <c r="AD300" i="34"/>
  <c r="V94" i="35"/>
  <c r="P95" i="35"/>
  <c r="S94" i="35"/>
  <c r="AG247" i="35" l="1"/>
  <c r="X54" i="32"/>
  <c r="X54" i="34"/>
  <c r="X39" i="32"/>
  <c r="X39" i="34"/>
  <c r="AD141" i="32"/>
  <c r="Y141" i="34"/>
  <c r="V370" i="32"/>
  <c r="V370" i="34"/>
  <c r="X38" i="32"/>
  <c r="X38" i="34"/>
  <c r="R35" i="30"/>
  <c r="U35" i="30"/>
  <c r="AA136" i="34"/>
  <c r="AC136" i="34" s="1"/>
  <c r="W136" i="35"/>
  <c r="X91" i="32"/>
  <c r="X91" i="34"/>
  <c r="AD152" i="32"/>
  <c r="Y152" i="34"/>
  <c r="S276" i="35"/>
  <c r="Y276" i="36" s="1"/>
  <c r="S271" i="35"/>
  <c r="Y271" i="36" s="1"/>
  <c r="S266" i="35"/>
  <c r="Y266" i="36" s="1"/>
  <c r="S261" i="35"/>
  <c r="Y261" i="36" s="1"/>
  <c r="S273" i="35"/>
  <c r="Y273" i="36" s="1"/>
  <c r="S268" i="35"/>
  <c r="Y268" i="36" s="1"/>
  <c r="S255" i="35"/>
  <c r="Y255" i="36" s="1"/>
  <c r="S250" i="35"/>
  <c r="Y250" i="36" s="1"/>
  <c r="Y248" i="35"/>
  <c r="S269" i="35"/>
  <c r="Y269" i="36" s="1"/>
  <c r="S264" i="35"/>
  <c r="Y264" i="36" s="1"/>
  <c r="S259" i="35"/>
  <c r="Y259" i="36" s="1"/>
  <c r="S254" i="35"/>
  <c r="Y254" i="36" s="1"/>
  <c r="S274" i="35"/>
  <c r="Y274" i="36" s="1"/>
  <c r="S270" i="35"/>
  <c r="Y270" i="36" s="1"/>
  <c r="S272" i="35"/>
  <c r="Y272" i="36" s="1"/>
  <c r="S257" i="35"/>
  <c r="Y257" i="36" s="1"/>
  <c r="S253" i="35"/>
  <c r="Y253" i="36" s="1"/>
  <c r="S267" i="35"/>
  <c r="Y267" i="36" s="1"/>
  <c r="S263" i="35"/>
  <c r="Y263" i="36" s="1"/>
  <c r="S252" i="35"/>
  <c r="Y252" i="36" s="1"/>
  <c r="S249" i="35"/>
  <c r="Y249" i="36" s="1"/>
  <c r="S256" i="35"/>
  <c r="Y256" i="36" s="1"/>
  <c r="S258" i="35"/>
  <c r="Y258" i="36" s="1"/>
  <c r="S277" i="35"/>
  <c r="Y277" i="36" s="1"/>
  <c r="S262" i="35"/>
  <c r="Y262" i="36" s="1"/>
  <c r="S265" i="35"/>
  <c r="Y265" i="36" s="1"/>
  <c r="S260" i="35"/>
  <c r="Y260" i="36" s="1"/>
  <c r="S275" i="35"/>
  <c r="Y275" i="36" s="1"/>
  <c r="S251" i="35"/>
  <c r="Y251" i="36" s="1"/>
  <c r="S382" i="35"/>
  <c r="U278" i="32"/>
  <c r="U278" i="34"/>
  <c r="R379" i="32"/>
  <c r="X126" i="32"/>
  <c r="X60" i="32"/>
  <c r="X60" i="34"/>
  <c r="X52" i="32"/>
  <c r="X52" i="34"/>
  <c r="X44" i="32"/>
  <c r="X44" i="34"/>
  <c r="X37" i="32"/>
  <c r="X37" i="34"/>
  <c r="R379" i="35"/>
  <c r="AA95" i="32"/>
  <c r="AG95" i="32"/>
  <c r="W95" i="34"/>
  <c r="Q96" i="32"/>
  <c r="Q97" i="32"/>
  <c r="Q98" i="32"/>
  <c r="Q99" i="32"/>
  <c r="Q100" i="32"/>
  <c r="Q101" i="32"/>
  <c r="Q102" i="32"/>
  <c r="Q103" i="32"/>
  <c r="Q377" i="32"/>
  <c r="Q104" i="32"/>
  <c r="Q105" i="32"/>
  <c r="Q106" i="32"/>
  <c r="Q107" i="32"/>
  <c r="Q108" i="32"/>
  <c r="Q109" i="32"/>
  <c r="Q110" i="32"/>
  <c r="Q111" i="32"/>
  <c r="Q112" i="32"/>
  <c r="Q113" i="32"/>
  <c r="Q114" i="32"/>
  <c r="Q115" i="32"/>
  <c r="Q116" i="32"/>
  <c r="Q117" i="32"/>
  <c r="Q118" i="32"/>
  <c r="Q119" i="32"/>
  <c r="Q120" i="32"/>
  <c r="Q121" i="32"/>
  <c r="Q122" i="32"/>
  <c r="Q123" i="32"/>
  <c r="Q124" i="32"/>
  <c r="W151" i="35"/>
  <c r="AA143" i="34"/>
  <c r="AC143" i="34" s="1"/>
  <c r="W143" i="35"/>
  <c r="AA135" i="34"/>
  <c r="W135" i="35"/>
  <c r="AA128" i="34"/>
  <c r="W128" i="35"/>
  <c r="W154" i="35"/>
  <c r="AA154" i="35"/>
  <c r="X90" i="32"/>
  <c r="X90" i="34"/>
  <c r="X88" i="32"/>
  <c r="X88" i="34"/>
  <c r="AD151" i="32"/>
  <c r="Y151" i="34"/>
  <c r="AD134" i="32"/>
  <c r="Y134" i="34"/>
  <c r="AD140" i="32"/>
  <c r="Y140" i="34"/>
  <c r="AD136" i="32"/>
  <c r="Y136" i="34"/>
  <c r="W153" i="35"/>
  <c r="AA95" i="35"/>
  <c r="AA377" i="35" s="1"/>
  <c r="Q96" i="35"/>
  <c r="W95" i="35"/>
  <c r="Q97" i="35"/>
  <c r="Q98" i="35"/>
  <c r="Q99" i="35"/>
  <c r="Q100" i="35"/>
  <c r="Q101" i="35"/>
  <c r="Q102" i="35"/>
  <c r="Q377" i="35"/>
  <c r="Q103" i="35"/>
  <c r="Q104" i="35"/>
  <c r="Q105" i="35"/>
  <c r="Q106" i="35"/>
  <c r="Q107" i="35"/>
  <c r="Q108" i="35"/>
  <c r="Q109" i="35"/>
  <c r="Q110" i="35"/>
  <c r="Q111" i="35"/>
  <c r="Q112" i="35"/>
  <c r="Q113" i="35"/>
  <c r="Q114" i="35"/>
  <c r="Q115" i="35"/>
  <c r="Q116" i="35"/>
  <c r="Q117" i="35"/>
  <c r="Q118" i="35"/>
  <c r="Q119" i="35"/>
  <c r="Q120" i="35"/>
  <c r="Q121" i="35"/>
  <c r="Q122" i="35"/>
  <c r="Q123" i="35"/>
  <c r="Q124" i="35"/>
  <c r="AG292" i="34"/>
  <c r="Y154" i="35"/>
  <c r="AD154" i="35"/>
  <c r="AG154" i="35" s="1"/>
  <c r="Q206" i="28"/>
  <c r="Q205" i="28"/>
  <c r="Q204" i="28"/>
  <c r="Q201" i="28"/>
  <c r="Q197" i="28"/>
  <c r="Q211" i="28"/>
  <c r="Q193" i="28"/>
  <c r="Q212" i="28"/>
  <c r="Q207" i="28"/>
  <c r="Q203" i="28"/>
  <c r="Q199" i="28"/>
  <c r="Q189" i="28"/>
  <c r="Q200" i="28"/>
  <c r="Q217" i="28"/>
  <c r="Q209" i="28"/>
  <c r="Q198" i="28"/>
  <c r="Q216" i="28"/>
  <c r="Q194" i="28"/>
  <c r="Q192" i="28"/>
  <c r="Q213" i="28"/>
  <c r="Q191" i="28"/>
  <c r="Q214" i="28"/>
  <c r="Q210" i="28"/>
  <c r="Q190" i="28"/>
  <c r="Q187" i="28"/>
  <c r="Q196" i="28"/>
  <c r="Q195" i="28"/>
  <c r="Q188" i="28"/>
  <c r="Q202" i="28"/>
  <c r="Q215" i="28"/>
  <c r="Q208" i="28"/>
  <c r="X92" i="34"/>
  <c r="AG279" i="34"/>
  <c r="X151" i="32"/>
  <c r="X129" i="32"/>
  <c r="X59" i="32"/>
  <c r="X59" i="34"/>
  <c r="X51" i="32"/>
  <c r="X51" i="34"/>
  <c r="X43" i="32"/>
  <c r="X43" i="34"/>
  <c r="U34" i="34"/>
  <c r="R34" i="34"/>
  <c r="O375" i="34"/>
  <c r="U34" i="35"/>
  <c r="W125" i="30"/>
  <c r="Q145" i="30"/>
  <c r="W145" i="30" s="1"/>
  <c r="Q127" i="30"/>
  <c r="W127" i="30" s="1"/>
  <c r="Q146" i="30"/>
  <c r="W146" i="30" s="1"/>
  <c r="Q126" i="30"/>
  <c r="W126" i="30" s="1"/>
  <c r="Q147" i="30"/>
  <c r="W147" i="30" s="1"/>
  <c r="Q128" i="30"/>
  <c r="W128" i="30" s="1"/>
  <c r="Q129" i="30"/>
  <c r="W129" i="30" s="1"/>
  <c r="Q148" i="30"/>
  <c r="W148" i="30" s="1"/>
  <c r="Q149" i="30"/>
  <c r="W149" i="30" s="1"/>
  <c r="Q130" i="30"/>
  <c r="W130" i="30" s="1"/>
  <c r="Q131" i="30"/>
  <c r="W131" i="30" s="1"/>
  <c r="Q150" i="30"/>
  <c r="W150" i="30" s="1"/>
  <c r="Q132" i="30"/>
  <c r="W132" i="30" s="1"/>
  <c r="Q151" i="30"/>
  <c r="W151" i="30" s="1"/>
  <c r="Q152" i="30"/>
  <c r="W152" i="30" s="1"/>
  <c r="Q133" i="30"/>
  <c r="W133" i="30" s="1"/>
  <c r="Q134" i="30"/>
  <c r="W134" i="30" s="1"/>
  <c r="Q153" i="30"/>
  <c r="W153" i="30" s="1"/>
  <c r="Q135" i="30"/>
  <c r="W135" i="30" s="1"/>
  <c r="Q154" i="30"/>
  <c r="W154" i="30" s="1"/>
  <c r="Q136" i="30"/>
  <c r="W136" i="30" s="1"/>
  <c r="Q155" i="30"/>
  <c r="W155" i="30" s="1"/>
  <c r="Q156" i="30"/>
  <c r="Q137" i="30"/>
  <c r="W137" i="30" s="1"/>
  <c r="Q138" i="30"/>
  <c r="W138" i="30" s="1"/>
  <c r="Q139" i="30"/>
  <c r="W139" i="30" s="1"/>
  <c r="Q140" i="30"/>
  <c r="W140" i="30" s="1"/>
  <c r="Q141" i="30"/>
  <c r="W141" i="30" s="1"/>
  <c r="Q142" i="30"/>
  <c r="W142" i="30" s="1"/>
  <c r="Q143" i="30"/>
  <c r="W143" i="30" s="1"/>
  <c r="Q144" i="30"/>
  <c r="W144" i="30" s="1"/>
  <c r="AD215" i="34"/>
  <c r="AG215" i="34" s="1"/>
  <c r="X215" i="35"/>
  <c r="T95" i="32"/>
  <c r="T377" i="32" s="1"/>
  <c r="AA150" i="34"/>
  <c r="AC150" i="34" s="1"/>
  <c r="W150" i="35"/>
  <c r="AA142" i="34"/>
  <c r="W142" i="35"/>
  <c r="W134" i="35"/>
  <c r="W127" i="35"/>
  <c r="X68" i="32"/>
  <c r="X68" i="34"/>
  <c r="X69" i="32"/>
  <c r="X69" i="34"/>
  <c r="X67" i="32"/>
  <c r="X67" i="34"/>
  <c r="R94" i="34"/>
  <c r="X94" i="34" s="1"/>
  <c r="O95" i="34"/>
  <c r="U94" i="34"/>
  <c r="AD150" i="32"/>
  <c r="Y150" i="34"/>
  <c r="AD143" i="32"/>
  <c r="Y143" i="34"/>
  <c r="AD130" i="32"/>
  <c r="Y130" i="34"/>
  <c r="AD34" i="32"/>
  <c r="AG34" i="32" s="1"/>
  <c r="Y34" i="32"/>
  <c r="Y34" i="34"/>
  <c r="AG293" i="34"/>
  <c r="P35" i="30"/>
  <c r="S35" i="30"/>
  <c r="AG287" i="34"/>
  <c r="W95" i="30"/>
  <c r="X95" i="32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X131" i="32"/>
  <c r="W145" i="35"/>
  <c r="W137" i="35"/>
  <c r="W34" i="32"/>
  <c r="AA34" i="32"/>
  <c r="X85" i="32"/>
  <c r="X85" i="34"/>
  <c r="AD145" i="32"/>
  <c r="Y145" i="34"/>
  <c r="S155" i="35"/>
  <c r="V155" i="35"/>
  <c r="P379" i="35"/>
  <c r="X45" i="32"/>
  <c r="X45" i="34"/>
  <c r="W144" i="35"/>
  <c r="AA129" i="34"/>
  <c r="AC129" i="34" s="1"/>
  <c r="AC379" i="34" s="1"/>
  <c r="W129" i="35"/>
  <c r="X83" i="32"/>
  <c r="X83" i="34"/>
  <c r="X73" i="32"/>
  <c r="X73" i="34"/>
  <c r="AD144" i="32"/>
  <c r="Y144" i="34"/>
  <c r="AD127" i="32"/>
  <c r="Y127" i="34"/>
  <c r="AA247" i="34"/>
  <c r="AA382" i="34" s="1"/>
  <c r="Q382" i="34"/>
  <c r="X136" i="32"/>
  <c r="X36" i="32"/>
  <c r="R376" i="32"/>
  <c r="X36" i="34"/>
  <c r="X185" i="35"/>
  <c r="R380" i="35"/>
  <c r="AD185" i="35"/>
  <c r="AG185" i="35" s="1"/>
  <c r="W133" i="35"/>
  <c r="R377" i="32"/>
  <c r="X65" i="32"/>
  <c r="X65" i="34"/>
  <c r="X70" i="32"/>
  <c r="X70" i="34"/>
  <c r="AD149" i="32"/>
  <c r="Y149" i="34"/>
  <c r="AD133" i="32"/>
  <c r="Y133" i="34"/>
  <c r="AD129" i="32"/>
  <c r="Y129" i="34"/>
  <c r="T216" i="30"/>
  <c r="N217" i="30"/>
  <c r="U216" i="32"/>
  <c r="Y247" i="34"/>
  <c r="AD247" i="34"/>
  <c r="AG247" i="34" s="1"/>
  <c r="S382" i="34"/>
  <c r="AG288" i="34"/>
  <c r="T217" i="34"/>
  <c r="T217" i="35"/>
  <c r="N383" i="34"/>
  <c r="N381" i="34"/>
  <c r="N385" i="34"/>
  <c r="N386" i="34"/>
  <c r="N384" i="34"/>
  <c r="U155" i="34"/>
  <c r="O379" i="34"/>
  <c r="AE23" i="32"/>
  <c r="AG23" i="32" s="1"/>
  <c r="AG22" i="32"/>
  <c r="X149" i="32"/>
  <c r="X144" i="32"/>
  <c r="X140" i="32"/>
  <c r="X135" i="32"/>
  <c r="X57" i="32"/>
  <c r="X57" i="34"/>
  <c r="X49" i="32"/>
  <c r="X49" i="34"/>
  <c r="AG297" i="34"/>
  <c r="W148" i="35"/>
  <c r="W140" i="35"/>
  <c r="W132" i="35"/>
  <c r="X89" i="32"/>
  <c r="X89" i="34"/>
  <c r="X79" i="32"/>
  <c r="X79" i="34"/>
  <c r="X66" i="32"/>
  <c r="X66" i="34"/>
  <c r="X78" i="32"/>
  <c r="X78" i="34"/>
  <c r="S176" i="32"/>
  <c r="S171" i="32"/>
  <c r="S166" i="32"/>
  <c r="S184" i="32"/>
  <c r="S181" i="32"/>
  <c r="S177" i="32"/>
  <c r="S173" i="32"/>
  <c r="S167" i="32"/>
  <c r="S164" i="32"/>
  <c r="S182" i="32"/>
  <c r="S165" i="32"/>
  <c r="S162" i="32"/>
  <c r="S185" i="32"/>
  <c r="S175" i="32"/>
  <c r="AD156" i="32"/>
  <c r="S178" i="32"/>
  <c r="S163" i="32"/>
  <c r="S180" i="32"/>
  <c r="S169" i="32"/>
  <c r="S174" i="32"/>
  <c r="S157" i="32"/>
  <c r="S159" i="32"/>
  <c r="S179" i="32"/>
  <c r="S186" i="32"/>
  <c r="S170" i="32"/>
  <c r="S168" i="32"/>
  <c r="S172" i="32"/>
  <c r="S161" i="32"/>
  <c r="S158" i="32"/>
  <c r="S160" i="32"/>
  <c r="Y156" i="34"/>
  <c r="S183" i="32"/>
  <c r="AD148" i="32"/>
  <c r="Y148" i="34"/>
  <c r="AD132" i="32"/>
  <c r="Y132" i="34"/>
  <c r="AD139" i="32"/>
  <c r="Y139" i="34"/>
  <c r="S379" i="32"/>
  <c r="AD126" i="32"/>
  <c r="Y126" i="34"/>
  <c r="S35" i="32"/>
  <c r="V35" i="32"/>
  <c r="V375" i="32" s="1"/>
  <c r="V35" i="34"/>
  <c r="P375" i="32"/>
  <c r="V248" i="34"/>
  <c r="P382" i="34"/>
  <c r="W247" i="35"/>
  <c r="AA247" i="35"/>
  <c r="X94" i="35"/>
  <c r="Q381" i="34"/>
  <c r="Q385" i="34"/>
  <c r="Q383" i="34"/>
  <c r="Q384" i="34"/>
  <c r="Q386" i="34"/>
  <c r="V95" i="35"/>
  <c r="S95" i="35"/>
  <c r="P377" i="35"/>
  <c r="X154" i="32"/>
  <c r="X62" i="32"/>
  <c r="X62" i="34"/>
  <c r="X46" i="32"/>
  <c r="X46" i="34"/>
  <c r="U369" i="34"/>
  <c r="R369" i="34"/>
  <c r="U369" i="35"/>
  <c r="W130" i="35"/>
  <c r="X71" i="32"/>
  <c r="X71" i="34"/>
  <c r="X86" i="32"/>
  <c r="X86" i="34"/>
  <c r="AD137" i="32"/>
  <c r="Y137" i="34"/>
  <c r="O248" i="34"/>
  <c r="U247" i="34"/>
  <c r="R247" i="34"/>
  <c r="U247" i="35"/>
  <c r="AG298" i="34"/>
  <c r="X53" i="32"/>
  <c r="X53" i="34"/>
  <c r="U216" i="34"/>
  <c r="O217" i="34"/>
  <c r="R216" i="34"/>
  <c r="U216" i="35"/>
  <c r="Q155" i="35"/>
  <c r="T155" i="35"/>
  <c r="N379" i="35"/>
  <c r="T217" i="32"/>
  <c r="T381" i="32" s="1"/>
  <c r="N381" i="32"/>
  <c r="X152" i="32"/>
  <c r="X132" i="32"/>
  <c r="X50" i="32"/>
  <c r="X50" i="34"/>
  <c r="X33" i="34"/>
  <c r="AD33" i="34"/>
  <c r="AG33" i="34" s="1"/>
  <c r="X33" i="35"/>
  <c r="AC94" i="34"/>
  <c r="AC377" i="34" s="1"/>
  <c r="AA377" i="34"/>
  <c r="W141" i="35"/>
  <c r="V309" i="34"/>
  <c r="V309" i="35"/>
  <c r="X75" i="32"/>
  <c r="X75" i="34"/>
  <c r="AG125" i="32"/>
  <c r="X148" i="32"/>
  <c r="X41" i="32"/>
  <c r="X41" i="34"/>
  <c r="U370" i="32"/>
  <c r="U370" i="34"/>
  <c r="X72" i="32"/>
  <c r="X72" i="34"/>
  <c r="AD128" i="32"/>
  <c r="Y128" i="34"/>
  <c r="AG291" i="34"/>
  <c r="R274" i="35"/>
  <c r="R256" i="35"/>
  <c r="R251" i="35"/>
  <c r="R263" i="35"/>
  <c r="R258" i="35"/>
  <c r="R253" i="35"/>
  <c r="R277" i="35"/>
  <c r="R272" i="35"/>
  <c r="R267" i="35"/>
  <c r="R249" i="35"/>
  <c r="R276" i="35"/>
  <c r="R261" i="35"/>
  <c r="X261" i="36" s="1"/>
  <c r="R252" i="35"/>
  <c r="R250" i="35"/>
  <c r="R270" i="35"/>
  <c r="R259" i="35"/>
  <c r="R268" i="35"/>
  <c r="X268" i="36" s="1"/>
  <c r="R266" i="35"/>
  <c r="R257" i="35"/>
  <c r="R255" i="35"/>
  <c r="R269" i="35"/>
  <c r="R265" i="35"/>
  <c r="R275" i="35"/>
  <c r="X275" i="36" s="1"/>
  <c r="R262" i="35"/>
  <c r="R264" i="35"/>
  <c r="R271" i="35"/>
  <c r="R254" i="35"/>
  <c r="X254" i="36" s="1"/>
  <c r="R273" i="35"/>
  <c r="R260" i="35"/>
  <c r="X248" i="35"/>
  <c r="R382" i="35"/>
  <c r="AG282" i="34"/>
  <c r="V95" i="32"/>
  <c r="V377" i="32" s="1"/>
  <c r="P377" i="32"/>
  <c r="AD153" i="32"/>
  <c r="Y153" i="34"/>
  <c r="P259" i="28"/>
  <c r="T259" i="28" s="1"/>
  <c r="V259" i="28" s="1"/>
  <c r="P277" i="28"/>
  <c r="P271" i="28"/>
  <c r="P264" i="28"/>
  <c r="P260" i="28"/>
  <c r="P251" i="28"/>
  <c r="P272" i="28"/>
  <c r="P253" i="28"/>
  <c r="P252" i="28"/>
  <c r="T252" i="28" s="1"/>
  <c r="P273" i="28"/>
  <c r="T273" i="28" s="1"/>
  <c r="V273" i="28" s="1"/>
  <c r="T248" i="28"/>
  <c r="P278" i="28"/>
  <c r="P274" i="28"/>
  <c r="P256" i="28"/>
  <c r="P275" i="28"/>
  <c r="P262" i="28"/>
  <c r="P255" i="28"/>
  <c r="P269" i="28"/>
  <c r="P258" i="28"/>
  <c r="T258" i="28" s="1"/>
  <c r="V258" i="28" s="1"/>
  <c r="P261" i="28"/>
  <c r="P268" i="28"/>
  <c r="T268" i="28" s="1"/>
  <c r="V268" i="28" s="1"/>
  <c r="P250" i="28"/>
  <c r="P265" i="28"/>
  <c r="P249" i="28"/>
  <c r="P266" i="28"/>
  <c r="T266" i="28" s="1"/>
  <c r="P270" i="28"/>
  <c r="P263" i="28"/>
  <c r="P267" i="28"/>
  <c r="P257" i="28"/>
  <c r="P254" i="28"/>
  <c r="P276" i="28"/>
  <c r="X61" i="32"/>
  <c r="X61" i="34"/>
  <c r="W152" i="35"/>
  <c r="U308" i="34"/>
  <c r="O309" i="34"/>
  <c r="U309" i="34" s="1"/>
  <c r="R308" i="34"/>
  <c r="X142" i="32"/>
  <c r="X150" i="32"/>
  <c r="X58" i="32"/>
  <c r="X58" i="34"/>
  <c r="X42" i="32"/>
  <c r="X42" i="34"/>
  <c r="AA149" i="34"/>
  <c r="W149" i="35"/>
  <c r="X82" i="32"/>
  <c r="X82" i="34"/>
  <c r="U217" i="30"/>
  <c r="V217" i="32"/>
  <c r="V381" i="32" s="1"/>
  <c r="R185" i="32"/>
  <c r="R178" i="32"/>
  <c r="R174" i="32"/>
  <c r="R168" i="32"/>
  <c r="R186" i="32"/>
  <c r="R161" i="32"/>
  <c r="R158" i="32"/>
  <c r="R170" i="32"/>
  <c r="R159" i="32"/>
  <c r="R171" i="32"/>
  <c r="R167" i="32"/>
  <c r="R182" i="32"/>
  <c r="R175" i="32"/>
  <c r="R162" i="32"/>
  <c r="R183" i="32"/>
  <c r="R173" i="32"/>
  <c r="R165" i="32"/>
  <c r="R184" i="32"/>
  <c r="R176" i="32"/>
  <c r="R172" i="32"/>
  <c r="R160" i="32"/>
  <c r="R181" i="32"/>
  <c r="R164" i="32"/>
  <c r="R180" i="32"/>
  <c r="R179" i="32"/>
  <c r="R163" i="32"/>
  <c r="X156" i="32"/>
  <c r="R169" i="32"/>
  <c r="R157" i="32"/>
  <c r="R177" i="32"/>
  <c r="R166" i="32"/>
  <c r="X156" i="34"/>
  <c r="X56" i="32"/>
  <c r="X56" i="34"/>
  <c r="X48" i="32"/>
  <c r="X48" i="34"/>
  <c r="AD308" i="34"/>
  <c r="AG308" i="34" s="1"/>
  <c r="W147" i="35"/>
  <c r="W139" i="35"/>
  <c r="Q379" i="34"/>
  <c r="W126" i="35"/>
  <c r="Q293" i="34"/>
  <c r="Q280" i="34"/>
  <c r="AG280" i="34" s="1"/>
  <c r="Q298" i="34"/>
  <c r="Q294" i="34"/>
  <c r="Q283" i="34"/>
  <c r="Q281" i="34"/>
  <c r="AA278" i="34"/>
  <c r="AC278" i="34" s="1"/>
  <c r="Q301" i="34"/>
  <c r="Q292" i="34"/>
  <c r="Q284" i="34"/>
  <c r="Q307" i="34"/>
  <c r="AG307" i="34" s="1"/>
  <c r="Q305" i="34"/>
  <c r="Q299" i="34"/>
  <c r="Q295" i="34"/>
  <c r="Q286" i="34"/>
  <c r="Q302" i="34"/>
  <c r="Q289" i="34"/>
  <c r="AG278" i="34"/>
  <c r="Q303" i="34"/>
  <c r="Q287" i="34"/>
  <c r="Q308" i="34"/>
  <c r="Q296" i="34"/>
  <c r="Q300" i="34"/>
  <c r="Q304" i="34"/>
  <c r="AG304" i="34" s="1"/>
  <c r="Q306" i="34"/>
  <c r="AG306" i="34" s="1"/>
  <c r="Q279" i="34"/>
  <c r="Q297" i="34"/>
  <c r="Q288" i="34"/>
  <c r="Q285" i="34"/>
  <c r="Q291" i="34"/>
  <c r="Q290" i="34"/>
  <c r="AG290" i="34" s="1"/>
  <c r="Q282" i="34"/>
  <c r="X77" i="32"/>
  <c r="X77" i="34"/>
  <c r="X87" i="32"/>
  <c r="X87" i="34"/>
  <c r="X81" i="32"/>
  <c r="X81" i="34"/>
  <c r="AD155" i="32"/>
  <c r="Y155" i="34"/>
  <c r="AD147" i="32"/>
  <c r="Y147" i="34"/>
  <c r="AD142" i="32"/>
  <c r="Y142" i="34"/>
  <c r="AD135" i="32"/>
  <c r="Y135" i="34"/>
  <c r="X246" i="35"/>
  <c r="AD94" i="35"/>
  <c r="AG94" i="35" s="1"/>
  <c r="Y94" i="35"/>
  <c r="V248" i="32"/>
  <c r="S248" i="32"/>
  <c r="AA381" i="35"/>
  <c r="AA383" i="35"/>
  <c r="AA384" i="35"/>
  <c r="AA386" i="35"/>
  <c r="AA385" i="35"/>
  <c r="X155" i="32"/>
  <c r="X147" i="32"/>
  <c r="X55" i="32"/>
  <c r="X55" i="34"/>
  <c r="X47" i="32"/>
  <c r="X47" i="34"/>
  <c r="X40" i="32"/>
  <c r="X40" i="34"/>
  <c r="AD368" i="34"/>
  <c r="AG368" i="34" s="1"/>
  <c r="Q125" i="32"/>
  <c r="S370" i="30"/>
  <c r="T370" i="32"/>
  <c r="W146" i="35"/>
  <c r="W138" i="35"/>
  <c r="W131" i="35"/>
  <c r="Q35" i="32"/>
  <c r="T35" i="32"/>
  <c r="T375" i="32" s="1"/>
  <c r="T35" i="34"/>
  <c r="N375" i="32"/>
  <c r="X76" i="32"/>
  <c r="X76" i="34"/>
  <c r="X74" i="32"/>
  <c r="X74" i="34"/>
  <c r="X80" i="32"/>
  <c r="X80" i="34"/>
  <c r="X84" i="32"/>
  <c r="X84" i="34"/>
  <c r="AD154" i="32"/>
  <c r="Y154" i="34"/>
  <c r="AD146" i="32"/>
  <c r="Y146" i="34"/>
  <c r="AD131" i="32"/>
  <c r="Y131" i="34"/>
  <c r="AD138" i="32"/>
  <c r="Y138" i="34"/>
  <c r="AG305" i="34"/>
  <c r="S95" i="34"/>
  <c r="V95" i="34"/>
  <c r="P377" i="34"/>
  <c r="W34" i="34"/>
  <c r="Q375" i="34"/>
  <c r="AG302" i="34"/>
  <c r="AG294" i="34"/>
  <c r="T248" i="35"/>
  <c r="N382" i="35"/>
  <c r="U95" i="35"/>
  <c r="R95" i="35"/>
  <c r="O377" i="35"/>
  <c r="T248" i="34"/>
  <c r="N382" i="34"/>
  <c r="X252" i="35" l="1"/>
  <c r="X252" i="36"/>
  <c r="X273" i="35"/>
  <c r="X273" i="36"/>
  <c r="X255" i="35"/>
  <c r="X255" i="36"/>
  <c r="X276" i="35"/>
  <c r="X276" i="36"/>
  <c r="X271" i="35"/>
  <c r="X271" i="36"/>
  <c r="X256" i="35"/>
  <c r="X256" i="36"/>
  <c r="X253" i="35"/>
  <c r="X253" i="36"/>
  <c r="X260" i="35"/>
  <c r="X260" i="36"/>
  <c r="X266" i="35"/>
  <c r="X266" i="36"/>
  <c r="X264" i="35"/>
  <c r="X264" i="36"/>
  <c r="X267" i="35"/>
  <c r="X267" i="36"/>
  <c r="X274" i="35"/>
  <c r="X274" i="36"/>
  <c r="X265" i="35"/>
  <c r="X265" i="36"/>
  <c r="X258" i="35"/>
  <c r="X258" i="36"/>
  <c r="X263" i="35"/>
  <c r="X263" i="36"/>
  <c r="X257" i="35"/>
  <c r="X257" i="36"/>
  <c r="X251" i="35"/>
  <c r="X251" i="36"/>
  <c r="X249" i="35"/>
  <c r="X249" i="36"/>
  <c r="X262" i="35"/>
  <c r="X262" i="36"/>
  <c r="X259" i="35"/>
  <c r="X259" i="36"/>
  <c r="X272" i="35"/>
  <c r="X272" i="36"/>
  <c r="X250" i="35"/>
  <c r="X250" i="36"/>
  <c r="X269" i="35"/>
  <c r="X269" i="36"/>
  <c r="X270" i="35"/>
  <c r="X270" i="36"/>
  <c r="X277" i="35"/>
  <c r="X277" i="36"/>
  <c r="X254" i="35"/>
  <c r="X261" i="35"/>
  <c r="X268" i="35"/>
  <c r="X275" i="35"/>
  <c r="AC247" i="35"/>
  <c r="X183" i="34"/>
  <c r="AA155" i="35"/>
  <c r="AA379" i="35" s="1"/>
  <c r="W155" i="35"/>
  <c r="Q379" i="35"/>
  <c r="AD163" i="32"/>
  <c r="Y163" i="34"/>
  <c r="W118" i="30"/>
  <c r="X118" i="32"/>
  <c r="W121" i="35"/>
  <c r="AA121" i="35"/>
  <c r="AC121" i="35" s="1"/>
  <c r="AA113" i="32"/>
  <c r="W113" i="34"/>
  <c r="Y254" i="35"/>
  <c r="AD254" i="35"/>
  <c r="Q269" i="35"/>
  <c r="W269" i="36" s="1"/>
  <c r="Q264" i="35"/>
  <c r="W264" i="36" s="1"/>
  <c r="Q259" i="35"/>
  <c r="W259" i="36" s="1"/>
  <c r="Q254" i="35"/>
  <c r="W254" i="36" s="1"/>
  <c r="Q276" i="35"/>
  <c r="W276" i="36" s="1"/>
  <c r="Q271" i="35"/>
  <c r="W271" i="36" s="1"/>
  <c r="Q266" i="35"/>
  <c r="W266" i="36" s="1"/>
  <c r="Q261" i="35"/>
  <c r="W261" i="36" s="1"/>
  <c r="Q275" i="35"/>
  <c r="W275" i="36" s="1"/>
  <c r="Q262" i="35"/>
  <c r="W262" i="36" s="1"/>
  <c r="Q257" i="35"/>
  <c r="W257" i="36" s="1"/>
  <c r="Q252" i="35"/>
  <c r="W252" i="36" s="1"/>
  <c r="W248" i="35"/>
  <c r="Q274" i="35"/>
  <c r="W274" i="36" s="1"/>
  <c r="Q272" i="35"/>
  <c r="W272" i="36" s="1"/>
  <c r="Q270" i="35"/>
  <c r="W270" i="36" s="1"/>
  <c r="Q273" i="35"/>
  <c r="W273" i="36" s="1"/>
  <c r="Q256" i="35"/>
  <c r="W256" i="36" s="1"/>
  <c r="AA248" i="35"/>
  <c r="Q260" i="35"/>
  <c r="W260" i="36" s="1"/>
  <c r="Q253" i="35"/>
  <c r="W253" i="36" s="1"/>
  <c r="Q251" i="35"/>
  <c r="W251" i="36" s="1"/>
  <c r="Q255" i="35"/>
  <c r="W255" i="36" s="1"/>
  <c r="Q263" i="35"/>
  <c r="W263" i="36" s="1"/>
  <c r="Q258" i="35"/>
  <c r="W258" i="36" s="1"/>
  <c r="Q277" i="35"/>
  <c r="W277" i="36" s="1"/>
  <c r="Q265" i="35"/>
  <c r="W265" i="36" s="1"/>
  <c r="Q268" i="35"/>
  <c r="W268" i="36" s="1"/>
  <c r="Q267" i="35"/>
  <c r="W267" i="36" s="1"/>
  <c r="Q382" i="35"/>
  <c r="X177" i="34"/>
  <c r="X161" i="34"/>
  <c r="AD183" i="32"/>
  <c r="Y183" i="34"/>
  <c r="AD176" i="32"/>
  <c r="Y176" i="34"/>
  <c r="X377" i="32"/>
  <c r="W112" i="35"/>
  <c r="AA112" i="35"/>
  <c r="AA112" i="32"/>
  <c r="W112" i="34"/>
  <c r="AD263" i="35"/>
  <c r="Y263" i="35"/>
  <c r="S307" i="35"/>
  <c r="Y307" i="36" s="1"/>
  <c r="S305" i="35"/>
  <c r="Y305" i="36" s="1"/>
  <c r="S303" i="35"/>
  <c r="Y303" i="36" s="1"/>
  <c r="S301" i="35"/>
  <c r="Y301" i="36" s="1"/>
  <c r="S299" i="35"/>
  <c r="Y299" i="36" s="1"/>
  <c r="S297" i="35"/>
  <c r="Y297" i="36" s="1"/>
  <c r="S295" i="35"/>
  <c r="Y295" i="36" s="1"/>
  <c r="S293" i="35"/>
  <c r="Y293" i="36" s="1"/>
  <c r="S291" i="35"/>
  <c r="Y291" i="36" s="1"/>
  <c r="S289" i="35"/>
  <c r="Y289" i="36" s="1"/>
  <c r="S287" i="35"/>
  <c r="Y287" i="36" s="1"/>
  <c r="S285" i="35"/>
  <c r="Y285" i="36" s="1"/>
  <c r="S283" i="35"/>
  <c r="Y283" i="36" s="1"/>
  <c r="AD278" i="35"/>
  <c r="S308" i="35"/>
  <c r="Y308" i="36" s="1"/>
  <c r="S306" i="35"/>
  <c r="Y306" i="36" s="1"/>
  <c r="S304" i="35"/>
  <c r="Y304" i="36" s="1"/>
  <c r="S302" i="35"/>
  <c r="Y302" i="36" s="1"/>
  <c r="S300" i="35"/>
  <c r="Y300" i="36" s="1"/>
  <c r="S298" i="35"/>
  <c r="Y298" i="36" s="1"/>
  <c r="S296" i="35"/>
  <c r="Y296" i="36" s="1"/>
  <c r="S294" i="35"/>
  <c r="Y294" i="36" s="1"/>
  <c r="S292" i="35"/>
  <c r="Y292" i="36" s="1"/>
  <c r="S290" i="35"/>
  <c r="Y290" i="36" s="1"/>
  <c r="S288" i="35"/>
  <c r="Y288" i="36" s="1"/>
  <c r="S286" i="35"/>
  <c r="Y286" i="36" s="1"/>
  <c r="S284" i="35"/>
  <c r="Y284" i="36" s="1"/>
  <c r="S282" i="35"/>
  <c r="Y282" i="36" s="1"/>
  <c r="S281" i="35"/>
  <c r="Y281" i="36" s="1"/>
  <c r="S279" i="35"/>
  <c r="Y279" i="36" s="1"/>
  <c r="S280" i="35"/>
  <c r="Y280" i="36" s="1"/>
  <c r="Y278" i="35"/>
  <c r="AA283" i="34"/>
  <c r="AC283" i="34" s="1"/>
  <c r="R380" i="32"/>
  <c r="X157" i="32"/>
  <c r="X157" i="34"/>
  <c r="X160" i="32"/>
  <c r="X160" i="34"/>
  <c r="X175" i="34"/>
  <c r="R212" i="32"/>
  <c r="R207" i="32"/>
  <c r="R199" i="32"/>
  <c r="R192" i="32"/>
  <c r="R214" i="32"/>
  <c r="R188" i="32"/>
  <c r="X186" i="32"/>
  <c r="R216" i="32"/>
  <c r="X216" i="34" s="1"/>
  <c r="R203" i="32"/>
  <c r="R196" i="32"/>
  <c r="R211" i="32"/>
  <c r="R189" i="32"/>
  <c r="R201" i="32"/>
  <c r="R197" i="32"/>
  <c r="R194" i="32"/>
  <c r="R190" i="32"/>
  <c r="R215" i="32"/>
  <c r="R202" i="32"/>
  <c r="R198" i="32"/>
  <c r="R195" i="32"/>
  <c r="R191" i="32"/>
  <c r="R209" i="32"/>
  <c r="R205" i="32"/>
  <c r="R187" i="32"/>
  <c r="R208" i="32"/>
  <c r="R204" i="32"/>
  <c r="R213" i="32"/>
  <c r="R210" i="32"/>
  <c r="R193" i="32"/>
  <c r="R200" i="32"/>
  <c r="R217" i="32"/>
  <c r="R206" i="32"/>
  <c r="X186" i="34"/>
  <c r="P294" i="28"/>
  <c r="T294" i="28" s="1"/>
  <c r="V294" i="28" s="1"/>
  <c r="P293" i="28"/>
  <c r="P292" i="28"/>
  <c r="P291" i="28"/>
  <c r="P290" i="28"/>
  <c r="P289" i="28"/>
  <c r="P308" i="28"/>
  <c r="T308" i="28" s="1"/>
  <c r="V308" i="28" s="1"/>
  <c r="P307" i="28"/>
  <c r="P306" i="28"/>
  <c r="P305" i="28"/>
  <c r="P304" i="28"/>
  <c r="P303" i="28"/>
  <c r="P302" i="28"/>
  <c r="P301" i="28"/>
  <c r="T301" i="28" s="1"/>
  <c r="V301" i="28" s="1"/>
  <c r="P300" i="28"/>
  <c r="P299" i="28"/>
  <c r="P298" i="28"/>
  <c r="T298" i="28" s="1"/>
  <c r="V298" i="28" s="1"/>
  <c r="P295" i="28"/>
  <c r="P297" i="28"/>
  <c r="P282" i="28"/>
  <c r="P286" i="28"/>
  <c r="P279" i="28"/>
  <c r="P296" i="28"/>
  <c r="P281" i="28"/>
  <c r="P287" i="28"/>
  <c r="T287" i="28" s="1"/>
  <c r="V287" i="28" s="1"/>
  <c r="P285" i="28"/>
  <c r="P284" i="28"/>
  <c r="P283" i="28"/>
  <c r="P280" i="28"/>
  <c r="T280" i="28" s="1"/>
  <c r="V280" i="28" s="1"/>
  <c r="P288" i="28"/>
  <c r="T288" i="28" s="1"/>
  <c r="V288" i="28" s="1"/>
  <c r="T278" i="28"/>
  <c r="R383" i="34"/>
  <c r="R381" i="34"/>
  <c r="R384" i="34"/>
  <c r="R386" i="34"/>
  <c r="R385" i="34"/>
  <c r="X216" i="35"/>
  <c r="AD216" i="34"/>
  <c r="AG216" i="34" s="1"/>
  <c r="S96" i="35"/>
  <c r="AD95" i="35"/>
  <c r="AG95" i="35" s="1"/>
  <c r="Y95" i="35"/>
  <c r="S97" i="35"/>
  <c r="S98" i="35"/>
  <c r="S99" i="35"/>
  <c r="S100" i="35"/>
  <c r="S101" i="35"/>
  <c r="S102" i="35"/>
  <c r="S103" i="35"/>
  <c r="S104" i="35"/>
  <c r="S377" i="35"/>
  <c r="S105" i="35"/>
  <c r="S106" i="35"/>
  <c r="S107" i="35"/>
  <c r="S108" i="35"/>
  <c r="S109" i="35"/>
  <c r="S110" i="35"/>
  <c r="S111" i="35"/>
  <c r="S112" i="35"/>
  <c r="S113" i="35"/>
  <c r="S114" i="35"/>
  <c r="S115" i="35"/>
  <c r="S116" i="35"/>
  <c r="S117" i="35"/>
  <c r="S118" i="35"/>
  <c r="S119" i="35"/>
  <c r="S120" i="35"/>
  <c r="S121" i="35"/>
  <c r="S122" i="35"/>
  <c r="S123" i="35"/>
  <c r="S124" i="35"/>
  <c r="Y35" i="32"/>
  <c r="Y375" i="32" s="1"/>
  <c r="S36" i="32"/>
  <c r="AD35" i="32"/>
  <c r="AG35" i="32" s="1"/>
  <c r="S37" i="32"/>
  <c r="S38" i="32"/>
  <c r="Y35" i="34"/>
  <c r="S39" i="32"/>
  <c r="S40" i="32"/>
  <c r="S41" i="32"/>
  <c r="S42" i="32"/>
  <c r="S43" i="32"/>
  <c r="S44" i="32"/>
  <c r="S375" i="32"/>
  <c r="S45" i="32"/>
  <c r="S46" i="32"/>
  <c r="S47" i="32"/>
  <c r="S48" i="32"/>
  <c r="S49" i="32"/>
  <c r="S50" i="32"/>
  <c r="S51" i="32"/>
  <c r="S52" i="32"/>
  <c r="S53" i="32"/>
  <c r="S54" i="32"/>
  <c r="S55" i="32"/>
  <c r="S56" i="32"/>
  <c r="S57" i="32"/>
  <c r="S58" i="32"/>
  <c r="S59" i="32"/>
  <c r="S60" i="32"/>
  <c r="S61" i="32"/>
  <c r="S62" i="32"/>
  <c r="S63" i="32"/>
  <c r="S64" i="32"/>
  <c r="AD179" i="32"/>
  <c r="Y179" i="34"/>
  <c r="AD167" i="32"/>
  <c r="Y167" i="34"/>
  <c r="X376" i="32"/>
  <c r="X130" i="32"/>
  <c r="W124" i="30"/>
  <c r="X124" i="32"/>
  <c r="W116" i="30"/>
  <c r="X116" i="32"/>
  <c r="W108" i="30"/>
  <c r="X108" i="32"/>
  <c r="W100" i="30"/>
  <c r="X100" i="32"/>
  <c r="AA119" i="35"/>
  <c r="W119" i="35"/>
  <c r="W111" i="35"/>
  <c r="AA111" i="35"/>
  <c r="AA103" i="35"/>
  <c r="W103" i="35"/>
  <c r="AA119" i="32"/>
  <c r="W119" i="34"/>
  <c r="AA111" i="32"/>
  <c r="W111" i="34"/>
  <c r="Q378" i="32"/>
  <c r="AA96" i="32"/>
  <c r="W96" i="34"/>
  <c r="AD265" i="35"/>
  <c r="Y265" i="35"/>
  <c r="AD267" i="35"/>
  <c r="Y267" i="35"/>
  <c r="Y264" i="35"/>
  <c r="AD264" i="35"/>
  <c r="AG248" i="35"/>
  <c r="AH248" i="35" s="1"/>
  <c r="AG283" i="34"/>
  <c r="AA287" i="34"/>
  <c r="X169" i="34"/>
  <c r="X172" i="34"/>
  <c r="X182" i="34"/>
  <c r="X168" i="32"/>
  <c r="X168" i="34"/>
  <c r="X141" i="32"/>
  <c r="X139" i="32"/>
  <c r="U217" i="34"/>
  <c r="U217" i="35"/>
  <c r="O381" i="34"/>
  <c r="O383" i="34"/>
  <c r="O386" i="34"/>
  <c r="O384" i="34"/>
  <c r="O385" i="34"/>
  <c r="R382" i="34"/>
  <c r="X247" i="35"/>
  <c r="AD160" i="32"/>
  <c r="Y160" i="34"/>
  <c r="AD159" i="32"/>
  <c r="Y159" i="34"/>
  <c r="AD175" i="32"/>
  <c r="Y175" i="34"/>
  <c r="AD173" i="32"/>
  <c r="Y173" i="34"/>
  <c r="T217" i="30"/>
  <c r="U217" i="32"/>
  <c r="U381" i="32" s="1"/>
  <c r="W123" i="30"/>
  <c r="X123" i="32"/>
  <c r="W115" i="30"/>
  <c r="X115" i="32"/>
  <c r="W107" i="30"/>
  <c r="X107" i="32"/>
  <c r="W99" i="30"/>
  <c r="X99" i="32"/>
  <c r="V35" i="30"/>
  <c r="Z35" i="30"/>
  <c r="AB35" i="30" s="1"/>
  <c r="P36" i="30"/>
  <c r="V36" i="30" s="1"/>
  <c r="P37" i="30"/>
  <c r="V37" i="30" s="1"/>
  <c r="P38" i="30"/>
  <c r="V38" i="30" s="1"/>
  <c r="P39" i="30"/>
  <c r="V39" i="30" s="1"/>
  <c r="P40" i="30"/>
  <c r="P41" i="30"/>
  <c r="V41" i="30" s="1"/>
  <c r="P42" i="30"/>
  <c r="V42" i="30" s="1"/>
  <c r="P43" i="30"/>
  <c r="V43" i="30" s="1"/>
  <c r="P44" i="30"/>
  <c r="V44" i="30" s="1"/>
  <c r="P45" i="30"/>
  <c r="P46" i="30"/>
  <c r="V46" i="30" s="1"/>
  <c r="P47" i="30"/>
  <c r="P48" i="30"/>
  <c r="V48" i="30" s="1"/>
  <c r="P49" i="30"/>
  <c r="V49" i="30" s="1"/>
  <c r="P50" i="30"/>
  <c r="V50" i="30" s="1"/>
  <c r="P51" i="30"/>
  <c r="V51" i="30" s="1"/>
  <c r="P52" i="30"/>
  <c r="V52" i="30" s="1"/>
  <c r="P53" i="30"/>
  <c r="V53" i="30" s="1"/>
  <c r="P54" i="30"/>
  <c r="P55" i="30"/>
  <c r="P56" i="30"/>
  <c r="V56" i="30" s="1"/>
  <c r="P57" i="30"/>
  <c r="V57" i="30" s="1"/>
  <c r="P58" i="30"/>
  <c r="V58" i="30" s="1"/>
  <c r="P59" i="30"/>
  <c r="V59" i="30" s="1"/>
  <c r="P60" i="30"/>
  <c r="V60" i="30" s="1"/>
  <c r="P61" i="30"/>
  <c r="P62" i="30"/>
  <c r="V62" i="30" s="1"/>
  <c r="P63" i="30"/>
  <c r="U95" i="34"/>
  <c r="R95" i="34"/>
  <c r="O377" i="34"/>
  <c r="Q184" i="30"/>
  <c r="W184" i="30" s="1"/>
  <c r="Q165" i="30"/>
  <c r="W165" i="30" s="1"/>
  <c r="Q158" i="30"/>
  <c r="W158" i="30" s="1"/>
  <c r="W156" i="30"/>
  <c r="Q181" i="30"/>
  <c r="W181" i="30" s="1"/>
  <c r="Q171" i="30"/>
  <c r="W171" i="30" s="1"/>
  <c r="Q162" i="30"/>
  <c r="W162" i="30" s="1"/>
  <c r="Q159" i="30"/>
  <c r="W159" i="30" s="1"/>
  <c r="Q183" i="30"/>
  <c r="W183" i="30" s="1"/>
  <c r="Q179" i="30"/>
  <c r="W179" i="30" s="1"/>
  <c r="Q175" i="30"/>
  <c r="W175" i="30" s="1"/>
  <c r="Q174" i="30"/>
  <c r="W174" i="30" s="1"/>
  <c r="Q163" i="30"/>
  <c r="W163" i="30" s="1"/>
  <c r="Q160" i="30"/>
  <c r="W160" i="30" s="1"/>
  <c r="Q157" i="30"/>
  <c r="W157" i="30" s="1"/>
  <c r="Q186" i="30"/>
  <c r="Q173" i="30"/>
  <c r="W173" i="30" s="1"/>
  <c r="Q168" i="30"/>
  <c r="W168" i="30" s="1"/>
  <c r="Q166" i="30"/>
  <c r="W166" i="30" s="1"/>
  <c r="Q170" i="30"/>
  <c r="W170" i="30" s="1"/>
  <c r="Q180" i="30"/>
  <c r="W180" i="30" s="1"/>
  <c r="Q177" i="30"/>
  <c r="W177" i="30" s="1"/>
  <c r="Q172" i="30"/>
  <c r="W172" i="30" s="1"/>
  <c r="Q164" i="30"/>
  <c r="W164" i="30" s="1"/>
  <c r="Q169" i="30"/>
  <c r="W169" i="30" s="1"/>
  <c r="Q182" i="30"/>
  <c r="W182" i="30" s="1"/>
  <c r="Q185" i="30"/>
  <c r="W185" i="30" s="1"/>
  <c r="Q178" i="30"/>
  <c r="W178" i="30" s="1"/>
  <c r="Q161" i="30"/>
  <c r="W161" i="30" s="1"/>
  <c r="Q167" i="30"/>
  <c r="W167" i="30" s="1"/>
  <c r="Q176" i="30"/>
  <c r="W176" i="30" s="1"/>
  <c r="W118" i="35"/>
  <c r="AA118" i="35"/>
  <c r="W110" i="35"/>
  <c r="AA110" i="35"/>
  <c r="Q378" i="35"/>
  <c r="AA96" i="35"/>
  <c r="W96" i="35"/>
  <c r="AA379" i="34"/>
  <c r="AA118" i="32"/>
  <c r="W118" i="34"/>
  <c r="AA110" i="32"/>
  <c r="W110" i="34"/>
  <c r="AA103" i="32"/>
  <c r="W103" i="34"/>
  <c r="X145" i="32"/>
  <c r="Y262" i="35"/>
  <c r="AD262" i="35"/>
  <c r="Y253" i="35"/>
  <c r="AD253" i="35"/>
  <c r="Y269" i="35"/>
  <c r="AD269" i="35"/>
  <c r="Y261" i="35"/>
  <c r="AD261" i="35"/>
  <c r="X166" i="34"/>
  <c r="AG286" i="34"/>
  <c r="AD170" i="32"/>
  <c r="Y170" i="34"/>
  <c r="AD171" i="32"/>
  <c r="Y171" i="34"/>
  <c r="W110" i="30"/>
  <c r="X110" i="32"/>
  <c r="W98" i="35"/>
  <c r="AA98" i="35"/>
  <c r="X181" i="34"/>
  <c r="S208" i="32"/>
  <c r="S204" i="32"/>
  <c r="S187" i="32"/>
  <c r="S215" i="32"/>
  <c r="S210" i="32"/>
  <c r="S206" i="32"/>
  <c r="S202" i="32"/>
  <c r="S198" i="32"/>
  <c r="S195" i="32"/>
  <c r="S191" i="32"/>
  <c r="S216" i="32"/>
  <c r="S211" i="32"/>
  <c r="S203" i="32"/>
  <c r="S196" i="32"/>
  <c r="S189" i="32"/>
  <c r="S199" i="32"/>
  <c r="S192" i="32"/>
  <c r="S188" i="32"/>
  <c r="S212" i="32"/>
  <c r="S207" i="32"/>
  <c r="S200" i="32"/>
  <c r="S193" i="32"/>
  <c r="S209" i="32"/>
  <c r="S205" i="32"/>
  <c r="S197" i="32"/>
  <c r="S201" i="32"/>
  <c r="S190" i="32"/>
  <c r="S214" i="32"/>
  <c r="S194" i="32"/>
  <c r="AD186" i="32"/>
  <c r="S213" i="32"/>
  <c r="Y186" i="34"/>
  <c r="W117" i="30"/>
  <c r="X117" i="32"/>
  <c r="AA104" i="35"/>
  <c r="W104" i="35"/>
  <c r="AA120" i="32"/>
  <c r="W120" i="34"/>
  <c r="AA97" i="32"/>
  <c r="W97" i="34"/>
  <c r="Y260" i="35"/>
  <c r="AD260" i="35"/>
  <c r="Y259" i="35"/>
  <c r="AD259" i="35"/>
  <c r="R36" i="30"/>
  <c r="X36" i="30" s="1"/>
  <c r="X35" i="30"/>
  <c r="R37" i="30"/>
  <c r="X37" i="30" s="1"/>
  <c r="R38" i="30"/>
  <c r="X38" i="30" s="1"/>
  <c r="R39" i="30"/>
  <c r="X39" i="30" s="1"/>
  <c r="R40" i="30"/>
  <c r="X40" i="30" s="1"/>
  <c r="R41" i="30"/>
  <c r="X41" i="30" s="1"/>
  <c r="R42" i="30"/>
  <c r="X42" i="30" s="1"/>
  <c r="R43" i="30"/>
  <c r="X43" i="30" s="1"/>
  <c r="R44" i="30"/>
  <c r="X44" i="30" s="1"/>
  <c r="R45" i="30"/>
  <c r="X45" i="30" s="1"/>
  <c r="R46" i="30"/>
  <c r="X46" i="30" s="1"/>
  <c r="R47" i="30"/>
  <c r="X47" i="30" s="1"/>
  <c r="R48" i="30"/>
  <c r="X48" i="30" s="1"/>
  <c r="R49" i="30"/>
  <c r="X49" i="30" s="1"/>
  <c r="R50" i="30"/>
  <c r="X50" i="30" s="1"/>
  <c r="R51" i="30"/>
  <c r="X51" i="30" s="1"/>
  <c r="R52" i="30"/>
  <c r="X52" i="30" s="1"/>
  <c r="R53" i="30"/>
  <c r="X53" i="30" s="1"/>
  <c r="R54" i="30"/>
  <c r="X54" i="30" s="1"/>
  <c r="R55" i="30"/>
  <c r="X55" i="30" s="1"/>
  <c r="R56" i="30"/>
  <c r="X56" i="30" s="1"/>
  <c r="R57" i="30"/>
  <c r="X57" i="30" s="1"/>
  <c r="R58" i="30"/>
  <c r="X58" i="30" s="1"/>
  <c r="R59" i="30"/>
  <c r="X59" i="30" s="1"/>
  <c r="R60" i="30"/>
  <c r="X60" i="30" s="1"/>
  <c r="R61" i="30"/>
  <c r="X61" i="30" s="1"/>
  <c r="R62" i="30"/>
  <c r="X62" i="30" s="1"/>
  <c r="R63" i="30"/>
  <c r="AA35" i="32"/>
  <c r="Q36" i="32"/>
  <c r="W35" i="32"/>
  <c r="W375" i="32" s="1"/>
  <c r="Q38" i="32"/>
  <c r="Q37" i="32"/>
  <c r="W35" i="34"/>
  <c r="Q39" i="32"/>
  <c r="Q40" i="32"/>
  <c r="Q41" i="32"/>
  <c r="Q42" i="32"/>
  <c r="Q43" i="32"/>
  <c r="Q44" i="32"/>
  <c r="Q45" i="32"/>
  <c r="Q46" i="32"/>
  <c r="Q375" i="32"/>
  <c r="Q47" i="32"/>
  <c r="Q48" i="32"/>
  <c r="Q49" i="32"/>
  <c r="Q50" i="32"/>
  <c r="Q51" i="32"/>
  <c r="Q52" i="32"/>
  <c r="Q53" i="32"/>
  <c r="Q54" i="32"/>
  <c r="Q55" i="32"/>
  <c r="Q56" i="32"/>
  <c r="Q57" i="32"/>
  <c r="Q58" i="32"/>
  <c r="Q59" i="32"/>
  <c r="Q60" i="32"/>
  <c r="Q61" i="32"/>
  <c r="Q62" i="32"/>
  <c r="Q63" i="32"/>
  <c r="AG281" i="34"/>
  <c r="X176" i="34"/>
  <c r="AD185" i="32"/>
  <c r="Y185" i="34"/>
  <c r="U309" i="35"/>
  <c r="W114" i="30"/>
  <c r="X114" i="32"/>
  <c r="W98" i="30"/>
  <c r="X98" i="32"/>
  <c r="AA117" i="35"/>
  <c r="W117" i="35"/>
  <c r="W109" i="35"/>
  <c r="AA109" i="35"/>
  <c r="AA102" i="35"/>
  <c r="W102" i="35"/>
  <c r="AA117" i="32"/>
  <c r="W117" i="34"/>
  <c r="AA109" i="32"/>
  <c r="AC109" i="32" s="1"/>
  <c r="W109" i="34"/>
  <c r="AA102" i="32"/>
  <c r="AC102" i="32" s="1"/>
  <c r="W102" i="34"/>
  <c r="Y277" i="35"/>
  <c r="AD277" i="35"/>
  <c r="Y257" i="35"/>
  <c r="AD257" i="35"/>
  <c r="AD266" i="35"/>
  <c r="Y266" i="35"/>
  <c r="X138" i="32"/>
  <c r="X128" i="32"/>
  <c r="X163" i="32"/>
  <c r="X163" i="34"/>
  <c r="X184" i="34"/>
  <c r="X171" i="32"/>
  <c r="X171" i="34"/>
  <c r="X178" i="32"/>
  <c r="X178" i="34"/>
  <c r="AG300" i="34"/>
  <c r="U248" i="34"/>
  <c r="O382" i="34"/>
  <c r="U248" i="35"/>
  <c r="AD161" i="32"/>
  <c r="Y161" i="34"/>
  <c r="AD174" i="32"/>
  <c r="Y174" i="34"/>
  <c r="AD181" i="32"/>
  <c r="Y181" i="34"/>
  <c r="AD155" i="35"/>
  <c r="AG155" i="35" s="1"/>
  <c r="Y155" i="35"/>
  <c r="S379" i="35"/>
  <c r="W121" i="30"/>
  <c r="X121" i="32"/>
  <c r="W113" i="30"/>
  <c r="X113" i="32"/>
  <c r="W105" i="30"/>
  <c r="X105" i="32"/>
  <c r="W97" i="30"/>
  <c r="X97" i="32"/>
  <c r="X34" i="34"/>
  <c r="R375" i="34"/>
  <c r="AD34" i="34"/>
  <c r="AG34" i="34" s="1"/>
  <c r="X34" i="35"/>
  <c r="X137" i="32"/>
  <c r="AA124" i="35"/>
  <c r="W124" i="35"/>
  <c r="AA116" i="35"/>
  <c r="W116" i="35"/>
  <c r="W108" i="35"/>
  <c r="AA108" i="35"/>
  <c r="AA101" i="35"/>
  <c r="W101" i="35"/>
  <c r="AG295" i="34"/>
  <c r="AA124" i="32"/>
  <c r="W124" i="34"/>
  <c r="AA116" i="32"/>
  <c r="AC116" i="32" s="1"/>
  <c r="W116" i="34"/>
  <c r="AA108" i="32"/>
  <c r="AC108" i="32" s="1"/>
  <c r="W108" i="34"/>
  <c r="AA101" i="32"/>
  <c r="AC101" i="32" s="1"/>
  <c r="W101" i="34"/>
  <c r="Y258" i="35"/>
  <c r="AD258" i="35"/>
  <c r="AD272" i="35"/>
  <c r="Y272" i="35"/>
  <c r="AD250" i="35"/>
  <c r="Y250" i="35"/>
  <c r="AD271" i="35"/>
  <c r="Y271" i="35"/>
  <c r="AA290" i="34"/>
  <c r="AC290" i="34" s="1"/>
  <c r="X158" i="34"/>
  <c r="AD369" i="34"/>
  <c r="AG369" i="34" s="1"/>
  <c r="AA105" i="35"/>
  <c r="W105" i="35"/>
  <c r="AA105" i="32"/>
  <c r="AC105" i="32" s="1"/>
  <c r="W105" i="34"/>
  <c r="AG105" i="32"/>
  <c r="Y275" i="35"/>
  <c r="AD275" i="35"/>
  <c r="Y95" i="34"/>
  <c r="AD95" i="34"/>
  <c r="AG95" i="34" s="1"/>
  <c r="S97" i="34"/>
  <c r="S96" i="34"/>
  <c r="S98" i="34"/>
  <c r="S99" i="34"/>
  <c r="S100" i="34"/>
  <c r="S101" i="34"/>
  <c r="S102" i="34"/>
  <c r="S377" i="34"/>
  <c r="S103" i="34"/>
  <c r="S104" i="34"/>
  <c r="S105" i="34"/>
  <c r="S106" i="34"/>
  <c r="S107" i="34"/>
  <c r="S108" i="34"/>
  <c r="S109" i="34"/>
  <c r="S110" i="34"/>
  <c r="S111" i="34"/>
  <c r="S112" i="34"/>
  <c r="S113" i="34"/>
  <c r="S114" i="34"/>
  <c r="S115" i="34"/>
  <c r="S116" i="34"/>
  <c r="S117" i="34"/>
  <c r="S118" i="34"/>
  <c r="S119" i="34"/>
  <c r="S120" i="34"/>
  <c r="S121" i="34"/>
  <c r="S122" i="34"/>
  <c r="S123" i="34"/>
  <c r="S124" i="34"/>
  <c r="AA296" i="34"/>
  <c r="X162" i="34"/>
  <c r="AD178" i="32"/>
  <c r="Y178" i="34"/>
  <c r="W109" i="30"/>
  <c r="X109" i="32"/>
  <c r="W120" i="35"/>
  <c r="AA120" i="35"/>
  <c r="AG299" i="34"/>
  <c r="AA303" i="34"/>
  <c r="X174" i="32"/>
  <c r="X174" i="34"/>
  <c r="S380" i="32"/>
  <c r="AD157" i="32"/>
  <c r="Y157" i="34"/>
  <c r="X143" i="32"/>
  <c r="X159" i="32"/>
  <c r="X159" i="34"/>
  <c r="W112" i="30"/>
  <c r="X112" i="32"/>
  <c r="W96" i="30"/>
  <c r="X96" i="32"/>
  <c r="AG303" i="34"/>
  <c r="AA115" i="35"/>
  <c r="W115" i="35"/>
  <c r="AA107" i="35"/>
  <c r="AC107" i="35" s="1"/>
  <c r="W107" i="35"/>
  <c r="W100" i="35"/>
  <c r="AA100" i="35"/>
  <c r="AC100" i="35" s="1"/>
  <c r="AC378" i="35" s="1"/>
  <c r="AA123" i="32"/>
  <c r="AC123" i="32" s="1"/>
  <c r="W123" i="34"/>
  <c r="AA115" i="32"/>
  <c r="AC115" i="32" s="1"/>
  <c r="W115" i="34"/>
  <c r="AG115" i="32"/>
  <c r="M116" i="32" s="1"/>
  <c r="K116" i="32" s="1"/>
  <c r="AE116" i="32" s="1"/>
  <c r="AA107" i="32"/>
  <c r="W107" i="34"/>
  <c r="AA100" i="32"/>
  <c r="W100" i="34"/>
  <c r="AC95" i="32"/>
  <c r="AC377" i="32" s="1"/>
  <c r="AA377" i="32"/>
  <c r="AD256" i="35"/>
  <c r="Y256" i="35"/>
  <c r="Y270" i="35"/>
  <c r="AD270" i="35"/>
  <c r="AD255" i="35"/>
  <c r="Y255" i="35"/>
  <c r="AD276" i="35"/>
  <c r="Y276" i="35"/>
  <c r="X164" i="32"/>
  <c r="X164" i="34"/>
  <c r="AD182" i="32"/>
  <c r="Y182" i="34"/>
  <c r="W102" i="30"/>
  <c r="X102" i="32"/>
  <c r="W113" i="35"/>
  <c r="AA113" i="35"/>
  <c r="AA121" i="32"/>
  <c r="W121" i="34"/>
  <c r="AA98" i="32"/>
  <c r="W98" i="34"/>
  <c r="Y252" i="35"/>
  <c r="AD252" i="35"/>
  <c r="AD273" i="35"/>
  <c r="Y273" i="35"/>
  <c r="AD164" i="32"/>
  <c r="Y164" i="34"/>
  <c r="AG296" i="34"/>
  <c r="W101" i="30"/>
  <c r="X101" i="32"/>
  <c r="AA97" i="35"/>
  <c r="W97" i="35"/>
  <c r="AA104" i="32"/>
  <c r="W104" i="34"/>
  <c r="AA297" i="34"/>
  <c r="AC297" i="34" s="1"/>
  <c r="X167" i="32"/>
  <c r="X167" i="34"/>
  <c r="R279" i="35"/>
  <c r="R281" i="35"/>
  <c r="R300" i="35"/>
  <c r="R293" i="35"/>
  <c r="R284" i="35"/>
  <c r="R306" i="35"/>
  <c r="R299" i="35"/>
  <c r="R290" i="35"/>
  <c r="R283" i="35"/>
  <c r="R305" i="35"/>
  <c r="R296" i="35"/>
  <c r="X296" i="36" s="1"/>
  <c r="R289" i="35"/>
  <c r="X289" i="36" s="1"/>
  <c r="R304" i="35"/>
  <c r="R297" i="35"/>
  <c r="R288" i="35"/>
  <c r="R282" i="35"/>
  <c r="X282" i="36" s="1"/>
  <c r="R307" i="35"/>
  <c r="R303" i="35"/>
  <c r="X303" i="36" s="1"/>
  <c r="R292" i="35"/>
  <c r="R285" i="35"/>
  <c r="R308" i="35"/>
  <c r="R301" i="35"/>
  <c r="R298" i="35"/>
  <c r="R287" i="35"/>
  <c r="R295" i="35"/>
  <c r="R286" i="35"/>
  <c r="R280" i="35"/>
  <c r="X278" i="35"/>
  <c r="R294" i="35"/>
  <c r="R302" i="35"/>
  <c r="R291" i="35"/>
  <c r="M119" i="32"/>
  <c r="K119" i="32" s="1"/>
  <c r="AD158" i="32"/>
  <c r="Y158" i="34"/>
  <c r="AD177" i="32"/>
  <c r="Y177" i="34"/>
  <c r="W122" i="30"/>
  <c r="X122" i="32"/>
  <c r="W106" i="30"/>
  <c r="X106" i="32"/>
  <c r="Q243" i="28"/>
  <c r="Q234" i="28"/>
  <c r="Q233" i="28"/>
  <c r="Q232" i="28"/>
  <c r="Q226" i="28"/>
  <c r="Q225" i="28"/>
  <c r="Q244" i="28"/>
  <c r="Q235" i="28"/>
  <c r="Q231" i="28"/>
  <c r="Q230" i="28"/>
  <c r="Q229" i="28"/>
  <c r="Q228" i="28"/>
  <c r="Q248" i="28"/>
  <c r="Q238" i="28"/>
  <c r="Q220" i="28"/>
  <c r="Q239" i="28"/>
  <c r="Q219" i="28"/>
  <c r="Q246" i="28"/>
  <c r="Q241" i="28"/>
  <c r="Q227" i="28"/>
  <c r="Q245" i="28"/>
  <c r="Q218" i="28"/>
  <c r="Q242" i="28"/>
  <c r="Q224" i="28"/>
  <c r="Q222" i="28"/>
  <c r="Q240" i="28"/>
  <c r="Q221" i="28"/>
  <c r="Q223" i="28"/>
  <c r="Q237" i="28"/>
  <c r="Q236" i="28"/>
  <c r="Q247" i="28"/>
  <c r="X95" i="35"/>
  <c r="R96" i="35"/>
  <c r="R97" i="35"/>
  <c r="R98" i="35"/>
  <c r="R99" i="35"/>
  <c r="R100" i="35"/>
  <c r="R101" i="35"/>
  <c r="R102" i="35"/>
  <c r="R103" i="35"/>
  <c r="R377" i="35"/>
  <c r="R104" i="35"/>
  <c r="R105" i="35"/>
  <c r="R106" i="35"/>
  <c r="R107" i="35"/>
  <c r="R108" i="35"/>
  <c r="R109" i="35"/>
  <c r="R110" i="35"/>
  <c r="R111" i="35"/>
  <c r="R112" i="35"/>
  <c r="R113" i="35"/>
  <c r="R114" i="35"/>
  <c r="R115" i="35"/>
  <c r="R116" i="35"/>
  <c r="R117" i="35"/>
  <c r="R118" i="35"/>
  <c r="R119" i="35"/>
  <c r="R120" i="35"/>
  <c r="R121" i="35"/>
  <c r="R122" i="35"/>
  <c r="R123" i="35"/>
  <c r="R124" i="35"/>
  <c r="AA125" i="32"/>
  <c r="AC125" i="32" s="1"/>
  <c r="Q135" i="32"/>
  <c r="Q126" i="32"/>
  <c r="Q136" i="32"/>
  <c r="Q127" i="32"/>
  <c r="Q137" i="32"/>
  <c r="Q138" i="32"/>
  <c r="Q128" i="32"/>
  <c r="Q129" i="32"/>
  <c r="Q139" i="32"/>
  <c r="Q130" i="32"/>
  <c r="Q140" i="32"/>
  <c r="Q131" i="32"/>
  <c r="Q141" i="32"/>
  <c r="Q142" i="32"/>
  <c r="Q132" i="32"/>
  <c r="Q133" i="32"/>
  <c r="Q143" i="32"/>
  <c r="Q144" i="32"/>
  <c r="Q134" i="32"/>
  <c r="Q145" i="32"/>
  <c r="AG145" i="32" s="1"/>
  <c r="Q146" i="32"/>
  <c r="Q147" i="32"/>
  <c r="Q148" i="32"/>
  <c r="Q149" i="32"/>
  <c r="Q150" i="32"/>
  <c r="Q151" i="32"/>
  <c r="Q152" i="32"/>
  <c r="Q153" i="32"/>
  <c r="Q154" i="32"/>
  <c r="Q155" i="32"/>
  <c r="Q156" i="32"/>
  <c r="AG156" i="32" s="1"/>
  <c r="W125" i="34"/>
  <c r="AA289" i="34"/>
  <c r="X179" i="34"/>
  <c r="X165" i="32"/>
  <c r="X165" i="34"/>
  <c r="X185" i="34"/>
  <c r="X153" i="32"/>
  <c r="AD172" i="32"/>
  <c r="Y172" i="34"/>
  <c r="AD169" i="32"/>
  <c r="Y169" i="34"/>
  <c r="AD162" i="32"/>
  <c r="Y162" i="34"/>
  <c r="AD184" i="32"/>
  <c r="Y184" i="34"/>
  <c r="W120" i="30"/>
  <c r="X120" i="32"/>
  <c r="W104" i="30"/>
  <c r="X104" i="32"/>
  <c r="AA123" i="35"/>
  <c r="W123" i="35"/>
  <c r="X127" i="32"/>
  <c r="X379" i="32" s="1"/>
  <c r="S275" i="32"/>
  <c r="S277" i="32"/>
  <c r="S266" i="32"/>
  <c r="S262" i="32"/>
  <c r="S259" i="32"/>
  <c r="S271" i="32"/>
  <c r="S255" i="32"/>
  <c r="S251" i="32"/>
  <c r="S272" i="32"/>
  <c r="S268" i="32"/>
  <c r="S264" i="32"/>
  <c r="S257" i="32"/>
  <c r="S278" i="32"/>
  <c r="S269" i="32"/>
  <c r="S265" i="32"/>
  <c r="S258" i="32"/>
  <c r="S249" i="32"/>
  <c r="S261" i="32"/>
  <c r="S273" i="32"/>
  <c r="S263" i="32"/>
  <c r="S267" i="32"/>
  <c r="S274" i="32"/>
  <c r="S254" i="32"/>
  <c r="S252" i="32"/>
  <c r="S256" i="32"/>
  <c r="S260" i="32"/>
  <c r="S250" i="32"/>
  <c r="S276" i="32"/>
  <c r="S253" i="32"/>
  <c r="S270" i="32"/>
  <c r="Y248" i="34"/>
  <c r="AG135" i="32"/>
  <c r="AA282" i="34"/>
  <c r="AA304" i="34"/>
  <c r="AC304" i="34" s="1"/>
  <c r="X180" i="32"/>
  <c r="X180" i="34"/>
  <c r="X173" i="34"/>
  <c r="X170" i="32"/>
  <c r="X170" i="34"/>
  <c r="AD94" i="34"/>
  <c r="AG94" i="34" s="1"/>
  <c r="AG285" i="34"/>
  <c r="X134" i="32"/>
  <c r="AD168" i="32"/>
  <c r="Y168" i="34"/>
  <c r="AD180" i="32"/>
  <c r="Y180" i="34"/>
  <c r="AD165" i="32"/>
  <c r="Y165" i="34"/>
  <c r="AD166" i="32"/>
  <c r="Y166" i="34"/>
  <c r="AG301" i="34"/>
  <c r="W119" i="30"/>
  <c r="X119" i="32"/>
  <c r="W111" i="30"/>
  <c r="X111" i="32"/>
  <c r="W103" i="30"/>
  <c r="X103" i="32"/>
  <c r="X133" i="32"/>
  <c r="AA122" i="35"/>
  <c r="W122" i="35"/>
  <c r="W114" i="35"/>
  <c r="AA114" i="35"/>
  <c r="AC114" i="35" s="1"/>
  <c r="AA106" i="35"/>
  <c r="W106" i="35"/>
  <c r="W99" i="35"/>
  <c r="AA99" i="35"/>
  <c r="AG289" i="34"/>
  <c r="AA122" i="32"/>
  <c r="AC122" i="32" s="1"/>
  <c r="W122" i="34"/>
  <c r="AA114" i="32"/>
  <c r="W114" i="34"/>
  <c r="AA106" i="32"/>
  <c r="W106" i="34"/>
  <c r="AA99" i="32"/>
  <c r="W99" i="34"/>
  <c r="AD251" i="35"/>
  <c r="Y251" i="35"/>
  <c r="Y249" i="35"/>
  <c r="AD249" i="35"/>
  <c r="Y274" i="35"/>
  <c r="AD274" i="35"/>
  <c r="Y268" i="35"/>
  <c r="AD268" i="35"/>
  <c r="AG284" i="34"/>
  <c r="X146" i="32"/>
  <c r="X292" i="35" l="1"/>
  <c r="X292" i="36"/>
  <c r="X281" i="35"/>
  <c r="X281" i="36"/>
  <c r="X295" i="35"/>
  <c r="X295" i="36"/>
  <c r="X279" i="35"/>
  <c r="X279" i="36"/>
  <c r="X287" i="35"/>
  <c r="X287" i="36"/>
  <c r="X291" i="35"/>
  <c r="X291" i="36"/>
  <c r="X298" i="35"/>
  <c r="X298" i="36"/>
  <c r="X288" i="35"/>
  <c r="X288" i="36"/>
  <c r="X299" i="35"/>
  <c r="X299" i="36"/>
  <c r="X302" i="35"/>
  <c r="X302" i="36"/>
  <c r="X301" i="35"/>
  <c r="X301" i="36"/>
  <c r="X297" i="35"/>
  <c r="X297" i="36"/>
  <c r="X306" i="35"/>
  <c r="X306" i="36"/>
  <c r="X280" i="35"/>
  <c r="X280" i="36"/>
  <c r="X300" i="35"/>
  <c r="X300" i="36"/>
  <c r="X286" i="35"/>
  <c r="X286" i="36"/>
  <c r="X305" i="35"/>
  <c r="X305" i="36"/>
  <c r="X283" i="35"/>
  <c r="X283" i="36"/>
  <c r="X290" i="35"/>
  <c r="X290" i="36"/>
  <c r="X294" i="35"/>
  <c r="X294" i="36"/>
  <c r="X308" i="35"/>
  <c r="X308" i="36"/>
  <c r="X304" i="35"/>
  <c r="X304" i="36"/>
  <c r="X284" i="35"/>
  <c r="X284" i="36"/>
  <c r="X307" i="35"/>
  <c r="X307" i="36"/>
  <c r="X285" i="35"/>
  <c r="X285" i="36"/>
  <c r="X293" i="35"/>
  <c r="X293" i="36"/>
  <c r="X303" i="35"/>
  <c r="X296" i="35"/>
  <c r="X282" i="35"/>
  <c r="X289" i="35"/>
  <c r="AG269" i="35"/>
  <c r="AA382" i="35"/>
  <c r="AC248" i="35"/>
  <c r="AC382" i="35" s="1"/>
  <c r="AG252" i="35"/>
  <c r="AG263" i="35"/>
  <c r="AG274" i="35"/>
  <c r="AG277" i="35"/>
  <c r="AG255" i="35"/>
  <c r="AG262" i="35"/>
  <c r="AG268" i="35"/>
  <c r="AG270" i="35"/>
  <c r="AG264" i="35"/>
  <c r="AG265" i="35"/>
  <c r="AG256" i="35"/>
  <c r="AG254" i="35"/>
  <c r="AG271" i="35"/>
  <c r="AG278" i="35"/>
  <c r="AG249" i="35"/>
  <c r="AG258" i="35"/>
  <c r="AG257" i="35"/>
  <c r="AG273" i="35"/>
  <c r="AG276" i="35"/>
  <c r="M141" i="32"/>
  <c r="K141" i="32" s="1"/>
  <c r="M137" i="32"/>
  <c r="K137" i="32" s="1"/>
  <c r="M144" i="32"/>
  <c r="K144" i="32" s="1"/>
  <c r="M139" i="32"/>
  <c r="K139" i="32" s="1"/>
  <c r="M136" i="32"/>
  <c r="K136" i="32" s="1"/>
  <c r="AE136" i="32" s="1"/>
  <c r="AE137" i="32" s="1"/>
  <c r="M138" i="32"/>
  <c r="K138" i="32" s="1"/>
  <c r="M140" i="32"/>
  <c r="K140" i="32" s="1"/>
  <c r="M143" i="32"/>
  <c r="K143" i="32" s="1"/>
  <c r="M142" i="32"/>
  <c r="K142" i="32" s="1"/>
  <c r="M145" i="32"/>
  <c r="K145" i="32" s="1"/>
  <c r="AG116" i="32"/>
  <c r="M154" i="32"/>
  <c r="K154" i="32" s="1"/>
  <c r="M147" i="32"/>
  <c r="K147" i="32" s="1"/>
  <c r="M146" i="32"/>
  <c r="K146" i="32" s="1"/>
  <c r="AE146" i="32" s="1"/>
  <c r="AE147" i="32" s="1"/>
  <c r="AE148" i="32" s="1"/>
  <c r="AE149" i="32" s="1"/>
  <c r="M153" i="32"/>
  <c r="K153" i="32" s="1"/>
  <c r="M152" i="32"/>
  <c r="K152" i="32" s="1"/>
  <c r="M150" i="32"/>
  <c r="K150" i="32" s="1"/>
  <c r="M149" i="32"/>
  <c r="K149" i="32" s="1"/>
  <c r="M148" i="32"/>
  <c r="K148" i="32" s="1"/>
  <c r="M156" i="32"/>
  <c r="K156" i="32" s="1"/>
  <c r="M155" i="32"/>
  <c r="K155" i="32" s="1"/>
  <c r="M151" i="32"/>
  <c r="K151" i="32" s="1"/>
  <c r="Y258" i="34"/>
  <c r="W46" i="32"/>
  <c r="AA46" i="32"/>
  <c r="AC46" i="32" s="1"/>
  <c r="W46" i="34"/>
  <c r="AD207" i="32"/>
  <c r="Y207" i="34"/>
  <c r="AA378" i="32"/>
  <c r="Y59" i="32"/>
  <c r="AD59" i="32"/>
  <c r="Y59" i="34"/>
  <c r="Y44" i="32"/>
  <c r="AD44" i="32"/>
  <c r="Y44" i="34"/>
  <c r="AD120" i="35"/>
  <c r="AG120" i="35" s="1"/>
  <c r="Y120" i="35"/>
  <c r="Y97" i="35"/>
  <c r="AD97" i="35"/>
  <c r="AG97" i="35" s="1"/>
  <c r="X191" i="34"/>
  <c r="Y306" i="35"/>
  <c r="AD306" i="35"/>
  <c r="AA138" i="32"/>
  <c r="W138" i="34"/>
  <c r="X102" i="35"/>
  <c r="Y117" i="34"/>
  <c r="Y102" i="34"/>
  <c r="AA45" i="32"/>
  <c r="AC45" i="32" s="1"/>
  <c r="W45" i="32"/>
  <c r="W45" i="34"/>
  <c r="AD212" i="32"/>
  <c r="Y212" i="34"/>
  <c r="Z61" i="30"/>
  <c r="AB61" i="30" s="1"/>
  <c r="V61" i="30"/>
  <c r="Y43" i="32"/>
  <c r="AD43" i="32"/>
  <c r="Y43" i="34"/>
  <c r="W261" i="35"/>
  <c r="AA261" i="35"/>
  <c r="M133" i="32"/>
  <c r="K133" i="32" s="1"/>
  <c r="M130" i="32"/>
  <c r="K130" i="32" s="1"/>
  <c r="M131" i="32"/>
  <c r="K131" i="32" s="1"/>
  <c r="M132" i="32"/>
  <c r="K132" i="32" s="1"/>
  <c r="M129" i="32"/>
  <c r="K129" i="32" s="1"/>
  <c r="M128" i="32"/>
  <c r="K128" i="32" s="1"/>
  <c r="M135" i="32"/>
  <c r="K135" i="32" s="1"/>
  <c r="M127" i="32"/>
  <c r="K127" i="32" s="1"/>
  <c r="M126" i="32"/>
  <c r="K126" i="32" s="1"/>
  <c r="M134" i="32"/>
  <c r="K134" i="32" s="1"/>
  <c r="Y256" i="34"/>
  <c r="Y261" i="34"/>
  <c r="Y268" i="34"/>
  <c r="Y277" i="34"/>
  <c r="X185" i="32"/>
  <c r="AA150" i="32"/>
  <c r="AC150" i="32" s="1"/>
  <c r="W150" i="34"/>
  <c r="AA143" i="32"/>
  <c r="AC143" i="32" s="1"/>
  <c r="W143" i="34"/>
  <c r="AA139" i="32"/>
  <c r="W139" i="34"/>
  <c r="Q379" i="32"/>
  <c r="AA126" i="32"/>
  <c r="W126" i="34"/>
  <c r="X104" i="35"/>
  <c r="X97" i="35"/>
  <c r="M117" i="32"/>
  <c r="K117" i="32" s="1"/>
  <c r="AE117" i="32" s="1"/>
  <c r="Y120" i="34"/>
  <c r="Y112" i="34"/>
  <c r="Y104" i="34"/>
  <c r="S378" i="34"/>
  <c r="Y96" i="34"/>
  <c r="X184" i="32"/>
  <c r="W63" i="32"/>
  <c r="AA63" i="32"/>
  <c r="AC63" i="32" s="1"/>
  <c r="W55" i="32"/>
  <c r="AA55" i="32"/>
  <c r="AC55" i="32" s="1"/>
  <c r="W55" i="34"/>
  <c r="W47" i="32"/>
  <c r="AA47" i="32"/>
  <c r="W47" i="34"/>
  <c r="W40" i="32"/>
  <c r="AA40" i="32"/>
  <c r="W40" i="34"/>
  <c r="R88" i="30"/>
  <c r="X88" i="30" s="1"/>
  <c r="R67" i="30"/>
  <c r="X67" i="30" s="1"/>
  <c r="R91" i="30"/>
  <c r="X91" i="30" s="1"/>
  <c r="R68" i="30"/>
  <c r="X68" i="30" s="1"/>
  <c r="R95" i="30"/>
  <c r="R90" i="30"/>
  <c r="X90" i="30" s="1"/>
  <c r="R81" i="30"/>
  <c r="X81" i="30" s="1"/>
  <c r="R79" i="30"/>
  <c r="X79" i="30" s="1"/>
  <c r="R72" i="30"/>
  <c r="X72" i="30" s="1"/>
  <c r="R71" i="30"/>
  <c r="X71" i="30" s="1"/>
  <c r="R69" i="30"/>
  <c r="X69" i="30" s="1"/>
  <c r="R66" i="30"/>
  <c r="X66" i="30" s="1"/>
  <c r="R93" i="30"/>
  <c r="X93" i="30" s="1"/>
  <c r="R89" i="30"/>
  <c r="X89" i="30" s="1"/>
  <c r="R87" i="30"/>
  <c r="X87" i="30" s="1"/>
  <c r="R83" i="30"/>
  <c r="X83" i="30" s="1"/>
  <c r="R80" i="30"/>
  <c r="X80" i="30" s="1"/>
  <c r="R77" i="30"/>
  <c r="X77" i="30" s="1"/>
  <c r="R92" i="30"/>
  <c r="X92" i="30" s="1"/>
  <c r="R74" i="30"/>
  <c r="X74" i="30" s="1"/>
  <c r="R73" i="30"/>
  <c r="X73" i="30" s="1"/>
  <c r="R78" i="30"/>
  <c r="X78" i="30" s="1"/>
  <c r="R82" i="30"/>
  <c r="X82" i="30" s="1"/>
  <c r="R86" i="30"/>
  <c r="X86" i="30" s="1"/>
  <c r="R84" i="30"/>
  <c r="X84" i="30" s="1"/>
  <c r="R75" i="30"/>
  <c r="X75" i="30" s="1"/>
  <c r="R85" i="30"/>
  <c r="X85" i="30" s="1"/>
  <c r="R65" i="30"/>
  <c r="X65" i="30" s="1"/>
  <c r="R94" i="30"/>
  <c r="X94" i="30" s="1"/>
  <c r="R70" i="30"/>
  <c r="X70" i="30" s="1"/>
  <c r="R76" i="30"/>
  <c r="X76" i="30" s="1"/>
  <c r="X63" i="30"/>
  <c r="AD193" i="32"/>
  <c r="Y193" i="34"/>
  <c r="AD196" i="32"/>
  <c r="Y196" i="34"/>
  <c r="AD206" i="32"/>
  <c r="Y206" i="34"/>
  <c r="AG261" i="35"/>
  <c r="AA378" i="35"/>
  <c r="V40" i="30"/>
  <c r="Z40" i="30"/>
  <c r="AB40" i="30" s="1"/>
  <c r="X169" i="32"/>
  <c r="Y61" i="32"/>
  <c r="AD61" i="32"/>
  <c r="Y61" i="34"/>
  <c r="Y53" i="32"/>
  <c r="AD53" i="32"/>
  <c r="Y53" i="34"/>
  <c r="Y45" i="32"/>
  <c r="AD45" i="32"/>
  <c r="AG45" i="32" s="1"/>
  <c r="Y45" i="34"/>
  <c r="AD122" i="35"/>
  <c r="AG122" i="35" s="1"/>
  <c r="Y122" i="35"/>
  <c r="Y114" i="35"/>
  <c r="AD114" i="35"/>
  <c r="AG114" i="35" s="1"/>
  <c r="AD106" i="35"/>
  <c r="AG106" i="35" s="1"/>
  <c r="Y106" i="35"/>
  <c r="Y99" i="35"/>
  <c r="AD99" i="35"/>
  <c r="AG99" i="35" s="1"/>
  <c r="AD217" i="32"/>
  <c r="R244" i="32"/>
  <c r="R238" i="32"/>
  <c r="R235" i="32"/>
  <c r="R229" i="32"/>
  <c r="R226" i="32"/>
  <c r="R248" i="32"/>
  <c r="R245" i="32"/>
  <c r="R242" i="32"/>
  <c r="R239" i="32"/>
  <c r="R233" i="32"/>
  <c r="R230" i="32"/>
  <c r="R227" i="32"/>
  <c r="X217" i="32"/>
  <c r="R243" i="32"/>
  <c r="R237" i="32"/>
  <c r="R228" i="32"/>
  <c r="R225" i="32"/>
  <c r="R220" i="32"/>
  <c r="R241" i="32"/>
  <c r="R219" i="32"/>
  <c r="R247" i="32"/>
  <c r="R240" i="32"/>
  <c r="R221" i="32"/>
  <c r="R231" i="32"/>
  <c r="R224" i="32"/>
  <c r="R218" i="32"/>
  <c r="R232" i="32"/>
  <c r="R223" i="32"/>
  <c r="R222" i="32"/>
  <c r="R246" i="32"/>
  <c r="R234" i="32"/>
  <c r="X217" i="34"/>
  <c r="R236" i="32"/>
  <c r="X205" i="34"/>
  <c r="X194" i="34"/>
  <c r="X175" i="32"/>
  <c r="Y286" i="35"/>
  <c r="AD286" i="35"/>
  <c r="Y302" i="35"/>
  <c r="AD302" i="35"/>
  <c r="AD289" i="35"/>
  <c r="Y289" i="35"/>
  <c r="AD305" i="35"/>
  <c r="Y305" i="35"/>
  <c r="AA263" i="35"/>
  <c r="W263" i="35"/>
  <c r="W273" i="35"/>
  <c r="AA273" i="35"/>
  <c r="W257" i="35"/>
  <c r="AA257" i="35"/>
  <c r="W259" i="35"/>
  <c r="AA259" i="35"/>
  <c r="Y252" i="34"/>
  <c r="Y249" i="34"/>
  <c r="Y272" i="34"/>
  <c r="Y275" i="34"/>
  <c r="AA149" i="32"/>
  <c r="W149" i="34"/>
  <c r="AA133" i="32"/>
  <c r="W133" i="34"/>
  <c r="AA129" i="32"/>
  <c r="AC129" i="32" s="1"/>
  <c r="W129" i="34"/>
  <c r="AA135" i="32"/>
  <c r="AC135" i="32" s="1"/>
  <c r="W135" i="34"/>
  <c r="R378" i="35"/>
  <c r="X378" i="32"/>
  <c r="X162" i="32"/>
  <c r="AD119" i="34"/>
  <c r="AG119" i="34" s="1"/>
  <c r="Y119" i="34"/>
  <c r="Y111" i="34"/>
  <c r="AD103" i="34"/>
  <c r="AG103" i="34" s="1"/>
  <c r="Y103" i="34"/>
  <c r="Y97" i="34"/>
  <c r="AG266" i="35"/>
  <c r="W62" i="32"/>
  <c r="AA62" i="32"/>
  <c r="W62" i="34"/>
  <c r="AA54" i="32"/>
  <c r="W54" i="32"/>
  <c r="W54" i="34"/>
  <c r="AA39" i="32"/>
  <c r="AC39" i="32" s="1"/>
  <c r="W39" i="32"/>
  <c r="W39" i="34"/>
  <c r="AD194" i="32"/>
  <c r="Y194" i="34"/>
  <c r="AD200" i="32"/>
  <c r="Y200" i="34"/>
  <c r="AD203" i="32"/>
  <c r="Y203" i="34"/>
  <c r="AD210" i="32"/>
  <c r="Y210" i="34"/>
  <c r="P94" i="30"/>
  <c r="P86" i="30"/>
  <c r="P84" i="30"/>
  <c r="P66" i="30"/>
  <c r="V63" i="30"/>
  <c r="P88" i="30"/>
  <c r="P67" i="30"/>
  <c r="P95" i="30"/>
  <c r="P82" i="30"/>
  <c r="P70" i="30"/>
  <c r="P76" i="30"/>
  <c r="P74" i="30"/>
  <c r="P91" i="30"/>
  <c r="P85" i="30"/>
  <c r="P78" i="30"/>
  <c r="P89" i="30"/>
  <c r="P77" i="30"/>
  <c r="P92" i="30"/>
  <c r="P73" i="30"/>
  <c r="P72" i="30"/>
  <c r="P83" i="30"/>
  <c r="P68" i="30"/>
  <c r="P81" i="30"/>
  <c r="P75" i="30"/>
  <c r="P87" i="30"/>
  <c r="P69" i="30"/>
  <c r="P79" i="30"/>
  <c r="P65" i="30"/>
  <c r="W64" i="32"/>
  <c r="P93" i="30"/>
  <c r="P80" i="30"/>
  <c r="Z63" i="30"/>
  <c r="AB63" i="30" s="1"/>
  <c r="P71" i="30"/>
  <c r="P90" i="30"/>
  <c r="Z55" i="30"/>
  <c r="AB55" i="30" s="1"/>
  <c r="V55" i="30"/>
  <c r="Z47" i="30"/>
  <c r="AB47" i="30" s="1"/>
  <c r="V47" i="30"/>
  <c r="AD60" i="32"/>
  <c r="Y60" i="32"/>
  <c r="Y60" i="34"/>
  <c r="AD52" i="32"/>
  <c r="Y52" i="32"/>
  <c r="Y52" i="34"/>
  <c r="AD38" i="32"/>
  <c r="Y38" i="32"/>
  <c r="Y38" i="34"/>
  <c r="Y121" i="35"/>
  <c r="AD121" i="35"/>
  <c r="AG121" i="35" s="1"/>
  <c r="AD113" i="35"/>
  <c r="AG113" i="35" s="1"/>
  <c r="Y113" i="35"/>
  <c r="AD105" i="35"/>
  <c r="AG105" i="35" s="1"/>
  <c r="Y105" i="35"/>
  <c r="AD98" i="35"/>
  <c r="AG98" i="35" s="1"/>
  <c r="Y98" i="35"/>
  <c r="X200" i="34"/>
  <c r="X209" i="34"/>
  <c r="X197" i="34"/>
  <c r="X188" i="34"/>
  <c r="Y288" i="35"/>
  <c r="AD288" i="35"/>
  <c r="Y304" i="35"/>
  <c r="AD304" i="35"/>
  <c r="AD291" i="35"/>
  <c r="Y291" i="35"/>
  <c r="AD307" i="35"/>
  <c r="Y307" i="35"/>
  <c r="W255" i="35"/>
  <c r="AA255" i="35"/>
  <c r="W270" i="35"/>
  <c r="AA270" i="35"/>
  <c r="W262" i="35"/>
  <c r="AA262" i="35"/>
  <c r="W264" i="35"/>
  <c r="AA264" i="35"/>
  <c r="Y254" i="34"/>
  <c r="AA132" i="32"/>
  <c r="W132" i="34"/>
  <c r="M114" i="32"/>
  <c r="K114" i="32" s="1"/>
  <c r="M108" i="32"/>
  <c r="K108" i="32" s="1"/>
  <c r="M110" i="32"/>
  <c r="K110" i="32" s="1"/>
  <c r="M111" i="32"/>
  <c r="K111" i="32" s="1"/>
  <c r="M112" i="32"/>
  <c r="K112" i="32" s="1"/>
  <c r="M113" i="32"/>
  <c r="K113" i="32" s="1"/>
  <c r="M107" i="32"/>
  <c r="K107" i="32" s="1"/>
  <c r="M106" i="32"/>
  <c r="K106" i="32" s="1"/>
  <c r="AE106" i="32" s="1"/>
  <c r="M109" i="32"/>
  <c r="K109" i="32" s="1"/>
  <c r="M115" i="32"/>
  <c r="K115" i="32" s="1"/>
  <c r="Y110" i="34"/>
  <c r="AD214" i="32"/>
  <c r="Y214" i="34"/>
  <c r="AD215" i="32"/>
  <c r="Y215" i="34"/>
  <c r="X193" i="32"/>
  <c r="X193" i="34"/>
  <c r="X214" i="32"/>
  <c r="X214" i="34"/>
  <c r="S337" i="35"/>
  <c r="Y337" i="36" s="1"/>
  <c r="S335" i="35"/>
  <c r="Y335" i="36" s="1"/>
  <c r="S333" i="35"/>
  <c r="Y333" i="36" s="1"/>
  <c r="S331" i="35"/>
  <c r="Y331" i="36" s="1"/>
  <c r="S329" i="35"/>
  <c r="Y329" i="36" s="1"/>
  <c r="S327" i="35"/>
  <c r="Y327" i="36" s="1"/>
  <c r="S325" i="35"/>
  <c r="Y325" i="36" s="1"/>
  <c r="S323" i="35"/>
  <c r="Y323" i="36" s="1"/>
  <c r="S321" i="35"/>
  <c r="Y321" i="36" s="1"/>
  <c r="S319" i="35"/>
  <c r="Y319" i="36" s="1"/>
  <c r="S317" i="35"/>
  <c r="Y317" i="36" s="1"/>
  <c r="S315" i="35"/>
  <c r="Y315" i="36" s="1"/>
  <c r="S313" i="35"/>
  <c r="Y313" i="36" s="1"/>
  <c r="S311" i="35"/>
  <c r="Y311" i="36" s="1"/>
  <c r="S338" i="35"/>
  <c r="Y338" i="36" s="1"/>
  <c r="S336" i="35"/>
  <c r="Y336" i="36" s="1"/>
  <c r="S334" i="35"/>
  <c r="Y334" i="36" s="1"/>
  <c r="S332" i="35"/>
  <c r="Y332" i="36" s="1"/>
  <c r="S330" i="35"/>
  <c r="Y330" i="36" s="1"/>
  <c r="S328" i="35"/>
  <c r="Y328" i="36" s="1"/>
  <c r="S326" i="35"/>
  <c r="Y326" i="36" s="1"/>
  <c r="S324" i="35"/>
  <c r="Y324" i="36" s="1"/>
  <c r="S322" i="35"/>
  <c r="Y322" i="36" s="1"/>
  <c r="S320" i="35"/>
  <c r="Y320" i="36" s="1"/>
  <c r="S318" i="35"/>
  <c r="Y318" i="36" s="1"/>
  <c r="S316" i="35"/>
  <c r="Y316" i="36" s="1"/>
  <c r="S314" i="35"/>
  <c r="Y314" i="36" s="1"/>
  <c r="S312" i="35"/>
  <c r="Y312" i="36" s="1"/>
  <c r="S310" i="35"/>
  <c r="Y310" i="36" s="1"/>
  <c r="Y309" i="35"/>
  <c r="Y265" i="34"/>
  <c r="AA147" i="32"/>
  <c r="W147" i="34"/>
  <c r="M124" i="32"/>
  <c r="K124" i="32" s="1"/>
  <c r="R337" i="35"/>
  <c r="R328" i="35"/>
  <c r="R321" i="35"/>
  <c r="R312" i="35"/>
  <c r="R334" i="35"/>
  <c r="R327" i="35"/>
  <c r="R318" i="35"/>
  <c r="R311" i="35"/>
  <c r="R333" i="35"/>
  <c r="R324" i="35"/>
  <c r="X324" i="36" s="1"/>
  <c r="R317" i="35"/>
  <c r="X317" i="36" s="1"/>
  <c r="R332" i="35"/>
  <c r="R325" i="35"/>
  <c r="R316" i="35"/>
  <c r="X309" i="35"/>
  <c r="R335" i="35"/>
  <c r="R336" i="35"/>
  <c r="R314" i="35"/>
  <c r="R331" i="35"/>
  <c r="X331" i="36" s="1"/>
  <c r="R320" i="35"/>
  <c r="R313" i="35"/>
  <c r="X322" i="35"/>
  <c r="R330" i="35"/>
  <c r="R326" i="35"/>
  <c r="X323" i="35"/>
  <c r="R319" i="35"/>
  <c r="R315" i="35"/>
  <c r="R338" i="35"/>
  <c r="X338" i="36" s="1"/>
  <c r="R329" i="35"/>
  <c r="R310" i="35"/>
  <c r="X310" i="36" s="1"/>
  <c r="Y109" i="34"/>
  <c r="AD109" i="34"/>
  <c r="AG109" i="34" s="1"/>
  <c r="AA37" i="32"/>
  <c r="AC37" i="32" s="1"/>
  <c r="W37" i="32"/>
  <c r="W37" i="34"/>
  <c r="X189" i="34"/>
  <c r="Y280" i="35"/>
  <c r="AD280" i="35"/>
  <c r="AD295" i="35"/>
  <c r="Y295" i="35"/>
  <c r="AA267" i="35"/>
  <c r="W267" i="35"/>
  <c r="Y269" i="34"/>
  <c r="AA154" i="32"/>
  <c r="W154" i="34"/>
  <c r="AA137" i="32"/>
  <c r="AC137" i="32" s="1"/>
  <c r="W137" i="34"/>
  <c r="X108" i="35"/>
  <c r="Y116" i="34"/>
  <c r="AD116" i="34"/>
  <c r="AG116" i="34" s="1"/>
  <c r="AA44" i="32"/>
  <c r="AC44" i="32" s="1"/>
  <c r="W44" i="32"/>
  <c r="W44" i="34"/>
  <c r="AD188" i="32"/>
  <c r="Y188" i="34"/>
  <c r="X182" i="32"/>
  <c r="AD57" i="32"/>
  <c r="Y57" i="32"/>
  <c r="Y57" i="34"/>
  <c r="S376" i="32"/>
  <c r="Y36" i="32"/>
  <c r="AD36" i="32"/>
  <c r="Y36" i="34"/>
  <c r="Y118" i="35"/>
  <c r="AD118" i="35"/>
  <c r="AG118" i="35" s="1"/>
  <c r="Y110" i="35"/>
  <c r="AD110" i="35"/>
  <c r="AG110" i="35" s="1"/>
  <c r="Y103" i="35"/>
  <c r="AD103" i="35"/>
  <c r="AG103" i="35" s="1"/>
  <c r="X213" i="32"/>
  <c r="X213" i="34"/>
  <c r="X198" i="32"/>
  <c r="X198" i="34"/>
  <c r="X211" i="32"/>
  <c r="X211" i="34"/>
  <c r="X199" i="34"/>
  <c r="Y279" i="35"/>
  <c r="AD279" i="35"/>
  <c r="Y294" i="35"/>
  <c r="AD294" i="35"/>
  <c r="AD297" i="35"/>
  <c r="Y297" i="35"/>
  <c r="W268" i="35"/>
  <c r="AA268" i="35"/>
  <c r="W260" i="35"/>
  <c r="AA260" i="35"/>
  <c r="AA274" i="35"/>
  <c r="AC274" i="35" s="1"/>
  <c r="W274" i="35"/>
  <c r="AA266" i="35"/>
  <c r="W266" i="35"/>
  <c r="Y276" i="34"/>
  <c r="Y263" i="34"/>
  <c r="S306" i="32"/>
  <c r="S302" i="32"/>
  <c r="S297" i="32"/>
  <c r="S284" i="32"/>
  <c r="S308" i="32"/>
  <c r="S300" i="32"/>
  <c r="S298" i="32"/>
  <c r="S295" i="32"/>
  <c r="S290" i="32"/>
  <c r="S307" i="32"/>
  <c r="S304" i="32"/>
  <c r="S301" i="32"/>
  <c r="S309" i="32"/>
  <c r="S299" i="32"/>
  <c r="S294" i="32"/>
  <c r="S292" i="32"/>
  <c r="S288" i="32"/>
  <c r="S287" i="32"/>
  <c r="S286" i="32"/>
  <c r="S303" i="32"/>
  <c r="S305" i="32"/>
  <c r="S293" i="32"/>
  <c r="S296" i="32"/>
  <c r="S285" i="32"/>
  <c r="S279" i="32"/>
  <c r="S283" i="32"/>
  <c r="S282" i="32"/>
  <c r="S289" i="32"/>
  <c r="S291" i="32"/>
  <c r="S280" i="32"/>
  <c r="S281" i="32"/>
  <c r="Y278" i="34"/>
  <c r="Y259" i="34"/>
  <c r="AA153" i="32"/>
  <c r="W153" i="34"/>
  <c r="AA145" i="32"/>
  <c r="AC145" i="32" s="1"/>
  <c r="W145" i="34"/>
  <c r="AA131" i="32"/>
  <c r="W131" i="34"/>
  <c r="AA127" i="32"/>
  <c r="W127" i="34"/>
  <c r="X123" i="35"/>
  <c r="X115" i="35"/>
  <c r="X107" i="35"/>
  <c r="Q259" i="28"/>
  <c r="Q277" i="28"/>
  <c r="Q276" i="28"/>
  <c r="Q275" i="28"/>
  <c r="Q274" i="28"/>
  <c r="Q272" i="28"/>
  <c r="Q253" i="28"/>
  <c r="Q252" i="28"/>
  <c r="Q273" i="28"/>
  <c r="Q265" i="28"/>
  <c r="Q261" i="28"/>
  <c r="Q254" i="28"/>
  <c r="Q270" i="28"/>
  <c r="Q267" i="28"/>
  <c r="Q264" i="28"/>
  <c r="Q255" i="28"/>
  <c r="Q251" i="28"/>
  <c r="Q262" i="28"/>
  <c r="Q249" i="28"/>
  <c r="Q271" i="28"/>
  <c r="Q269" i="28"/>
  <c r="Q260" i="28"/>
  <c r="Q258" i="28"/>
  <c r="Q257" i="28"/>
  <c r="Q278" i="28"/>
  <c r="Q268" i="28"/>
  <c r="Q266" i="28"/>
  <c r="Q250" i="28"/>
  <c r="Q263" i="28"/>
  <c r="Q256" i="28"/>
  <c r="M118" i="32"/>
  <c r="K118" i="32" s="1"/>
  <c r="M123" i="32"/>
  <c r="K123" i="32" s="1"/>
  <c r="Y123" i="34"/>
  <c r="Y115" i="34"/>
  <c r="Y107" i="34"/>
  <c r="AD107" i="34"/>
  <c r="AG107" i="34" s="1"/>
  <c r="Y100" i="34"/>
  <c r="AD100" i="34"/>
  <c r="AG100" i="34" s="1"/>
  <c r="AG250" i="35"/>
  <c r="X176" i="32"/>
  <c r="W58" i="32"/>
  <c r="AA58" i="32"/>
  <c r="W58" i="34"/>
  <c r="W50" i="32"/>
  <c r="AA50" i="32"/>
  <c r="W50" i="34"/>
  <c r="W43" i="32"/>
  <c r="AA43" i="32"/>
  <c r="W43" i="34"/>
  <c r="AG259" i="35"/>
  <c r="AD197" i="32"/>
  <c r="Y197" i="34"/>
  <c r="AD192" i="32"/>
  <c r="Y192" i="34"/>
  <c r="AD195" i="32"/>
  <c r="Y195" i="34"/>
  <c r="AD208" i="32"/>
  <c r="Y208" i="34"/>
  <c r="Q215" i="30"/>
  <c r="W215" i="30" s="1"/>
  <c r="Q211" i="30"/>
  <c r="W211" i="30" s="1"/>
  <c r="Q205" i="30"/>
  <c r="W205" i="30" s="1"/>
  <c r="Q197" i="30"/>
  <c r="W197" i="30" s="1"/>
  <c r="Q196" i="30"/>
  <c r="W196" i="30" s="1"/>
  <c r="Q192" i="30"/>
  <c r="W192" i="30" s="1"/>
  <c r="Q216" i="30"/>
  <c r="W216" i="30" s="1"/>
  <c r="Q208" i="30"/>
  <c r="W208" i="30" s="1"/>
  <c r="Q202" i="30"/>
  <c r="W202" i="30" s="1"/>
  <c r="Q210" i="30"/>
  <c r="W210" i="30" s="1"/>
  <c r="Q204" i="30"/>
  <c r="W204" i="30" s="1"/>
  <c r="Q200" i="30"/>
  <c r="W200" i="30" s="1"/>
  <c r="Q191" i="30"/>
  <c r="W191" i="30" s="1"/>
  <c r="Q214" i="30"/>
  <c r="W214" i="30" s="1"/>
  <c r="Q209" i="30"/>
  <c r="W209" i="30" s="1"/>
  <c r="Q193" i="30"/>
  <c r="W193" i="30" s="1"/>
  <c r="Q199" i="30"/>
  <c r="W199" i="30" s="1"/>
  <c r="Q198" i="30"/>
  <c r="W198" i="30" s="1"/>
  <c r="Q195" i="30"/>
  <c r="W195" i="30" s="1"/>
  <c r="Q207" i="30"/>
  <c r="W207" i="30" s="1"/>
  <c r="Q206" i="30"/>
  <c r="W206" i="30" s="1"/>
  <c r="Q212" i="30"/>
  <c r="W212" i="30" s="1"/>
  <c r="Q217" i="30"/>
  <c r="Q203" i="30"/>
  <c r="W203" i="30" s="1"/>
  <c r="Q189" i="30"/>
  <c r="W189" i="30" s="1"/>
  <c r="Q201" i="30"/>
  <c r="W201" i="30" s="1"/>
  <c r="Q190" i="30"/>
  <c r="W190" i="30" s="1"/>
  <c r="Q188" i="30"/>
  <c r="W188" i="30" s="1"/>
  <c r="Q194" i="30"/>
  <c r="W194" i="30" s="1"/>
  <c r="Q213" i="30"/>
  <c r="W213" i="30" s="1"/>
  <c r="Q187" i="30"/>
  <c r="W187" i="30" s="1"/>
  <c r="W186" i="30"/>
  <c r="S73" i="32"/>
  <c r="S90" i="32"/>
  <c r="S82" i="32"/>
  <c r="S76" i="32"/>
  <c r="S68" i="32"/>
  <c r="S91" i="32"/>
  <c r="S88" i="32"/>
  <c r="S85" i="32"/>
  <c r="S83" i="32"/>
  <c r="S77" i="32"/>
  <c r="S69" i="32"/>
  <c r="AD64" i="32"/>
  <c r="AG64" i="32" s="1"/>
  <c r="S89" i="32"/>
  <c r="S75" i="32"/>
  <c r="S94" i="32"/>
  <c r="S71" i="32"/>
  <c r="Y64" i="32"/>
  <c r="S92" i="32"/>
  <c r="S87" i="32"/>
  <c r="S80" i="32"/>
  <c r="S66" i="32"/>
  <c r="S86" i="32"/>
  <c r="S72" i="32"/>
  <c r="S67" i="32"/>
  <c r="S81" i="32"/>
  <c r="S65" i="32"/>
  <c r="S93" i="32"/>
  <c r="S74" i="32"/>
  <c r="S78" i="32"/>
  <c r="S70" i="32"/>
  <c r="S79" i="32"/>
  <c r="S84" i="32"/>
  <c r="Y63" i="34"/>
  <c r="Y56" i="32"/>
  <c r="AD56" i="32"/>
  <c r="AG56" i="32" s="1"/>
  <c r="Y56" i="34"/>
  <c r="Y48" i="32"/>
  <c r="AD48" i="32"/>
  <c r="Y48" i="34"/>
  <c r="AD41" i="32"/>
  <c r="Y41" i="32"/>
  <c r="Y41" i="34"/>
  <c r="AD117" i="35"/>
  <c r="AG117" i="35" s="1"/>
  <c r="Y117" i="35"/>
  <c r="AD109" i="35"/>
  <c r="AG109" i="35" s="1"/>
  <c r="Y109" i="35"/>
  <c r="AD102" i="35"/>
  <c r="AG102" i="35" s="1"/>
  <c r="Y102" i="35"/>
  <c r="S378" i="35"/>
  <c r="AD96" i="35"/>
  <c r="AG96" i="35" s="1"/>
  <c r="Y96" i="35"/>
  <c r="X204" i="34"/>
  <c r="X202" i="34"/>
  <c r="X196" i="34"/>
  <c r="X207" i="32"/>
  <c r="X207" i="34"/>
  <c r="Y281" i="35"/>
  <c r="AD281" i="35"/>
  <c r="Y296" i="35"/>
  <c r="AD296" i="35"/>
  <c r="AD283" i="35"/>
  <c r="Y283" i="35"/>
  <c r="AD299" i="35"/>
  <c r="Y299" i="35"/>
  <c r="X161" i="32"/>
  <c r="AA265" i="35"/>
  <c r="W265" i="35"/>
  <c r="Q308" i="35"/>
  <c r="W308" i="36" s="1"/>
  <c r="Q306" i="35"/>
  <c r="W306" i="36" s="1"/>
  <c r="Q304" i="35"/>
  <c r="W304" i="36" s="1"/>
  <c r="Q302" i="35"/>
  <c r="W302" i="36" s="1"/>
  <c r="Q300" i="35"/>
  <c r="W300" i="36" s="1"/>
  <c r="Q298" i="35"/>
  <c r="W298" i="36" s="1"/>
  <c r="Q296" i="35"/>
  <c r="W296" i="36" s="1"/>
  <c r="Q294" i="35"/>
  <c r="W294" i="36" s="1"/>
  <c r="Q292" i="35"/>
  <c r="W292" i="36" s="1"/>
  <c r="Q290" i="35"/>
  <c r="W290" i="36" s="1"/>
  <c r="Q288" i="35"/>
  <c r="W288" i="36" s="1"/>
  <c r="Q286" i="35"/>
  <c r="W286" i="36" s="1"/>
  <c r="Q284" i="35"/>
  <c r="W284" i="36" s="1"/>
  <c r="Q282" i="35"/>
  <c r="W282" i="36" s="1"/>
  <c r="Q280" i="35"/>
  <c r="W280" i="36" s="1"/>
  <c r="W278" i="35"/>
  <c r="Q303" i="35"/>
  <c r="W303" i="36" s="1"/>
  <c r="Q287" i="35"/>
  <c r="W287" i="36" s="1"/>
  <c r="Q293" i="35"/>
  <c r="W293" i="36" s="1"/>
  <c r="Q299" i="35"/>
  <c r="W299" i="36" s="1"/>
  <c r="Q283" i="35"/>
  <c r="W283" i="36" s="1"/>
  <c r="Q281" i="35"/>
  <c r="W281" i="36" s="1"/>
  <c r="Q307" i="35"/>
  <c r="W307" i="36" s="1"/>
  <c r="Q291" i="35"/>
  <c r="W291" i="36" s="1"/>
  <c r="Q289" i="35"/>
  <c r="W289" i="36" s="1"/>
  <c r="Q279" i="35"/>
  <c r="W279" i="36" s="1"/>
  <c r="Q285" i="35"/>
  <c r="W285" i="36" s="1"/>
  <c r="AA278" i="35"/>
  <c r="AC278" i="35" s="1"/>
  <c r="Q301" i="35"/>
  <c r="W301" i="36" s="1"/>
  <c r="Q305" i="35"/>
  <c r="W305" i="36" s="1"/>
  <c r="Q297" i="35"/>
  <c r="W297" i="36" s="1"/>
  <c r="Q295" i="35"/>
  <c r="W295" i="36" s="1"/>
  <c r="AA271" i="35"/>
  <c r="W271" i="35"/>
  <c r="Q182" i="32"/>
  <c r="Q165" i="32"/>
  <c r="Q180" i="32"/>
  <c r="Q175" i="32"/>
  <c r="Q172" i="32"/>
  <c r="Q169" i="32"/>
  <c r="Q184" i="32"/>
  <c r="Q181" i="32"/>
  <c r="Q177" i="32"/>
  <c r="Q173" i="32"/>
  <c r="Q167" i="32"/>
  <c r="Q164" i="32"/>
  <c r="Q170" i="32"/>
  <c r="Q157" i="32"/>
  <c r="Q185" i="32"/>
  <c r="Q171" i="32"/>
  <c r="AA156" i="32"/>
  <c r="AC156" i="32" s="1"/>
  <c r="Q186" i="32"/>
  <c r="AG186" i="32" s="1"/>
  <c r="Q179" i="32"/>
  <c r="Q161" i="32"/>
  <c r="Q160" i="32"/>
  <c r="Q159" i="32"/>
  <c r="Q176" i="32"/>
  <c r="Q166" i="32"/>
  <c r="Q158" i="32"/>
  <c r="Q174" i="32"/>
  <c r="Q183" i="32"/>
  <c r="Q178" i="32"/>
  <c r="Q162" i="32"/>
  <c r="Q163" i="32"/>
  <c r="Q168" i="32"/>
  <c r="W156" i="34"/>
  <c r="X118" i="35"/>
  <c r="Y118" i="34"/>
  <c r="W53" i="32"/>
  <c r="AA53" i="32"/>
  <c r="AC53" i="32" s="1"/>
  <c r="W53" i="34"/>
  <c r="AD211" i="32"/>
  <c r="Y211" i="34"/>
  <c r="V54" i="30"/>
  <c r="Z54" i="30"/>
  <c r="AB54" i="30" s="1"/>
  <c r="Y51" i="32"/>
  <c r="AD51" i="32"/>
  <c r="Y51" i="34"/>
  <c r="Y37" i="32"/>
  <c r="AD37" i="32"/>
  <c r="Y37" i="34"/>
  <c r="Y112" i="35"/>
  <c r="AD112" i="35"/>
  <c r="AG112" i="35" s="1"/>
  <c r="X201" i="32"/>
  <c r="X201" i="34"/>
  <c r="Y290" i="35"/>
  <c r="AD290" i="35"/>
  <c r="AD293" i="35"/>
  <c r="Y293" i="35"/>
  <c r="AA251" i="35"/>
  <c r="W251" i="35"/>
  <c r="W269" i="35"/>
  <c r="AA269" i="35"/>
  <c r="Y255" i="34"/>
  <c r="AA155" i="32"/>
  <c r="W155" i="34"/>
  <c r="X117" i="35"/>
  <c r="AA52" i="32"/>
  <c r="W52" i="32"/>
  <c r="W52" i="34"/>
  <c r="AD216" i="32"/>
  <c r="Y216" i="34"/>
  <c r="Z45" i="30"/>
  <c r="AB45" i="30" s="1"/>
  <c r="V45" i="30"/>
  <c r="Y58" i="32"/>
  <c r="AD58" i="32"/>
  <c r="Y58" i="34"/>
  <c r="AD119" i="35"/>
  <c r="AG119" i="35" s="1"/>
  <c r="Y119" i="35"/>
  <c r="Y104" i="35"/>
  <c r="AD104" i="35"/>
  <c r="AG104" i="35" s="1"/>
  <c r="X195" i="32"/>
  <c r="X195" i="34"/>
  <c r="Y308" i="35"/>
  <c r="AD308" i="35"/>
  <c r="W250" i="35"/>
  <c r="AA250" i="35"/>
  <c r="Y267" i="34"/>
  <c r="X179" i="32"/>
  <c r="AA141" i="32"/>
  <c r="W141" i="34"/>
  <c r="Y124" i="34"/>
  <c r="AD108" i="34"/>
  <c r="AG108" i="34" s="1"/>
  <c r="Y108" i="34"/>
  <c r="AG275" i="35"/>
  <c r="W59" i="32"/>
  <c r="AA59" i="32"/>
  <c r="W59" i="34"/>
  <c r="AA38" i="32"/>
  <c r="W38" i="32"/>
  <c r="W38" i="34"/>
  <c r="AD191" i="32"/>
  <c r="Y191" i="34"/>
  <c r="AG253" i="35"/>
  <c r="AD49" i="32"/>
  <c r="Y49" i="32"/>
  <c r="Y49" i="34"/>
  <c r="Y273" i="34"/>
  <c r="AA152" i="32"/>
  <c r="W152" i="34"/>
  <c r="M121" i="32"/>
  <c r="K121" i="32" s="1"/>
  <c r="Y122" i="34"/>
  <c r="Y114" i="34"/>
  <c r="Y106" i="34"/>
  <c r="Y99" i="34"/>
  <c r="M100" i="32"/>
  <c r="K100" i="32" s="1"/>
  <c r="M96" i="32"/>
  <c r="K96" i="32" s="1"/>
  <c r="M102" i="32"/>
  <c r="K102" i="32" s="1"/>
  <c r="M97" i="32"/>
  <c r="K97" i="32" s="1"/>
  <c r="M105" i="32"/>
  <c r="K105" i="32" s="1"/>
  <c r="M103" i="32"/>
  <c r="K103" i="32" s="1"/>
  <c r="M101" i="32"/>
  <c r="K101" i="32" s="1"/>
  <c r="M104" i="32"/>
  <c r="K104" i="32" s="1"/>
  <c r="M98" i="32"/>
  <c r="K98" i="32" s="1"/>
  <c r="M99" i="32"/>
  <c r="K99" i="32" s="1"/>
  <c r="AA57" i="32"/>
  <c r="W57" i="32"/>
  <c r="W57" i="34"/>
  <c r="AA49" i="32"/>
  <c r="W49" i="32"/>
  <c r="W49" i="34"/>
  <c r="W42" i="32"/>
  <c r="AA42" i="32"/>
  <c r="W42" i="34"/>
  <c r="Q376" i="32"/>
  <c r="W36" i="32"/>
  <c r="AA36" i="32"/>
  <c r="W36" i="34"/>
  <c r="AD213" i="32"/>
  <c r="Y213" i="34"/>
  <c r="AD205" i="32"/>
  <c r="Y205" i="34"/>
  <c r="AD199" i="32"/>
  <c r="Y199" i="34"/>
  <c r="AD198" i="32"/>
  <c r="Y198" i="34"/>
  <c r="X166" i="32"/>
  <c r="X95" i="34"/>
  <c r="R96" i="34"/>
  <c r="R97" i="34"/>
  <c r="X97" i="34" s="1"/>
  <c r="R98" i="34"/>
  <c r="X98" i="34" s="1"/>
  <c r="R99" i="34"/>
  <c r="X99" i="34" s="1"/>
  <c r="R100" i="34"/>
  <c r="X100" i="34" s="1"/>
  <c r="R101" i="34"/>
  <c r="X101" i="34" s="1"/>
  <c r="R102" i="34"/>
  <c r="X102" i="34" s="1"/>
  <c r="R377" i="34"/>
  <c r="R103" i="34"/>
  <c r="X103" i="34" s="1"/>
  <c r="R104" i="34"/>
  <c r="X104" i="34" s="1"/>
  <c r="R105" i="34"/>
  <c r="X105" i="34" s="1"/>
  <c r="R106" i="34"/>
  <c r="X106" i="34" s="1"/>
  <c r="R107" i="34"/>
  <c r="X107" i="34" s="1"/>
  <c r="R108" i="34"/>
  <c r="X108" i="34" s="1"/>
  <c r="R109" i="34"/>
  <c r="X109" i="34" s="1"/>
  <c r="R110" i="34"/>
  <c r="X110" i="34" s="1"/>
  <c r="R111" i="34"/>
  <c r="X111" i="34" s="1"/>
  <c r="R112" i="34"/>
  <c r="X112" i="34" s="1"/>
  <c r="R113" i="34"/>
  <c r="X113" i="34" s="1"/>
  <c r="R114" i="34"/>
  <c r="X114" i="34" s="1"/>
  <c r="R115" i="34"/>
  <c r="X115" i="34" s="1"/>
  <c r="R116" i="34"/>
  <c r="X116" i="34" s="1"/>
  <c r="R117" i="34"/>
  <c r="X117" i="34" s="1"/>
  <c r="R118" i="34"/>
  <c r="X118" i="34" s="1"/>
  <c r="R119" i="34"/>
  <c r="X119" i="34" s="1"/>
  <c r="R120" i="34"/>
  <c r="X120" i="34" s="1"/>
  <c r="R121" i="34"/>
  <c r="X121" i="34" s="1"/>
  <c r="R122" i="34"/>
  <c r="X122" i="34" s="1"/>
  <c r="R123" i="34"/>
  <c r="X123" i="34" s="1"/>
  <c r="R124" i="34"/>
  <c r="X124" i="34" s="1"/>
  <c r="R125" i="34"/>
  <c r="X172" i="32"/>
  <c r="AD63" i="32"/>
  <c r="Y63" i="32"/>
  <c r="AD55" i="32"/>
  <c r="Y55" i="32"/>
  <c r="Y55" i="34"/>
  <c r="Y47" i="32"/>
  <c r="AD47" i="32"/>
  <c r="Y47" i="34"/>
  <c r="AD40" i="32"/>
  <c r="Y40" i="32"/>
  <c r="Y40" i="34"/>
  <c r="AD124" i="35"/>
  <c r="AG124" i="35" s="1"/>
  <c r="Y124" i="35"/>
  <c r="AD116" i="35"/>
  <c r="AG116" i="35" s="1"/>
  <c r="Y116" i="35"/>
  <c r="Y108" i="35"/>
  <c r="AD108" i="35"/>
  <c r="AG108" i="35" s="1"/>
  <c r="Y101" i="35"/>
  <c r="AD101" i="35"/>
  <c r="AG101" i="35" s="1"/>
  <c r="X208" i="32"/>
  <c r="X208" i="34"/>
  <c r="X215" i="34"/>
  <c r="X203" i="32"/>
  <c r="X203" i="34"/>
  <c r="X212" i="32"/>
  <c r="X212" i="34"/>
  <c r="Y282" i="35"/>
  <c r="AD282" i="35"/>
  <c r="Y298" i="35"/>
  <c r="AD298" i="35"/>
  <c r="AD285" i="35"/>
  <c r="Y285" i="35"/>
  <c r="AD301" i="35"/>
  <c r="Y301" i="35"/>
  <c r="AG176" i="32"/>
  <c r="AA277" i="35"/>
  <c r="W277" i="35"/>
  <c r="AA249" i="35"/>
  <c r="W249" i="35"/>
  <c r="W276" i="35"/>
  <c r="AA276" i="35"/>
  <c r="X183" i="32"/>
  <c r="Y270" i="34"/>
  <c r="Y251" i="34"/>
  <c r="AA148" i="32"/>
  <c r="W148" i="34"/>
  <c r="AA128" i="32"/>
  <c r="W128" i="34"/>
  <c r="X103" i="35"/>
  <c r="W61" i="32"/>
  <c r="AA61" i="32"/>
  <c r="W61" i="34"/>
  <c r="AA272" i="35"/>
  <c r="W272" i="35"/>
  <c r="W275" i="35"/>
  <c r="AA275" i="35"/>
  <c r="Y274" i="34"/>
  <c r="AA142" i="32"/>
  <c r="W142" i="34"/>
  <c r="X109" i="35"/>
  <c r="W60" i="32"/>
  <c r="AA60" i="32"/>
  <c r="AC60" i="32" s="1"/>
  <c r="W60" i="34"/>
  <c r="AD190" i="32"/>
  <c r="Y190" i="34"/>
  <c r="S381" i="32"/>
  <c r="AD187" i="32"/>
  <c r="Y187" i="34"/>
  <c r="Y50" i="32"/>
  <c r="AD50" i="32"/>
  <c r="Y50" i="34"/>
  <c r="AD111" i="35"/>
  <c r="AG111" i="35" s="1"/>
  <c r="Y111" i="35"/>
  <c r="X210" i="32"/>
  <c r="X210" i="34"/>
  <c r="X192" i="32"/>
  <c r="X192" i="34"/>
  <c r="Y292" i="35"/>
  <c r="AD292" i="35"/>
  <c r="AA253" i="35"/>
  <c r="W253" i="35"/>
  <c r="Y253" i="34"/>
  <c r="Y271" i="34"/>
  <c r="AA146" i="32"/>
  <c r="W146" i="34"/>
  <c r="X124" i="35"/>
  <c r="X116" i="35"/>
  <c r="M125" i="32"/>
  <c r="K125" i="32" s="1"/>
  <c r="M120" i="32"/>
  <c r="K120" i="32" s="1"/>
  <c r="Y101" i="34"/>
  <c r="AD101" i="34"/>
  <c r="AG101" i="34" s="1"/>
  <c r="AC378" i="32"/>
  <c r="W51" i="32"/>
  <c r="AA51" i="32"/>
  <c r="AC51" i="32" s="1"/>
  <c r="W51" i="34"/>
  <c r="AD201" i="32"/>
  <c r="Y201" i="34"/>
  <c r="AD204" i="32"/>
  <c r="Y204" i="34"/>
  <c r="AG267" i="35"/>
  <c r="AD42" i="32"/>
  <c r="Y42" i="32"/>
  <c r="Y42" i="34"/>
  <c r="X173" i="32"/>
  <c r="Y250" i="34"/>
  <c r="Y257" i="34"/>
  <c r="Y262" i="34"/>
  <c r="AA134" i="32"/>
  <c r="W134" i="34"/>
  <c r="AA140" i="32"/>
  <c r="W140" i="34"/>
  <c r="AA136" i="32"/>
  <c r="AC136" i="32" s="1"/>
  <c r="W136" i="34"/>
  <c r="X114" i="35"/>
  <c r="AG251" i="35"/>
  <c r="Y260" i="34"/>
  <c r="Y264" i="34"/>
  <c r="Y266" i="34"/>
  <c r="AA151" i="32"/>
  <c r="AC151" i="32" s="1"/>
  <c r="W151" i="34"/>
  <c r="AA144" i="32"/>
  <c r="AC144" i="32" s="1"/>
  <c r="W144" i="34"/>
  <c r="AA130" i="32"/>
  <c r="AC130" i="32" s="1"/>
  <c r="W130" i="34"/>
  <c r="X105" i="35"/>
  <c r="X98" i="35"/>
  <c r="M122" i="32"/>
  <c r="K122" i="32" s="1"/>
  <c r="Y121" i="34"/>
  <c r="AD121" i="34"/>
  <c r="AG121" i="34" s="1"/>
  <c r="Y113" i="34"/>
  <c r="Y105" i="34"/>
  <c r="Y98" i="34"/>
  <c r="X158" i="32"/>
  <c r="X380" i="32" s="1"/>
  <c r="AG272" i="35"/>
  <c r="W56" i="32"/>
  <c r="AA56" i="32"/>
  <c r="W56" i="34"/>
  <c r="AA48" i="32"/>
  <c r="W48" i="32"/>
  <c r="W48" i="34"/>
  <c r="AA41" i="32"/>
  <c r="W41" i="32"/>
  <c r="W41" i="34"/>
  <c r="AC35" i="32"/>
  <c r="AC375" i="32" s="1"/>
  <c r="AA375" i="32"/>
  <c r="AG260" i="35"/>
  <c r="AD209" i="32"/>
  <c r="Y209" i="34"/>
  <c r="AD189" i="32"/>
  <c r="Y189" i="34"/>
  <c r="AD202" i="32"/>
  <c r="Y202" i="34"/>
  <c r="X181" i="32"/>
  <c r="Y62" i="32"/>
  <c r="AD62" i="32"/>
  <c r="Y62" i="34"/>
  <c r="Y54" i="32"/>
  <c r="AD54" i="32"/>
  <c r="Y54" i="34"/>
  <c r="AD46" i="32"/>
  <c r="Y46" i="32"/>
  <c r="Y46" i="34"/>
  <c r="AD39" i="32"/>
  <c r="Y39" i="32"/>
  <c r="Y39" i="34"/>
  <c r="AD123" i="35"/>
  <c r="AG123" i="35" s="1"/>
  <c r="Y123" i="35"/>
  <c r="Y115" i="35"/>
  <c r="AD115" i="35"/>
  <c r="AG115" i="35" s="1"/>
  <c r="AD107" i="35"/>
  <c r="AG107" i="35" s="1"/>
  <c r="Y107" i="35"/>
  <c r="Y100" i="35"/>
  <c r="AD100" i="35"/>
  <c r="AG100" i="35" s="1"/>
  <c r="X206" i="34"/>
  <c r="R381" i="32"/>
  <c r="X187" i="32"/>
  <c r="X187" i="34"/>
  <c r="X190" i="34"/>
  <c r="X216" i="32"/>
  <c r="Y284" i="35"/>
  <c r="AD284" i="35"/>
  <c r="Y300" i="35"/>
  <c r="AD300" i="35"/>
  <c r="AD287" i="35"/>
  <c r="Y287" i="35"/>
  <c r="AD303" i="35"/>
  <c r="Y303" i="35"/>
  <c r="X177" i="32"/>
  <c r="AA258" i="35"/>
  <c r="W258" i="35"/>
  <c r="AA256" i="35"/>
  <c r="W256" i="35"/>
  <c r="W252" i="35"/>
  <c r="AA252" i="35"/>
  <c r="W254" i="35"/>
  <c r="AA254" i="35"/>
  <c r="X321" i="35" l="1"/>
  <c r="X321" i="36"/>
  <c r="X328" i="35"/>
  <c r="X328" i="36"/>
  <c r="X320" i="35"/>
  <c r="X320" i="36"/>
  <c r="X332" i="35"/>
  <c r="X332" i="36"/>
  <c r="X312" i="35"/>
  <c r="X312" i="36"/>
  <c r="X315" i="35"/>
  <c r="X315" i="36"/>
  <c r="X333" i="35"/>
  <c r="X333" i="36"/>
  <c r="X326" i="35"/>
  <c r="X326" i="36"/>
  <c r="X335" i="35"/>
  <c r="X335" i="36"/>
  <c r="X311" i="35"/>
  <c r="X311" i="36"/>
  <c r="X330" i="35"/>
  <c r="X330" i="36"/>
  <c r="X318" i="35"/>
  <c r="X318" i="36"/>
  <c r="X319" i="35"/>
  <c r="X319" i="36"/>
  <c r="X314" i="35"/>
  <c r="X314" i="36"/>
  <c r="X336" i="35"/>
  <c r="X336" i="36"/>
  <c r="X337" i="35"/>
  <c r="X337" i="36"/>
  <c r="X316" i="35"/>
  <c r="X316" i="36"/>
  <c r="X327" i="35"/>
  <c r="X327" i="36"/>
  <c r="X329" i="35"/>
  <c r="X329" i="36"/>
  <c r="X313" i="35"/>
  <c r="X313" i="36"/>
  <c r="X325" i="35"/>
  <c r="X325" i="36"/>
  <c r="X334" i="35"/>
  <c r="X334" i="36"/>
  <c r="X331" i="35"/>
  <c r="X324" i="35"/>
  <c r="X317" i="35"/>
  <c r="X310" i="35"/>
  <c r="X338" i="35"/>
  <c r="AC254" i="35"/>
  <c r="AC268" i="35"/>
  <c r="AC275" i="35"/>
  <c r="AC261" i="35"/>
  <c r="AG308" i="35"/>
  <c r="AG282" i="35"/>
  <c r="AG293" i="35"/>
  <c r="AG290" i="35"/>
  <c r="AG288" i="35"/>
  <c r="AG279" i="35"/>
  <c r="AG305" i="35"/>
  <c r="AG287" i="35"/>
  <c r="AG294" i="35"/>
  <c r="AG289" i="35"/>
  <c r="AG301" i="35"/>
  <c r="AG300" i="35"/>
  <c r="AG283" i="35"/>
  <c r="AG296" i="35"/>
  <c r="AG280" i="35"/>
  <c r="AG298" i="35"/>
  <c r="M180" i="32"/>
  <c r="K180" i="32" s="1"/>
  <c r="M182" i="32"/>
  <c r="K182" i="32" s="1"/>
  <c r="M184" i="32"/>
  <c r="K184" i="32" s="1"/>
  <c r="M185" i="32"/>
  <c r="K185" i="32" s="1"/>
  <c r="M179" i="32"/>
  <c r="K179" i="32" s="1"/>
  <c r="M178" i="32"/>
  <c r="K178" i="32" s="1"/>
  <c r="M183" i="32"/>
  <c r="K183" i="32" s="1"/>
  <c r="M181" i="32"/>
  <c r="K181" i="32" s="1"/>
  <c r="M186" i="32"/>
  <c r="K186" i="32" s="1"/>
  <c r="M177" i="32"/>
  <c r="K177" i="32" s="1"/>
  <c r="AE177" i="32" s="1"/>
  <c r="AE118" i="32"/>
  <c r="AG117" i="32"/>
  <c r="M169" i="32"/>
  <c r="K169" i="32" s="1"/>
  <c r="M176" i="32"/>
  <c r="K176" i="32" s="1"/>
  <c r="Y69" i="32"/>
  <c r="AD69" i="32"/>
  <c r="Y69" i="34"/>
  <c r="Y282" i="34"/>
  <c r="Y301" i="34"/>
  <c r="AD321" i="35"/>
  <c r="Y321" i="35"/>
  <c r="Z90" i="30"/>
  <c r="AB90" i="30" s="1"/>
  <c r="V90" i="30"/>
  <c r="W90" i="32"/>
  <c r="V70" i="30"/>
  <c r="W70" i="32"/>
  <c r="X236" i="32"/>
  <c r="AD236" i="32"/>
  <c r="X236" i="34"/>
  <c r="AD239" i="32"/>
  <c r="X239" i="34"/>
  <c r="W285" i="35"/>
  <c r="AA285" i="35"/>
  <c r="AG299" i="35"/>
  <c r="AD323" i="35"/>
  <c r="Y323" i="35"/>
  <c r="X200" i="32"/>
  <c r="V71" i="30"/>
  <c r="W71" i="32"/>
  <c r="V94" i="30"/>
  <c r="W94" i="32"/>
  <c r="AD231" i="32"/>
  <c r="X231" i="34"/>
  <c r="X113" i="35"/>
  <c r="AD99" i="34"/>
  <c r="AG99" i="34" s="1"/>
  <c r="AA166" i="32"/>
  <c r="AC166" i="32" s="1"/>
  <c r="W166" i="34"/>
  <c r="AA171" i="32"/>
  <c r="AC171" i="32" s="1"/>
  <c r="W171" i="34"/>
  <c r="AA181" i="32"/>
  <c r="W181" i="34"/>
  <c r="AA279" i="35"/>
  <c r="W279" i="35"/>
  <c r="Q338" i="35"/>
  <c r="W338" i="36" s="1"/>
  <c r="Q336" i="35"/>
  <c r="W336" i="36" s="1"/>
  <c r="Q334" i="35"/>
  <c r="W334" i="36" s="1"/>
  <c r="Q332" i="35"/>
  <c r="W332" i="36" s="1"/>
  <c r="Q330" i="35"/>
  <c r="W330" i="36" s="1"/>
  <c r="Q328" i="35"/>
  <c r="W328" i="36" s="1"/>
  <c r="Q326" i="35"/>
  <c r="W326" i="36" s="1"/>
  <c r="Q324" i="35"/>
  <c r="W324" i="36" s="1"/>
  <c r="Q322" i="35"/>
  <c r="W322" i="36" s="1"/>
  <c r="Q320" i="35"/>
  <c r="W320" i="36" s="1"/>
  <c r="Q318" i="35"/>
  <c r="W318" i="36" s="1"/>
  <c r="Q316" i="35"/>
  <c r="W316" i="36" s="1"/>
  <c r="Q314" i="35"/>
  <c r="W314" i="36" s="1"/>
  <c r="Q312" i="35"/>
  <c r="W312" i="36" s="1"/>
  <c r="Q310" i="35"/>
  <c r="W310" i="36" s="1"/>
  <c r="W309" i="35"/>
  <c r="Q331" i="35"/>
  <c r="W331" i="36" s="1"/>
  <c r="Q315" i="35"/>
  <c r="W315" i="36" s="1"/>
  <c r="Q337" i="35"/>
  <c r="W337" i="36" s="1"/>
  <c r="Q321" i="35"/>
  <c r="W321" i="36" s="1"/>
  <c r="Q327" i="35"/>
  <c r="W327" i="36" s="1"/>
  <c r="Q311" i="35"/>
  <c r="W311" i="36" s="1"/>
  <c r="Q335" i="35"/>
  <c r="W335" i="36" s="1"/>
  <c r="Q319" i="35"/>
  <c r="W319" i="36" s="1"/>
  <c r="Q333" i="35"/>
  <c r="W333" i="36" s="1"/>
  <c r="AC309" i="35"/>
  <c r="Q329" i="35"/>
  <c r="W329" i="36" s="1"/>
  <c r="Q317" i="35"/>
  <c r="W317" i="36" s="1"/>
  <c r="Q313" i="35"/>
  <c r="W313" i="36" s="1"/>
  <c r="Q323" i="35"/>
  <c r="W323" i="36" s="1"/>
  <c r="Q325" i="35"/>
  <c r="W325" i="36" s="1"/>
  <c r="W288" i="35"/>
  <c r="AA288" i="35"/>
  <c r="W304" i="35"/>
  <c r="AA304" i="35"/>
  <c r="Y81" i="32"/>
  <c r="AD81" i="32"/>
  <c r="Y81" i="34"/>
  <c r="Y83" i="32"/>
  <c r="AD83" i="32"/>
  <c r="Y83" i="34"/>
  <c r="AD73" i="32"/>
  <c r="Y73" i="32"/>
  <c r="Y73" i="34"/>
  <c r="Y279" i="34"/>
  <c r="Y287" i="34"/>
  <c r="Y297" i="34"/>
  <c r="Y322" i="35"/>
  <c r="AD322" i="35"/>
  <c r="Y338" i="35"/>
  <c r="AD338" i="35"/>
  <c r="AD325" i="35"/>
  <c r="Y325" i="35"/>
  <c r="AG309" i="35"/>
  <c r="AE107" i="32"/>
  <c r="AG106" i="32"/>
  <c r="V75" i="30"/>
  <c r="W75" i="32"/>
  <c r="V89" i="30"/>
  <c r="W89" i="32"/>
  <c r="Z95" i="30"/>
  <c r="AB95" i="30" s="1"/>
  <c r="V95" i="30"/>
  <c r="P96" i="30"/>
  <c r="P97" i="30"/>
  <c r="P98" i="30"/>
  <c r="P99" i="30"/>
  <c r="P100" i="30"/>
  <c r="P101" i="30"/>
  <c r="P102" i="30"/>
  <c r="P103" i="30"/>
  <c r="P104" i="30"/>
  <c r="P105" i="30"/>
  <c r="P106" i="30"/>
  <c r="P107" i="30"/>
  <c r="P108" i="30"/>
  <c r="P109" i="30"/>
  <c r="P110" i="30"/>
  <c r="P111" i="30"/>
  <c r="P112" i="30"/>
  <c r="P113" i="30"/>
  <c r="P114" i="30"/>
  <c r="P115" i="30"/>
  <c r="P116" i="30"/>
  <c r="P117" i="30"/>
  <c r="P118" i="30"/>
  <c r="P119" i="30"/>
  <c r="P120" i="30"/>
  <c r="P121" i="30"/>
  <c r="P122" i="30"/>
  <c r="P123" i="30"/>
  <c r="P124" i="30"/>
  <c r="P125" i="30"/>
  <c r="W95" i="32"/>
  <c r="AD97" i="34"/>
  <c r="AG97" i="34" s="1"/>
  <c r="AD234" i="32"/>
  <c r="X234" i="34"/>
  <c r="AD221" i="32"/>
  <c r="X221" i="34"/>
  <c r="AD237" i="32"/>
  <c r="X237" i="34"/>
  <c r="AD245" i="32"/>
  <c r="X245" i="34"/>
  <c r="AD104" i="34"/>
  <c r="AG104" i="34" s="1"/>
  <c r="X112" i="35"/>
  <c r="X206" i="32"/>
  <c r="X121" i="35"/>
  <c r="R378" i="34"/>
  <c r="X96" i="34"/>
  <c r="AA376" i="32"/>
  <c r="AA168" i="32"/>
  <c r="W168" i="34"/>
  <c r="AA176" i="32"/>
  <c r="AC176" i="32" s="1"/>
  <c r="W176" i="34"/>
  <c r="AA185" i="32"/>
  <c r="AC185" i="32" s="1"/>
  <c r="W185" i="34"/>
  <c r="AA184" i="32"/>
  <c r="W184" i="34"/>
  <c r="W289" i="35"/>
  <c r="AA289" i="35"/>
  <c r="W287" i="35"/>
  <c r="AA287" i="35"/>
  <c r="W290" i="35"/>
  <c r="AA290" i="35"/>
  <c r="W306" i="35"/>
  <c r="AA306" i="35"/>
  <c r="X196" i="32"/>
  <c r="X381" i="32" s="1"/>
  <c r="Y84" i="32"/>
  <c r="AD84" i="32"/>
  <c r="AG84" i="32" s="1"/>
  <c r="Y84" i="34"/>
  <c r="Y67" i="32"/>
  <c r="AD67" i="32"/>
  <c r="Y67" i="34"/>
  <c r="AD71" i="32"/>
  <c r="Y71" i="32"/>
  <c r="Y71" i="34"/>
  <c r="Y85" i="32"/>
  <c r="AD85" i="32"/>
  <c r="Y85" i="34"/>
  <c r="AD115" i="34"/>
  <c r="AG115" i="34" s="1"/>
  <c r="Y285" i="34"/>
  <c r="Y288" i="34"/>
  <c r="Y307" i="34"/>
  <c r="Y302" i="34"/>
  <c r="Y376" i="32"/>
  <c r="X189" i="32"/>
  <c r="Y324" i="35"/>
  <c r="AD324" i="35"/>
  <c r="AD311" i="35"/>
  <c r="Y311" i="35"/>
  <c r="AD327" i="35"/>
  <c r="Y327" i="35"/>
  <c r="X110" i="35"/>
  <c r="AG307" i="35"/>
  <c r="X188" i="32"/>
  <c r="V80" i="30"/>
  <c r="W80" i="32"/>
  <c r="V81" i="30"/>
  <c r="W81" i="32"/>
  <c r="V78" i="30"/>
  <c r="W78" i="32"/>
  <c r="V67" i="30"/>
  <c r="W67" i="32"/>
  <c r="X246" i="32"/>
  <c r="AD246" i="32"/>
  <c r="X246" i="34"/>
  <c r="X240" i="32"/>
  <c r="AD240" i="32"/>
  <c r="X240" i="34"/>
  <c r="AD243" i="32"/>
  <c r="X243" i="34"/>
  <c r="R278" i="32"/>
  <c r="R273" i="32"/>
  <c r="R270" i="32"/>
  <c r="R254" i="32"/>
  <c r="R250" i="32"/>
  <c r="R277" i="32"/>
  <c r="R266" i="32"/>
  <c r="R262" i="32"/>
  <c r="R259" i="32"/>
  <c r="R276" i="32"/>
  <c r="R252" i="32"/>
  <c r="R261" i="32"/>
  <c r="R253" i="32"/>
  <c r="R256" i="32"/>
  <c r="R275" i="32"/>
  <c r="R272" i="32"/>
  <c r="R265" i="32"/>
  <c r="R249" i="32"/>
  <c r="R274" i="32"/>
  <c r="R257" i="32"/>
  <c r="R264" i="32"/>
  <c r="R267" i="32"/>
  <c r="R260" i="32"/>
  <c r="R263" i="32"/>
  <c r="R258" i="32"/>
  <c r="R251" i="32"/>
  <c r="R269" i="32"/>
  <c r="X248" i="34"/>
  <c r="R268" i="32"/>
  <c r="R255" i="32"/>
  <c r="R271" i="32"/>
  <c r="AD248" i="32"/>
  <c r="M42" i="32"/>
  <c r="K42" i="32" s="1"/>
  <c r="M39" i="32"/>
  <c r="K39" i="32" s="1"/>
  <c r="M36" i="32"/>
  <c r="K36" i="32" s="1"/>
  <c r="M44" i="32"/>
  <c r="K44" i="32" s="1"/>
  <c r="M37" i="32"/>
  <c r="K37" i="32" s="1"/>
  <c r="M41" i="32"/>
  <c r="K41" i="32" s="1"/>
  <c r="M38" i="32"/>
  <c r="K38" i="32" s="1"/>
  <c r="M43" i="32"/>
  <c r="K43" i="32" s="1"/>
  <c r="M45" i="32"/>
  <c r="K45" i="32" s="1"/>
  <c r="M40" i="32"/>
  <c r="K40" i="32" s="1"/>
  <c r="AD112" i="34"/>
  <c r="AG112" i="34" s="1"/>
  <c r="X120" i="35"/>
  <c r="AG146" i="32"/>
  <c r="AA173" i="32"/>
  <c r="W173" i="34"/>
  <c r="W299" i="35"/>
  <c r="AA299" i="35"/>
  <c r="AD87" i="32"/>
  <c r="Y87" i="32"/>
  <c r="Y87" i="34"/>
  <c r="Y303" i="34"/>
  <c r="Y318" i="35"/>
  <c r="AD318" i="35"/>
  <c r="AD337" i="35"/>
  <c r="Y337" i="35"/>
  <c r="V86" i="30"/>
  <c r="W86" i="32"/>
  <c r="AD225" i="32"/>
  <c r="X225" i="34"/>
  <c r="AG147" i="32"/>
  <c r="AA177" i="32"/>
  <c r="W177" i="34"/>
  <c r="W286" i="35"/>
  <c r="AA286" i="35"/>
  <c r="S377" i="32"/>
  <c r="AD65" i="32"/>
  <c r="Y65" i="32"/>
  <c r="Y65" i="34"/>
  <c r="AD90" i="32"/>
  <c r="Y90" i="32"/>
  <c r="Y90" i="34"/>
  <c r="Y286" i="34"/>
  <c r="Y320" i="35"/>
  <c r="AD320" i="35"/>
  <c r="S369" i="35"/>
  <c r="Y369" i="36" s="1"/>
  <c r="S367" i="35"/>
  <c r="Y367" i="36" s="1"/>
  <c r="S365" i="35"/>
  <c r="Y365" i="36" s="1"/>
  <c r="S363" i="35"/>
  <c r="Y363" i="36" s="1"/>
  <c r="S361" i="35"/>
  <c r="Y361" i="36" s="1"/>
  <c r="S359" i="35"/>
  <c r="Y359" i="36" s="1"/>
  <c r="S357" i="35"/>
  <c r="Y357" i="36" s="1"/>
  <c r="S355" i="35"/>
  <c r="Y355" i="36" s="1"/>
  <c r="S353" i="35"/>
  <c r="Y353" i="36" s="1"/>
  <c r="S351" i="35"/>
  <c r="Y351" i="36" s="1"/>
  <c r="S349" i="35"/>
  <c r="Y349" i="36" s="1"/>
  <c r="S347" i="35"/>
  <c r="Y347" i="36" s="1"/>
  <c r="S345" i="35"/>
  <c r="Y345" i="36" s="1"/>
  <c r="S343" i="35"/>
  <c r="Y343" i="36" s="1"/>
  <c r="S341" i="35"/>
  <c r="Y341" i="36" s="1"/>
  <c r="S368" i="35"/>
  <c r="Y368" i="36" s="1"/>
  <c r="S366" i="35"/>
  <c r="Y366" i="36" s="1"/>
  <c r="S364" i="35"/>
  <c r="Y364" i="36" s="1"/>
  <c r="S362" i="35"/>
  <c r="Y362" i="36" s="1"/>
  <c r="S360" i="35"/>
  <c r="Y360" i="36" s="1"/>
  <c r="S358" i="35"/>
  <c r="Y358" i="36" s="1"/>
  <c r="S356" i="35"/>
  <c r="Y356" i="36" s="1"/>
  <c r="S354" i="35"/>
  <c r="Y354" i="36" s="1"/>
  <c r="S352" i="35"/>
  <c r="Y352" i="36" s="1"/>
  <c r="S350" i="35"/>
  <c r="Y350" i="36" s="1"/>
  <c r="S348" i="35"/>
  <c r="Y348" i="36" s="1"/>
  <c r="S346" i="35"/>
  <c r="Y346" i="36" s="1"/>
  <c r="S344" i="35"/>
  <c r="Y344" i="36" s="1"/>
  <c r="S342" i="35"/>
  <c r="Y342" i="36" s="1"/>
  <c r="S340" i="35"/>
  <c r="Y340" i="36" s="1"/>
  <c r="Y339" i="35"/>
  <c r="V82" i="30"/>
  <c r="W82" i="32"/>
  <c r="AG286" i="35"/>
  <c r="AD228" i="32"/>
  <c r="X228" i="34"/>
  <c r="AG136" i="32"/>
  <c r="AD98" i="34"/>
  <c r="AG98" i="34" s="1"/>
  <c r="AA159" i="32"/>
  <c r="W159" i="34"/>
  <c r="W295" i="35"/>
  <c r="AA295" i="35"/>
  <c r="W308" i="35"/>
  <c r="AA308" i="35"/>
  <c r="Y88" i="32"/>
  <c r="AD88" i="32"/>
  <c r="Y88" i="34"/>
  <c r="Y296" i="34"/>
  <c r="Y290" i="34"/>
  <c r="Y326" i="35"/>
  <c r="AD326" i="35"/>
  <c r="AD313" i="35"/>
  <c r="Y313" i="35"/>
  <c r="AD329" i="35"/>
  <c r="Y329" i="35"/>
  <c r="V93" i="30"/>
  <c r="W93" i="32"/>
  <c r="V68" i="30"/>
  <c r="W68" i="32"/>
  <c r="V85" i="30"/>
  <c r="W85" i="32"/>
  <c r="V88" i="30"/>
  <c r="W88" i="32"/>
  <c r="AD222" i="32"/>
  <c r="X222" i="34"/>
  <c r="AD226" i="32"/>
  <c r="X226" i="34"/>
  <c r="AG303" i="35"/>
  <c r="AD105" i="34"/>
  <c r="AG105" i="34" s="1"/>
  <c r="AD125" i="34"/>
  <c r="AG125" i="34" s="1"/>
  <c r="X125" i="34"/>
  <c r="X125" i="35"/>
  <c r="R126" i="34"/>
  <c r="R127" i="34"/>
  <c r="R128" i="34"/>
  <c r="R129" i="34"/>
  <c r="R130" i="34"/>
  <c r="R131" i="34"/>
  <c r="R132" i="34"/>
  <c r="R133" i="34"/>
  <c r="R134" i="34"/>
  <c r="R135" i="34"/>
  <c r="R136" i="34"/>
  <c r="R137" i="34"/>
  <c r="R138" i="34"/>
  <c r="R139" i="34"/>
  <c r="R140" i="34"/>
  <c r="R141" i="34"/>
  <c r="R142" i="34"/>
  <c r="R143" i="34"/>
  <c r="R144" i="34"/>
  <c r="R145" i="34"/>
  <c r="R146" i="34"/>
  <c r="R147" i="34"/>
  <c r="R148" i="34"/>
  <c r="R149" i="34"/>
  <c r="R150" i="34"/>
  <c r="R151" i="34"/>
  <c r="R152" i="34"/>
  <c r="R153" i="34"/>
  <c r="R154" i="34"/>
  <c r="R155" i="34"/>
  <c r="AD106" i="34"/>
  <c r="AG106" i="34" s="1"/>
  <c r="X99" i="35"/>
  <c r="AA162" i="32"/>
  <c r="W162" i="34"/>
  <c r="AA160" i="32"/>
  <c r="W160" i="34"/>
  <c r="AA170" i="32"/>
  <c r="W170" i="34"/>
  <c r="AA172" i="32"/>
  <c r="AC172" i="32" s="1"/>
  <c r="W172" i="34"/>
  <c r="W297" i="35"/>
  <c r="AA297" i="35"/>
  <c r="W307" i="35"/>
  <c r="AA307" i="35"/>
  <c r="W294" i="35"/>
  <c r="AA294" i="35"/>
  <c r="X202" i="32"/>
  <c r="Y70" i="32"/>
  <c r="AD70" i="32"/>
  <c r="Y70" i="34"/>
  <c r="Y86" i="32"/>
  <c r="AD86" i="32"/>
  <c r="Y86" i="34"/>
  <c r="Y75" i="32"/>
  <c r="AD75" i="32"/>
  <c r="Y75" i="34"/>
  <c r="Y91" i="32"/>
  <c r="AD91" i="32"/>
  <c r="Y91" i="34"/>
  <c r="AD123" i="34"/>
  <c r="AG123" i="34" s="1"/>
  <c r="Y280" i="34"/>
  <c r="Y293" i="34"/>
  <c r="Y294" i="34"/>
  <c r="Y295" i="34"/>
  <c r="AG297" i="35"/>
  <c r="Y312" i="35"/>
  <c r="AD312" i="35"/>
  <c r="Y328" i="35"/>
  <c r="AD328" i="35"/>
  <c r="AD315" i="35"/>
  <c r="Y315" i="35"/>
  <c r="AD331" i="35"/>
  <c r="Y331" i="35"/>
  <c r="AG291" i="35"/>
  <c r="X197" i="32"/>
  <c r="Z83" i="30"/>
  <c r="AB83" i="30" s="1"/>
  <c r="V83" i="30"/>
  <c r="W83" i="32"/>
  <c r="V91" i="30"/>
  <c r="W91" i="32"/>
  <c r="AD111" i="34"/>
  <c r="AG111" i="34" s="1"/>
  <c r="X96" i="35"/>
  <c r="AC379" i="32"/>
  <c r="X194" i="32"/>
  <c r="AD223" i="32"/>
  <c r="X223" i="34"/>
  <c r="AD219" i="32"/>
  <c r="X219" i="34"/>
  <c r="AD227" i="32"/>
  <c r="X227" i="34"/>
  <c r="X229" i="32"/>
  <c r="AD229" i="32"/>
  <c r="X229" i="34"/>
  <c r="R97" i="30"/>
  <c r="R96" i="30"/>
  <c r="X95" i="30"/>
  <c r="Y95" i="32"/>
  <c r="R98" i="30"/>
  <c r="R99" i="30"/>
  <c r="R100" i="30"/>
  <c r="R101" i="30"/>
  <c r="R102" i="30"/>
  <c r="R103" i="30"/>
  <c r="R104" i="30"/>
  <c r="R105" i="30"/>
  <c r="R106" i="30"/>
  <c r="R107" i="30"/>
  <c r="R108" i="30"/>
  <c r="R109" i="30"/>
  <c r="R110" i="30"/>
  <c r="R111" i="30"/>
  <c r="R112" i="30"/>
  <c r="R113" i="30"/>
  <c r="R114" i="30"/>
  <c r="R115" i="30"/>
  <c r="R116" i="30"/>
  <c r="R117" i="30"/>
  <c r="R118" i="30"/>
  <c r="R119" i="30"/>
  <c r="R120" i="30"/>
  <c r="R121" i="30"/>
  <c r="R122" i="30"/>
  <c r="R123" i="30"/>
  <c r="R124" i="30"/>
  <c r="R125" i="30"/>
  <c r="AG166" i="32"/>
  <c r="M168" i="32" s="1"/>
  <c r="K168" i="32" s="1"/>
  <c r="K378" i="32"/>
  <c r="AE96" i="32"/>
  <c r="Q216" i="32"/>
  <c r="Q211" i="32"/>
  <c r="Q203" i="32"/>
  <c r="Q196" i="32"/>
  <c r="Q189" i="32"/>
  <c r="Q209" i="32"/>
  <c r="Q205" i="32"/>
  <c r="Q201" i="32"/>
  <c r="Q197" i="32"/>
  <c r="Q194" i="32"/>
  <c r="AA186" i="32"/>
  <c r="AC186" i="32" s="1"/>
  <c r="Q215" i="32"/>
  <c r="Q210" i="32"/>
  <c r="Q206" i="32"/>
  <c r="Q202" i="32"/>
  <c r="Q198" i="32"/>
  <c r="Q195" i="32"/>
  <c r="Q191" i="32"/>
  <c r="Q199" i="32"/>
  <c r="Q192" i="32"/>
  <c r="Q188" i="32"/>
  <c r="Q213" i="32"/>
  <c r="Q214" i="32"/>
  <c r="Q187" i="32"/>
  <c r="Q212" i="32"/>
  <c r="Q200" i="32"/>
  <c r="Q193" i="32"/>
  <c r="Q217" i="32"/>
  <c r="Q208" i="32"/>
  <c r="Q207" i="32"/>
  <c r="Q190" i="32"/>
  <c r="Q204" i="32"/>
  <c r="W186" i="34"/>
  <c r="W300" i="35"/>
  <c r="AA300" i="35"/>
  <c r="M46" i="32"/>
  <c r="K46" i="32" s="1"/>
  <c r="AE46" i="32" s="1"/>
  <c r="M54" i="32"/>
  <c r="K54" i="32" s="1"/>
  <c r="M48" i="32"/>
  <c r="K48" i="32" s="1"/>
  <c r="M52" i="32"/>
  <c r="K52" i="32" s="1"/>
  <c r="M55" i="32"/>
  <c r="K55" i="32" s="1"/>
  <c r="M50" i="32"/>
  <c r="K50" i="32" s="1"/>
  <c r="M56" i="32"/>
  <c r="K56" i="32" s="1"/>
  <c r="M51" i="32"/>
  <c r="K51" i="32" s="1"/>
  <c r="M53" i="32"/>
  <c r="K53" i="32" s="1"/>
  <c r="M47" i="32"/>
  <c r="K47" i="32" s="1"/>
  <c r="M49" i="32"/>
  <c r="K49" i="32" s="1"/>
  <c r="V69" i="30"/>
  <c r="Z69" i="30"/>
  <c r="AB69" i="30" s="1"/>
  <c r="W69" i="32"/>
  <c r="X244" i="32"/>
  <c r="AD244" i="32"/>
  <c r="X244" i="34"/>
  <c r="AE150" i="32"/>
  <c r="AG149" i="32"/>
  <c r="AD122" i="34"/>
  <c r="AG122" i="34" s="1"/>
  <c r="AA158" i="32"/>
  <c r="AC158" i="32" s="1"/>
  <c r="W158" i="34"/>
  <c r="W293" i="35"/>
  <c r="AA293" i="35"/>
  <c r="Y92" i="32"/>
  <c r="AD92" i="32"/>
  <c r="Y92" i="34"/>
  <c r="Y304" i="34"/>
  <c r="V87" i="30"/>
  <c r="W87" i="32"/>
  <c r="AG217" i="32"/>
  <c r="AE138" i="32"/>
  <c r="Q380" i="32"/>
  <c r="AA157" i="32"/>
  <c r="W157" i="34"/>
  <c r="W303" i="35"/>
  <c r="AA303" i="35"/>
  <c r="AD79" i="32"/>
  <c r="Y79" i="32"/>
  <c r="Y79" i="34"/>
  <c r="Y94" i="32"/>
  <c r="AD94" i="32"/>
  <c r="Y94" i="34"/>
  <c r="Y292" i="34"/>
  <c r="X199" i="32"/>
  <c r="R365" i="35"/>
  <c r="R356" i="35"/>
  <c r="R349" i="35"/>
  <c r="R340" i="35"/>
  <c r="R362" i="35"/>
  <c r="R355" i="35"/>
  <c r="R346" i="35"/>
  <c r="X339" i="35"/>
  <c r="R368" i="35"/>
  <c r="R361" i="35"/>
  <c r="R352" i="35"/>
  <c r="R345" i="35"/>
  <c r="R369" i="35"/>
  <c r="R360" i="35"/>
  <c r="R353" i="35"/>
  <c r="R344" i="35"/>
  <c r="R364" i="35"/>
  <c r="R341" i="35"/>
  <c r="R351" i="35"/>
  <c r="R357" i="35"/>
  <c r="R350" i="35"/>
  <c r="R342" i="35"/>
  <c r="R347" i="35"/>
  <c r="R366" i="35"/>
  <c r="X366" i="36" s="1"/>
  <c r="R343" i="35"/>
  <c r="X370" i="35"/>
  <c r="R367" i="35"/>
  <c r="R363" i="35"/>
  <c r="R359" i="35"/>
  <c r="R348" i="35"/>
  <c r="R358" i="35"/>
  <c r="R354" i="35"/>
  <c r="Y310" i="35"/>
  <c r="AD310" i="35"/>
  <c r="AD247" i="32"/>
  <c r="X247" i="34"/>
  <c r="X190" i="32"/>
  <c r="AG292" i="35"/>
  <c r="X215" i="32"/>
  <c r="X122" i="35"/>
  <c r="AD124" i="34"/>
  <c r="AG124" i="34" s="1"/>
  <c r="AA178" i="32"/>
  <c r="AC178" i="32" s="1"/>
  <c r="W178" i="34"/>
  <c r="AA175" i="32"/>
  <c r="W175" i="34"/>
  <c r="AA281" i="35"/>
  <c r="W281" i="35"/>
  <c r="W296" i="35"/>
  <c r="AA296" i="35"/>
  <c r="AG281" i="35"/>
  <c r="Y66" i="32"/>
  <c r="AD66" i="32"/>
  <c r="Y66" i="34"/>
  <c r="AD68" i="32"/>
  <c r="Y68" i="32"/>
  <c r="Y68" i="34"/>
  <c r="Q309" i="28"/>
  <c r="Q307" i="28"/>
  <c r="Q302" i="28"/>
  <c r="Q299" i="28"/>
  <c r="Q296" i="28"/>
  <c r="Q291" i="28"/>
  <c r="Q283" i="28"/>
  <c r="Q282" i="28"/>
  <c r="Q281" i="28"/>
  <c r="Q292" i="28"/>
  <c r="Q286" i="28"/>
  <c r="Q308" i="28"/>
  <c r="Q306" i="28"/>
  <c r="Q295" i="28"/>
  <c r="Q297" i="28"/>
  <c r="Q293" i="28"/>
  <c r="Q289" i="28"/>
  <c r="Q284" i="28"/>
  <c r="Q305" i="28"/>
  <c r="Q287" i="28"/>
  <c r="Q285" i="28"/>
  <c r="Q279" i="28"/>
  <c r="Q304" i="28"/>
  <c r="Q294" i="28"/>
  <c r="Q303" i="28"/>
  <c r="Q290" i="28"/>
  <c r="Q288" i="28"/>
  <c r="Q280" i="28"/>
  <c r="Q298" i="28"/>
  <c r="Q301" i="28"/>
  <c r="Q300" i="28"/>
  <c r="Y291" i="34"/>
  <c r="Y305" i="34"/>
  <c r="Y299" i="34"/>
  <c r="Y298" i="34"/>
  <c r="Y314" i="35"/>
  <c r="AD314" i="35"/>
  <c r="Y330" i="35"/>
  <c r="AD330" i="35"/>
  <c r="AD317" i="35"/>
  <c r="Y317" i="35"/>
  <c r="AD333" i="35"/>
  <c r="Y333" i="35"/>
  <c r="AG304" i="35"/>
  <c r="V65" i="30"/>
  <c r="W65" i="32"/>
  <c r="V72" i="30"/>
  <c r="W72" i="32"/>
  <c r="Z74" i="30"/>
  <c r="AB74" i="30" s="1"/>
  <c r="V74" i="30"/>
  <c r="W74" i="32"/>
  <c r="V66" i="30"/>
  <c r="W66" i="32"/>
  <c r="X111" i="35"/>
  <c r="X232" i="32"/>
  <c r="AD232" i="32"/>
  <c r="X232" i="34"/>
  <c r="AD241" i="32"/>
  <c r="X241" i="34"/>
  <c r="X230" i="32"/>
  <c r="AD230" i="32"/>
  <c r="X230" i="34"/>
  <c r="X235" i="32"/>
  <c r="AD235" i="32"/>
  <c r="X235" i="34"/>
  <c r="AD120" i="34"/>
  <c r="AG120" i="34" s="1"/>
  <c r="AA379" i="32"/>
  <c r="AD102" i="34"/>
  <c r="AG102" i="34" s="1"/>
  <c r="AG306" i="35"/>
  <c r="AG137" i="32"/>
  <c r="AA174" i="32"/>
  <c r="W174" i="34"/>
  <c r="AA165" i="32"/>
  <c r="AC165" i="32" s="1"/>
  <c r="W165" i="34"/>
  <c r="W284" i="35"/>
  <c r="AA284" i="35"/>
  <c r="AC284" i="35" s="1"/>
  <c r="AD93" i="32"/>
  <c r="Y93" i="32"/>
  <c r="Y93" i="34"/>
  <c r="AD82" i="32"/>
  <c r="Y82" i="32"/>
  <c r="Y82" i="34"/>
  <c r="Y308" i="34"/>
  <c r="Y334" i="35"/>
  <c r="AD334" i="35"/>
  <c r="V92" i="30"/>
  <c r="W92" i="32"/>
  <c r="X224" i="32"/>
  <c r="AD224" i="32"/>
  <c r="X224" i="34"/>
  <c r="AA182" i="32"/>
  <c r="W182" i="34"/>
  <c r="W302" i="35"/>
  <c r="AA302" i="35"/>
  <c r="Y77" i="32"/>
  <c r="AD77" i="32"/>
  <c r="Y77" i="34"/>
  <c r="Y283" i="34"/>
  <c r="Y284" i="34"/>
  <c r="Y336" i="35"/>
  <c r="AD336" i="35"/>
  <c r="V77" i="30"/>
  <c r="W77" i="32"/>
  <c r="AD242" i="32"/>
  <c r="X242" i="34"/>
  <c r="X191" i="32"/>
  <c r="AG284" i="35"/>
  <c r="AG285" i="35"/>
  <c r="W376" i="32"/>
  <c r="AA163" i="32"/>
  <c r="W163" i="34"/>
  <c r="AA169" i="32"/>
  <c r="W169" i="34"/>
  <c r="W291" i="35"/>
  <c r="AA291" i="35"/>
  <c r="W292" i="35"/>
  <c r="AA292" i="35"/>
  <c r="AD72" i="32"/>
  <c r="Y72" i="32"/>
  <c r="Y72" i="34"/>
  <c r="Y281" i="34"/>
  <c r="Y306" i="34"/>
  <c r="AD114" i="34"/>
  <c r="AG114" i="34" s="1"/>
  <c r="AD118" i="34"/>
  <c r="AG118" i="34" s="1"/>
  <c r="AA161" i="32"/>
  <c r="W161" i="34"/>
  <c r="AA164" i="32"/>
  <c r="AC164" i="32" s="1"/>
  <c r="W164" i="34"/>
  <c r="W305" i="35"/>
  <c r="AA305" i="35"/>
  <c r="W280" i="35"/>
  <c r="AA280" i="35"/>
  <c r="Y78" i="32"/>
  <c r="AD78" i="32"/>
  <c r="Y78" i="34"/>
  <c r="Y89" i="32"/>
  <c r="AD89" i="32"/>
  <c r="Y89" i="34"/>
  <c r="Q242" i="30"/>
  <c r="W242" i="30" s="1"/>
  <c r="Q227" i="30"/>
  <c r="W227" i="30" s="1"/>
  <c r="Q246" i="30"/>
  <c r="W246" i="30" s="1"/>
  <c r="Q238" i="30"/>
  <c r="W238" i="30" s="1"/>
  <c r="Q236" i="30"/>
  <c r="W236" i="30" s="1"/>
  <c r="Q231" i="30"/>
  <c r="W231" i="30" s="1"/>
  <c r="Q237" i="30"/>
  <c r="W237" i="30" s="1"/>
  <c r="Q248" i="30"/>
  <c r="Q224" i="30"/>
  <c r="W224" i="30" s="1"/>
  <c r="Q221" i="30"/>
  <c r="W221" i="30" s="1"/>
  <c r="Q247" i="30"/>
  <c r="W247" i="30" s="1"/>
  <c r="Q240" i="30"/>
  <c r="W240" i="30" s="1"/>
  <c r="Q233" i="30"/>
  <c r="W233" i="30" s="1"/>
  <c r="Q245" i="30"/>
  <c r="W245" i="30" s="1"/>
  <c r="Q243" i="30"/>
  <c r="W243" i="30" s="1"/>
  <c r="Q225" i="30"/>
  <c r="W225" i="30" s="1"/>
  <c r="Q223" i="30"/>
  <c r="W223" i="30" s="1"/>
  <c r="Q219" i="30"/>
  <c r="W219" i="30" s="1"/>
  <c r="Q230" i="30"/>
  <c r="W230" i="30" s="1"/>
  <c r="Q228" i="30"/>
  <c r="W228" i="30" s="1"/>
  <c r="Q226" i="30"/>
  <c r="W226" i="30" s="1"/>
  <c r="Q239" i="30"/>
  <c r="W239" i="30" s="1"/>
  <c r="Q241" i="30"/>
  <c r="W241" i="30" s="1"/>
  <c r="Q235" i="30"/>
  <c r="W235" i="30" s="1"/>
  <c r="Q229" i="30"/>
  <c r="W229" i="30" s="1"/>
  <c r="Q222" i="30"/>
  <c r="W222" i="30" s="1"/>
  <c r="Q218" i="30"/>
  <c r="W218" i="30" s="1"/>
  <c r="Q232" i="30"/>
  <c r="W232" i="30" s="1"/>
  <c r="Q220" i="30"/>
  <c r="W220" i="30" s="1"/>
  <c r="W217" i="30"/>
  <c r="Q234" i="30"/>
  <c r="W234" i="30" s="1"/>
  <c r="Q244" i="30"/>
  <c r="W244" i="30" s="1"/>
  <c r="AD113" i="34"/>
  <c r="AG113" i="34" s="1"/>
  <c r="AG177" i="32"/>
  <c r="X106" i="35"/>
  <c r="X101" i="35"/>
  <c r="AA183" i="32"/>
  <c r="W183" i="34"/>
  <c r="AA179" i="32"/>
  <c r="AC179" i="32" s="1"/>
  <c r="W179" i="34"/>
  <c r="AA167" i="32"/>
  <c r="W167" i="34"/>
  <c r="AA180" i="32"/>
  <c r="W180" i="34"/>
  <c r="W301" i="35"/>
  <c r="AA301" i="35"/>
  <c r="W283" i="35"/>
  <c r="AA283" i="35"/>
  <c r="W282" i="35"/>
  <c r="AA282" i="35"/>
  <c r="W298" i="35"/>
  <c r="AA298" i="35"/>
  <c r="X204" i="32"/>
  <c r="AD74" i="32"/>
  <c r="AG74" i="32" s="1"/>
  <c r="Y74" i="32"/>
  <c r="Y74" i="34"/>
  <c r="Y80" i="32"/>
  <c r="AD80" i="32"/>
  <c r="Y80" i="34"/>
  <c r="M63" i="32"/>
  <c r="K63" i="32" s="1"/>
  <c r="M60" i="32"/>
  <c r="K60" i="32" s="1"/>
  <c r="M64" i="32"/>
  <c r="K64" i="32" s="1"/>
  <c r="M62" i="32"/>
  <c r="K62" i="32" s="1"/>
  <c r="M59" i="32"/>
  <c r="K59" i="32" s="1"/>
  <c r="M61" i="32"/>
  <c r="K61" i="32" s="1"/>
  <c r="M57" i="32"/>
  <c r="K57" i="32" s="1"/>
  <c r="AE57" i="32" s="1"/>
  <c r="AE58" i="32" s="1"/>
  <c r="AE59" i="32" s="1"/>
  <c r="AE60" i="32" s="1"/>
  <c r="AE61" i="32" s="1"/>
  <c r="AE62" i="32" s="1"/>
  <c r="AE63" i="32" s="1"/>
  <c r="AG63" i="32" s="1"/>
  <c r="M58" i="32"/>
  <c r="K58" i="32" s="1"/>
  <c r="AD76" i="32"/>
  <c r="Y76" i="32"/>
  <c r="Y76" i="34"/>
  <c r="X100" i="35"/>
  <c r="Y289" i="34"/>
  <c r="S328" i="32"/>
  <c r="S325" i="32"/>
  <c r="S314" i="32"/>
  <c r="S311" i="32"/>
  <c r="S335" i="32"/>
  <c r="S332" i="32"/>
  <c r="S321" i="32"/>
  <c r="S318" i="32"/>
  <c r="S333" i="32"/>
  <c r="S330" i="32"/>
  <c r="S319" i="32"/>
  <c r="S316" i="32"/>
  <c r="S338" i="32"/>
  <c r="S322" i="32"/>
  <c r="S323" i="32"/>
  <c r="S320" i="32"/>
  <c r="S327" i="32"/>
  <c r="S317" i="32"/>
  <c r="S336" i="32"/>
  <c r="S313" i="32"/>
  <c r="S310" i="32"/>
  <c r="S326" i="32"/>
  <c r="S324" i="32"/>
  <c r="S331" i="32"/>
  <c r="S329" i="32"/>
  <c r="S334" i="32"/>
  <c r="S315" i="32"/>
  <c r="S312" i="32"/>
  <c r="S339" i="32"/>
  <c r="S337" i="32"/>
  <c r="Y309" i="34"/>
  <c r="Y300" i="34"/>
  <c r="AG57" i="32"/>
  <c r="AG295" i="35"/>
  <c r="AC376" i="32"/>
  <c r="Y316" i="35"/>
  <c r="AD316" i="35"/>
  <c r="Y332" i="35"/>
  <c r="AD332" i="35"/>
  <c r="AD319" i="35"/>
  <c r="Y319" i="35"/>
  <c r="AD335" i="35"/>
  <c r="Y335" i="35"/>
  <c r="AD110" i="34"/>
  <c r="AG110" i="34" s="1"/>
  <c r="X209" i="32"/>
  <c r="V79" i="30"/>
  <c r="W79" i="32"/>
  <c r="V73" i="30"/>
  <c r="W73" i="32"/>
  <c r="Z76" i="30"/>
  <c r="AB76" i="30" s="1"/>
  <c r="V76" i="30"/>
  <c r="W76" i="32"/>
  <c r="V84" i="30"/>
  <c r="Z84" i="30"/>
  <c r="AB84" i="30" s="1"/>
  <c r="W84" i="32"/>
  <c r="X119" i="35"/>
  <c r="AG302" i="35"/>
  <c r="X205" i="32"/>
  <c r="X218" i="32"/>
  <c r="AD218" i="32"/>
  <c r="X218" i="34"/>
  <c r="X220" i="32"/>
  <c r="AD220" i="32"/>
  <c r="X220" i="34"/>
  <c r="X233" i="32"/>
  <c r="AD233" i="32"/>
  <c r="X233" i="34"/>
  <c r="X238" i="32"/>
  <c r="AD238" i="32"/>
  <c r="X238" i="34"/>
  <c r="AD96" i="34"/>
  <c r="AG96" i="34" s="1"/>
  <c r="K379" i="32"/>
  <c r="AE126" i="32"/>
  <c r="AD117" i="34"/>
  <c r="AG117" i="34" s="1"/>
  <c r="AG148" i="32"/>
  <c r="X354" i="35" l="1"/>
  <c r="X354" i="36"/>
  <c r="X355" i="35"/>
  <c r="X355" i="36"/>
  <c r="X369" i="35"/>
  <c r="X369" i="36"/>
  <c r="X363" i="35"/>
  <c r="X363" i="36"/>
  <c r="X357" i="35"/>
  <c r="X357" i="36"/>
  <c r="X345" i="35"/>
  <c r="X345" i="36"/>
  <c r="X340" i="35"/>
  <c r="X340" i="36"/>
  <c r="X358" i="35"/>
  <c r="X358" i="36"/>
  <c r="X346" i="35"/>
  <c r="X346" i="36"/>
  <c r="X348" i="35"/>
  <c r="X348" i="36"/>
  <c r="X362" i="35"/>
  <c r="X362" i="36"/>
  <c r="X367" i="35"/>
  <c r="X367" i="36"/>
  <c r="X351" i="35"/>
  <c r="X351" i="36"/>
  <c r="X352" i="35"/>
  <c r="X352" i="36"/>
  <c r="X349" i="35"/>
  <c r="X349" i="36"/>
  <c r="X344" i="35"/>
  <c r="X344" i="36"/>
  <c r="X347" i="35"/>
  <c r="X347" i="36"/>
  <c r="X342" i="35"/>
  <c r="X342" i="36"/>
  <c r="X350" i="35"/>
  <c r="X350" i="36"/>
  <c r="X341" i="35"/>
  <c r="X341" i="36"/>
  <c r="X361" i="35"/>
  <c r="X361" i="36"/>
  <c r="X356" i="35"/>
  <c r="X356" i="36"/>
  <c r="X353" i="35"/>
  <c r="X353" i="36"/>
  <c r="X360" i="35"/>
  <c r="X360" i="36"/>
  <c r="X359" i="35"/>
  <c r="X359" i="36"/>
  <c r="X343" i="35"/>
  <c r="X343" i="36"/>
  <c r="X364" i="35"/>
  <c r="X364" i="36"/>
  <c r="X368" i="35"/>
  <c r="X368" i="36"/>
  <c r="X365" i="35"/>
  <c r="X365" i="36"/>
  <c r="X366" i="35"/>
  <c r="AG328" i="35"/>
  <c r="AG331" i="35"/>
  <c r="AC296" i="35"/>
  <c r="AC303" i="35"/>
  <c r="AC282" i="35"/>
  <c r="AC289" i="35"/>
  <c r="AG338" i="35"/>
  <c r="AG333" i="35"/>
  <c r="AG314" i="35"/>
  <c r="AG315" i="35"/>
  <c r="AG320" i="35"/>
  <c r="AG334" i="35"/>
  <c r="AG310" i="35"/>
  <c r="AG332" i="35"/>
  <c r="AG322" i="35"/>
  <c r="AG312" i="35"/>
  <c r="AG317" i="35"/>
  <c r="AG313" i="35"/>
  <c r="AG316" i="35"/>
  <c r="AG330" i="35"/>
  <c r="AG339" i="35"/>
  <c r="AG311" i="35"/>
  <c r="AA197" i="32"/>
  <c r="W197" i="34"/>
  <c r="X98" i="30"/>
  <c r="Y98" i="32"/>
  <c r="X154" i="34"/>
  <c r="AD154" i="34"/>
  <c r="AG154" i="34" s="1"/>
  <c r="X154" i="35"/>
  <c r="X146" i="34"/>
  <c r="AD146" i="34"/>
  <c r="AG146" i="34" s="1"/>
  <c r="X146" i="35"/>
  <c r="X138" i="34"/>
  <c r="AD138" i="34"/>
  <c r="AG138" i="34" s="1"/>
  <c r="X138" i="35"/>
  <c r="X130" i="34"/>
  <c r="AD130" i="34"/>
  <c r="AG130" i="34" s="1"/>
  <c r="X130" i="35"/>
  <c r="X222" i="32"/>
  <c r="Y348" i="35"/>
  <c r="AD348" i="35"/>
  <c r="Y364" i="35"/>
  <c r="AD364" i="35"/>
  <c r="AD349" i="35"/>
  <c r="Y349" i="35"/>
  <c r="K376" i="32"/>
  <c r="AE36" i="32"/>
  <c r="X269" i="34"/>
  <c r="AD269" i="32"/>
  <c r="X274" i="34"/>
  <c r="AD274" i="32"/>
  <c r="X261" i="34"/>
  <c r="AD261" i="32"/>
  <c r="X254" i="34"/>
  <c r="AD254" i="32"/>
  <c r="AG240" i="32"/>
  <c r="X221" i="32"/>
  <c r="V123" i="30"/>
  <c r="W123" i="32"/>
  <c r="V115" i="30"/>
  <c r="Z115" i="30"/>
  <c r="AB115" i="30" s="1"/>
  <c r="W115" i="32"/>
  <c r="V107" i="30"/>
  <c r="W107" i="32"/>
  <c r="V99" i="30"/>
  <c r="W99" i="32"/>
  <c r="W329" i="35"/>
  <c r="AA329" i="35"/>
  <c r="W337" i="35"/>
  <c r="AA337" i="35"/>
  <c r="W318" i="35"/>
  <c r="AA318" i="35"/>
  <c r="W334" i="35"/>
  <c r="AA334" i="35"/>
  <c r="AC334" i="35" s="1"/>
  <c r="AG319" i="35"/>
  <c r="Y334" i="34"/>
  <c r="Y317" i="34"/>
  <c r="Y319" i="34"/>
  <c r="Y311" i="34"/>
  <c r="X242" i="32"/>
  <c r="M209" i="32"/>
  <c r="K209" i="32" s="1"/>
  <c r="M201" i="32"/>
  <c r="K201" i="32" s="1"/>
  <c r="M197" i="32"/>
  <c r="K197" i="32" s="1"/>
  <c r="AE197" i="32" s="1"/>
  <c r="M216" i="32"/>
  <c r="K216" i="32" s="1"/>
  <c r="M208" i="32"/>
  <c r="K208" i="32" s="1"/>
  <c r="M214" i="32"/>
  <c r="K214" i="32" s="1"/>
  <c r="M215" i="32"/>
  <c r="K215" i="32" s="1"/>
  <c r="M202" i="32"/>
  <c r="K202" i="32" s="1"/>
  <c r="M210" i="32"/>
  <c r="K210" i="32" s="1"/>
  <c r="M207" i="32"/>
  <c r="K207" i="32" s="1"/>
  <c r="M200" i="32"/>
  <c r="K200" i="32" s="1"/>
  <c r="M212" i="32"/>
  <c r="K212" i="32" s="1"/>
  <c r="AA190" i="32"/>
  <c r="W190" i="34"/>
  <c r="AA214" i="32"/>
  <c r="AC214" i="32" s="1"/>
  <c r="W214" i="34"/>
  <c r="AA198" i="32"/>
  <c r="W198" i="34"/>
  <c r="AA201" i="32"/>
  <c r="W201" i="34"/>
  <c r="AE97" i="32"/>
  <c r="AG96" i="32"/>
  <c r="X121" i="30"/>
  <c r="Y121" i="32"/>
  <c r="X113" i="30"/>
  <c r="Y113" i="32"/>
  <c r="X105" i="30"/>
  <c r="Y105" i="32"/>
  <c r="X223" i="32"/>
  <c r="X153" i="34"/>
  <c r="AD153" i="34"/>
  <c r="AG153" i="34" s="1"/>
  <c r="X153" i="35"/>
  <c r="X145" i="34"/>
  <c r="AD145" i="34"/>
  <c r="AG145" i="34" s="1"/>
  <c r="X145" i="35"/>
  <c r="X137" i="34"/>
  <c r="AD137" i="34"/>
  <c r="AG137" i="34" s="1"/>
  <c r="X137" i="35"/>
  <c r="X129" i="34"/>
  <c r="AD129" i="34"/>
  <c r="AG129" i="34" s="1"/>
  <c r="X129" i="35"/>
  <c r="Y350" i="35"/>
  <c r="AD350" i="35"/>
  <c r="Y366" i="35"/>
  <c r="AD366" i="35"/>
  <c r="AD351" i="35"/>
  <c r="Y351" i="35"/>
  <c r="AD367" i="35"/>
  <c r="Y367" i="35"/>
  <c r="X251" i="34"/>
  <c r="AD251" i="32"/>
  <c r="X249" i="32"/>
  <c r="X249" i="34"/>
  <c r="AD249" i="32"/>
  <c r="X252" i="34"/>
  <c r="AD252" i="32"/>
  <c r="X270" i="34"/>
  <c r="AD270" i="32"/>
  <c r="M79" i="32"/>
  <c r="K79" i="32" s="1"/>
  <c r="M75" i="32"/>
  <c r="K75" i="32" s="1"/>
  <c r="AE75" i="32" s="1"/>
  <c r="AE76" i="32" s="1"/>
  <c r="AE77" i="32" s="1"/>
  <c r="AE78" i="32" s="1"/>
  <c r="AE79" i="32" s="1"/>
  <c r="AE80" i="32" s="1"/>
  <c r="AE81" i="32" s="1"/>
  <c r="AE82" i="32" s="1"/>
  <c r="AE83" i="32" s="1"/>
  <c r="AG83" i="32" s="1"/>
  <c r="M81" i="32"/>
  <c r="K81" i="32" s="1"/>
  <c r="M77" i="32"/>
  <c r="K77" i="32" s="1"/>
  <c r="M82" i="32"/>
  <c r="K82" i="32" s="1"/>
  <c r="M76" i="32"/>
  <c r="K76" i="32" s="1"/>
  <c r="M83" i="32"/>
  <c r="K83" i="32" s="1"/>
  <c r="M84" i="32"/>
  <c r="K84" i="32" s="1"/>
  <c r="M80" i="32"/>
  <c r="K80" i="32" s="1"/>
  <c r="M78" i="32"/>
  <c r="K78" i="32" s="1"/>
  <c r="M87" i="32"/>
  <c r="K87" i="32" s="1"/>
  <c r="M91" i="32"/>
  <c r="K91" i="32" s="1"/>
  <c r="M86" i="32"/>
  <c r="K86" i="32" s="1"/>
  <c r="M89" i="32"/>
  <c r="K89" i="32" s="1"/>
  <c r="M92" i="32"/>
  <c r="K92" i="32" s="1"/>
  <c r="M90" i="32"/>
  <c r="K90" i="32" s="1"/>
  <c r="M85" i="32"/>
  <c r="K85" i="32" s="1"/>
  <c r="AE85" i="32" s="1"/>
  <c r="AE86" i="32" s="1"/>
  <c r="AE87" i="32" s="1"/>
  <c r="M88" i="32"/>
  <c r="K88" i="32" s="1"/>
  <c r="M95" i="32"/>
  <c r="K95" i="32" s="1"/>
  <c r="M93" i="32"/>
  <c r="K93" i="32" s="1"/>
  <c r="M94" i="32"/>
  <c r="K94" i="32" s="1"/>
  <c r="AG245" i="32"/>
  <c r="V122" i="30"/>
  <c r="W122" i="32"/>
  <c r="V114" i="30"/>
  <c r="W114" i="32"/>
  <c r="V106" i="30"/>
  <c r="W106" i="32"/>
  <c r="V98" i="30"/>
  <c r="W98" i="32"/>
  <c r="W315" i="35"/>
  <c r="AA315" i="35"/>
  <c r="W320" i="35"/>
  <c r="AA320" i="35"/>
  <c r="W336" i="35"/>
  <c r="AA336" i="35"/>
  <c r="M167" i="32"/>
  <c r="K167" i="32" s="1"/>
  <c r="AE167" i="32" s="1"/>
  <c r="M172" i="32"/>
  <c r="K172" i="32" s="1"/>
  <c r="AE119" i="32"/>
  <c r="AG118" i="32"/>
  <c r="AG238" i="32"/>
  <c r="Y329" i="34"/>
  <c r="Y327" i="34"/>
  <c r="Y330" i="34"/>
  <c r="Y314" i="34"/>
  <c r="Q278" i="30"/>
  <c r="Q272" i="30"/>
  <c r="W272" i="30" s="1"/>
  <c r="Q270" i="30"/>
  <c r="W270" i="30" s="1"/>
  <c r="Q268" i="30"/>
  <c r="W268" i="30" s="1"/>
  <c r="Q265" i="30"/>
  <c r="W265" i="30" s="1"/>
  <c r="Q260" i="30"/>
  <c r="W260" i="30" s="1"/>
  <c r="Q257" i="30"/>
  <c r="W257" i="30" s="1"/>
  <c r="Q252" i="30"/>
  <c r="W252" i="30" s="1"/>
  <c r="Q250" i="30"/>
  <c r="W250" i="30" s="1"/>
  <c r="Q262" i="30"/>
  <c r="W262" i="30" s="1"/>
  <c r="Q253" i="30"/>
  <c r="W253" i="30" s="1"/>
  <c r="Q251" i="30"/>
  <c r="W251" i="30" s="1"/>
  <c r="Q273" i="30"/>
  <c r="W273" i="30" s="1"/>
  <c r="Q277" i="30"/>
  <c r="W277" i="30" s="1"/>
  <c r="Q271" i="30"/>
  <c r="W271" i="30" s="1"/>
  <c r="Q266" i="30"/>
  <c r="W266" i="30" s="1"/>
  <c r="Q259" i="30"/>
  <c r="W259" i="30" s="1"/>
  <c r="Q254" i="30"/>
  <c r="W254" i="30" s="1"/>
  <c r="Q256" i="30"/>
  <c r="W256" i="30" s="1"/>
  <c r="Q267" i="30"/>
  <c r="W267" i="30" s="1"/>
  <c r="Q263" i="30"/>
  <c r="W263" i="30" s="1"/>
  <c r="Q276" i="30"/>
  <c r="W276" i="30" s="1"/>
  <c r="Q258" i="30"/>
  <c r="W258" i="30" s="1"/>
  <c r="W248" i="30"/>
  <c r="Q249" i="30"/>
  <c r="W249" i="30" s="1"/>
  <c r="Q269" i="30"/>
  <c r="W269" i="30" s="1"/>
  <c r="Q255" i="30"/>
  <c r="W255" i="30" s="1"/>
  <c r="Q274" i="30"/>
  <c r="W274" i="30" s="1"/>
  <c r="Q264" i="30"/>
  <c r="W264" i="30" s="1"/>
  <c r="Q261" i="30"/>
  <c r="W261" i="30" s="1"/>
  <c r="Q275" i="30"/>
  <c r="W275" i="30" s="1"/>
  <c r="X247" i="32"/>
  <c r="AA207" i="32"/>
  <c r="AC207" i="32" s="1"/>
  <c r="W207" i="34"/>
  <c r="AA213" i="32"/>
  <c r="AC213" i="32" s="1"/>
  <c r="W213" i="34"/>
  <c r="AA202" i="32"/>
  <c r="W202" i="34"/>
  <c r="AA205" i="32"/>
  <c r="W205" i="34"/>
  <c r="X120" i="30"/>
  <c r="Y120" i="32"/>
  <c r="X112" i="30"/>
  <c r="Y112" i="32"/>
  <c r="X104" i="30"/>
  <c r="Y104" i="32"/>
  <c r="X152" i="34"/>
  <c r="AD152" i="34"/>
  <c r="AG152" i="34" s="1"/>
  <c r="X152" i="35"/>
  <c r="X144" i="34"/>
  <c r="AD144" i="34"/>
  <c r="AG144" i="34" s="1"/>
  <c r="X144" i="35"/>
  <c r="X136" i="34"/>
  <c r="AD136" i="34"/>
  <c r="AG136" i="34" s="1"/>
  <c r="X136" i="35"/>
  <c r="X128" i="34"/>
  <c r="AD128" i="34"/>
  <c r="AG128" i="34" s="1"/>
  <c r="X128" i="35"/>
  <c r="Y352" i="35"/>
  <c r="AD352" i="35"/>
  <c r="Y368" i="35"/>
  <c r="AD368" i="35"/>
  <c r="AD353" i="35"/>
  <c r="Y353" i="35"/>
  <c r="AD369" i="35"/>
  <c r="Y369" i="35"/>
  <c r="X225" i="32"/>
  <c r="X258" i="32"/>
  <c r="X258" i="34"/>
  <c r="AD258" i="32"/>
  <c r="X265" i="32"/>
  <c r="X265" i="34"/>
  <c r="AD265" i="32"/>
  <c r="X276" i="34"/>
  <c r="AD276" i="32"/>
  <c r="X273" i="32"/>
  <c r="X273" i="34"/>
  <c r="AD273" i="32"/>
  <c r="AG327" i="35"/>
  <c r="X245" i="32"/>
  <c r="V121" i="30"/>
  <c r="W121" i="32"/>
  <c r="V113" i="30"/>
  <c r="W113" i="32"/>
  <c r="Z105" i="30"/>
  <c r="AB105" i="30" s="1"/>
  <c r="V105" i="30"/>
  <c r="W105" i="32"/>
  <c r="Z97" i="30"/>
  <c r="AB97" i="30" s="1"/>
  <c r="V97" i="30"/>
  <c r="W97" i="32"/>
  <c r="AG60" i="32"/>
  <c r="W333" i="35"/>
  <c r="AA333" i="35"/>
  <c r="W331" i="35"/>
  <c r="AA331" i="35"/>
  <c r="W322" i="35"/>
  <c r="AA322" i="35"/>
  <c r="W338" i="35"/>
  <c r="AA338" i="35"/>
  <c r="M174" i="32"/>
  <c r="K174" i="32" s="1"/>
  <c r="M175" i="32"/>
  <c r="K175" i="32" s="1"/>
  <c r="Y336" i="34"/>
  <c r="AA195" i="32"/>
  <c r="W195" i="34"/>
  <c r="X114" i="30"/>
  <c r="Y114" i="32"/>
  <c r="AG223" i="32"/>
  <c r="Y331" i="34"/>
  <c r="Y325" i="34"/>
  <c r="W377" i="32"/>
  <c r="AA208" i="32"/>
  <c r="W208" i="34"/>
  <c r="AA209" i="32"/>
  <c r="W209" i="34"/>
  <c r="X103" i="30"/>
  <c r="Y103" i="32"/>
  <c r="X227" i="32"/>
  <c r="X135" i="34"/>
  <c r="AD135" i="34"/>
  <c r="AG135" i="34" s="1"/>
  <c r="X135" i="35"/>
  <c r="Y354" i="35"/>
  <c r="AD354" i="35"/>
  <c r="X272" i="34"/>
  <c r="AD272" i="32"/>
  <c r="R303" i="32"/>
  <c r="R307" i="32"/>
  <c r="R292" i="32"/>
  <c r="R289" i="32"/>
  <c r="R305" i="32"/>
  <c r="R287" i="32"/>
  <c r="R282" i="32"/>
  <c r="X278" i="32"/>
  <c r="R302" i="32"/>
  <c r="R293" i="32"/>
  <c r="R291" i="32"/>
  <c r="R290" i="32"/>
  <c r="R285" i="32"/>
  <c r="R284" i="32"/>
  <c r="R283" i="32"/>
  <c r="R296" i="32"/>
  <c r="R279" i="32"/>
  <c r="R308" i="32"/>
  <c r="R306" i="32"/>
  <c r="R304" i="32"/>
  <c r="R281" i="32"/>
  <c r="R280" i="32"/>
  <c r="R309" i="32"/>
  <c r="R297" i="32"/>
  <c r="R295" i="32"/>
  <c r="R294" i="32"/>
  <c r="R299" i="32"/>
  <c r="R298" i="32"/>
  <c r="R301" i="32"/>
  <c r="R286" i="32"/>
  <c r="R300" i="32"/>
  <c r="R288" i="32"/>
  <c r="X278" i="34"/>
  <c r="AD278" i="32"/>
  <c r="V120" i="30"/>
  <c r="W120" i="32"/>
  <c r="W319" i="35"/>
  <c r="AA319" i="35"/>
  <c r="Y323" i="34"/>
  <c r="M74" i="32"/>
  <c r="K74" i="32" s="1"/>
  <c r="M71" i="32"/>
  <c r="K71" i="32" s="1"/>
  <c r="M65" i="32"/>
  <c r="K65" i="32" s="1"/>
  <c r="M73" i="32"/>
  <c r="K73" i="32" s="1"/>
  <c r="M67" i="32"/>
  <c r="K67" i="32" s="1"/>
  <c r="M68" i="32"/>
  <c r="K68" i="32" s="1"/>
  <c r="M66" i="32"/>
  <c r="K66" i="32" s="1"/>
  <c r="M72" i="32"/>
  <c r="K72" i="32" s="1"/>
  <c r="M69" i="32"/>
  <c r="K69" i="32" s="1"/>
  <c r="M70" i="32"/>
  <c r="K70" i="32" s="1"/>
  <c r="AA210" i="32"/>
  <c r="W210" i="34"/>
  <c r="X110" i="30"/>
  <c r="Y110" i="32"/>
  <c r="X142" i="34"/>
  <c r="AD142" i="34"/>
  <c r="AG142" i="34" s="1"/>
  <c r="X142" i="35"/>
  <c r="AG329" i="35"/>
  <c r="Y340" i="35"/>
  <c r="AD340" i="35"/>
  <c r="AD341" i="35"/>
  <c r="Y341" i="35"/>
  <c r="AD357" i="35"/>
  <c r="Y357" i="35"/>
  <c r="X271" i="32"/>
  <c r="X271" i="34"/>
  <c r="AD271" i="32"/>
  <c r="X260" i="34"/>
  <c r="AD260" i="32"/>
  <c r="X275" i="32"/>
  <c r="X275" i="34"/>
  <c r="AD275" i="32"/>
  <c r="X262" i="34"/>
  <c r="AD262" i="32"/>
  <c r="AG59" i="32"/>
  <c r="V119" i="30"/>
  <c r="W119" i="32"/>
  <c r="Z111" i="30"/>
  <c r="AB111" i="30" s="1"/>
  <c r="V111" i="30"/>
  <c r="W111" i="32"/>
  <c r="V103" i="30"/>
  <c r="W103" i="32"/>
  <c r="AE108" i="32"/>
  <c r="AG107" i="32"/>
  <c r="W323" i="35"/>
  <c r="AA323" i="35"/>
  <c r="W335" i="35"/>
  <c r="AA335" i="35"/>
  <c r="W310" i="35"/>
  <c r="AA310" i="35"/>
  <c r="W326" i="35"/>
  <c r="AA326" i="35"/>
  <c r="X231" i="32"/>
  <c r="AG323" i="35"/>
  <c r="M170" i="32"/>
  <c r="K170" i="32" s="1"/>
  <c r="AG233" i="32"/>
  <c r="Y337" i="34"/>
  <c r="Y326" i="34"/>
  <c r="Y321" i="34"/>
  <c r="AG62" i="32"/>
  <c r="AG336" i="35"/>
  <c r="AA193" i="32"/>
  <c r="AC193" i="32" s="1"/>
  <c r="W193" i="34"/>
  <c r="AA199" i="32"/>
  <c r="AC199" i="32" s="1"/>
  <c r="W199" i="34"/>
  <c r="AA215" i="32"/>
  <c r="W215" i="34"/>
  <c r="AA196" i="32"/>
  <c r="AC196" i="32" s="1"/>
  <c r="W196" i="34"/>
  <c r="R145" i="30"/>
  <c r="X125" i="30"/>
  <c r="R128" i="30"/>
  <c r="R129" i="30"/>
  <c r="R146" i="30"/>
  <c r="R127" i="30"/>
  <c r="R130" i="30"/>
  <c r="R126" i="30"/>
  <c r="R147" i="30"/>
  <c r="R131" i="30"/>
  <c r="R132" i="30"/>
  <c r="R148" i="30"/>
  <c r="R133" i="30"/>
  <c r="R149" i="30"/>
  <c r="R134" i="30"/>
  <c r="R150" i="30"/>
  <c r="R135" i="30"/>
  <c r="R151" i="30"/>
  <c r="R152" i="30"/>
  <c r="R136" i="30"/>
  <c r="R153" i="30"/>
  <c r="R137" i="30"/>
  <c r="R138" i="30"/>
  <c r="R154" i="30"/>
  <c r="R155" i="30"/>
  <c r="R139" i="30"/>
  <c r="R156" i="30"/>
  <c r="R140" i="30"/>
  <c r="R141" i="30"/>
  <c r="R142" i="30"/>
  <c r="R143" i="30"/>
  <c r="R144" i="30"/>
  <c r="Y125" i="32"/>
  <c r="X117" i="30"/>
  <c r="Y117" i="32"/>
  <c r="X109" i="30"/>
  <c r="Y109" i="32"/>
  <c r="X101" i="30"/>
  <c r="Y101" i="32"/>
  <c r="AG196" i="32"/>
  <c r="M217" i="32" s="1"/>
  <c r="K217" i="32" s="1"/>
  <c r="X149" i="34"/>
  <c r="AD149" i="34"/>
  <c r="AG149" i="34" s="1"/>
  <c r="X149" i="35"/>
  <c r="X141" i="34"/>
  <c r="AD141" i="34"/>
  <c r="AG141" i="34" s="1"/>
  <c r="X141" i="35"/>
  <c r="X133" i="34"/>
  <c r="AD133" i="34"/>
  <c r="AG133" i="34" s="1"/>
  <c r="X133" i="35"/>
  <c r="X226" i="32"/>
  <c r="Y342" i="35"/>
  <c r="AD342" i="35"/>
  <c r="Y358" i="35"/>
  <c r="AD358" i="35"/>
  <c r="AD343" i="35"/>
  <c r="Y343" i="35"/>
  <c r="AD359" i="35"/>
  <c r="Y359" i="35"/>
  <c r="Y377" i="32"/>
  <c r="X255" i="32"/>
  <c r="X255" i="34"/>
  <c r="AD255" i="32"/>
  <c r="X267" i="34"/>
  <c r="AD267" i="32"/>
  <c r="X256" i="34"/>
  <c r="AD256" i="32"/>
  <c r="X266" i="34"/>
  <c r="AD266" i="32"/>
  <c r="AG243" i="32"/>
  <c r="AG324" i="35"/>
  <c r="X237" i="32"/>
  <c r="V118" i="30"/>
  <c r="Z118" i="30"/>
  <c r="AB118" i="30" s="1"/>
  <c r="W118" i="32"/>
  <c r="V110" i="30"/>
  <c r="W110" i="32"/>
  <c r="V102" i="30"/>
  <c r="W102" i="32"/>
  <c r="W313" i="35"/>
  <c r="AA313" i="35"/>
  <c r="W311" i="35"/>
  <c r="AA311" i="35"/>
  <c r="W312" i="35"/>
  <c r="AA312" i="35"/>
  <c r="W328" i="35"/>
  <c r="AA328" i="35"/>
  <c r="X239" i="32"/>
  <c r="M173" i="32"/>
  <c r="K173" i="32" s="1"/>
  <c r="AE178" i="32"/>
  <c r="Y316" i="34"/>
  <c r="AG242" i="32"/>
  <c r="AA204" i="32"/>
  <c r="W204" i="34"/>
  <c r="AA216" i="32"/>
  <c r="W216" i="34"/>
  <c r="X106" i="30"/>
  <c r="Y106" i="32"/>
  <c r="AD365" i="35"/>
  <c r="Y365" i="35"/>
  <c r="Y333" i="34"/>
  <c r="AE151" i="32"/>
  <c r="AG150" i="32"/>
  <c r="AA188" i="32"/>
  <c r="W188" i="34"/>
  <c r="X119" i="30"/>
  <c r="Y119" i="32"/>
  <c r="X143" i="34"/>
  <c r="AD143" i="34"/>
  <c r="AG143" i="34" s="1"/>
  <c r="X143" i="35"/>
  <c r="Y370" i="35"/>
  <c r="X263" i="32"/>
  <c r="X263" i="34"/>
  <c r="AD263" i="32"/>
  <c r="AG246" i="32"/>
  <c r="X234" i="32"/>
  <c r="Z104" i="30"/>
  <c r="AB104" i="30" s="1"/>
  <c r="V104" i="30"/>
  <c r="W104" i="32"/>
  <c r="W325" i="35"/>
  <c r="AA325" i="35"/>
  <c r="W324" i="35"/>
  <c r="AA324" i="35"/>
  <c r="Y324" i="34"/>
  <c r="Y328" i="34"/>
  <c r="AE47" i="32"/>
  <c r="Q246" i="32"/>
  <c r="Q240" i="32"/>
  <c r="Q234" i="32"/>
  <c r="AG234" i="32" s="1"/>
  <c r="Q231" i="32"/>
  <c r="AG231" i="32" s="1"/>
  <c r="Q223" i="32"/>
  <c r="Q218" i="32"/>
  <c r="Q236" i="32"/>
  <c r="Q224" i="32"/>
  <c r="Q222" i="32"/>
  <c r="Q233" i="32"/>
  <c r="Q229" i="32"/>
  <c r="Q227" i="32"/>
  <c r="Q241" i="32"/>
  <c r="Q239" i="32"/>
  <c r="Q237" i="32"/>
  <c r="AG237" i="32" s="1"/>
  <c r="Q225" i="32"/>
  <c r="AG225" i="32" s="1"/>
  <c r="Q219" i="32"/>
  <c r="AG219" i="32" s="1"/>
  <c r="Q238" i="32"/>
  <c r="Q230" i="32"/>
  <c r="AG230" i="32" s="1"/>
  <c r="Q228" i="32"/>
  <c r="Q248" i="32"/>
  <c r="AG248" i="32" s="1"/>
  <c r="Q242" i="32"/>
  <c r="AA217" i="32"/>
  <c r="AC217" i="32" s="1"/>
  <c r="Q221" i="32"/>
  <c r="Q220" i="32"/>
  <c r="Q247" i="32"/>
  <c r="Q235" i="32"/>
  <c r="Q243" i="32"/>
  <c r="Q232" i="32"/>
  <c r="Q244" i="32"/>
  <c r="Q226" i="32"/>
  <c r="Q245" i="32"/>
  <c r="W217" i="34"/>
  <c r="AA189" i="32"/>
  <c r="W189" i="34"/>
  <c r="X118" i="30"/>
  <c r="Y118" i="32"/>
  <c r="X97" i="30"/>
  <c r="Y97" i="32"/>
  <c r="X150" i="34"/>
  <c r="AD150" i="34"/>
  <c r="AG150" i="34" s="1"/>
  <c r="X150" i="35"/>
  <c r="R379" i="34"/>
  <c r="X126" i="34"/>
  <c r="AD126" i="34"/>
  <c r="AG126" i="34" s="1"/>
  <c r="X126" i="35"/>
  <c r="Y356" i="35"/>
  <c r="AD356" i="35"/>
  <c r="AE127" i="32"/>
  <c r="AG126" i="32"/>
  <c r="Y322" i="34"/>
  <c r="AG77" i="32"/>
  <c r="X124" i="30"/>
  <c r="Y124" i="32"/>
  <c r="X148" i="34"/>
  <c r="AD148" i="34"/>
  <c r="AG148" i="34" s="1"/>
  <c r="X148" i="35"/>
  <c r="X140" i="34"/>
  <c r="AD140" i="34"/>
  <c r="AG140" i="34" s="1"/>
  <c r="X140" i="35"/>
  <c r="X132" i="34"/>
  <c r="AD132" i="34"/>
  <c r="AG132" i="34" s="1"/>
  <c r="X132" i="35"/>
  <c r="AG228" i="32"/>
  <c r="Y344" i="35"/>
  <c r="AD344" i="35"/>
  <c r="Y360" i="35"/>
  <c r="AD360" i="35"/>
  <c r="AD345" i="35"/>
  <c r="Y345" i="35"/>
  <c r="AD361" i="35"/>
  <c r="Y361" i="35"/>
  <c r="AG46" i="32"/>
  <c r="AG337" i="35"/>
  <c r="AG87" i="32"/>
  <c r="X268" i="34"/>
  <c r="AD268" i="32"/>
  <c r="X264" i="32"/>
  <c r="X264" i="34"/>
  <c r="AD264" i="32"/>
  <c r="X248" i="32"/>
  <c r="X277" i="32"/>
  <c r="X277" i="34"/>
  <c r="AD277" i="32"/>
  <c r="X243" i="32"/>
  <c r="P145" i="30"/>
  <c r="V125" i="30"/>
  <c r="P126" i="30"/>
  <c r="P146" i="30"/>
  <c r="Z125" i="30"/>
  <c r="AB125" i="30" s="1"/>
  <c r="P128" i="30"/>
  <c r="P127" i="30"/>
  <c r="P147" i="30"/>
  <c r="P129" i="30"/>
  <c r="P148" i="30"/>
  <c r="P130" i="30"/>
  <c r="P149" i="30"/>
  <c r="P131" i="30"/>
  <c r="P150" i="30"/>
  <c r="P151" i="30"/>
  <c r="P132" i="30"/>
  <c r="P133" i="30"/>
  <c r="P152" i="30"/>
  <c r="P134" i="30"/>
  <c r="P153" i="30"/>
  <c r="P154" i="30"/>
  <c r="P135" i="30"/>
  <c r="P155" i="30"/>
  <c r="P136" i="30"/>
  <c r="P137" i="30"/>
  <c r="P156" i="30"/>
  <c r="P138" i="30"/>
  <c r="P139" i="30"/>
  <c r="P140" i="30"/>
  <c r="P141" i="30"/>
  <c r="P142" i="30"/>
  <c r="P143" i="30"/>
  <c r="P144" i="30"/>
  <c r="W125" i="32"/>
  <c r="V117" i="30"/>
  <c r="W117" i="32"/>
  <c r="V109" i="30"/>
  <c r="W109" i="32"/>
  <c r="V101" i="30"/>
  <c r="W101" i="32"/>
  <c r="W317" i="35"/>
  <c r="AA317" i="35"/>
  <c r="W327" i="35"/>
  <c r="AA327" i="35"/>
  <c r="W314" i="35"/>
  <c r="AA314" i="35"/>
  <c r="W330" i="35"/>
  <c r="AA330" i="35"/>
  <c r="AG58" i="32"/>
  <c r="AG220" i="32"/>
  <c r="Y315" i="34"/>
  <c r="Q319" i="28"/>
  <c r="Q338" i="28"/>
  <c r="Q337" i="28"/>
  <c r="Q339" i="28"/>
  <c r="Q328" i="28"/>
  <c r="Q327" i="28"/>
  <c r="Q326" i="28"/>
  <c r="Q325" i="28"/>
  <c r="Q324" i="28"/>
  <c r="Q323" i="28"/>
  <c r="Q318" i="28"/>
  <c r="Q317" i="28"/>
  <c r="Q316" i="28"/>
  <c r="Q331" i="28"/>
  <c r="Q335" i="28"/>
  <c r="Q321" i="28"/>
  <c r="Q312" i="28"/>
  <c r="Q330" i="28"/>
  <c r="Q320" i="28"/>
  <c r="Q329" i="28"/>
  <c r="Q315" i="28"/>
  <c r="Q314" i="28"/>
  <c r="Q336" i="28"/>
  <c r="Q313" i="28"/>
  <c r="Q332" i="28"/>
  <c r="Q322" i="28"/>
  <c r="Q310" i="28"/>
  <c r="Q334" i="28"/>
  <c r="Q333" i="28"/>
  <c r="Q311" i="28"/>
  <c r="AE139" i="32"/>
  <c r="AG138" i="32"/>
  <c r="AA187" i="32"/>
  <c r="Q381" i="32"/>
  <c r="W187" i="34"/>
  <c r="X122" i="30"/>
  <c r="Y122" i="32"/>
  <c r="Y320" i="34"/>
  <c r="AA206" i="32"/>
  <c r="AC206" i="32" s="1"/>
  <c r="W206" i="34"/>
  <c r="X111" i="30"/>
  <c r="Y111" i="32"/>
  <c r="X96" i="30"/>
  <c r="Y96" i="32"/>
  <c r="X151" i="34"/>
  <c r="AD151" i="34"/>
  <c r="AG151" i="34" s="1"/>
  <c r="X151" i="35"/>
  <c r="X127" i="34"/>
  <c r="AD127" i="34"/>
  <c r="AG127" i="34" s="1"/>
  <c r="X127" i="35"/>
  <c r="AD355" i="35"/>
  <c r="Y355" i="35"/>
  <c r="X259" i="32"/>
  <c r="X259" i="34"/>
  <c r="AD259" i="32"/>
  <c r="V112" i="30"/>
  <c r="W112" i="32"/>
  <c r="V96" i="30"/>
  <c r="W96" i="32"/>
  <c r="Y318" i="34"/>
  <c r="AA380" i="32"/>
  <c r="AC157" i="32"/>
  <c r="AC380" i="32" s="1"/>
  <c r="AA192" i="32"/>
  <c r="AC192" i="32" s="1"/>
  <c r="W192" i="34"/>
  <c r="M165" i="32"/>
  <c r="K165" i="32" s="1"/>
  <c r="M162" i="32"/>
  <c r="K162" i="32" s="1"/>
  <c r="M166" i="32"/>
  <c r="K166" i="32" s="1"/>
  <c r="M160" i="32"/>
  <c r="K160" i="32" s="1"/>
  <c r="M159" i="32"/>
  <c r="K159" i="32" s="1"/>
  <c r="M158" i="32"/>
  <c r="K158" i="32" s="1"/>
  <c r="M157" i="32"/>
  <c r="K157" i="32" s="1"/>
  <c r="M164" i="32"/>
  <c r="K164" i="32" s="1"/>
  <c r="M163" i="32"/>
  <c r="K163" i="32" s="1"/>
  <c r="M161" i="32"/>
  <c r="K161" i="32" s="1"/>
  <c r="X102" i="30"/>
  <c r="Y102" i="32"/>
  <c r="X134" i="34"/>
  <c r="AD134" i="34"/>
  <c r="AG134" i="34" s="1"/>
  <c r="X134" i="35"/>
  <c r="S364" i="32"/>
  <c r="S353" i="32"/>
  <c r="S351" i="32"/>
  <c r="S349" i="32"/>
  <c r="S347" i="32"/>
  <c r="S344" i="32"/>
  <c r="S367" i="32"/>
  <c r="S356" i="32"/>
  <c r="S368" i="32"/>
  <c r="S357" i="32"/>
  <c r="S352" i="32"/>
  <c r="S350" i="32"/>
  <c r="S348" i="32"/>
  <c r="S340" i="32"/>
  <c r="S366" i="32"/>
  <c r="S355" i="32"/>
  <c r="S346" i="32"/>
  <c r="S363" i="32"/>
  <c r="S360" i="32"/>
  <c r="S345" i="32"/>
  <c r="S342" i="32"/>
  <c r="S361" i="32"/>
  <c r="S358" i="32"/>
  <c r="S341" i="32"/>
  <c r="S369" i="32"/>
  <c r="S365" i="32"/>
  <c r="S354" i="32"/>
  <c r="S343" i="32"/>
  <c r="S359" i="32"/>
  <c r="S362" i="32"/>
  <c r="Y339" i="34"/>
  <c r="Y310" i="34"/>
  <c r="Y332" i="34"/>
  <c r="AG61" i="32"/>
  <c r="X241" i="32"/>
  <c r="AA200" i="32"/>
  <c r="AC200" i="32" s="1"/>
  <c r="W200" i="34"/>
  <c r="AA203" i="32"/>
  <c r="W203" i="34"/>
  <c r="X116" i="30"/>
  <c r="Y116" i="32"/>
  <c r="X108" i="30"/>
  <c r="Y108" i="32"/>
  <c r="X100" i="30"/>
  <c r="Y100" i="32"/>
  <c r="X219" i="32"/>
  <c r="AG335" i="35"/>
  <c r="Y312" i="34"/>
  <c r="Y313" i="34"/>
  <c r="Y338" i="34"/>
  <c r="Y335" i="34"/>
  <c r="AG235" i="32"/>
  <c r="AA212" i="32"/>
  <c r="W212" i="34"/>
  <c r="AA191" i="32"/>
  <c r="W191" i="34"/>
  <c r="AA194" i="32"/>
  <c r="W194" i="34"/>
  <c r="AA211" i="32"/>
  <c r="AC211" i="32" s="1"/>
  <c r="W211" i="34"/>
  <c r="X123" i="30"/>
  <c r="Y123" i="32"/>
  <c r="X115" i="30"/>
  <c r="Y115" i="32"/>
  <c r="X107" i="30"/>
  <c r="Y107" i="32"/>
  <c r="X99" i="30"/>
  <c r="Y99" i="32"/>
  <c r="AG229" i="32"/>
  <c r="X155" i="34"/>
  <c r="AD155" i="34"/>
  <c r="AG155" i="34" s="1"/>
  <c r="X155" i="35"/>
  <c r="X147" i="34"/>
  <c r="AD147" i="34"/>
  <c r="AG147" i="34" s="1"/>
  <c r="X147" i="35"/>
  <c r="X139" i="34"/>
  <c r="AD139" i="34"/>
  <c r="AG139" i="34" s="1"/>
  <c r="X139" i="35"/>
  <c r="X131" i="34"/>
  <c r="AD131" i="34"/>
  <c r="AG131" i="34" s="1"/>
  <c r="X131" i="35"/>
  <c r="AG222" i="32"/>
  <c r="AG326" i="35"/>
  <c r="X228" i="32"/>
  <c r="Y346" i="35"/>
  <c r="AD346" i="35"/>
  <c r="Y362" i="35"/>
  <c r="AD362" i="35"/>
  <c r="AD347" i="35"/>
  <c r="Y347" i="35"/>
  <c r="AD363" i="35"/>
  <c r="Y363" i="35"/>
  <c r="AG318" i="35"/>
  <c r="X257" i="32"/>
  <c r="X257" i="34"/>
  <c r="AD257" i="32"/>
  <c r="X253" i="34"/>
  <c r="AD253" i="32"/>
  <c r="X250" i="32"/>
  <c r="X250" i="34"/>
  <c r="AD250" i="32"/>
  <c r="AG221" i="32"/>
  <c r="Z124" i="30"/>
  <c r="AB124" i="30" s="1"/>
  <c r="V124" i="30"/>
  <c r="W124" i="32"/>
  <c r="V116" i="30"/>
  <c r="W116" i="32"/>
  <c r="V108" i="30"/>
  <c r="W108" i="32"/>
  <c r="V100" i="30"/>
  <c r="W100" i="32"/>
  <c r="AG325" i="35"/>
  <c r="Q368" i="35"/>
  <c r="W368" i="36" s="1"/>
  <c r="Q366" i="35"/>
  <c r="W366" i="36" s="1"/>
  <c r="Q364" i="35"/>
  <c r="W364" i="36" s="1"/>
  <c r="Q362" i="35"/>
  <c r="W362" i="36" s="1"/>
  <c r="Q360" i="35"/>
  <c r="W360" i="36" s="1"/>
  <c r="Q358" i="35"/>
  <c r="W358" i="36" s="1"/>
  <c r="Q356" i="35"/>
  <c r="W356" i="36" s="1"/>
  <c r="Q354" i="35"/>
  <c r="W354" i="36" s="1"/>
  <c r="Q352" i="35"/>
  <c r="W352" i="36" s="1"/>
  <c r="Q350" i="35"/>
  <c r="W350" i="36" s="1"/>
  <c r="Q348" i="35"/>
  <c r="W348" i="36" s="1"/>
  <c r="Q346" i="35"/>
  <c r="W346" i="36" s="1"/>
  <c r="Q344" i="35"/>
  <c r="W344" i="36" s="1"/>
  <c r="Q342" i="35"/>
  <c r="W342" i="36" s="1"/>
  <c r="Q340" i="35"/>
  <c r="W340" i="36" s="1"/>
  <c r="W339" i="35"/>
  <c r="Q359" i="35"/>
  <c r="W359" i="36" s="1"/>
  <c r="Q343" i="35"/>
  <c r="W343" i="36" s="1"/>
  <c r="Q365" i="35"/>
  <c r="W365" i="36" s="1"/>
  <c r="Q349" i="35"/>
  <c r="W349" i="36" s="1"/>
  <c r="Q355" i="35"/>
  <c r="W355" i="36" s="1"/>
  <c r="Q363" i="35"/>
  <c r="W363" i="36" s="1"/>
  <c r="Q347" i="35"/>
  <c r="W347" i="36" s="1"/>
  <c r="Q357" i="35"/>
  <c r="W357" i="36" s="1"/>
  <c r="Q361" i="35"/>
  <c r="W361" i="36" s="1"/>
  <c r="Q353" i="35"/>
  <c r="W353" i="36" s="1"/>
  <c r="Q341" i="35"/>
  <c r="W341" i="36" s="1"/>
  <c r="Q369" i="35"/>
  <c r="W369" i="36" s="1"/>
  <c r="Q367" i="35"/>
  <c r="W367" i="36" s="1"/>
  <c r="Q345" i="35"/>
  <c r="W345" i="36" s="1"/>
  <c r="AC339" i="35"/>
  <c r="Q351" i="35"/>
  <c r="W351" i="36" s="1"/>
  <c r="W321" i="35"/>
  <c r="AA321" i="35"/>
  <c r="W316" i="35"/>
  <c r="AA316" i="35"/>
  <c r="W332" i="35"/>
  <c r="AA332" i="35"/>
  <c r="AG321" i="35"/>
  <c r="M171" i="32"/>
  <c r="K171" i="32" s="1"/>
  <c r="AC310" i="35" l="1"/>
  <c r="AC324" i="35"/>
  <c r="AC317" i="35"/>
  <c r="AI345" i="35"/>
  <c r="AH345" i="35"/>
  <c r="AC338" i="35"/>
  <c r="AC331" i="35"/>
  <c r="AG344" i="35"/>
  <c r="AG367" i="35"/>
  <c r="AG340" i="35"/>
  <c r="AG361" i="35"/>
  <c r="AG342" i="35"/>
  <c r="AG352" i="35"/>
  <c r="AG357" i="35"/>
  <c r="M236" i="32"/>
  <c r="M222" i="32"/>
  <c r="M248" i="32"/>
  <c r="M245" i="32"/>
  <c r="M242" i="32"/>
  <c r="M239" i="32"/>
  <c r="M233" i="32"/>
  <c r="M227" i="32"/>
  <c r="M246" i="32"/>
  <c r="M240" i="32"/>
  <c r="M234" i="32"/>
  <c r="M218" i="32"/>
  <c r="M244" i="32"/>
  <c r="M238" i="32"/>
  <c r="M235" i="32"/>
  <c r="M226" i="32"/>
  <c r="M247" i="32"/>
  <c r="M243" i="32"/>
  <c r="M225" i="32"/>
  <c r="M228" i="32"/>
  <c r="M219" i="32"/>
  <c r="M237" i="32"/>
  <c r="M241" i="32"/>
  <c r="W369" i="35"/>
  <c r="AA369" i="35"/>
  <c r="AC369" i="35" s="1"/>
  <c r="Y360" i="34"/>
  <c r="Y349" i="34"/>
  <c r="Z146" i="30"/>
  <c r="AB146" i="30" s="1"/>
  <c r="V146" i="30"/>
  <c r="W146" i="32"/>
  <c r="AA224" i="32"/>
  <c r="W224" i="34"/>
  <c r="X137" i="30"/>
  <c r="Y137" i="32"/>
  <c r="AE109" i="32"/>
  <c r="AG108" i="32"/>
  <c r="X291" i="34"/>
  <c r="AD291" i="32"/>
  <c r="W365" i="35"/>
  <c r="AA365" i="35"/>
  <c r="AC365" i="35" s="1"/>
  <c r="Y369" i="34"/>
  <c r="Y351" i="34"/>
  <c r="V130" i="30"/>
  <c r="W130" i="32"/>
  <c r="AA244" i="32"/>
  <c r="W244" i="34"/>
  <c r="AA236" i="32"/>
  <c r="W236" i="34"/>
  <c r="X146" i="30"/>
  <c r="Y146" i="32"/>
  <c r="AG278" i="32"/>
  <c r="X307" i="34"/>
  <c r="AD307" i="32"/>
  <c r="X274" i="32"/>
  <c r="AG364" i="35"/>
  <c r="W350" i="35"/>
  <c r="AA350" i="35"/>
  <c r="AC350" i="35" s="1"/>
  <c r="AG346" i="35"/>
  <c r="Y353" i="34"/>
  <c r="V152" i="30"/>
  <c r="W152" i="32"/>
  <c r="AA232" i="32"/>
  <c r="AC232" i="32" s="1"/>
  <c r="W232" i="34"/>
  <c r="AA241" i="32"/>
  <c r="AC241" i="32" s="1"/>
  <c r="W241" i="34"/>
  <c r="AA218" i="32"/>
  <c r="W218" i="34"/>
  <c r="X256" i="32"/>
  <c r="X140" i="30"/>
  <c r="Y140" i="32"/>
  <c r="X136" i="30"/>
  <c r="Y136" i="32"/>
  <c r="X148" i="30"/>
  <c r="Y148" i="32"/>
  <c r="X129" i="30"/>
  <c r="Y129" i="32"/>
  <c r="AG244" i="32"/>
  <c r="X295" i="32"/>
  <c r="X295" i="34"/>
  <c r="AD295" i="32"/>
  <c r="X279" i="34"/>
  <c r="AD279" i="32"/>
  <c r="X302" i="32"/>
  <c r="X302" i="34"/>
  <c r="AD302" i="32"/>
  <c r="X303" i="34"/>
  <c r="AD303" i="32"/>
  <c r="AG351" i="35"/>
  <c r="W361" i="35"/>
  <c r="AA361" i="35"/>
  <c r="AC361" i="35" s="1"/>
  <c r="W359" i="35"/>
  <c r="AA359" i="35"/>
  <c r="AC359" i="35" s="1"/>
  <c r="W352" i="35"/>
  <c r="AA352" i="35"/>
  <c r="AC352" i="35" s="1"/>
  <c r="W368" i="35"/>
  <c r="AA368" i="35"/>
  <c r="AC368" i="35" s="1"/>
  <c r="AG78" i="32"/>
  <c r="Y341" i="34"/>
  <c r="Y355" i="34"/>
  <c r="Y356" i="32"/>
  <c r="Y356" i="34"/>
  <c r="Y364" i="34"/>
  <c r="V144" i="30"/>
  <c r="Z144" i="30"/>
  <c r="AB144" i="30" s="1"/>
  <c r="W144" i="32"/>
  <c r="V137" i="30"/>
  <c r="W137" i="32"/>
  <c r="V133" i="30"/>
  <c r="W133" i="32"/>
  <c r="V129" i="30"/>
  <c r="W129" i="32"/>
  <c r="Z145" i="30"/>
  <c r="AB145" i="30" s="1"/>
  <c r="V145" i="30"/>
  <c r="W145" i="32"/>
  <c r="AA243" i="32"/>
  <c r="W243" i="34"/>
  <c r="AA228" i="32"/>
  <c r="AC228" i="32" s="1"/>
  <c r="W228" i="34"/>
  <c r="AA223" i="32"/>
  <c r="W223" i="34"/>
  <c r="AG359" i="35"/>
  <c r="R186" i="30"/>
  <c r="R177" i="30"/>
  <c r="R176" i="30"/>
  <c r="R168" i="30"/>
  <c r="R183" i="30"/>
  <c r="R179" i="30"/>
  <c r="R175" i="30"/>
  <c r="R174" i="30"/>
  <c r="R163" i="30"/>
  <c r="R160" i="30"/>
  <c r="R157" i="30"/>
  <c r="R185" i="30"/>
  <c r="R172" i="30"/>
  <c r="R164" i="30"/>
  <c r="R182" i="30"/>
  <c r="X156" i="30"/>
  <c r="R181" i="30"/>
  <c r="R180" i="30"/>
  <c r="R167" i="30"/>
  <c r="R161" i="30"/>
  <c r="R169" i="30"/>
  <c r="R170" i="30"/>
  <c r="R158" i="30"/>
  <c r="R171" i="30"/>
  <c r="R162" i="30"/>
  <c r="R184" i="30"/>
  <c r="R173" i="30"/>
  <c r="R166" i="30"/>
  <c r="R159" i="30"/>
  <c r="R165" i="30"/>
  <c r="R178" i="30"/>
  <c r="Y156" i="32"/>
  <c r="X152" i="30"/>
  <c r="Y152" i="32"/>
  <c r="X132" i="30"/>
  <c r="Y132" i="32"/>
  <c r="X128" i="30"/>
  <c r="Y128" i="32"/>
  <c r="X260" i="32"/>
  <c r="AG341" i="35"/>
  <c r="X288" i="32"/>
  <c r="X288" i="34"/>
  <c r="AD288" i="32"/>
  <c r="X297" i="34"/>
  <c r="AD297" i="32"/>
  <c r="X296" i="34"/>
  <c r="AD296" i="32"/>
  <c r="AG218" i="32"/>
  <c r="X276" i="32"/>
  <c r="Q303" i="30"/>
  <c r="W303" i="30" s="1"/>
  <c r="Q300" i="30"/>
  <c r="W300" i="30" s="1"/>
  <c r="Q293" i="30"/>
  <c r="W293" i="30" s="1"/>
  <c r="Q291" i="30"/>
  <c r="W291" i="30" s="1"/>
  <c r="Q289" i="30"/>
  <c r="W289" i="30" s="1"/>
  <c r="Q285" i="30"/>
  <c r="W285" i="30" s="1"/>
  <c r="Q281" i="30"/>
  <c r="W281" i="30" s="1"/>
  <c r="Q307" i="30"/>
  <c r="W307" i="30" s="1"/>
  <c r="Q301" i="30"/>
  <c r="W301" i="30" s="1"/>
  <c r="Q299" i="30"/>
  <c r="W299" i="30" s="1"/>
  <c r="Q292" i="30"/>
  <c r="W292" i="30" s="1"/>
  <c r="Q288" i="30"/>
  <c r="W288" i="30" s="1"/>
  <c r="Q286" i="30"/>
  <c r="W286" i="30" s="1"/>
  <c r="Q282" i="30"/>
  <c r="W282" i="30" s="1"/>
  <c r="W278" i="30"/>
  <c r="Q305" i="30"/>
  <c r="W305" i="30" s="1"/>
  <c r="Q284" i="30"/>
  <c r="W284" i="30" s="1"/>
  <c r="Q306" i="30"/>
  <c r="W306" i="30" s="1"/>
  <c r="Q304" i="30"/>
  <c r="W304" i="30" s="1"/>
  <c r="Q298" i="30"/>
  <c r="W298" i="30" s="1"/>
  <c r="Q279" i="30"/>
  <c r="W279" i="30" s="1"/>
  <c r="Q295" i="30"/>
  <c r="W295" i="30" s="1"/>
  <c r="Q283" i="30"/>
  <c r="W283" i="30" s="1"/>
  <c r="Q302" i="30"/>
  <c r="W302" i="30" s="1"/>
  <c r="Q309" i="30"/>
  <c r="Q308" i="30"/>
  <c r="W308" i="30" s="1"/>
  <c r="Q280" i="30"/>
  <c r="W280" i="30" s="1"/>
  <c r="Q296" i="30"/>
  <c r="W296" i="30" s="1"/>
  <c r="Q294" i="30"/>
  <c r="W294" i="30" s="1"/>
  <c r="Q297" i="30"/>
  <c r="W297" i="30" s="1"/>
  <c r="Q290" i="30"/>
  <c r="W290" i="30" s="1"/>
  <c r="Q287" i="30"/>
  <c r="W287" i="30" s="1"/>
  <c r="AE120" i="32"/>
  <c r="AG119" i="32"/>
  <c r="AG366" i="35"/>
  <c r="AE98" i="32"/>
  <c r="AG97" i="32"/>
  <c r="M206" i="32"/>
  <c r="K206" i="32" s="1"/>
  <c r="M204" i="32"/>
  <c r="K204" i="32" s="1"/>
  <c r="M205" i="32"/>
  <c r="K205" i="32" s="1"/>
  <c r="X254" i="32"/>
  <c r="AG348" i="35"/>
  <c r="AG75" i="32"/>
  <c r="W349" i="35"/>
  <c r="AA349" i="35"/>
  <c r="AC349" i="35" s="1"/>
  <c r="Y365" i="34"/>
  <c r="Z149" i="30"/>
  <c r="AB149" i="30" s="1"/>
  <c r="V149" i="30"/>
  <c r="W149" i="32"/>
  <c r="AA226" i="32"/>
  <c r="W226" i="34"/>
  <c r="X127" i="30"/>
  <c r="Y127" i="32"/>
  <c r="X292" i="34"/>
  <c r="AD292" i="32"/>
  <c r="AG349" i="35"/>
  <c r="Y357" i="34"/>
  <c r="V126" i="30"/>
  <c r="W126" i="32"/>
  <c r="AA242" i="32"/>
  <c r="AC242" i="32" s="1"/>
  <c r="W242" i="34"/>
  <c r="AG81" i="32"/>
  <c r="Q348" i="28"/>
  <c r="Q347" i="28"/>
  <c r="Q346" i="28"/>
  <c r="Q345" i="28"/>
  <c r="Q344" i="28"/>
  <c r="Q370" i="28"/>
  <c r="Q369" i="28"/>
  <c r="Q368" i="28"/>
  <c r="Q367" i="28"/>
  <c r="Q366" i="28"/>
  <c r="Q365" i="28"/>
  <c r="Q350" i="28"/>
  <c r="Q343" i="28"/>
  <c r="Q342" i="28"/>
  <c r="Q341" i="28"/>
  <c r="Q340" i="28"/>
  <c r="Q364" i="28"/>
  <c r="Q356" i="28"/>
  <c r="Q354" i="28"/>
  <c r="Q352" i="28"/>
  <c r="Q360" i="28"/>
  <c r="Q357" i="28"/>
  <c r="Q355" i="28"/>
  <c r="Q353" i="28"/>
  <c r="Q351" i="28"/>
  <c r="Q363" i="28"/>
  <c r="Q361" i="28"/>
  <c r="Q359" i="28"/>
  <c r="Q358" i="28"/>
  <c r="Q349" i="28"/>
  <c r="Q362" i="28"/>
  <c r="P185" i="30"/>
  <c r="P172" i="30"/>
  <c r="P164" i="30"/>
  <c r="P182" i="30"/>
  <c r="P178" i="30"/>
  <c r="P173" i="30"/>
  <c r="P166" i="30"/>
  <c r="P161" i="30"/>
  <c r="P181" i="30"/>
  <c r="P171" i="30"/>
  <c r="P162" i="30"/>
  <c r="P159" i="30"/>
  <c r="Z156" i="30"/>
  <c r="AB156" i="30" s="1"/>
  <c r="P183" i="30"/>
  <c r="P169" i="30"/>
  <c r="P158" i="30"/>
  <c r="P176" i="30"/>
  <c r="P165" i="30"/>
  <c r="P184" i="30"/>
  <c r="P180" i="30"/>
  <c r="P167" i="30"/>
  <c r="P174" i="30"/>
  <c r="P179" i="30"/>
  <c r="P175" i="30"/>
  <c r="P163" i="30"/>
  <c r="P186" i="30"/>
  <c r="P177" i="30"/>
  <c r="P168" i="30"/>
  <c r="V156" i="30"/>
  <c r="P170" i="30"/>
  <c r="P157" i="30"/>
  <c r="P160" i="30"/>
  <c r="W156" i="32"/>
  <c r="W351" i="35"/>
  <c r="AA351" i="35"/>
  <c r="AC351" i="35" s="1"/>
  <c r="W354" i="35"/>
  <c r="AA354" i="35"/>
  <c r="AC354" i="35" s="1"/>
  <c r="Y358" i="34"/>
  <c r="K380" i="32"/>
  <c r="AE157" i="32"/>
  <c r="V136" i="30"/>
  <c r="W136" i="32"/>
  <c r="AA230" i="32"/>
  <c r="W230" i="34"/>
  <c r="X139" i="30"/>
  <c r="Y139" i="32"/>
  <c r="AG241" i="32"/>
  <c r="X283" i="34"/>
  <c r="AD283" i="32"/>
  <c r="X270" i="32"/>
  <c r="X269" i="32"/>
  <c r="W347" i="35"/>
  <c r="AA347" i="35"/>
  <c r="AC347" i="35" s="1"/>
  <c r="W340" i="35"/>
  <c r="AA340" i="35"/>
  <c r="AC340" i="35" s="1"/>
  <c r="W356" i="35"/>
  <c r="AA356" i="35"/>
  <c r="AC356" i="35" s="1"/>
  <c r="AG363" i="35"/>
  <c r="Y359" i="34"/>
  <c r="Y361" i="34"/>
  <c r="Y340" i="34"/>
  <c r="AG355" i="35"/>
  <c r="Y378" i="32"/>
  <c r="AA381" i="32"/>
  <c r="V142" i="30"/>
  <c r="W142" i="32"/>
  <c r="V155" i="30"/>
  <c r="W155" i="32"/>
  <c r="Z151" i="30"/>
  <c r="AB151" i="30" s="1"/>
  <c r="V151" i="30"/>
  <c r="W151" i="32"/>
  <c r="V127" i="30"/>
  <c r="W127" i="32"/>
  <c r="AE128" i="32"/>
  <c r="AG127" i="32"/>
  <c r="AA247" i="32"/>
  <c r="W247" i="34"/>
  <c r="AA238" i="32"/>
  <c r="W238" i="34"/>
  <c r="AA229" i="32"/>
  <c r="W229" i="34"/>
  <c r="AA234" i="32"/>
  <c r="AC234" i="32" s="1"/>
  <c r="W234" i="34"/>
  <c r="AG370" i="35"/>
  <c r="AE179" i="32"/>
  <c r="AG178" i="32"/>
  <c r="X267" i="32"/>
  <c r="AG343" i="35"/>
  <c r="X155" i="30"/>
  <c r="Y155" i="32"/>
  <c r="X135" i="30"/>
  <c r="Y135" i="32"/>
  <c r="X147" i="30"/>
  <c r="Y147" i="32"/>
  <c r="X145" i="30"/>
  <c r="Y145" i="32"/>
  <c r="X262" i="32"/>
  <c r="X286" i="34"/>
  <c r="AD286" i="32"/>
  <c r="X280" i="34"/>
  <c r="AD280" i="32"/>
  <c r="X284" i="32"/>
  <c r="X284" i="34"/>
  <c r="AD284" i="32"/>
  <c r="X287" i="32"/>
  <c r="X287" i="34"/>
  <c r="AD287" i="32"/>
  <c r="X272" i="32"/>
  <c r="AE168" i="32"/>
  <c r="AG167" i="32"/>
  <c r="X251" i="32"/>
  <c r="AG350" i="35"/>
  <c r="M213" i="32"/>
  <c r="K213" i="32" s="1"/>
  <c r="AG247" i="32"/>
  <c r="AE37" i="32"/>
  <c r="AG36" i="32"/>
  <c r="W346" i="35"/>
  <c r="AA346" i="35"/>
  <c r="AC346" i="35" s="1"/>
  <c r="V139" i="30"/>
  <c r="Z139" i="30"/>
  <c r="AB139" i="30" s="1"/>
  <c r="W139" i="32"/>
  <c r="AE48" i="32"/>
  <c r="AG47" i="32"/>
  <c r="AE152" i="32"/>
  <c r="AG151" i="32"/>
  <c r="X142" i="30"/>
  <c r="Y142" i="32"/>
  <c r="X306" i="32"/>
  <c r="X306" i="34"/>
  <c r="AD306" i="32"/>
  <c r="W348" i="35"/>
  <c r="AA348" i="35"/>
  <c r="AC348" i="35" s="1"/>
  <c r="V138" i="30"/>
  <c r="W138" i="32"/>
  <c r="AA239" i="32"/>
  <c r="W239" i="34"/>
  <c r="AG80" i="32"/>
  <c r="X141" i="30"/>
  <c r="Y141" i="32"/>
  <c r="X133" i="30"/>
  <c r="Y133" i="32"/>
  <c r="X294" i="32"/>
  <c r="X294" i="34"/>
  <c r="AD294" i="32"/>
  <c r="X293" i="34"/>
  <c r="AD293" i="32"/>
  <c r="AE88" i="32"/>
  <c r="W343" i="35"/>
  <c r="AA343" i="35"/>
  <c r="AC343" i="35" s="1"/>
  <c r="W366" i="35"/>
  <c r="AA366" i="35"/>
  <c r="AG224" i="32"/>
  <c r="Y368" i="34"/>
  <c r="Q274" i="32"/>
  <c r="Q275" i="32"/>
  <c r="Q269" i="32"/>
  <c r="Q265" i="32"/>
  <c r="Q258" i="32"/>
  <c r="Q249" i="32"/>
  <c r="Q273" i="32"/>
  <c r="Q270" i="32"/>
  <c r="Q254" i="32"/>
  <c r="Q250" i="32"/>
  <c r="Q267" i="32"/>
  <c r="Q263" i="32"/>
  <c r="Q260" i="32"/>
  <c r="Q256" i="32"/>
  <c r="AA248" i="32"/>
  <c r="AC248" i="32" s="1"/>
  <c r="Q272" i="32"/>
  <c r="Q268" i="32"/>
  <c r="Q264" i="32"/>
  <c r="Q257" i="32"/>
  <c r="Q278" i="32"/>
  <c r="Q271" i="32"/>
  <c r="Q266" i="32"/>
  <c r="Q277" i="32"/>
  <c r="Q261" i="32"/>
  <c r="Q255" i="32"/>
  <c r="Q259" i="32"/>
  <c r="Q251" i="32"/>
  <c r="Q276" i="32"/>
  <c r="W248" i="34"/>
  <c r="Q262" i="32"/>
  <c r="Q253" i="32"/>
  <c r="Q252" i="32"/>
  <c r="W357" i="35"/>
  <c r="AA357" i="35"/>
  <c r="AC357" i="35" s="1"/>
  <c r="AG76" i="32"/>
  <c r="Y366" i="34"/>
  <c r="W378" i="32"/>
  <c r="Z132" i="30"/>
  <c r="AB132" i="30" s="1"/>
  <c r="V132" i="30"/>
  <c r="W132" i="32"/>
  <c r="AA235" i="32"/>
  <c r="AC235" i="32" s="1"/>
  <c r="W235" i="34"/>
  <c r="AA231" i="32"/>
  <c r="W231" i="34"/>
  <c r="X151" i="30"/>
  <c r="Y151" i="32"/>
  <c r="AG239" i="32"/>
  <c r="R336" i="32"/>
  <c r="R322" i="32"/>
  <c r="R329" i="32"/>
  <c r="R315" i="32"/>
  <c r="X309" i="32"/>
  <c r="R338" i="32"/>
  <c r="R327" i="32"/>
  <c r="R324" i="32"/>
  <c r="R313" i="32"/>
  <c r="R310" i="32"/>
  <c r="R335" i="32"/>
  <c r="R331" i="32"/>
  <c r="R328" i="32"/>
  <c r="R311" i="32"/>
  <c r="R325" i="32"/>
  <c r="R318" i="32"/>
  <c r="R326" i="32"/>
  <c r="R316" i="32"/>
  <c r="R337" i="32"/>
  <c r="R334" i="32"/>
  <c r="R312" i="32"/>
  <c r="R314" i="32"/>
  <c r="R339" i="32"/>
  <c r="R323" i="32"/>
  <c r="R333" i="32"/>
  <c r="R332" i="32"/>
  <c r="R330" i="32"/>
  <c r="R317" i="32"/>
  <c r="R321" i="32"/>
  <c r="R319" i="32"/>
  <c r="R320" i="32"/>
  <c r="X309" i="34"/>
  <c r="AD309" i="32"/>
  <c r="X282" i="32"/>
  <c r="X282" i="34"/>
  <c r="AD282" i="32"/>
  <c r="AG369" i="35"/>
  <c r="AG197" i="32"/>
  <c r="W342" i="35"/>
  <c r="AA342" i="35"/>
  <c r="AC342" i="35" s="1"/>
  <c r="Y342" i="34"/>
  <c r="Y344" i="34"/>
  <c r="AG232" i="32"/>
  <c r="V135" i="30"/>
  <c r="Z135" i="30"/>
  <c r="AB135" i="30" s="1"/>
  <c r="W135" i="32"/>
  <c r="AG345" i="35"/>
  <c r="AA220" i="32"/>
  <c r="AC220" i="32" s="1"/>
  <c r="W220" i="34"/>
  <c r="AA233" i="32"/>
  <c r="W233" i="34"/>
  <c r="AA240" i="32"/>
  <c r="W240" i="34"/>
  <c r="AG365" i="35"/>
  <c r="AG358" i="35"/>
  <c r="M194" i="32"/>
  <c r="K194" i="32" s="1"/>
  <c r="M196" i="32"/>
  <c r="K196" i="32" s="1"/>
  <c r="M189" i="32"/>
  <c r="K189" i="32" s="1"/>
  <c r="M187" i="32"/>
  <c r="K187" i="32" s="1"/>
  <c r="M195" i="32"/>
  <c r="K195" i="32" s="1"/>
  <c r="M191" i="32"/>
  <c r="K191" i="32" s="1"/>
  <c r="M192" i="32"/>
  <c r="K192" i="32" s="1"/>
  <c r="M190" i="32"/>
  <c r="K190" i="32" s="1"/>
  <c r="M193" i="32"/>
  <c r="K193" i="32" s="1"/>
  <c r="M188" i="32"/>
  <c r="K188" i="32" s="1"/>
  <c r="X144" i="30"/>
  <c r="Y144" i="32"/>
  <c r="X154" i="30"/>
  <c r="Y154" i="32"/>
  <c r="X150" i="30"/>
  <c r="Y150" i="32"/>
  <c r="X126" i="30"/>
  <c r="Y126" i="32"/>
  <c r="X301" i="34"/>
  <c r="AD301" i="32"/>
  <c r="X281" i="32"/>
  <c r="X281" i="34"/>
  <c r="AD281" i="32"/>
  <c r="X285" i="32"/>
  <c r="X285" i="34"/>
  <c r="AD285" i="32"/>
  <c r="X305" i="32"/>
  <c r="X305" i="34"/>
  <c r="AD305" i="32"/>
  <c r="AG354" i="35"/>
  <c r="AG353" i="35"/>
  <c r="M199" i="32"/>
  <c r="K199" i="32" s="1"/>
  <c r="M203" i="32"/>
  <c r="K203" i="32" s="1"/>
  <c r="X261" i="32"/>
  <c r="W362" i="35"/>
  <c r="AA362" i="35"/>
  <c r="AC362" i="35" s="1"/>
  <c r="AG362" i="35"/>
  <c r="Y352" i="34"/>
  <c r="V153" i="30"/>
  <c r="Z153" i="30"/>
  <c r="AB153" i="30" s="1"/>
  <c r="W153" i="32"/>
  <c r="AA237" i="32"/>
  <c r="W237" i="34"/>
  <c r="X149" i="30"/>
  <c r="Y149" i="32"/>
  <c r="X299" i="32"/>
  <c r="X299" i="34"/>
  <c r="AD299" i="32"/>
  <c r="W341" i="35"/>
  <c r="AA341" i="35"/>
  <c r="AC341" i="35" s="1"/>
  <c r="W364" i="35"/>
  <c r="AA364" i="35"/>
  <c r="AC364" i="35" s="1"/>
  <c r="Y363" i="34"/>
  <c r="V134" i="30"/>
  <c r="W134" i="32"/>
  <c r="X153" i="30"/>
  <c r="Y153" i="32"/>
  <c r="X308" i="32"/>
  <c r="X308" i="34"/>
  <c r="AD308" i="32"/>
  <c r="AG79" i="32"/>
  <c r="W353" i="35"/>
  <c r="AA353" i="35"/>
  <c r="AC353" i="35" s="1"/>
  <c r="Y346" i="34"/>
  <c r="V148" i="30"/>
  <c r="W148" i="32"/>
  <c r="AG236" i="32"/>
  <c r="W370" i="35"/>
  <c r="AC370" i="35"/>
  <c r="Y362" i="34"/>
  <c r="Y367" i="34"/>
  <c r="AC381" i="32"/>
  <c r="AG86" i="32"/>
  <c r="Z143" i="30"/>
  <c r="AB143" i="30" s="1"/>
  <c r="V143" i="30"/>
  <c r="W143" i="32"/>
  <c r="V147" i="30"/>
  <c r="W147" i="32"/>
  <c r="AA227" i="32"/>
  <c r="AC227" i="32" s="1"/>
  <c r="W227" i="34"/>
  <c r="X131" i="30"/>
  <c r="Y131" i="32"/>
  <c r="X300" i="32"/>
  <c r="X300" i="34"/>
  <c r="AD300" i="32"/>
  <c r="AG82" i="32"/>
  <c r="W345" i="35"/>
  <c r="AA345" i="35"/>
  <c r="AC345" i="35" s="1"/>
  <c r="W363" i="35"/>
  <c r="AA363" i="35"/>
  <c r="AC363" i="35" s="1"/>
  <c r="W358" i="35"/>
  <c r="AA358" i="35"/>
  <c r="AC358" i="35" s="1"/>
  <c r="Y343" i="34"/>
  <c r="Y348" i="34"/>
  <c r="V141" i="30"/>
  <c r="W141" i="32"/>
  <c r="V150" i="30"/>
  <c r="W150" i="32"/>
  <c r="V128" i="30"/>
  <c r="W128" i="32"/>
  <c r="AG356" i="35"/>
  <c r="AA219" i="32"/>
  <c r="W219" i="34"/>
  <c r="W367" i="35"/>
  <c r="AA367" i="35"/>
  <c r="AC367" i="35" s="1"/>
  <c r="W355" i="35"/>
  <c r="AA355" i="35"/>
  <c r="AC355" i="35" s="1"/>
  <c r="W344" i="35"/>
  <c r="AA344" i="35"/>
  <c r="AC344" i="35" s="1"/>
  <c r="W360" i="35"/>
  <c r="AA360" i="35"/>
  <c r="AC360" i="35" s="1"/>
  <c r="X253" i="32"/>
  <c r="AG347" i="35"/>
  <c r="Y354" i="34"/>
  <c r="Y345" i="34"/>
  <c r="Y350" i="34"/>
  <c r="Y347" i="34"/>
  <c r="AE140" i="32"/>
  <c r="AG139" i="32"/>
  <c r="V140" i="30"/>
  <c r="W140" i="32"/>
  <c r="V154" i="30"/>
  <c r="W154" i="32"/>
  <c r="V131" i="30"/>
  <c r="W131" i="32"/>
  <c r="X268" i="32"/>
  <c r="AG360" i="35"/>
  <c r="AA245" i="32"/>
  <c r="W245" i="34"/>
  <c r="AA221" i="32"/>
  <c r="AC221" i="32" s="1"/>
  <c r="W221" i="34"/>
  <c r="AA225" i="32"/>
  <c r="W225" i="34"/>
  <c r="AA222" i="32"/>
  <c r="W222" i="34"/>
  <c r="AA246" i="32"/>
  <c r="W246" i="34"/>
  <c r="X266" i="32"/>
  <c r="X143" i="30"/>
  <c r="Y143" i="32"/>
  <c r="X138" i="30"/>
  <c r="Y138" i="32"/>
  <c r="X134" i="30"/>
  <c r="Y134" i="32"/>
  <c r="X130" i="30"/>
  <c r="Y130" i="32"/>
  <c r="AG226" i="32"/>
  <c r="AE65" i="32"/>
  <c r="K377" i="32"/>
  <c r="X298" i="34"/>
  <c r="AD298" i="32"/>
  <c r="X304" i="34"/>
  <c r="AD304" i="32"/>
  <c r="X290" i="32"/>
  <c r="X290" i="34"/>
  <c r="AD290" i="32"/>
  <c r="X289" i="34"/>
  <c r="AD289" i="32"/>
  <c r="AG368" i="35"/>
  <c r="AG227" i="32"/>
  <c r="X252" i="32"/>
  <c r="M198" i="32"/>
  <c r="K198" i="32" s="1"/>
  <c r="AE198" i="32" s="1"/>
  <c r="M211" i="32"/>
  <c r="K211" i="32" s="1"/>
  <c r="AG85" i="32"/>
  <c r="AC366" i="35" l="1"/>
  <c r="AE199" i="32"/>
  <c r="AG198" i="32"/>
  <c r="AG298" i="32"/>
  <c r="X311" i="32"/>
  <c r="X311" i="34"/>
  <c r="AD311" i="32"/>
  <c r="AA250" i="32"/>
  <c r="W250" i="34"/>
  <c r="V157" i="30"/>
  <c r="W157" i="32"/>
  <c r="V169" i="30"/>
  <c r="W169" i="32"/>
  <c r="X177" i="30"/>
  <c r="Y177" i="32"/>
  <c r="X312" i="34"/>
  <c r="AD312" i="32"/>
  <c r="AA255" i="32"/>
  <c r="AC255" i="32" s="1"/>
  <c r="W255" i="34"/>
  <c r="AG283" i="32"/>
  <c r="V170" i="30"/>
  <c r="W170" i="32"/>
  <c r="X181" i="30"/>
  <c r="Y181" i="32"/>
  <c r="R207" i="30"/>
  <c r="R195" i="30"/>
  <c r="R187" i="30"/>
  <c r="R210" i="30"/>
  <c r="R204" i="30"/>
  <c r="R200" i="30"/>
  <c r="R191" i="30"/>
  <c r="R217" i="30"/>
  <c r="R214" i="30"/>
  <c r="R209" i="30"/>
  <c r="R194" i="30"/>
  <c r="R205" i="30"/>
  <c r="R202" i="30"/>
  <c r="R201" i="30"/>
  <c r="R190" i="30"/>
  <c r="R189" i="30"/>
  <c r="R216" i="30"/>
  <c r="R213" i="30"/>
  <c r="R212" i="30"/>
  <c r="R203" i="30"/>
  <c r="R188" i="30"/>
  <c r="X186" i="30"/>
  <c r="R211" i="30"/>
  <c r="R208" i="30"/>
  <c r="R206" i="30"/>
  <c r="R215" i="30"/>
  <c r="R197" i="30"/>
  <c r="R196" i="30"/>
  <c r="R192" i="30"/>
  <c r="R199" i="30"/>
  <c r="R193" i="30"/>
  <c r="R198" i="30"/>
  <c r="Y186" i="32"/>
  <c r="AG282" i="32"/>
  <c r="AA253" i="32"/>
  <c r="W253" i="34"/>
  <c r="AA261" i="32"/>
  <c r="W261" i="34"/>
  <c r="AA272" i="32"/>
  <c r="W272" i="34"/>
  <c r="AA270" i="32"/>
  <c r="AC270" i="32" s="1"/>
  <c r="W270" i="34"/>
  <c r="X286" i="32"/>
  <c r="V167" i="30"/>
  <c r="Z167" i="30"/>
  <c r="AB167" i="30" s="1"/>
  <c r="W167" i="32"/>
  <c r="V178" i="30"/>
  <c r="W178" i="32"/>
  <c r="X296" i="32"/>
  <c r="X171" i="30"/>
  <c r="Y171" i="32"/>
  <c r="X174" i="30"/>
  <c r="Y174" i="32"/>
  <c r="AG295" i="32"/>
  <c r="AG285" i="32"/>
  <c r="X301" i="32"/>
  <c r="K381" i="32"/>
  <c r="AE187" i="32"/>
  <c r="X330" i="32"/>
  <c r="X330" i="34"/>
  <c r="AD330" i="32"/>
  <c r="X337" i="34"/>
  <c r="AD337" i="32"/>
  <c r="X335" i="34"/>
  <c r="AD335" i="32"/>
  <c r="X329" i="34"/>
  <c r="AD329" i="32"/>
  <c r="AA262" i="32"/>
  <c r="AC262" i="32" s="1"/>
  <c r="W262" i="34"/>
  <c r="AA277" i="32"/>
  <c r="W277" i="34"/>
  <c r="AA273" i="32"/>
  <c r="W273" i="34"/>
  <c r="X283" i="32"/>
  <c r="V168" i="30"/>
  <c r="W168" i="32"/>
  <c r="V180" i="30"/>
  <c r="W180" i="32"/>
  <c r="V159" i="30"/>
  <c r="W159" i="32"/>
  <c r="V182" i="30"/>
  <c r="W182" i="32"/>
  <c r="W379" i="32"/>
  <c r="X292" i="32"/>
  <c r="X178" i="30"/>
  <c r="Y178" i="32"/>
  <c r="X158" i="30"/>
  <c r="Y158" i="32"/>
  <c r="X182" i="30"/>
  <c r="Y182" i="32"/>
  <c r="X175" i="30"/>
  <c r="Y175" i="32"/>
  <c r="X303" i="32"/>
  <c r="AG291" i="32"/>
  <c r="X314" i="34"/>
  <c r="AD314" i="32"/>
  <c r="X338" i="34"/>
  <c r="AD338" i="32"/>
  <c r="AA259" i="32"/>
  <c r="W259" i="34"/>
  <c r="AA275" i="32"/>
  <c r="W275" i="34"/>
  <c r="V166" i="30"/>
  <c r="Z166" i="30"/>
  <c r="AB166" i="30" s="1"/>
  <c r="W166" i="32"/>
  <c r="AE99" i="32"/>
  <c r="AG98" i="32"/>
  <c r="X180" i="30"/>
  <c r="Y180" i="32"/>
  <c r="M276" i="32"/>
  <c r="K276" i="32" s="1"/>
  <c r="M267" i="32"/>
  <c r="K267" i="32" s="1"/>
  <c r="M263" i="32"/>
  <c r="K263" i="32" s="1"/>
  <c r="M260" i="32"/>
  <c r="K260" i="32" s="1"/>
  <c r="M256" i="32"/>
  <c r="K256" i="32" s="1"/>
  <c r="M252" i="32"/>
  <c r="K252" i="32" s="1"/>
  <c r="M275" i="32"/>
  <c r="K275" i="32" s="1"/>
  <c r="M269" i="32"/>
  <c r="K269" i="32" s="1"/>
  <c r="M265" i="32"/>
  <c r="K265" i="32" s="1"/>
  <c r="M258" i="32"/>
  <c r="K258" i="32" s="1"/>
  <c r="M249" i="32"/>
  <c r="K249" i="32" s="1"/>
  <c r="AE249" i="32" s="1"/>
  <c r="AE250" i="32" s="1"/>
  <c r="AE251" i="32" s="1"/>
  <c r="M266" i="32"/>
  <c r="K266" i="32" s="1"/>
  <c r="M262" i="32"/>
  <c r="K262" i="32" s="1"/>
  <c r="M259" i="32"/>
  <c r="K259" i="32" s="1"/>
  <c r="M250" i="32"/>
  <c r="K250" i="32" s="1"/>
  <c r="M274" i="32"/>
  <c r="K274" i="32" s="1"/>
  <c r="M264" i="32"/>
  <c r="K264" i="32" s="1"/>
  <c r="M254" i="32"/>
  <c r="K254" i="32" s="1"/>
  <c r="M273" i="32"/>
  <c r="K273" i="32" s="1"/>
  <c r="M268" i="32"/>
  <c r="K268" i="32" s="1"/>
  <c r="M272" i="32"/>
  <c r="K272" i="32" s="1"/>
  <c r="M255" i="32"/>
  <c r="K255" i="32" s="1"/>
  <c r="M277" i="32"/>
  <c r="K277" i="32" s="1"/>
  <c r="M270" i="32"/>
  <c r="K270" i="32" s="1"/>
  <c r="M251" i="32"/>
  <c r="K251" i="32" s="1"/>
  <c r="M253" i="32"/>
  <c r="K253" i="32" s="1"/>
  <c r="M261" i="32"/>
  <c r="K261" i="32" s="1"/>
  <c r="M257" i="32"/>
  <c r="K257" i="32" s="1"/>
  <c r="M271" i="32"/>
  <c r="K271" i="32" s="1"/>
  <c r="M278" i="32"/>
  <c r="K278" i="32" s="1"/>
  <c r="X321" i="34"/>
  <c r="AD321" i="32"/>
  <c r="X328" i="32"/>
  <c r="X328" i="34"/>
  <c r="AD328" i="32"/>
  <c r="AA252" i="32"/>
  <c r="W252" i="34"/>
  <c r="AA254" i="32"/>
  <c r="W254" i="34"/>
  <c r="Z174" i="30"/>
  <c r="AB174" i="30" s="1"/>
  <c r="V174" i="30"/>
  <c r="W174" i="32"/>
  <c r="X298" i="32"/>
  <c r="X334" i="34"/>
  <c r="AD334" i="32"/>
  <c r="AE89" i="32"/>
  <c r="AG88" i="32"/>
  <c r="AA256" i="32"/>
  <c r="AC256" i="32" s="1"/>
  <c r="W256" i="34"/>
  <c r="V177" i="30"/>
  <c r="W177" i="32"/>
  <c r="V164" i="30"/>
  <c r="W164" i="32"/>
  <c r="X170" i="30"/>
  <c r="Y170" i="32"/>
  <c r="X179" i="30"/>
  <c r="Y179" i="32"/>
  <c r="AG304" i="32"/>
  <c r="Y379" i="32"/>
  <c r="X333" i="34"/>
  <c r="AD333" i="32"/>
  <c r="X326" i="34"/>
  <c r="AD326" i="32"/>
  <c r="X313" i="34"/>
  <c r="AD313" i="32"/>
  <c r="X336" i="32"/>
  <c r="X336" i="34"/>
  <c r="AD336" i="32"/>
  <c r="AA271" i="32"/>
  <c r="W271" i="34"/>
  <c r="AA260" i="32"/>
  <c r="W260" i="34"/>
  <c r="AA258" i="32"/>
  <c r="W258" i="34"/>
  <c r="X293" i="32"/>
  <c r="AE153" i="32"/>
  <c r="AG152" i="32"/>
  <c r="AE169" i="32"/>
  <c r="AG168" i="32"/>
  <c r="AE158" i="32"/>
  <c r="AG157" i="32"/>
  <c r="P216" i="30"/>
  <c r="P214" i="30"/>
  <c r="P217" i="30"/>
  <c r="P209" i="30"/>
  <c r="P194" i="30"/>
  <c r="P213" i="30"/>
  <c r="P203" i="30"/>
  <c r="P199" i="30"/>
  <c r="P190" i="30"/>
  <c r="P208" i="30"/>
  <c r="P202" i="30"/>
  <c r="P206" i="30"/>
  <c r="P197" i="30"/>
  <c r="P191" i="30"/>
  <c r="P207" i="30"/>
  <c r="P204" i="30"/>
  <c r="P212" i="30"/>
  <c r="P192" i="30"/>
  <c r="P188" i="30"/>
  <c r="P187" i="30"/>
  <c r="V186" i="30"/>
  <c r="P211" i="30"/>
  <c r="P210" i="30"/>
  <c r="P198" i="30"/>
  <c r="P201" i="30"/>
  <c r="P193" i="30"/>
  <c r="P200" i="30"/>
  <c r="P195" i="30"/>
  <c r="P196" i="30"/>
  <c r="Z186" i="30"/>
  <c r="AB186" i="30" s="1"/>
  <c r="P189" i="30"/>
  <c r="P215" i="30"/>
  <c r="P205" i="30"/>
  <c r="W186" i="32"/>
  <c r="Z165" i="30"/>
  <c r="AB165" i="30" s="1"/>
  <c r="V165" i="30"/>
  <c r="W165" i="32"/>
  <c r="V171" i="30"/>
  <c r="W171" i="32"/>
  <c r="V172" i="30"/>
  <c r="Z172" i="30"/>
  <c r="AB172" i="30" s="1"/>
  <c r="W172" i="32"/>
  <c r="X297" i="32"/>
  <c r="X159" i="30"/>
  <c r="Y159" i="32"/>
  <c r="X169" i="30"/>
  <c r="Y169" i="32"/>
  <c r="X172" i="30"/>
  <c r="Y172" i="32"/>
  <c r="X183" i="30"/>
  <c r="Y183" i="32"/>
  <c r="X291" i="32"/>
  <c r="X319" i="34"/>
  <c r="AD319" i="32"/>
  <c r="AA264" i="32"/>
  <c r="W264" i="34"/>
  <c r="AE180" i="32"/>
  <c r="AG179" i="32"/>
  <c r="X160" i="30"/>
  <c r="Y160" i="32"/>
  <c r="AA268" i="32"/>
  <c r="W268" i="34"/>
  <c r="V173" i="30"/>
  <c r="W173" i="32"/>
  <c r="X163" i="30"/>
  <c r="Y163" i="32"/>
  <c r="AG303" i="32"/>
  <c r="X317" i="32"/>
  <c r="X317" i="34"/>
  <c r="AD317" i="32"/>
  <c r="X315" i="34"/>
  <c r="AD315" i="32"/>
  <c r="X332" i="34"/>
  <c r="AD332" i="32"/>
  <c r="X310" i="34"/>
  <c r="AD310" i="32"/>
  <c r="AA266" i="32"/>
  <c r="W266" i="34"/>
  <c r="Z184" i="30"/>
  <c r="AB184" i="30" s="1"/>
  <c r="V184" i="30"/>
  <c r="W184" i="32"/>
  <c r="AE121" i="32"/>
  <c r="AG120" i="32"/>
  <c r="X164" i="30"/>
  <c r="Y164" i="32"/>
  <c r="AG281" i="32"/>
  <c r="X318" i="32"/>
  <c r="X318" i="34"/>
  <c r="AD318" i="32"/>
  <c r="X324" i="34"/>
  <c r="AD324" i="32"/>
  <c r="AA276" i="32"/>
  <c r="AC276" i="32" s="1"/>
  <c r="W276" i="34"/>
  <c r="Q308" i="32"/>
  <c r="Q300" i="32"/>
  <c r="Q304" i="32"/>
  <c r="Q299" i="32"/>
  <c r="Q294" i="32"/>
  <c r="Q286" i="32"/>
  <c r="AA278" i="32"/>
  <c r="AC278" i="32" s="1"/>
  <c r="Q302" i="32"/>
  <c r="AG302" i="32" s="1"/>
  <c r="Q297" i="32"/>
  <c r="AG297" i="32" s="1"/>
  <c r="Q284" i="32"/>
  <c r="AG284" i="32" s="1"/>
  <c r="Q307" i="32"/>
  <c r="Q305" i="32"/>
  <c r="Q298" i="32"/>
  <c r="Q281" i="32"/>
  <c r="Q280" i="32"/>
  <c r="Q309" i="32"/>
  <c r="Q306" i="32"/>
  <c r="Q295" i="32"/>
  <c r="Q289" i="32"/>
  <c r="Q288" i="32"/>
  <c r="Q303" i="32"/>
  <c r="Q301" i="32"/>
  <c r="Q293" i="32"/>
  <c r="Q290" i="32"/>
  <c r="AG290" i="32" s="1"/>
  <c r="Q283" i="32"/>
  <c r="Q287" i="32"/>
  <c r="Q285" i="32"/>
  <c r="Q282" i="32"/>
  <c r="Q291" i="32"/>
  <c r="Q292" i="32"/>
  <c r="Q296" i="32"/>
  <c r="AG296" i="32" s="1"/>
  <c r="Q279" i="32"/>
  <c r="W278" i="34"/>
  <c r="AA265" i="32"/>
  <c r="W265" i="34"/>
  <c r="AG294" i="32"/>
  <c r="AE38" i="32"/>
  <c r="AG37" i="32"/>
  <c r="V163" i="30"/>
  <c r="W163" i="32"/>
  <c r="Z176" i="30"/>
  <c r="AB176" i="30" s="1"/>
  <c r="V176" i="30"/>
  <c r="W176" i="32"/>
  <c r="V181" i="30"/>
  <c r="Z181" i="30"/>
  <c r="AB181" i="30" s="1"/>
  <c r="W181" i="32"/>
  <c r="V185" i="30"/>
  <c r="W185" i="32"/>
  <c r="AG288" i="32"/>
  <c r="X166" i="30"/>
  <c r="Y166" i="32"/>
  <c r="X161" i="30"/>
  <c r="Y161" i="32"/>
  <c r="X185" i="30"/>
  <c r="Y185" i="32"/>
  <c r="X168" i="30"/>
  <c r="Y168" i="32"/>
  <c r="Z179" i="30"/>
  <c r="AB179" i="30" s="1"/>
  <c r="V179" i="30"/>
  <c r="W179" i="32"/>
  <c r="X184" i="30"/>
  <c r="Y184" i="32"/>
  <c r="X289" i="32"/>
  <c r="AA274" i="32"/>
  <c r="W274" i="34"/>
  <c r="V183" i="30"/>
  <c r="W183" i="32"/>
  <c r="X162" i="30"/>
  <c r="Y162" i="32"/>
  <c r="X279" i="32"/>
  <c r="X331" i="34"/>
  <c r="AD331" i="32"/>
  <c r="AE66" i="32"/>
  <c r="AG65" i="32"/>
  <c r="X316" i="34"/>
  <c r="AD316" i="32"/>
  <c r="X322" i="34"/>
  <c r="AD322" i="32"/>
  <c r="AA249" i="32"/>
  <c r="AC249" i="32" s="1"/>
  <c r="W249" i="34"/>
  <c r="V162" i="30"/>
  <c r="W162" i="32"/>
  <c r="Q337" i="30"/>
  <c r="W337" i="30" s="1"/>
  <c r="Q336" i="30"/>
  <c r="W336" i="30" s="1"/>
  <c r="Q334" i="30"/>
  <c r="W334" i="30" s="1"/>
  <c r="Q332" i="30"/>
  <c r="W332" i="30" s="1"/>
  <c r="Q319" i="30"/>
  <c r="W319" i="30" s="1"/>
  <c r="Q335" i="30"/>
  <c r="W335" i="30" s="1"/>
  <c r="Q327" i="30"/>
  <c r="W327" i="30" s="1"/>
  <c r="Q324" i="30"/>
  <c r="W324" i="30" s="1"/>
  <c r="Q339" i="30"/>
  <c r="X339" i="32" s="1"/>
  <c r="Q338" i="30"/>
  <c r="W338" i="30" s="1"/>
  <c r="Q320" i="30"/>
  <c r="W320" i="30" s="1"/>
  <c r="Q317" i="30"/>
  <c r="W317" i="30" s="1"/>
  <c r="Q321" i="30"/>
  <c r="W321" i="30" s="1"/>
  <c r="Q318" i="30"/>
  <c r="W318" i="30" s="1"/>
  <c r="Q311" i="30"/>
  <c r="W311" i="30" s="1"/>
  <c r="Q333" i="30"/>
  <c r="W333" i="30" s="1"/>
  <c r="Q331" i="30"/>
  <c r="W331" i="30" s="1"/>
  <c r="W309" i="30"/>
  <c r="Q328" i="30"/>
  <c r="W328" i="30" s="1"/>
  <c r="Q322" i="30"/>
  <c r="W322" i="30" s="1"/>
  <c r="Q310" i="30"/>
  <c r="W310" i="30" s="1"/>
  <c r="Q315" i="30"/>
  <c r="W315" i="30" s="1"/>
  <c r="Q329" i="30"/>
  <c r="W329" i="30" s="1"/>
  <c r="Q325" i="30"/>
  <c r="W325" i="30" s="1"/>
  <c r="Q323" i="30"/>
  <c r="W323" i="30" s="1"/>
  <c r="Q330" i="30"/>
  <c r="W330" i="30" s="1"/>
  <c r="Q326" i="30"/>
  <c r="W326" i="30" s="1"/>
  <c r="Q316" i="30"/>
  <c r="W316" i="30" s="1"/>
  <c r="Q313" i="30"/>
  <c r="W313" i="30" s="1"/>
  <c r="Q314" i="30"/>
  <c r="W314" i="30" s="1"/>
  <c r="Q312" i="30"/>
  <c r="W312" i="30" s="1"/>
  <c r="X165" i="30"/>
  <c r="Y165" i="32"/>
  <c r="X323" i="34"/>
  <c r="AD323" i="32"/>
  <c r="AA263" i="32"/>
  <c r="AC263" i="32" s="1"/>
  <c r="W263" i="34"/>
  <c r="AG289" i="32"/>
  <c r="X304" i="32"/>
  <c r="AE141" i="32"/>
  <c r="AG140" i="32"/>
  <c r="AG300" i="32"/>
  <c r="X320" i="32"/>
  <c r="X320" i="34"/>
  <c r="AD320" i="32"/>
  <c r="R369" i="32"/>
  <c r="R361" i="32"/>
  <c r="R358" i="32"/>
  <c r="R341" i="32"/>
  <c r="R364" i="32"/>
  <c r="R353" i="32"/>
  <c r="R351" i="32"/>
  <c r="R349" i="32"/>
  <c r="R347" i="32"/>
  <c r="R344" i="32"/>
  <c r="R365" i="32"/>
  <c r="R354" i="32"/>
  <c r="R345" i="32"/>
  <c r="R363" i="32"/>
  <c r="R360" i="32"/>
  <c r="R343" i="32"/>
  <c r="R366" i="32"/>
  <c r="R355" i="32"/>
  <c r="R352" i="32"/>
  <c r="R348" i="32"/>
  <c r="R357" i="32"/>
  <c r="R367" i="32"/>
  <c r="R362" i="32"/>
  <c r="R359" i="32"/>
  <c r="R356" i="32"/>
  <c r="R350" i="32"/>
  <c r="R340" i="32"/>
  <c r="R346" i="32"/>
  <c r="R368" i="32"/>
  <c r="R342" i="32"/>
  <c r="X339" i="34"/>
  <c r="AD339" i="32"/>
  <c r="X325" i="32"/>
  <c r="X325" i="34"/>
  <c r="AD325" i="32"/>
  <c r="X327" i="32"/>
  <c r="X327" i="34"/>
  <c r="AD327" i="32"/>
  <c r="AA251" i="32"/>
  <c r="W251" i="34"/>
  <c r="AA257" i="32"/>
  <c r="W257" i="34"/>
  <c r="AA267" i="32"/>
  <c r="W267" i="34"/>
  <c r="AA269" i="32"/>
  <c r="AC269" i="32" s="1"/>
  <c r="W269" i="34"/>
  <c r="AG306" i="32"/>
  <c r="AE49" i="32"/>
  <c r="AG48" i="32"/>
  <c r="AG287" i="32"/>
  <c r="X280" i="32"/>
  <c r="AE129" i="32"/>
  <c r="AG128" i="32"/>
  <c r="Z160" i="30"/>
  <c r="AB160" i="30" s="1"/>
  <c r="V160" i="30"/>
  <c r="W160" i="32"/>
  <c r="V175" i="30"/>
  <c r="W175" i="32"/>
  <c r="Z158" i="30"/>
  <c r="AB158" i="30" s="1"/>
  <c r="V158" i="30"/>
  <c r="W158" i="32"/>
  <c r="V161" i="30"/>
  <c r="W161" i="32"/>
  <c r="X173" i="30"/>
  <c r="Y173" i="32"/>
  <c r="X167" i="30"/>
  <c r="Y167" i="32"/>
  <c r="X157" i="30"/>
  <c r="Y157" i="32"/>
  <c r="X176" i="30"/>
  <c r="Y176" i="32"/>
  <c r="AG279" i="32"/>
  <c r="X307" i="32"/>
  <c r="AE110" i="32"/>
  <c r="AG109" i="32"/>
  <c r="X340" i="34" l="1"/>
  <c r="AD340" i="32"/>
  <c r="X341" i="34"/>
  <c r="AD341" i="32"/>
  <c r="Q333" i="32"/>
  <c r="Q330" i="32"/>
  <c r="Q319" i="32"/>
  <c r="Q316" i="32"/>
  <c r="Q337" i="32"/>
  <c r="Q326" i="32"/>
  <c r="Q323" i="32"/>
  <c r="Q312" i="32"/>
  <c r="Q335" i="32"/>
  <c r="Q332" i="32"/>
  <c r="Q321" i="32"/>
  <c r="Q318" i="32"/>
  <c r="Q324" i="32"/>
  <c r="Q317" i="32"/>
  <c r="AG317" i="32" s="1"/>
  <c r="Q314" i="32"/>
  <c r="Q310" i="32"/>
  <c r="AA309" i="32"/>
  <c r="AC309" i="32" s="1"/>
  <c r="Q338" i="32"/>
  <c r="Q331" i="32"/>
  <c r="Q328" i="32"/>
  <c r="Q311" i="32"/>
  <c r="Q339" i="32"/>
  <c r="Q329" i="32"/>
  <c r="Q320" i="32"/>
  <c r="Q313" i="32"/>
  <c r="Q334" i="32"/>
  <c r="AG334" i="32" s="1"/>
  <c r="Q336" i="32"/>
  <c r="Q325" i="32"/>
  <c r="Q327" i="32"/>
  <c r="Q322" i="32"/>
  <c r="Q315" i="32"/>
  <c r="W309" i="34"/>
  <c r="V192" i="30"/>
  <c r="W192" i="32"/>
  <c r="Z214" i="30"/>
  <c r="V214" i="30"/>
  <c r="W214" i="32"/>
  <c r="X313" i="32"/>
  <c r="AE90" i="32"/>
  <c r="AG89" i="32"/>
  <c r="AE252" i="32"/>
  <c r="AG251" i="32"/>
  <c r="X196" i="30"/>
  <c r="Y196" i="32"/>
  <c r="X365" i="34"/>
  <c r="AD365" i="32"/>
  <c r="AG323" i="32"/>
  <c r="AE67" i="32"/>
  <c r="AG66" i="32"/>
  <c r="AE39" i="32"/>
  <c r="AG38" i="32"/>
  <c r="AA292" i="32"/>
  <c r="W292" i="34"/>
  <c r="AA293" i="32"/>
  <c r="W293" i="34"/>
  <c r="AA280" i="32"/>
  <c r="W280" i="34"/>
  <c r="X332" i="32"/>
  <c r="AG319" i="32"/>
  <c r="V205" i="30"/>
  <c r="W205" i="32"/>
  <c r="V201" i="30"/>
  <c r="W201" i="32"/>
  <c r="V212" i="30"/>
  <c r="W212" i="32"/>
  <c r="V190" i="30"/>
  <c r="W190" i="32"/>
  <c r="V216" i="30"/>
  <c r="Z216" i="30"/>
  <c r="AB216" i="30" s="1"/>
  <c r="W216" i="32"/>
  <c r="AG329" i="32"/>
  <c r="X337" i="32"/>
  <c r="X197" i="30"/>
  <c r="Y197" i="32"/>
  <c r="X212" i="30"/>
  <c r="Y212" i="32"/>
  <c r="X194" i="30"/>
  <c r="Y194" i="32"/>
  <c r="X187" i="30"/>
  <c r="Y187" i="32"/>
  <c r="AE111" i="32"/>
  <c r="AG110" i="32"/>
  <c r="X356" i="34"/>
  <c r="AD356" i="32"/>
  <c r="X366" i="32"/>
  <c r="X366" i="34"/>
  <c r="AD366" i="32"/>
  <c r="X344" i="32"/>
  <c r="X344" i="34"/>
  <c r="AD344" i="32"/>
  <c r="X361" i="34"/>
  <c r="AD361" i="32"/>
  <c r="AE142" i="32"/>
  <c r="AG141" i="32"/>
  <c r="AG322" i="32"/>
  <c r="AG331" i="32"/>
  <c r="AA291" i="32"/>
  <c r="W291" i="34"/>
  <c r="AA301" i="32"/>
  <c r="W301" i="34"/>
  <c r="AA281" i="32"/>
  <c r="W281" i="34"/>
  <c r="AA286" i="32"/>
  <c r="W286" i="34"/>
  <c r="AG250" i="32"/>
  <c r="V215" i="30"/>
  <c r="W215" i="32"/>
  <c r="V198" i="30"/>
  <c r="W198" i="32"/>
  <c r="V204" i="30"/>
  <c r="W204" i="32"/>
  <c r="V199" i="30"/>
  <c r="W199" i="32"/>
  <c r="AG321" i="32"/>
  <c r="AG286" i="32"/>
  <c r="AG330" i="32"/>
  <c r="X215" i="30"/>
  <c r="Y215" i="32"/>
  <c r="X213" i="30"/>
  <c r="Y213" i="32"/>
  <c r="X209" i="30"/>
  <c r="Y209" i="32"/>
  <c r="X195" i="30"/>
  <c r="Y195" i="32"/>
  <c r="AG311" i="32"/>
  <c r="AE130" i="32"/>
  <c r="AG129" i="32"/>
  <c r="AG339" i="32"/>
  <c r="X359" i="34"/>
  <c r="AD359" i="32"/>
  <c r="X343" i="32"/>
  <c r="X343" i="34"/>
  <c r="AD343" i="32"/>
  <c r="X347" i="34"/>
  <c r="AD347" i="32"/>
  <c r="X369" i="34"/>
  <c r="AD369" i="32"/>
  <c r="X323" i="32"/>
  <c r="AA282" i="32"/>
  <c r="W282" i="34"/>
  <c r="AA303" i="32"/>
  <c r="W303" i="34"/>
  <c r="AA298" i="32"/>
  <c r="AC298" i="32" s="1"/>
  <c r="W298" i="34"/>
  <c r="AA294" i="32"/>
  <c r="W294" i="34"/>
  <c r="AG324" i="32"/>
  <c r="AG315" i="32"/>
  <c r="X319" i="32"/>
  <c r="V189" i="30"/>
  <c r="W189" i="32"/>
  <c r="V210" i="30"/>
  <c r="W210" i="32"/>
  <c r="Z207" i="30"/>
  <c r="AB207" i="30" s="1"/>
  <c r="V207" i="30"/>
  <c r="W207" i="32"/>
  <c r="V203" i="30"/>
  <c r="W203" i="32"/>
  <c r="AE159" i="32"/>
  <c r="AG158" i="32"/>
  <c r="AG336" i="32"/>
  <c r="X326" i="32"/>
  <c r="X334" i="32"/>
  <c r="X338" i="32"/>
  <c r="X329" i="32"/>
  <c r="X206" i="30"/>
  <c r="Y206" i="32"/>
  <c r="X216" i="30"/>
  <c r="Y216" i="32"/>
  <c r="X214" i="30"/>
  <c r="Y214" i="32"/>
  <c r="X207" i="30"/>
  <c r="Y207" i="32"/>
  <c r="AG325" i="32"/>
  <c r="X203" i="30"/>
  <c r="Y203" i="32"/>
  <c r="X355" i="34"/>
  <c r="AD355" i="32"/>
  <c r="AG320" i="32"/>
  <c r="X322" i="32"/>
  <c r="AA285" i="32"/>
  <c r="W285" i="34"/>
  <c r="AA299" i="32"/>
  <c r="W299" i="34"/>
  <c r="AG310" i="32"/>
  <c r="AG292" i="32"/>
  <c r="V191" i="30"/>
  <c r="W191" i="32"/>
  <c r="X189" i="30"/>
  <c r="Y189" i="32"/>
  <c r="AG312" i="32"/>
  <c r="AG327" i="32"/>
  <c r="X342" i="32"/>
  <c r="X342" i="34"/>
  <c r="AD342" i="32"/>
  <c r="X367" i="34"/>
  <c r="AD367" i="32"/>
  <c r="X363" i="34"/>
  <c r="AD363" i="32"/>
  <c r="X351" i="34"/>
  <c r="AD351" i="32"/>
  <c r="AG316" i="32"/>
  <c r="AA287" i="32"/>
  <c r="W287" i="34"/>
  <c r="AA289" i="32"/>
  <c r="W289" i="34"/>
  <c r="AA307" i="32"/>
  <c r="W307" i="34"/>
  <c r="AA304" i="32"/>
  <c r="AC304" i="32" s="1"/>
  <c r="W304" i="34"/>
  <c r="X324" i="32"/>
  <c r="AE122" i="32"/>
  <c r="AG121" i="32"/>
  <c r="X315" i="32"/>
  <c r="AE181" i="32"/>
  <c r="AG180" i="32"/>
  <c r="Z196" i="30"/>
  <c r="AB196" i="30" s="1"/>
  <c r="V196" i="30"/>
  <c r="W196" i="32"/>
  <c r="V197" i="30"/>
  <c r="W197" i="32"/>
  <c r="V194" i="30"/>
  <c r="W194" i="32"/>
  <c r="AE188" i="32"/>
  <c r="AG187" i="32"/>
  <c r="X193" i="30"/>
  <c r="Y193" i="32"/>
  <c r="X211" i="30"/>
  <c r="Y211" i="32"/>
  <c r="X190" i="30"/>
  <c r="Y190" i="32"/>
  <c r="X191" i="30"/>
  <c r="Y191" i="32"/>
  <c r="W380" i="32"/>
  <c r="AG249" i="32"/>
  <c r="X354" i="34"/>
  <c r="AD354" i="32"/>
  <c r="AA290" i="32"/>
  <c r="AC290" i="32" s="1"/>
  <c r="W290" i="34"/>
  <c r="V193" i="30"/>
  <c r="Z193" i="30"/>
  <c r="AB193" i="30" s="1"/>
  <c r="W193" i="32"/>
  <c r="AE154" i="32"/>
  <c r="AG153" i="32"/>
  <c r="X210" i="30"/>
  <c r="Y210" i="32"/>
  <c r="X362" i="32"/>
  <c r="X362" i="34"/>
  <c r="AD362" i="32"/>
  <c r="X349" i="34"/>
  <c r="AD349" i="32"/>
  <c r="AA288" i="32"/>
  <c r="W288" i="34"/>
  <c r="V213" i="30"/>
  <c r="W213" i="32"/>
  <c r="AG314" i="32"/>
  <c r="X198" i="30"/>
  <c r="Y198" i="32"/>
  <c r="R245" i="30"/>
  <c r="R247" i="30"/>
  <c r="R243" i="30"/>
  <c r="R237" i="30"/>
  <c r="R232" i="30"/>
  <c r="R229" i="30"/>
  <c r="R244" i="30"/>
  <c r="R241" i="30"/>
  <c r="R240" i="30"/>
  <c r="R222" i="30"/>
  <c r="R218" i="30"/>
  <c r="R231" i="30"/>
  <c r="R242" i="30"/>
  <c r="R225" i="30"/>
  <c r="R223" i="30"/>
  <c r="R219" i="30"/>
  <c r="R230" i="30"/>
  <c r="R234" i="30"/>
  <c r="X217" i="30"/>
  <c r="R238" i="30"/>
  <c r="R233" i="30"/>
  <c r="R246" i="30"/>
  <c r="R236" i="30"/>
  <c r="R221" i="30"/>
  <c r="R227" i="30"/>
  <c r="R226" i="30"/>
  <c r="R239" i="30"/>
  <c r="R248" i="30"/>
  <c r="R235" i="30"/>
  <c r="R224" i="30"/>
  <c r="Y217" i="32"/>
  <c r="R228" i="30"/>
  <c r="R220" i="30"/>
  <c r="X368" i="34"/>
  <c r="AD368" i="32"/>
  <c r="X357" i="34"/>
  <c r="AD357" i="32"/>
  <c r="X353" i="34"/>
  <c r="AD353" i="32"/>
  <c r="AA295" i="32"/>
  <c r="W295" i="34"/>
  <c r="AA284" i="32"/>
  <c r="W284" i="34"/>
  <c r="AA300" i="32"/>
  <c r="W300" i="34"/>
  <c r="AG318" i="32"/>
  <c r="X310" i="32"/>
  <c r="AG307" i="32"/>
  <c r="Z195" i="30"/>
  <c r="AB195" i="30" s="1"/>
  <c r="V195" i="30"/>
  <c r="W195" i="32"/>
  <c r="V187" i="30"/>
  <c r="W187" i="32"/>
  <c r="V206" i="30"/>
  <c r="Z206" i="30"/>
  <c r="AB206" i="30" s="1"/>
  <c r="W206" i="32"/>
  <c r="Z209" i="30"/>
  <c r="AB209" i="30" s="1"/>
  <c r="V209" i="30"/>
  <c r="W209" i="32"/>
  <c r="AE170" i="32"/>
  <c r="AG169" i="32"/>
  <c r="X333" i="32"/>
  <c r="AE100" i="32"/>
  <c r="AG99" i="32"/>
  <c r="X314" i="32"/>
  <c r="X335" i="32"/>
  <c r="X199" i="30"/>
  <c r="Y199" i="32"/>
  <c r="X201" i="30"/>
  <c r="Y201" i="32"/>
  <c r="X200" i="30"/>
  <c r="Y200" i="32"/>
  <c r="X312" i="32"/>
  <c r="X352" i="34"/>
  <c r="AD352" i="32"/>
  <c r="AA296" i="32"/>
  <c r="W296" i="34"/>
  <c r="AA302" i="32"/>
  <c r="W302" i="34"/>
  <c r="V208" i="30"/>
  <c r="W208" i="32"/>
  <c r="X205" i="30"/>
  <c r="Y205" i="32"/>
  <c r="X350" i="34"/>
  <c r="AD350" i="32"/>
  <c r="X358" i="34"/>
  <c r="AD358" i="32"/>
  <c r="X360" i="32"/>
  <c r="X360" i="34"/>
  <c r="AD360" i="32"/>
  <c r="Q365" i="30"/>
  <c r="W365" i="30" s="1"/>
  <c r="Q366" i="30"/>
  <c r="W366" i="30" s="1"/>
  <c r="Q361" i="30"/>
  <c r="W361" i="30" s="1"/>
  <c r="Q359" i="30"/>
  <c r="W359" i="30" s="1"/>
  <c r="Q355" i="30"/>
  <c r="W355" i="30" s="1"/>
  <c r="Q350" i="30"/>
  <c r="W350" i="30" s="1"/>
  <c r="Q348" i="30"/>
  <c r="W348" i="30" s="1"/>
  <c r="Q367" i="30"/>
  <c r="W367" i="30" s="1"/>
  <c r="Q362" i="30"/>
  <c r="W362" i="30" s="1"/>
  <c r="Q342" i="30"/>
  <c r="W342" i="30" s="1"/>
  <c r="Q369" i="30"/>
  <c r="W369" i="30" s="1"/>
  <c r="Q358" i="30"/>
  <c r="W358" i="30" s="1"/>
  <c r="Q347" i="30"/>
  <c r="W347" i="30" s="1"/>
  <c r="Q364" i="30"/>
  <c r="W364" i="30" s="1"/>
  <c r="Q354" i="30"/>
  <c r="W354" i="30" s="1"/>
  <c r="Q351" i="30"/>
  <c r="W351" i="30" s="1"/>
  <c r="Q368" i="30"/>
  <c r="W368" i="30" s="1"/>
  <c r="Q360" i="30"/>
  <c r="W360" i="30" s="1"/>
  <c r="Q345" i="30"/>
  <c r="W345" i="30" s="1"/>
  <c r="Q356" i="30"/>
  <c r="W356" i="30" s="1"/>
  <c r="Q352" i="30"/>
  <c r="W352" i="30" s="1"/>
  <c r="Q343" i="30"/>
  <c r="W343" i="30" s="1"/>
  <c r="Q346" i="30"/>
  <c r="W346" i="30" s="1"/>
  <c r="Q349" i="30"/>
  <c r="W349" i="30" s="1"/>
  <c r="Q341" i="30"/>
  <c r="W341" i="30" s="1"/>
  <c r="W339" i="30"/>
  <c r="Q363" i="30"/>
  <c r="W363" i="30" s="1"/>
  <c r="Q357" i="30"/>
  <c r="W357" i="30" s="1"/>
  <c r="Q353" i="30"/>
  <c r="W353" i="30" s="1"/>
  <c r="Q344" i="30"/>
  <c r="W344" i="30" s="1"/>
  <c r="Q340" i="30"/>
  <c r="W340" i="30" s="1"/>
  <c r="X331" i="32"/>
  <c r="AA305" i="32"/>
  <c r="AC305" i="32" s="1"/>
  <c r="W305" i="34"/>
  <c r="AG305" i="32"/>
  <c r="V211" i="30"/>
  <c r="W211" i="32"/>
  <c r="AG280" i="32"/>
  <c r="X321" i="32"/>
  <c r="X208" i="30"/>
  <c r="Y208" i="32"/>
  <c r="Y380" i="32"/>
  <c r="AE50" i="32"/>
  <c r="AG49" i="32"/>
  <c r="X346" i="32"/>
  <c r="X346" i="34"/>
  <c r="AD346" i="32"/>
  <c r="X348" i="34"/>
  <c r="AD348" i="32"/>
  <c r="X345" i="32"/>
  <c r="X345" i="34"/>
  <c r="AD345" i="32"/>
  <c r="X364" i="32"/>
  <c r="X364" i="34"/>
  <c r="AD364" i="32"/>
  <c r="AG299" i="32"/>
  <c r="X316" i="32"/>
  <c r="AA279" i="32"/>
  <c r="W279" i="34"/>
  <c r="AA283" i="32"/>
  <c r="AC283" i="32" s="1"/>
  <c r="W283" i="34"/>
  <c r="AA306" i="32"/>
  <c r="W306" i="34"/>
  <c r="AA297" i="32"/>
  <c r="AC297" i="32" s="1"/>
  <c r="W297" i="34"/>
  <c r="AA308" i="32"/>
  <c r="W308" i="34"/>
  <c r="Z200" i="30"/>
  <c r="AB200" i="30" s="1"/>
  <c r="V200" i="30"/>
  <c r="W200" i="32"/>
  <c r="V188" i="30"/>
  <c r="Z188" i="30"/>
  <c r="AB188" i="30" s="1"/>
  <c r="W188" i="32"/>
  <c r="V202" i="30"/>
  <c r="Z202" i="30"/>
  <c r="AB202" i="30" s="1"/>
  <c r="W202" i="32"/>
  <c r="P241" i="30"/>
  <c r="P235" i="30"/>
  <c r="P228" i="30"/>
  <c r="P226" i="30"/>
  <c r="P221" i="30"/>
  <c r="V217" i="30"/>
  <c r="P245" i="30"/>
  <c r="P234" i="30"/>
  <c r="P232" i="30"/>
  <c r="P230" i="30"/>
  <c r="P227" i="30"/>
  <c r="P248" i="30"/>
  <c r="P246" i="30"/>
  <c r="P244" i="30"/>
  <c r="P238" i="30"/>
  <c r="P236" i="30"/>
  <c r="P242" i="30"/>
  <c r="P233" i="30"/>
  <c r="P240" i="30"/>
  <c r="P231" i="30"/>
  <c r="P225" i="30"/>
  <c r="P222" i="30"/>
  <c r="P247" i="30"/>
  <c r="P220" i="30"/>
  <c r="P229" i="30"/>
  <c r="P224" i="30"/>
  <c r="P239" i="30"/>
  <c r="Z217" i="30"/>
  <c r="AB217" i="30" s="1"/>
  <c r="P218" i="30"/>
  <c r="P219" i="30"/>
  <c r="P223" i="30"/>
  <c r="P237" i="30"/>
  <c r="P243" i="30"/>
  <c r="W217" i="32"/>
  <c r="AG309" i="32"/>
  <c r="AG328" i="32"/>
  <c r="AG308" i="32"/>
  <c r="AG293" i="32"/>
  <c r="AG337" i="32"/>
  <c r="X192" i="30"/>
  <c r="Y192" i="32"/>
  <c r="X188" i="30"/>
  <c r="Y188" i="32"/>
  <c r="X202" i="30"/>
  <c r="Y202" i="32"/>
  <c r="X204" i="30"/>
  <c r="Y204" i="32"/>
  <c r="AG301" i="32"/>
  <c r="AE200" i="32"/>
  <c r="AG199" i="32"/>
  <c r="V220" i="30" l="1"/>
  <c r="W220" i="32"/>
  <c r="AG368" i="32"/>
  <c r="AE253" i="32"/>
  <c r="AG252" i="32"/>
  <c r="AA332" i="32"/>
  <c r="AC332" i="32" s="1"/>
  <c r="W332" i="34"/>
  <c r="V223" i="30"/>
  <c r="Z223" i="30"/>
  <c r="AB223" i="30" s="1"/>
  <c r="W223" i="32"/>
  <c r="V245" i="30"/>
  <c r="W245" i="32"/>
  <c r="X239" i="30"/>
  <c r="Y239" i="32"/>
  <c r="X218" i="30"/>
  <c r="Y218" i="32"/>
  <c r="AE112" i="32"/>
  <c r="AG111" i="32"/>
  <c r="AA313" i="32"/>
  <c r="W313" i="34"/>
  <c r="AA335" i="32"/>
  <c r="W335" i="34"/>
  <c r="AA333" i="32"/>
  <c r="W333" i="34"/>
  <c r="V219" i="30"/>
  <c r="W219" i="32"/>
  <c r="V222" i="30"/>
  <c r="W222" i="32"/>
  <c r="Z244" i="30"/>
  <c r="AB244" i="30" s="1"/>
  <c r="V244" i="30"/>
  <c r="W244" i="32"/>
  <c r="X358" i="32"/>
  <c r="X352" i="32"/>
  <c r="AG353" i="32"/>
  <c r="X368" i="32"/>
  <c r="X226" i="30"/>
  <c r="Y226" i="32"/>
  <c r="X234" i="30"/>
  <c r="Y234" i="32"/>
  <c r="X222" i="30"/>
  <c r="Y222" i="32"/>
  <c r="X247" i="30"/>
  <c r="Y247" i="32"/>
  <c r="AE189" i="32"/>
  <c r="AG188" i="32"/>
  <c r="X363" i="32"/>
  <c r="X369" i="32"/>
  <c r="AG366" i="32"/>
  <c r="Y381" i="32"/>
  <c r="AE91" i="32"/>
  <c r="AG90" i="32"/>
  <c r="AA320" i="32"/>
  <c r="W320" i="34"/>
  <c r="AA310" i="32"/>
  <c r="W310" i="34"/>
  <c r="AA312" i="32"/>
  <c r="W312" i="34"/>
  <c r="V218" i="30"/>
  <c r="W218" i="32"/>
  <c r="V225" i="30"/>
  <c r="W225" i="32"/>
  <c r="V246" i="30"/>
  <c r="W246" i="32"/>
  <c r="V221" i="30"/>
  <c r="Z221" i="30"/>
  <c r="W221" i="32"/>
  <c r="AG364" i="32"/>
  <c r="X348" i="32"/>
  <c r="X220" i="30"/>
  <c r="Y220" i="32"/>
  <c r="X227" i="30"/>
  <c r="Y227" i="32"/>
  <c r="X230" i="30"/>
  <c r="Y230" i="32"/>
  <c r="X240" i="30"/>
  <c r="Y240" i="32"/>
  <c r="X245" i="30"/>
  <c r="Y245" i="32"/>
  <c r="AE182" i="32"/>
  <c r="AG181" i="32"/>
  <c r="AG347" i="32"/>
  <c r="X359" i="32"/>
  <c r="AE143" i="32"/>
  <c r="AG142" i="32"/>
  <c r="AA315" i="32"/>
  <c r="W315" i="34"/>
  <c r="AA329" i="32"/>
  <c r="W329" i="34"/>
  <c r="AA314" i="32"/>
  <c r="W314" i="34"/>
  <c r="AA323" i="32"/>
  <c r="W323" i="34"/>
  <c r="V234" i="30"/>
  <c r="W234" i="32"/>
  <c r="W381" i="32"/>
  <c r="R261" i="30"/>
  <c r="R258" i="30"/>
  <c r="R263" i="30"/>
  <c r="R254" i="30"/>
  <c r="R249" i="30"/>
  <c r="R277" i="30"/>
  <c r="R256" i="30"/>
  <c r="R275" i="30"/>
  <c r="R271" i="30"/>
  <c r="R267" i="30"/>
  <c r="R278" i="30"/>
  <c r="R262" i="30"/>
  <c r="R272" i="30"/>
  <c r="R265" i="30"/>
  <c r="R260" i="30"/>
  <c r="R251" i="30"/>
  <c r="R276" i="30"/>
  <c r="R264" i="30"/>
  <c r="R257" i="30"/>
  <c r="R255" i="30"/>
  <c r="R269" i="30"/>
  <c r="R268" i="30"/>
  <c r="R266" i="30"/>
  <c r="R252" i="30"/>
  <c r="R274" i="30"/>
  <c r="R270" i="30"/>
  <c r="R259" i="30"/>
  <c r="R250" i="30"/>
  <c r="R273" i="30"/>
  <c r="X248" i="30"/>
  <c r="R253" i="30"/>
  <c r="Y248" i="32"/>
  <c r="X237" i="30"/>
  <c r="Y237" i="32"/>
  <c r="AA338" i="32"/>
  <c r="W338" i="34"/>
  <c r="V247" i="30"/>
  <c r="W247" i="32"/>
  <c r="AE171" i="32"/>
  <c r="AG170" i="32"/>
  <c r="X243" i="30"/>
  <c r="Y243" i="32"/>
  <c r="V226" i="30"/>
  <c r="W226" i="32"/>
  <c r="X219" i="30"/>
  <c r="Y219" i="32"/>
  <c r="X365" i="32"/>
  <c r="X341" i="32"/>
  <c r="V239" i="30"/>
  <c r="W239" i="32"/>
  <c r="V240" i="30"/>
  <c r="W240" i="32"/>
  <c r="Z227" i="30"/>
  <c r="AB227" i="30" s="1"/>
  <c r="V227" i="30"/>
  <c r="W227" i="32"/>
  <c r="V228" i="30"/>
  <c r="Z228" i="30"/>
  <c r="W228" i="32"/>
  <c r="AG333" i="32"/>
  <c r="AG360" i="32"/>
  <c r="X350" i="32"/>
  <c r="AE101" i="32"/>
  <c r="AG100" i="32"/>
  <c r="AG357" i="32"/>
  <c r="X236" i="30"/>
  <c r="Y236" i="32"/>
  <c r="X223" i="30"/>
  <c r="Y223" i="32"/>
  <c r="X244" i="30"/>
  <c r="Y244" i="32"/>
  <c r="AE155" i="32"/>
  <c r="AG155" i="32" s="1"/>
  <c r="AG154" i="32"/>
  <c r="X367" i="32"/>
  <c r="AG335" i="32"/>
  <c r="X347" i="32"/>
  <c r="AA327" i="32"/>
  <c r="W327" i="34"/>
  <c r="AA311" i="32"/>
  <c r="AC311" i="32" s="1"/>
  <c r="W311" i="34"/>
  <c r="AA324" i="32"/>
  <c r="W324" i="34"/>
  <c r="AA337" i="32"/>
  <c r="W337" i="34"/>
  <c r="Z237" i="30"/>
  <c r="AB237" i="30" s="1"/>
  <c r="V237" i="30"/>
  <c r="W237" i="32"/>
  <c r="AE51" i="32"/>
  <c r="AG50" i="32"/>
  <c r="X231" i="30"/>
  <c r="Y231" i="32"/>
  <c r="AE68" i="32"/>
  <c r="AG67" i="32"/>
  <c r="AA334" i="32"/>
  <c r="W334" i="34"/>
  <c r="P275" i="30"/>
  <c r="P269" i="30"/>
  <c r="P259" i="30"/>
  <c r="P261" i="30"/>
  <c r="P258" i="30"/>
  <c r="P272" i="30"/>
  <c r="P270" i="30"/>
  <c r="P268" i="30"/>
  <c r="P264" i="30"/>
  <c r="P263" i="30"/>
  <c r="P254" i="30"/>
  <c r="P252" i="30"/>
  <c r="Z248" i="30"/>
  <c r="AB248" i="30" s="1"/>
  <c r="P273" i="30"/>
  <c r="P277" i="30"/>
  <c r="P276" i="30"/>
  <c r="P255" i="30"/>
  <c r="P250" i="30"/>
  <c r="P278" i="30"/>
  <c r="P271" i="30"/>
  <c r="P266" i="30"/>
  <c r="P262" i="30"/>
  <c r="P274" i="30"/>
  <c r="P249" i="30"/>
  <c r="V248" i="30"/>
  <c r="P265" i="30"/>
  <c r="P260" i="30"/>
  <c r="P256" i="30"/>
  <c r="P251" i="30"/>
  <c r="P253" i="30"/>
  <c r="P267" i="30"/>
  <c r="P257" i="30"/>
  <c r="W248" i="32"/>
  <c r="X228" i="30"/>
  <c r="Y228" i="32"/>
  <c r="X241" i="30"/>
  <c r="Y241" i="32"/>
  <c r="AG338" i="32"/>
  <c r="AA322" i="32"/>
  <c r="W322" i="34"/>
  <c r="AA326" i="32"/>
  <c r="W326" i="34"/>
  <c r="V224" i="30"/>
  <c r="W224" i="32"/>
  <c r="V233" i="30"/>
  <c r="W233" i="32"/>
  <c r="Z230" i="30"/>
  <c r="AB230" i="30" s="1"/>
  <c r="V230" i="30"/>
  <c r="W230" i="32"/>
  <c r="V235" i="30"/>
  <c r="Z235" i="30"/>
  <c r="AB235" i="30" s="1"/>
  <c r="W235" i="32"/>
  <c r="AG345" i="32"/>
  <c r="X224" i="30"/>
  <c r="Y224" i="32"/>
  <c r="X246" i="30"/>
  <c r="Y246" i="32"/>
  <c r="X225" i="30"/>
  <c r="Y225" i="32"/>
  <c r="X229" i="30"/>
  <c r="Y229" i="32"/>
  <c r="X349" i="32"/>
  <c r="X354" i="32"/>
  <c r="AE123" i="32"/>
  <c r="AG122" i="32"/>
  <c r="AE160" i="32"/>
  <c r="AG159" i="32"/>
  <c r="AG343" i="32"/>
  <c r="AE131" i="32"/>
  <c r="AG130" i="32"/>
  <c r="X361" i="32"/>
  <c r="AG326" i="32"/>
  <c r="AE40" i="32"/>
  <c r="AG39" i="32"/>
  <c r="AA325" i="32"/>
  <c r="AC325" i="32" s="1"/>
  <c r="W325" i="34"/>
  <c r="AA328" i="32"/>
  <c r="W328" i="34"/>
  <c r="AA318" i="32"/>
  <c r="AC318" i="32" s="1"/>
  <c r="W318" i="34"/>
  <c r="AA316" i="32"/>
  <c r="W316" i="34"/>
  <c r="V236" i="30"/>
  <c r="W236" i="32"/>
  <c r="X238" i="30"/>
  <c r="Y238" i="32"/>
  <c r="AA330" i="32"/>
  <c r="W330" i="34"/>
  <c r="V238" i="30"/>
  <c r="W238" i="32"/>
  <c r="AG332" i="32"/>
  <c r="V231" i="30"/>
  <c r="W231" i="32"/>
  <c r="X353" i="32"/>
  <c r="X221" i="30"/>
  <c r="Y221" i="32"/>
  <c r="X355" i="32"/>
  <c r="Q366" i="32"/>
  <c r="Q355" i="32"/>
  <c r="AG355" i="32" s="1"/>
  <c r="Q346" i="32"/>
  <c r="Q369" i="32"/>
  <c r="Q361" i="32"/>
  <c r="AG361" i="32" s="1"/>
  <c r="Q358" i="32"/>
  <c r="AG358" i="32" s="1"/>
  <c r="Q362" i="32"/>
  <c r="AG362" i="32" s="1"/>
  <c r="Q359" i="32"/>
  <c r="AG359" i="32" s="1"/>
  <c r="Q342" i="32"/>
  <c r="AG342" i="32" s="1"/>
  <c r="Q368" i="32"/>
  <c r="Q357" i="32"/>
  <c r="Q352" i="32"/>
  <c r="Q350" i="32"/>
  <c r="Q348" i="32"/>
  <c r="Q340" i="32"/>
  <c r="AG340" i="32" s="1"/>
  <c r="Q343" i="32"/>
  <c r="Q365" i="32"/>
  <c r="Q354" i="32"/>
  <c r="Q344" i="32"/>
  <c r="Q364" i="32"/>
  <c r="Q353" i="32"/>
  <c r="Q349" i="32"/>
  <c r="AA339" i="32"/>
  <c r="AC339" i="32" s="1"/>
  <c r="Q363" i="32"/>
  <c r="AG363" i="32" s="1"/>
  <c r="Q360" i="32"/>
  <c r="Q347" i="32"/>
  <c r="Q345" i="32"/>
  <c r="Q341" i="32"/>
  <c r="AG341" i="32" s="1"/>
  <c r="Q367" i="32"/>
  <c r="AG367" i="32" s="1"/>
  <c r="Q351" i="32"/>
  <c r="Q356" i="32"/>
  <c r="AG356" i="32" s="1"/>
  <c r="W339" i="34"/>
  <c r="AA317" i="32"/>
  <c r="W317" i="34"/>
  <c r="AE201" i="32"/>
  <c r="AG200" i="32"/>
  <c r="V243" i="30"/>
  <c r="W243" i="32"/>
  <c r="V229" i="30"/>
  <c r="W229" i="32"/>
  <c r="Z242" i="30"/>
  <c r="AB242" i="30" s="1"/>
  <c r="V242" i="30"/>
  <c r="W242" i="32"/>
  <c r="V232" i="30"/>
  <c r="W232" i="32"/>
  <c r="V241" i="30"/>
  <c r="W241" i="32"/>
  <c r="AG313" i="32"/>
  <c r="X357" i="32"/>
  <c r="X235" i="30"/>
  <c r="Y235" i="32"/>
  <c r="X233" i="30"/>
  <c r="Y233" i="32"/>
  <c r="X242" i="30"/>
  <c r="Y242" i="32"/>
  <c r="X232" i="30"/>
  <c r="Y232" i="32"/>
  <c r="X351" i="32"/>
  <c r="AG344" i="32"/>
  <c r="X356" i="32"/>
  <c r="AA336" i="32"/>
  <c r="W336" i="34"/>
  <c r="AA331" i="32"/>
  <c r="W331" i="34"/>
  <c r="AA321" i="32"/>
  <c r="W321" i="34"/>
  <c r="AA319" i="32"/>
  <c r="W319" i="34"/>
  <c r="X340" i="32"/>
  <c r="AA349" i="32" l="1"/>
  <c r="W349" i="34"/>
  <c r="V254" i="30"/>
  <c r="W254" i="32"/>
  <c r="X256" i="30"/>
  <c r="Y256" i="32"/>
  <c r="AA353" i="32"/>
  <c r="AC353" i="32" s="1"/>
  <c r="W353" i="34"/>
  <c r="AE132" i="32"/>
  <c r="AG131" i="32"/>
  <c r="Z263" i="30"/>
  <c r="AB263" i="30" s="1"/>
  <c r="V263" i="30"/>
  <c r="W263" i="32"/>
  <c r="X277" i="30"/>
  <c r="Y277" i="32"/>
  <c r="AA364" i="32"/>
  <c r="W364" i="34"/>
  <c r="V264" i="30"/>
  <c r="W264" i="32"/>
  <c r="V275" i="30"/>
  <c r="Z275" i="30"/>
  <c r="AB275" i="30" s="1"/>
  <c r="W275" i="32"/>
  <c r="X273" i="30"/>
  <c r="Y273" i="32"/>
  <c r="X269" i="30"/>
  <c r="Y269" i="32"/>
  <c r="X272" i="30"/>
  <c r="Y272" i="32"/>
  <c r="X249" i="30"/>
  <c r="Y249" i="32"/>
  <c r="AA345" i="32"/>
  <c r="W345" i="34"/>
  <c r="AA344" i="32"/>
  <c r="W344" i="34"/>
  <c r="AA352" i="32"/>
  <c r="W352" i="34"/>
  <c r="AA369" i="32"/>
  <c r="W369" i="34"/>
  <c r="V257" i="30"/>
  <c r="W257" i="32"/>
  <c r="Z249" i="30"/>
  <c r="V249" i="30"/>
  <c r="W249" i="32"/>
  <c r="V276" i="30"/>
  <c r="W276" i="32"/>
  <c r="Z268" i="30"/>
  <c r="AB268" i="30" s="1"/>
  <c r="V268" i="30"/>
  <c r="W268" i="32"/>
  <c r="AG369" i="32"/>
  <c r="X250" i="30"/>
  <c r="Y250" i="32"/>
  <c r="X255" i="30"/>
  <c r="Y255" i="32"/>
  <c r="X262" i="30"/>
  <c r="Y262" i="32"/>
  <c r="X254" i="30"/>
  <c r="Y254" i="32"/>
  <c r="AE254" i="32"/>
  <c r="AG253" i="32"/>
  <c r="P309" i="30"/>
  <c r="P302" i="30"/>
  <c r="P298" i="30"/>
  <c r="P294" i="30"/>
  <c r="P296" i="30"/>
  <c r="P279" i="30"/>
  <c r="Z278" i="30"/>
  <c r="AB278" i="30" s="1"/>
  <c r="P308" i="30"/>
  <c r="P306" i="30"/>
  <c r="P297" i="30"/>
  <c r="P287" i="30"/>
  <c r="P307" i="30"/>
  <c r="P301" i="30"/>
  <c r="P290" i="30"/>
  <c r="P305" i="30"/>
  <c r="P292" i="30"/>
  <c r="P284" i="30"/>
  <c r="P286" i="30"/>
  <c r="P304" i="30"/>
  <c r="P303" i="30"/>
  <c r="P295" i="30"/>
  <c r="P283" i="30"/>
  <c r="P289" i="30"/>
  <c r="P288" i="30"/>
  <c r="P299" i="30"/>
  <c r="P293" i="30"/>
  <c r="P282" i="30"/>
  <c r="P291" i="30"/>
  <c r="P280" i="30"/>
  <c r="P281" i="30"/>
  <c r="V278" i="30"/>
  <c r="P300" i="30"/>
  <c r="P285" i="30"/>
  <c r="W278" i="32"/>
  <c r="AA348" i="32"/>
  <c r="W348" i="34"/>
  <c r="V265" i="30"/>
  <c r="Z265" i="30"/>
  <c r="AB265" i="30" s="1"/>
  <c r="W265" i="32"/>
  <c r="AA341" i="32"/>
  <c r="W341" i="34"/>
  <c r="V255" i="30"/>
  <c r="W255" i="32"/>
  <c r="AA354" i="32"/>
  <c r="W354" i="34"/>
  <c r="AE161" i="32"/>
  <c r="AG160" i="32"/>
  <c r="V267" i="30"/>
  <c r="W267" i="32"/>
  <c r="V274" i="30"/>
  <c r="W274" i="32"/>
  <c r="V277" i="30"/>
  <c r="W277" i="32"/>
  <c r="Z270" i="30"/>
  <c r="AB270" i="30" s="1"/>
  <c r="V270" i="30"/>
  <c r="W270" i="32"/>
  <c r="AE52" i="32"/>
  <c r="AG51" i="32"/>
  <c r="AE102" i="32"/>
  <c r="AG101" i="32"/>
  <c r="AG349" i="32"/>
  <c r="X259" i="30"/>
  <c r="Y259" i="32"/>
  <c r="X257" i="30"/>
  <c r="Y257" i="32"/>
  <c r="R304" i="30"/>
  <c r="R295" i="30"/>
  <c r="R308" i="30"/>
  <c r="R306" i="30"/>
  <c r="R297" i="30"/>
  <c r="R287" i="30"/>
  <c r="R309" i="30"/>
  <c r="R302" i="30"/>
  <c r="R298" i="30"/>
  <c r="R294" i="30"/>
  <c r="R292" i="30"/>
  <c r="R279" i="30"/>
  <c r="R288" i="30"/>
  <c r="R286" i="30"/>
  <c r="R283" i="30"/>
  <c r="R281" i="30"/>
  <c r="X278" i="30"/>
  <c r="R303" i="30"/>
  <c r="R300" i="30"/>
  <c r="R299" i="30"/>
  <c r="R296" i="30"/>
  <c r="R293" i="30"/>
  <c r="R291" i="30"/>
  <c r="R285" i="30"/>
  <c r="R284" i="30"/>
  <c r="R282" i="30"/>
  <c r="R280" i="30"/>
  <c r="R305" i="30"/>
  <c r="R290" i="30"/>
  <c r="R289" i="30"/>
  <c r="R307" i="30"/>
  <c r="R301" i="30"/>
  <c r="Y278" i="32"/>
  <c r="X263" i="30"/>
  <c r="Y263" i="32"/>
  <c r="AE183" i="32"/>
  <c r="AG182" i="32"/>
  <c r="AE113" i="32"/>
  <c r="AG112" i="32"/>
  <c r="AA360" i="32"/>
  <c r="AC360" i="32" s="1"/>
  <c r="W360" i="34"/>
  <c r="AA365" i="32"/>
  <c r="W365" i="34"/>
  <c r="AA368" i="32"/>
  <c r="W368" i="34"/>
  <c r="AA355" i="32"/>
  <c r="W355" i="34"/>
  <c r="AG348" i="32"/>
  <c r="AE41" i="32"/>
  <c r="AG40" i="32"/>
  <c r="AG354" i="32"/>
  <c r="V253" i="30"/>
  <c r="W253" i="32"/>
  <c r="V262" i="30"/>
  <c r="W262" i="32"/>
  <c r="V273" i="30"/>
  <c r="W273" i="32"/>
  <c r="Z272" i="30"/>
  <c r="AB272" i="30" s="1"/>
  <c r="V272" i="30"/>
  <c r="W272" i="32"/>
  <c r="AE172" i="32"/>
  <c r="AG171" i="32"/>
  <c r="X270" i="30"/>
  <c r="Y270" i="32"/>
  <c r="X264" i="30"/>
  <c r="Y264" i="32"/>
  <c r="X267" i="30"/>
  <c r="Y267" i="32"/>
  <c r="X258" i="30"/>
  <c r="Y258" i="32"/>
  <c r="AG352" i="32"/>
  <c r="AA340" i="32"/>
  <c r="W340" i="34"/>
  <c r="V260" i="30"/>
  <c r="W260" i="32"/>
  <c r="X266" i="30"/>
  <c r="Y266" i="32"/>
  <c r="V250" i="30"/>
  <c r="W250" i="32"/>
  <c r="X268" i="30"/>
  <c r="Y268" i="32"/>
  <c r="AA361" i="32"/>
  <c r="W361" i="34"/>
  <c r="AA357" i="32"/>
  <c r="W357" i="34"/>
  <c r="AA363" i="32"/>
  <c r="W363" i="34"/>
  <c r="Z251" i="30"/>
  <c r="AB251" i="30" s="1"/>
  <c r="V251" i="30"/>
  <c r="W251" i="32"/>
  <c r="V266" i="30"/>
  <c r="W266" i="32"/>
  <c r="V258" i="30"/>
  <c r="Z258" i="30"/>
  <c r="AB258" i="30" s="1"/>
  <c r="W258" i="32"/>
  <c r="X274" i="30"/>
  <c r="Y274" i="32"/>
  <c r="X276" i="30"/>
  <c r="Y276" i="32"/>
  <c r="X271" i="30"/>
  <c r="Y271" i="32"/>
  <c r="X261" i="30"/>
  <c r="Y261" i="32"/>
  <c r="AE92" i="32"/>
  <c r="AG91" i="32"/>
  <c r="AE190" i="32"/>
  <c r="AG189" i="32"/>
  <c r="AA351" i="32"/>
  <c r="W351" i="34"/>
  <c r="AA362" i="32"/>
  <c r="W362" i="34"/>
  <c r="V259" i="30"/>
  <c r="W259" i="32"/>
  <c r="X253" i="30"/>
  <c r="Y253" i="32"/>
  <c r="X260" i="30"/>
  <c r="Y260" i="32"/>
  <c r="AA367" i="32"/>
  <c r="AC367" i="32" s="1"/>
  <c r="W367" i="34"/>
  <c r="AA358" i="32"/>
  <c r="W358" i="34"/>
  <c r="V269" i="30"/>
  <c r="W269" i="32"/>
  <c r="AG351" i="32"/>
  <c r="X265" i="30"/>
  <c r="Y265" i="32"/>
  <c r="AE202" i="32"/>
  <c r="AG201" i="32"/>
  <c r="AA350" i="32"/>
  <c r="W350" i="34"/>
  <c r="AA347" i="32"/>
  <c r="AC347" i="32" s="1"/>
  <c r="W347" i="34"/>
  <c r="AA346" i="32"/>
  <c r="AC346" i="32" s="1"/>
  <c r="W346" i="34"/>
  <c r="AA342" i="32"/>
  <c r="W342" i="34"/>
  <c r="AA366" i="32"/>
  <c r="W366" i="34"/>
  <c r="AA356" i="32"/>
  <c r="W356" i="34"/>
  <c r="AA343" i="32"/>
  <c r="W343" i="34"/>
  <c r="AA359" i="32"/>
  <c r="W359" i="34"/>
  <c r="AE124" i="32"/>
  <c r="AG124" i="32" s="1"/>
  <c r="AG123" i="32"/>
  <c r="V256" i="30"/>
  <c r="Z256" i="30"/>
  <c r="AB256" i="30" s="1"/>
  <c r="W256" i="32"/>
  <c r="V271" i="30"/>
  <c r="W271" i="32"/>
  <c r="V252" i="30"/>
  <c r="W252" i="32"/>
  <c r="V261" i="30"/>
  <c r="W261" i="32"/>
  <c r="AE69" i="32"/>
  <c r="AG68" i="32"/>
  <c r="AG346" i="32"/>
  <c r="X252" i="30"/>
  <c r="Y252" i="32"/>
  <c r="X251" i="30"/>
  <c r="Y251" i="32"/>
  <c r="X275" i="30"/>
  <c r="Y275" i="32"/>
  <c r="AE144" i="32"/>
  <c r="AG144" i="32" s="1"/>
  <c r="AG143" i="32"/>
  <c r="AG350" i="32"/>
  <c r="AG365" i="32"/>
  <c r="X281" i="30" l="1"/>
  <c r="Y281" i="32"/>
  <c r="X302" i="30"/>
  <c r="Y302" i="32"/>
  <c r="Z307" i="30"/>
  <c r="AB307" i="30" s="1"/>
  <c r="V307" i="30"/>
  <c r="W307" i="32"/>
  <c r="R339" i="30"/>
  <c r="R335" i="30"/>
  <c r="R327" i="30"/>
  <c r="R324" i="30"/>
  <c r="R315" i="30"/>
  <c r="R313" i="30"/>
  <c r="X309" i="30"/>
  <c r="R330" i="30"/>
  <c r="R329" i="30"/>
  <c r="R333" i="30"/>
  <c r="R331" i="30"/>
  <c r="R326" i="30"/>
  <c r="R322" i="30"/>
  <c r="R310" i="30"/>
  <c r="R323" i="30"/>
  <c r="R312" i="30"/>
  <c r="R334" i="30"/>
  <c r="R332" i="30"/>
  <c r="R328" i="30"/>
  <c r="R321" i="30"/>
  <c r="R320" i="30"/>
  <c r="R314" i="30"/>
  <c r="R319" i="30"/>
  <c r="R338" i="30"/>
  <c r="R318" i="30"/>
  <c r="R316" i="30"/>
  <c r="R337" i="30"/>
  <c r="R336" i="30"/>
  <c r="R317" i="30"/>
  <c r="R311" i="30"/>
  <c r="R325" i="30"/>
  <c r="Y309" i="32"/>
  <c r="AE191" i="32"/>
  <c r="AG190" i="32"/>
  <c r="X282" i="30"/>
  <c r="Y282" i="32"/>
  <c r="X303" i="30"/>
  <c r="Y303" i="32"/>
  <c r="X294" i="30"/>
  <c r="Y294" i="32"/>
  <c r="X295" i="30"/>
  <c r="Y295" i="32"/>
  <c r="AE103" i="32"/>
  <c r="AG102" i="32"/>
  <c r="V281" i="30"/>
  <c r="W281" i="32"/>
  <c r="V283" i="30"/>
  <c r="W283" i="32"/>
  <c r="V290" i="30"/>
  <c r="W290" i="32"/>
  <c r="V279" i="30"/>
  <c r="Z279" i="30"/>
  <c r="AB279" i="30" s="1"/>
  <c r="W279" i="32"/>
  <c r="AE173" i="32"/>
  <c r="AG172" i="32"/>
  <c r="X284" i="30"/>
  <c r="Y284" i="32"/>
  <c r="X298" i="30"/>
  <c r="Y298" i="32"/>
  <c r="X304" i="30"/>
  <c r="Y304" i="32"/>
  <c r="V280" i="30"/>
  <c r="W280" i="32"/>
  <c r="V295" i="30"/>
  <c r="W295" i="32"/>
  <c r="V301" i="30"/>
  <c r="W301" i="32"/>
  <c r="V296" i="30"/>
  <c r="W296" i="32"/>
  <c r="AE70" i="32"/>
  <c r="AG69" i="32"/>
  <c r="V294" i="30"/>
  <c r="W294" i="32"/>
  <c r="X307" i="30"/>
  <c r="Y307" i="32"/>
  <c r="V304" i="30"/>
  <c r="W304" i="32"/>
  <c r="Z298" i="30"/>
  <c r="AB298" i="30" s="1"/>
  <c r="V298" i="30"/>
  <c r="W298" i="32"/>
  <c r="AE114" i="32"/>
  <c r="AG114" i="32" s="1"/>
  <c r="AG113" i="32"/>
  <c r="X289" i="30"/>
  <c r="Y289" i="32"/>
  <c r="X293" i="30"/>
  <c r="Y293" i="32"/>
  <c r="X286" i="30"/>
  <c r="Y286" i="32"/>
  <c r="X287" i="30"/>
  <c r="Y287" i="32"/>
  <c r="Z293" i="30"/>
  <c r="AB293" i="30" s="1"/>
  <c r="V293" i="30"/>
  <c r="W293" i="32"/>
  <c r="Z286" i="30"/>
  <c r="AB286" i="30" s="1"/>
  <c r="V286" i="30"/>
  <c r="W286" i="32"/>
  <c r="V297" i="30"/>
  <c r="W297" i="32"/>
  <c r="V302" i="30"/>
  <c r="W302" i="32"/>
  <c r="AE42" i="32"/>
  <c r="AG41" i="32"/>
  <c r="X290" i="30"/>
  <c r="Y290" i="32"/>
  <c r="X296" i="30"/>
  <c r="Y296" i="32"/>
  <c r="X288" i="30"/>
  <c r="Y288" i="32"/>
  <c r="X297" i="30"/>
  <c r="Y297" i="32"/>
  <c r="AE162" i="32"/>
  <c r="AG161" i="32"/>
  <c r="V285" i="30"/>
  <c r="W285" i="32"/>
  <c r="V299" i="30"/>
  <c r="W299" i="32"/>
  <c r="V284" i="30"/>
  <c r="W284" i="32"/>
  <c r="V306" i="30"/>
  <c r="W306" i="32"/>
  <c r="P339" i="30"/>
  <c r="P335" i="30"/>
  <c r="P337" i="30"/>
  <c r="P323" i="30"/>
  <c r="P312" i="30"/>
  <c r="P332" i="30"/>
  <c r="P319" i="30"/>
  <c r="P336" i="30"/>
  <c r="P328" i="30"/>
  <c r="P325" i="30"/>
  <c r="P316" i="30"/>
  <c r="P334" i="30"/>
  <c r="P333" i="30"/>
  <c r="P331" i="30"/>
  <c r="P326" i="30"/>
  <c r="P322" i="30"/>
  <c r="P310" i="30"/>
  <c r="P329" i="30"/>
  <c r="P315" i="30"/>
  <c r="P327" i="30"/>
  <c r="V309" i="30"/>
  <c r="P317" i="30"/>
  <c r="P311" i="30"/>
  <c r="P320" i="30"/>
  <c r="P314" i="30"/>
  <c r="P338" i="30"/>
  <c r="P313" i="30"/>
  <c r="Z309" i="30"/>
  <c r="AB309" i="30" s="1"/>
  <c r="P330" i="30"/>
  <c r="P324" i="30"/>
  <c r="P321" i="30"/>
  <c r="P318" i="30"/>
  <c r="W309" i="32"/>
  <c r="AE133" i="32"/>
  <c r="AG132" i="32"/>
  <c r="AE93" i="32"/>
  <c r="AG92" i="32"/>
  <c r="X285" i="30"/>
  <c r="Y285" i="32"/>
  <c r="V303" i="30"/>
  <c r="W303" i="32"/>
  <c r="X283" i="30"/>
  <c r="Y283" i="32"/>
  <c r="V282" i="30"/>
  <c r="W282" i="32"/>
  <c r="AE184" i="32"/>
  <c r="AG183" i="32"/>
  <c r="X305" i="30"/>
  <c r="Y305" i="32"/>
  <c r="X299" i="30"/>
  <c r="Y299" i="32"/>
  <c r="X279" i="30"/>
  <c r="Y279" i="32"/>
  <c r="X306" i="30"/>
  <c r="Y306" i="32"/>
  <c r="Z300" i="30"/>
  <c r="AB300" i="30" s="1"/>
  <c r="V300" i="30"/>
  <c r="W300" i="32"/>
  <c r="Z288" i="30"/>
  <c r="AB288" i="30" s="1"/>
  <c r="V288" i="30"/>
  <c r="W288" i="32"/>
  <c r="V292" i="30"/>
  <c r="W292" i="32"/>
  <c r="V308" i="30"/>
  <c r="W308" i="32"/>
  <c r="X301" i="30"/>
  <c r="Y301" i="32"/>
  <c r="AE53" i="32"/>
  <c r="AG52" i="32"/>
  <c r="V291" i="30"/>
  <c r="W291" i="32"/>
  <c r="X291" i="30"/>
  <c r="Y291" i="32"/>
  <c r="V287" i="30"/>
  <c r="W287" i="32"/>
  <c r="AE203" i="32"/>
  <c r="AG202" i="32"/>
  <c r="X280" i="30"/>
  <c r="Y280" i="32"/>
  <c r="X300" i="30"/>
  <c r="Y300" i="32"/>
  <c r="X292" i="30"/>
  <c r="Y292" i="32"/>
  <c r="X308" i="30"/>
  <c r="Y308" i="32"/>
  <c r="Z289" i="30"/>
  <c r="AB289" i="30" s="1"/>
  <c r="V289" i="30"/>
  <c r="W289" i="32"/>
  <c r="V305" i="30"/>
  <c r="Z305" i="30"/>
  <c r="AB305" i="30" s="1"/>
  <c r="W305" i="32"/>
  <c r="AE255" i="32"/>
  <c r="AG254" i="32"/>
  <c r="V311" i="30" l="1"/>
  <c r="W311" i="32"/>
  <c r="AE134" i="32"/>
  <c r="AG134" i="32" s="1"/>
  <c r="AG133" i="32"/>
  <c r="V338" i="30"/>
  <c r="W338" i="32"/>
  <c r="V329" i="30"/>
  <c r="Z329" i="30"/>
  <c r="AB329" i="30" s="1"/>
  <c r="W329" i="32"/>
  <c r="V325" i="30"/>
  <c r="W325" i="32"/>
  <c r="Z335" i="30"/>
  <c r="AB335" i="30" s="1"/>
  <c r="V335" i="30"/>
  <c r="W335" i="32"/>
  <c r="X316" i="30"/>
  <c r="Y316" i="32"/>
  <c r="X332" i="30"/>
  <c r="Y332" i="32"/>
  <c r="X333" i="30"/>
  <c r="Y333" i="32"/>
  <c r="X335" i="30"/>
  <c r="Y335" i="32"/>
  <c r="Z314" i="30"/>
  <c r="AB314" i="30" s="1"/>
  <c r="V314" i="30"/>
  <c r="W314" i="32"/>
  <c r="V310" i="30"/>
  <c r="W310" i="32"/>
  <c r="V328" i="30"/>
  <c r="Z328" i="30"/>
  <c r="AB328" i="30" s="1"/>
  <c r="W328" i="32"/>
  <c r="P363" i="30"/>
  <c r="P369" i="30"/>
  <c r="P364" i="30"/>
  <c r="P344" i="30"/>
  <c r="P365" i="30"/>
  <c r="P367" i="30"/>
  <c r="P360" i="30"/>
  <c r="P357" i="30"/>
  <c r="P354" i="30"/>
  <c r="P347" i="30"/>
  <c r="P343" i="30"/>
  <c r="P341" i="30"/>
  <c r="P359" i="30"/>
  <c r="P355" i="30"/>
  <c r="V339" i="30"/>
  <c r="P366" i="30"/>
  <c r="P361" i="30"/>
  <c r="P358" i="30"/>
  <c r="P362" i="30"/>
  <c r="P353" i="30"/>
  <c r="P349" i="30"/>
  <c r="P340" i="30"/>
  <c r="P350" i="30"/>
  <c r="Z339" i="30"/>
  <c r="P348" i="30"/>
  <c r="P346" i="30"/>
  <c r="P368" i="30"/>
  <c r="P352" i="30"/>
  <c r="P345" i="30"/>
  <c r="P356" i="30"/>
  <c r="P351" i="30"/>
  <c r="P342" i="30"/>
  <c r="W339" i="32"/>
  <c r="AE192" i="32"/>
  <c r="AG191" i="32"/>
  <c r="X318" i="30"/>
  <c r="Y318" i="32"/>
  <c r="X334" i="30"/>
  <c r="Y334" i="32"/>
  <c r="X329" i="30"/>
  <c r="Y329" i="32"/>
  <c r="R369" i="30"/>
  <c r="R366" i="30"/>
  <c r="R361" i="30"/>
  <c r="R358" i="30"/>
  <c r="R351" i="30"/>
  <c r="R345" i="30"/>
  <c r="X339" i="30"/>
  <c r="R364" i="30"/>
  <c r="R344" i="30"/>
  <c r="R354" i="30"/>
  <c r="R346" i="30"/>
  <c r="R343" i="30"/>
  <c r="R341" i="30"/>
  <c r="R348" i="30"/>
  <c r="R342" i="30"/>
  <c r="R365" i="30"/>
  <c r="R367" i="30"/>
  <c r="R360" i="30"/>
  <c r="R349" i="30"/>
  <c r="R357" i="30"/>
  <c r="R350" i="30"/>
  <c r="R363" i="30"/>
  <c r="R353" i="30"/>
  <c r="R347" i="30"/>
  <c r="R362" i="30"/>
  <c r="R355" i="30"/>
  <c r="R340" i="30"/>
  <c r="R359" i="30"/>
  <c r="R352" i="30"/>
  <c r="R368" i="30"/>
  <c r="Y339" i="32"/>
  <c r="V318" i="30"/>
  <c r="W318" i="32"/>
  <c r="V320" i="30"/>
  <c r="W320" i="32"/>
  <c r="V322" i="30"/>
  <c r="W322" i="32"/>
  <c r="V336" i="30"/>
  <c r="W336" i="32"/>
  <c r="X338" i="30"/>
  <c r="Y338" i="32"/>
  <c r="X312" i="30"/>
  <c r="Y312" i="32"/>
  <c r="X330" i="30"/>
  <c r="Y330" i="32"/>
  <c r="V321" i="30"/>
  <c r="Z321" i="30"/>
  <c r="AB321" i="30" s="1"/>
  <c r="W321" i="32"/>
  <c r="Z319" i="30"/>
  <c r="AB319" i="30" s="1"/>
  <c r="V319" i="30"/>
  <c r="W319" i="32"/>
  <c r="X325" i="30"/>
  <c r="Y325" i="32"/>
  <c r="X323" i="30"/>
  <c r="Y323" i="32"/>
  <c r="V317" i="30"/>
  <c r="W317" i="32"/>
  <c r="V332" i="30"/>
  <c r="W332" i="32"/>
  <c r="X311" i="30"/>
  <c r="Y311" i="32"/>
  <c r="V330" i="30"/>
  <c r="W330" i="32"/>
  <c r="V333" i="30"/>
  <c r="Z333" i="30"/>
  <c r="AB333" i="30" s="1"/>
  <c r="W333" i="32"/>
  <c r="AE43" i="32"/>
  <c r="AG42" i="32"/>
  <c r="X317" i="30"/>
  <c r="Y317" i="32"/>
  <c r="X320" i="30"/>
  <c r="Y320" i="32"/>
  <c r="X322" i="30"/>
  <c r="Y322" i="32"/>
  <c r="AE256" i="32"/>
  <c r="AG255" i="32"/>
  <c r="AE204" i="32"/>
  <c r="AG203" i="32"/>
  <c r="AE54" i="32"/>
  <c r="AG53" i="32"/>
  <c r="AE94" i="32"/>
  <c r="AG94" i="32" s="1"/>
  <c r="AG93" i="32"/>
  <c r="V327" i="30"/>
  <c r="W327" i="32"/>
  <c r="V334" i="30"/>
  <c r="W334" i="32"/>
  <c r="V323" i="30"/>
  <c r="W323" i="32"/>
  <c r="X336" i="30"/>
  <c r="Y336" i="32"/>
  <c r="X321" i="30"/>
  <c r="Y321" i="32"/>
  <c r="X326" i="30"/>
  <c r="Y326" i="32"/>
  <c r="X324" i="30"/>
  <c r="Y324" i="32"/>
  <c r="V326" i="30"/>
  <c r="Z326" i="30"/>
  <c r="AB326" i="30" s="1"/>
  <c r="W326" i="32"/>
  <c r="AE163" i="32"/>
  <c r="AG162" i="32"/>
  <c r="X319" i="30"/>
  <c r="Y319" i="32"/>
  <c r="AE185" i="32"/>
  <c r="AG185" i="32" s="1"/>
  <c r="AG184" i="32"/>
  <c r="V324" i="30"/>
  <c r="W324" i="32"/>
  <c r="V331" i="30"/>
  <c r="W331" i="32"/>
  <c r="AE71" i="32"/>
  <c r="AG70" i="32"/>
  <c r="AE174" i="32"/>
  <c r="AG173" i="32"/>
  <c r="X314" i="30"/>
  <c r="Y314" i="32"/>
  <c r="X310" i="30"/>
  <c r="Y310" i="32"/>
  <c r="X313" i="30"/>
  <c r="Y313" i="32"/>
  <c r="Z312" i="30"/>
  <c r="AB312" i="30" s="1"/>
  <c r="V312" i="30"/>
  <c r="W312" i="32"/>
  <c r="X315" i="30"/>
  <c r="Y315" i="32"/>
  <c r="V313" i="30"/>
  <c r="W313" i="32"/>
  <c r="V315" i="30"/>
  <c r="W315" i="32"/>
  <c r="V316" i="30"/>
  <c r="W316" i="32"/>
  <c r="V337" i="30"/>
  <c r="W337" i="32"/>
  <c r="AE104" i="32"/>
  <c r="AG104" i="32" s="1"/>
  <c r="AG103" i="32"/>
  <c r="X337" i="30"/>
  <c r="Y337" i="32"/>
  <c r="X328" i="30"/>
  <c r="Y328" i="32"/>
  <c r="X331" i="30"/>
  <c r="Y331" i="32"/>
  <c r="X327" i="30"/>
  <c r="Y327" i="32"/>
  <c r="AE55" i="32" l="1"/>
  <c r="AG55" i="32" s="1"/>
  <c r="AG54" i="32"/>
  <c r="X342" i="30"/>
  <c r="Y342" i="32"/>
  <c r="Z342" i="30"/>
  <c r="AB342" i="30" s="1"/>
  <c r="V342" i="30"/>
  <c r="W342" i="32"/>
  <c r="AE72" i="32"/>
  <c r="AG71" i="32"/>
  <c r="AE44" i="32"/>
  <c r="AG44" i="32" s="1"/>
  <c r="AG43" i="32"/>
  <c r="X349" i="30"/>
  <c r="Y349" i="32"/>
  <c r="X361" i="30"/>
  <c r="Y361" i="32"/>
  <c r="V353" i="30"/>
  <c r="W353" i="32"/>
  <c r="V344" i="30"/>
  <c r="W344" i="32"/>
  <c r="V368" i="30"/>
  <c r="Z368" i="30"/>
  <c r="AB368" i="30" s="1"/>
  <c r="W368" i="32"/>
  <c r="X362" i="30"/>
  <c r="Y362" i="32"/>
  <c r="X367" i="30"/>
  <c r="Y367" i="32"/>
  <c r="X344" i="30"/>
  <c r="Y344" i="32"/>
  <c r="X369" i="30"/>
  <c r="Y369" i="32"/>
  <c r="AE193" i="32"/>
  <c r="AG192" i="32"/>
  <c r="V346" i="30"/>
  <c r="W346" i="32"/>
  <c r="V358" i="30"/>
  <c r="W358" i="32"/>
  <c r="V347" i="30"/>
  <c r="Z347" i="30"/>
  <c r="AB347" i="30" s="1"/>
  <c r="W347" i="32"/>
  <c r="V369" i="30"/>
  <c r="W369" i="32"/>
  <c r="AE175" i="32"/>
  <c r="AG175" i="32" s="1"/>
  <c r="AG174" i="32"/>
  <c r="X347" i="30"/>
  <c r="Y347" i="32"/>
  <c r="X365" i="30"/>
  <c r="Y365" i="32"/>
  <c r="X364" i="30"/>
  <c r="Y364" i="32"/>
  <c r="V348" i="30"/>
  <c r="W348" i="32"/>
  <c r="Z361" i="30"/>
  <c r="AB361" i="30" s="1"/>
  <c r="V361" i="30"/>
  <c r="W361" i="32"/>
  <c r="V354" i="30"/>
  <c r="Z354" i="30"/>
  <c r="AB354" i="30" s="1"/>
  <c r="W354" i="32"/>
  <c r="V363" i="30"/>
  <c r="Z363" i="30"/>
  <c r="AB363" i="30" s="1"/>
  <c r="W363" i="32"/>
  <c r="V366" i="30"/>
  <c r="W366" i="32"/>
  <c r="V357" i="30"/>
  <c r="W357" i="32"/>
  <c r="X363" i="30"/>
  <c r="Y363" i="32"/>
  <c r="X348" i="30"/>
  <c r="Y348" i="32"/>
  <c r="X345" i="30"/>
  <c r="Y345" i="32"/>
  <c r="V351" i="30"/>
  <c r="W351" i="32"/>
  <c r="V350" i="30"/>
  <c r="W350" i="32"/>
  <c r="V360" i="30"/>
  <c r="W360" i="32"/>
  <c r="AE205" i="32"/>
  <c r="AG204" i="32"/>
  <c r="X352" i="30"/>
  <c r="Y352" i="32"/>
  <c r="X350" i="30"/>
  <c r="Y350" i="32"/>
  <c r="X341" i="30"/>
  <c r="Y341" i="32"/>
  <c r="X351" i="30"/>
  <c r="Y351" i="32"/>
  <c r="V356" i="30"/>
  <c r="Z356" i="30"/>
  <c r="AB356" i="30" s="1"/>
  <c r="W356" i="32"/>
  <c r="V340" i="30"/>
  <c r="Z340" i="30"/>
  <c r="AB340" i="30" s="1"/>
  <c r="W340" i="32"/>
  <c r="V355" i="30"/>
  <c r="W355" i="32"/>
  <c r="V367" i="30"/>
  <c r="W367" i="32"/>
  <c r="AE164" i="32"/>
  <c r="AG163" i="32"/>
  <c r="X359" i="30"/>
  <c r="Y359" i="32"/>
  <c r="X357" i="30"/>
  <c r="Y357" i="32"/>
  <c r="X343" i="30"/>
  <c r="Y343" i="32"/>
  <c r="X358" i="30"/>
  <c r="Y358" i="32"/>
  <c r="V345" i="30"/>
  <c r="W345" i="32"/>
  <c r="V349" i="30"/>
  <c r="Z349" i="30"/>
  <c r="AB349" i="30" s="1"/>
  <c r="W349" i="32"/>
  <c r="Z359" i="30"/>
  <c r="AB359" i="30" s="1"/>
  <c r="V359" i="30"/>
  <c r="W359" i="32"/>
  <c r="V365" i="30"/>
  <c r="W365" i="32"/>
  <c r="X353" i="30"/>
  <c r="Y353" i="32"/>
  <c r="AB339" i="30"/>
  <c r="Z372" i="30"/>
  <c r="X368" i="30"/>
  <c r="Y368" i="32"/>
  <c r="AE257" i="32"/>
  <c r="AG256" i="32"/>
  <c r="X340" i="30"/>
  <c r="Y340" i="32"/>
  <c r="X346" i="30"/>
  <c r="Y346" i="32"/>
  <c r="V352" i="30"/>
  <c r="W352" i="32"/>
  <c r="V341" i="30"/>
  <c r="W341" i="32"/>
  <c r="X355" i="30"/>
  <c r="Y355" i="32"/>
  <c r="X360" i="30"/>
  <c r="Y360" i="32"/>
  <c r="X354" i="30"/>
  <c r="Y354" i="32"/>
  <c r="X366" i="30"/>
  <c r="Y366" i="32"/>
  <c r="V362" i="30"/>
  <c r="W362" i="32"/>
  <c r="V343" i="30"/>
  <c r="W343" i="32"/>
  <c r="V364" i="30"/>
  <c r="W364" i="32"/>
  <c r="AE73" i="32" l="1"/>
  <c r="AG73" i="32" s="1"/>
  <c r="AG72" i="32"/>
  <c r="AE206" i="32"/>
  <c r="AG205" i="32"/>
  <c r="AE258" i="32"/>
  <c r="AG257" i="32"/>
  <c r="AE194" i="32"/>
  <c r="AG193" i="32"/>
  <c r="AE165" i="32"/>
  <c r="AG165" i="32" s="1"/>
  <c r="AG164" i="32"/>
  <c r="AE207" i="32" l="1"/>
  <c r="AG206" i="32"/>
  <c r="AE195" i="32"/>
  <c r="AG195" i="32" s="1"/>
  <c r="AG194" i="32"/>
  <c r="AE259" i="32"/>
  <c r="AG258" i="32"/>
  <c r="AE260" i="32" l="1"/>
  <c r="AG259" i="32"/>
  <c r="AE208" i="32"/>
  <c r="AG207" i="32"/>
  <c r="AE209" i="32" l="1"/>
  <c r="AG208" i="32"/>
  <c r="AE261" i="32"/>
  <c r="AG260" i="32"/>
  <c r="AE262" i="32" l="1"/>
  <c r="AG261" i="32"/>
  <c r="AE210" i="32"/>
  <c r="AG209" i="32"/>
  <c r="AE211" i="32" l="1"/>
  <c r="AG210" i="32"/>
  <c r="AE263" i="32"/>
  <c r="AG262" i="32"/>
  <c r="AE264" i="32" l="1"/>
  <c r="AG263" i="32"/>
  <c r="AE212" i="32"/>
  <c r="AG211" i="32"/>
  <c r="AE213" i="32" l="1"/>
  <c r="AG212" i="32"/>
  <c r="AE265" i="32"/>
  <c r="AG264" i="32"/>
  <c r="AE266" i="32" l="1"/>
  <c r="AG265" i="32"/>
  <c r="AE214" i="32"/>
  <c r="AG213" i="32"/>
  <c r="AE215" i="32" l="1"/>
  <c r="AG214" i="32"/>
  <c r="AE267" i="32"/>
  <c r="AG266" i="32"/>
  <c r="AE268" i="32" l="1"/>
  <c r="AG267" i="32"/>
  <c r="AE216" i="32"/>
  <c r="AG216" i="32" s="1"/>
  <c r="AG215" i="32"/>
  <c r="AE269" i="32" l="1"/>
  <c r="AG268" i="32"/>
  <c r="AE270" i="32" l="1"/>
  <c r="AG269" i="32"/>
  <c r="AE271" i="32" l="1"/>
  <c r="AG270" i="32"/>
  <c r="AE272" i="32" l="1"/>
  <c r="AG271" i="32"/>
  <c r="AE273" i="32" l="1"/>
  <c r="AG272" i="32"/>
  <c r="AE274" i="32" l="1"/>
  <c r="AG273" i="32"/>
  <c r="AE275" i="32" l="1"/>
  <c r="AG274" i="32"/>
  <c r="AE276" i="32" l="1"/>
  <c r="AG275" i="32"/>
  <c r="AE277" i="32" l="1"/>
  <c r="AG277" i="32" s="1"/>
  <c r="AG276" i="32"/>
</calcChain>
</file>

<file path=xl/comments1.xml><?xml version="1.0" encoding="utf-8"?>
<comments xmlns="http://schemas.openxmlformats.org/spreadsheetml/2006/main">
  <authors>
    <author>who</author>
  </authors>
  <commentList>
    <comment ref="R3" authorId="0" shapeId="0">
      <text>
        <r>
          <rPr>
            <b/>
            <sz val="9"/>
            <rFont val="宋体"/>
            <family val="3"/>
            <charset val="134"/>
          </rPr>
          <t>who:</t>
        </r>
        <r>
          <rPr>
            <sz val="9"/>
            <rFont val="宋体"/>
            <family val="3"/>
            <charset val="134"/>
          </rPr>
          <t xml:space="preserve">
购省外+购华东</t>
        </r>
      </text>
    </comment>
  </commentList>
</comments>
</file>

<file path=xl/comments2.xml><?xml version="1.0" encoding="utf-8"?>
<comments xmlns="http://schemas.openxmlformats.org/spreadsheetml/2006/main">
  <authors>
    <author>who</author>
    <author>吕月秋.ZHJ</author>
    <author>吕月秋/ZJFGS/CHNG</author>
  </authors>
  <commentList>
    <comment ref="R3" authorId="0" shapeId="0">
      <text>
        <r>
          <rPr>
            <b/>
            <sz val="9"/>
            <rFont val="宋体"/>
            <family val="3"/>
            <charset val="134"/>
          </rPr>
          <t>who:</t>
        </r>
        <r>
          <rPr>
            <sz val="9"/>
            <rFont val="宋体"/>
            <family val="3"/>
            <charset val="134"/>
          </rPr>
          <t xml:space="preserve">
购省外+购华东</t>
        </r>
      </text>
    </comment>
    <comment ref="L203" authorId="1" shapeId="0">
      <text>
        <r>
          <rPr>
            <b/>
            <sz val="9"/>
            <rFont val="宋体"/>
            <family val="3"/>
            <charset val="134"/>
          </rPr>
          <t>吕月秋.ZHJ:</t>
        </r>
        <r>
          <rPr>
            <sz val="9"/>
            <rFont val="宋体"/>
            <family val="3"/>
            <charset val="134"/>
          </rPr>
          <t xml:space="preserve">
正式并网</t>
        </r>
      </text>
    </comment>
    <comment ref="D326" authorId="2" shapeId="0">
      <text>
        <r>
          <rPr>
            <b/>
            <sz val="9"/>
            <color indexed="81"/>
            <rFont val="宋体"/>
            <family val="3"/>
            <charset val="134"/>
          </rPr>
          <t>吕月秋/ZJFGS/CHNG:</t>
        </r>
        <r>
          <rPr>
            <sz val="9"/>
            <color indexed="81"/>
            <rFont val="宋体"/>
            <family val="3"/>
            <charset val="134"/>
          </rPr>
          <t xml:space="preserve">
宾金直流上的四川水电没有了
四川水电+溪洛渡
</t>
        </r>
      </text>
    </comment>
    <comment ref="L362" authorId="2" shapeId="0">
      <text>
        <r>
          <rPr>
            <b/>
            <sz val="9"/>
            <color indexed="81"/>
            <rFont val="宋体"/>
            <family val="3"/>
            <charset val="134"/>
          </rPr>
          <t>吕月秋/ZJFGS/CHNG:</t>
        </r>
        <r>
          <rPr>
            <sz val="9"/>
            <color indexed="81"/>
            <rFont val="宋体"/>
            <family val="3"/>
            <charset val="134"/>
          </rPr>
          <t xml:space="preserve">
12月22日三门核电#2机组（125万千瓦）跳闸</t>
        </r>
      </text>
    </comment>
  </commentList>
</comments>
</file>

<file path=xl/comments3.xml><?xml version="1.0" encoding="utf-8"?>
<comments xmlns="http://schemas.openxmlformats.org/spreadsheetml/2006/main">
  <authors>
    <author>吕月秋.ZHJ</author>
  </authors>
  <commentList>
    <comment ref="Z228" authorId="0" shapeId="0">
      <text>
        <r>
          <rPr>
            <b/>
            <sz val="9"/>
            <rFont val="宋体"/>
            <family val="3"/>
            <charset val="134"/>
          </rPr>
          <t>吕月秋.ZHJ:</t>
        </r>
        <r>
          <rPr>
            <sz val="9"/>
            <rFont val="宋体"/>
            <family val="3"/>
            <charset val="134"/>
          </rPr>
          <t xml:space="preserve">
经信委网站-发电计划总览-气电
</t>
        </r>
      </text>
    </comment>
  </commentList>
</comments>
</file>

<file path=xl/comments4.xml><?xml version="1.0" encoding="utf-8"?>
<comments xmlns="http://schemas.openxmlformats.org/spreadsheetml/2006/main">
  <authors>
    <author>穆爱梅</author>
  </authors>
  <commentList>
    <comment ref="A35" authorId="0" shapeId="0">
      <text>
        <r>
          <rPr>
            <b/>
            <sz val="9"/>
            <rFont val="宋体"/>
            <family val="3"/>
            <charset val="134"/>
          </rPr>
          <t>穆爱梅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family val="3"/>
            <charset val="134"/>
          </rPr>
          <t>年初一</t>
        </r>
      </text>
    </comment>
  </commentList>
</comments>
</file>

<file path=xl/sharedStrings.xml><?xml version="1.0" encoding="utf-8"?>
<sst xmlns="http://schemas.openxmlformats.org/spreadsheetml/2006/main" count="2635" uniqueCount="71">
  <si>
    <t>2018年发供电数据</t>
  </si>
  <si>
    <t>日</t>
  </si>
  <si>
    <t>月累</t>
  </si>
  <si>
    <t>年累</t>
  </si>
  <si>
    <t>月同比</t>
  </si>
  <si>
    <t>年同比</t>
  </si>
  <si>
    <t>日期</t>
  </si>
  <si>
    <t>星期</t>
  </si>
  <si>
    <t>火电</t>
  </si>
  <si>
    <t>受电</t>
  </si>
  <si>
    <t>用电</t>
  </si>
  <si>
    <t>最高负荷</t>
  </si>
  <si>
    <t>最低负荷</t>
  </si>
  <si>
    <t>高受</t>
  </si>
  <si>
    <t>低受</t>
  </si>
  <si>
    <t>全省发电量</t>
  </si>
  <si>
    <t>全省水电</t>
  </si>
  <si>
    <t>全省核电</t>
  </si>
  <si>
    <t>清洁能源</t>
  </si>
  <si>
    <t>年累燃机</t>
  </si>
  <si>
    <t>年累煤机</t>
  </si>
  <si>
    <t>煤机容量</t>
  </si>
  <si>
    <t>煤机小时</t>
  </si>
  <si>
    <t>年累统调发电量</t>
  </si>
  <si>
    <t>年累水电</t>
  </si>
  <si>
    <t>年累核电</t>
  </si>
  <si>
    <t>年累清能</t>
  </si>
  <si>
    <t>统调发电周同比</t>
  </si>
  <si>
    <t>周煤机</t>
  </si>
  <si>
    <t>万千瓦时</t>
  </si>
  <si>
    <t>万千瓦</t>
  </si>
  <si>
    <t>%</t>
  </si>
  <si>
    <t>亿千瓦时</t>
  </si>
  <si>
    <t>小时</t>
  </si>
  <si>
    <t>一</t>
  </si>
  <si>
    <t>二</t>
  </si>
  <si>
    <t>三</t>
  </si>
  <si>
    <t>四</t>
  </si>
  <si>
    <t>五</t>
  </si>
  <si>
    <t>六</t>
  </si>
  <si>
    <t>最大值</t>
  </si>
  <si>
    <t>一月份</t>
  </si>
  <si>
    <t>二月份</t>
  </si>
  <si>
    <t>三月份</t>
  </si>
  <si>
    <t>四月份</t>
  </si>
  <si>
    <t>五月份</t>
  </si>
  <si>
    <t>六月份</t>
  </si>
  <si>
    <t>七月份</t>
  </si>
  <si>
    <t>八月份</t>
  </si>
  <si>
    <t>九月份</t>
  </si>
  <si>
    <t>十月份</t>
  </si>
  <si>
    <t>十一月份</t>
  </si>
  <si>
    <t>十二月份</t>
  </si>
  <si>
    <t>2017年发供电数据</t>
  </si>
  <si>
    <t>12595199.140</t>
  </si>
  <si>
    <t>19756114.948</t>
  </si>
  <si>
    <t>14864432.340</t>
  </si>
  <si>
    <t>23583375.508</t>
  </si>
  <si>
    <t>15445367.508</t>
  </si>
  <si>
    <t>269597.470</t>
  </si>
  <si>
    <t>2016年发供电数据</t>
  </si>
  <si>
    <t>2015年发供电数据</t>
  </si>
  <si>
    <t>水电（亿千瓦时）</t>
  </si>
  <si>
    <t>核电</t>
  </si>
  <si>
    <t>风电</t>
  </si>
  <si>
    <t>统调发电</t>
  </si>
  <si>
    <t>2014年发供电数据</t>
  </si>
  <si>
    <t>核电除了秦山一号机32万的算我们统调的之外，他的二期三期包括方家山核电，都是属于华东网调的，虽然在浙江境内发电，但是属于外购电</t>
    <phoneticPr fontId="16" type="noConversion"/>
  </si>
  <si>
    <t>2019.1.1</t>
    <phoneticPr fontId="16" type="noConversion"/>
  </si>
  <si>
    <t>四</t>
    <phoneticPr fontId="13" type="noConversion"/>
  </si>
  <si>
    <t>二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</si>
</sst>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0.0000_);[Red]\(0.0000\)"/>
    <numFmt numFmtId="177" formatCode="0_ "/>
    <numFmt numFmtId="178" formatCode="0_);[Red]\(0\)"/>
    <numFmt numFmtId="179" formatCode="0;_尀"/>
    <numFmt numFmtId="180" formatCode="0.00_ "/>
    <numFmt numFmtId="181" formatCode="0.0"/>
    <numFmt numFmtId="182" formatCode="0.0%"/>
    <numFmt numFmtId="183" formatCode="0.0_ "/>
    <numFmt numFmtId="184" formatCode="0.00_);[Red]\(0.00\)"/>
  </numFmts>
  <fonts count="20" x14ac:knownFonts="1">
    <font>
      <sz val="12"/>
      <name val="宋体"/>
      <charset val="134"/>
    </font>
    <font>
      <sz val="12"/>
      <color indexed="8"/>
      <name val="宋体"/>
      <family val="3"/>
      <charset val="134"/>
    </font>
    <font>
      <sz val="12"/>
      <color indexed="8"/>
      <name val="Times New Roman"/>
      <family val="1"/>
    </font>
    <font>
      <sz val="12"/>
      <color indexed="10"/>
      <name val="宋体"/>
      <family val="3"/>
      <charset val="134"/>
    </font>
    <font>
      <sz val="10.5"/>
      <color indexed="8"/>
      <name val="宋体"/>
      <family val="3"/>
      <charset val="134"/>
    </font>
    <font>
      <sz val="12"/>
      <color theme="1"/>
      <name val="宋体"/>
      <family val="3"/>
      <charset val="134"/>
    </font>
    <font>
      <sz val="12"/>
      <color rgb="FF002060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2"/>
      <color rgb="FFFF99FF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name val="宋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1" fillId="0" borderId="0"/>
  </cellStyleXfs>
  <cellXfs count="487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1" fillId="0" borderId="1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178" fontId="1" fillId="0" borderId="3" xfId="0" applyNumberFormat="1" applyFont="1" applyBorder="1" applyAlignment="1">
      <alignment horizontal="center" vertical="center"/>
    </xf>
    <xf numFmtId="178" fontId="0" fillId="0" borderId="3" xfId="0" applyNumberFormat="1" applyBorder="1" applyAlignment="1">
      <alignment horizontal="center" vertical="center"/>
    </xf>
    <xf numFmtId="178" fontId="1" fillId="0" borderId="3" xfId="0" applyNumberFormat="1" applyFont="1" applyBorder="1">
      <alignment vertical="center"/>
    </xf>
    <xf numFmtId="58" fontId="1" fillId="4" borderId="3" xfId="0" applyNumberFormat="1" applyFont="1" applyFill="1" applyBorder="1" applyAlignment="1">
      <alignment horizontal="center" vertical="center"/>
    </xf>
    <xf numFmtId="58" fontId="1" fillId="5" borderId="3" xfId="0" applyNumberFormat="1" applyFont="1" applyFill="1" applyBorder="1" applyAlignment="1">
      <alignment horizontal="center" vertical="center"/>
    </xf>
    <xf numFmtId="177" fontId="1" fillId="5" borderId="3" xfId="0" applyNumberFormat="1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179" fontId="1" fillId="5" borderId="3" xfId="0" applyNumberFormat="1" applyFont="1" applyFill="1" applyBorder="1" applyAlignment="1">
      <alignment vertical="center"/>
    </xf>
    <xf numFmtId="179" fontId="1" fillId="5" borderId="3" xfId="0" applyNumberFormat="1" applyFont="1" applyFill="1" applyBorder="1" applyAlignment="1">
      <alignment horizontal="right" vertical="center"/>
    </xf>
    <xf numFmtId="179" fontId="1" fillId="5" borderId="3" xfId="0" applyNumberFormat="1" applyFont="1" applyFill="1" applyBorder="1">
      <alignment vertical="center"/>
    </xf>
    <xf numFmtId="58" fontId="1" fillId="0" borderId="3" xfId="0" applyNumberFormat="1" applyFont="1" applyFill="1" applyBorder="1" applyAlignment="1">
      <alignment horizontal="center" vertical="center"/>
    </xf>
    <xf numFmtId="177" fontId="1" fillId="0" borderId="3" xfId="0" applyNumberFormat="1" applyFont="1" applyBorder="1" applyAlignment="1">
      <alignment horizontal="center" vertical="center"/>
    </xf>
    <xf numFmtId="179" fontId="1" fillId="0" borderId="3" xfId="0" applyNumberFormat="1" applyFont="1" applyBorder="1" applyAlignment="1">
      <alignment vertical="center"/>
    </xf>
    <xf numFmtId="179" fontId="1" fillId="0" borderId="3" xfId="0" applyNumberFormat="1" applyFont="1" applyBorder="1" applyAlignment="1">
      <alignment horizontal="right" vertical="center"/>
    </xf>
    <xf numFmtId="179" fontId="1" fillId="0" borderId="3" xfId="0" applyNumberFormat="1" applyFont="1" applyFill="1" applyBorder="1">
      <alignment vertical="center"/>
    </xf>
    <xf numFmtId="58" fontId="1" fillId="2" borderId="3" xfId="0" applyNumberFormat="1" applyFont="1" applyFill="1" applyBorder="1" applyAlignment="1">
      <alignment horizontal="center" vertical="center"/>
    </xf>
    <xf numFmtId="17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79" fontId="1" fillId="2" borderId="3" xfId="0" applyNumberFormat="1" applyFont="1" applyFill="1" applyBorder="1" applyAlignment="1">
      <alignment vertical="center"/>
    </xf>
    <xf numFmtId="179" fontId="1" fillId="2" borderId="3" xfId="0" applyNumberFormat="1" applyFont="1" applyFill="1" applyBorder="1" applyAlignment="1">
      <alignment horizontal="right" vertical="center"/>
    </xf>
    <xf numFmtId="179" fontId="1" fillId="2" borderId="3" xfId="0" applyNumberFormat="1" applyFont="1" applyFill="1" applyBorder="1">
      <alignment vertical="center"/>
    </xf>
    <xf numFmtId="0" fontId="2" fillId="0" borderId="0" xfId="0" applyFont="1" applyBorder="1">
      <alignment vertical="center"/>
    </xf>
    <xf numFmtId="0" fontId="1" fillId="5" borderId="3" xfId="0" applyFont="1" applyFill="1" applyBorder="1">
      <alignment vertical="center"/>
    </xf>
    <xf numFmtId="177" fontId="1" fillId="5" borderId="3" xfId="0" applyNumberFormat="1" applyFont="1" applyFill="1" applyBorder="1">
      <alignment vertical="center"/>
    </xf>
    <xf numFmtId="177" fontId="3" fillId="5" borderId="3" xfId="0" applyNumberFormat="1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79" fontId="1" fillId="0" borderId="3" xfId="0" applyNumberFormat="1" applyFont="1" applyBorder="1">
      <alignment vertical="center"/>
    </xf>
    <xf numFmtId="177" fontId="1" fillId="0" borderId="3" xfId="0" applyNumberFormat="1" applyFont="1" applyBorder="1">
      <alignment vertical="center"/>
    </xf>
    <xf numFmtId="177" fontId="3" fillId="6" borderId="3" xfId="0" applyNumberFormat="1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177" fontId="3" fillId="3" borderId="3" xfId="0" applyNumberFormat="1" applyFont="1" applyFill="1" applyBorder="1" applyAlignment="1">
      <alignment horizontal="center" vertical="center"/>
    </xf>
    <xf numFmtId="1" fontId="3" fillId="6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>
      <alignment vertical="center"/>
    </xf>
    <xf numFmtId="177" fontId="1" fillId="2" borderId="3" xfId="0" applyNumberFormat="1" applyFont="1" applyFill="1" applyBorder="1">
      <alignment vertical="center"/>
    </xf>
    <xf numFmtId="177" fontId="3" fillId="2" borderId="3" xfId="0" applyNumberFormat="1" applyFont="1" applyFill="1" applyBorder="1" applyAlignment="1">
      <alignment horizontal="center" vertical="center"/>
    </xf>
    <xf numFmtId="1" fontId="3" fillId="2" borderId="3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vertical="center" wrapText="1"/>
    </xf>
    <xf numFmtId="0" fontId="4" fillId="0" borderId="3" xfId="0" applyFont="1" applyFill="1" applyBorder="1" applyAlignment="1">
      <alignment horizontal="center" vertical="center" wrapText="1"/>
    </xf>
    <xf numFmtId="180" fontId="1" fillId="5" borderId="3" xfId="0" applyNumberFormat="1" applyFont="1" applyFill="1" applyBorder="1">
      <alignment vertical="center"/>
    </xf>
    <xf numFmtId="180" fontId="1" fillId="0" borderId="3" xfId="0" applyNumberFormat="1" applyFont="1" applyBorder="1">
      <alignment vertical="center"/>
    </xf>
    <xf numFmtId="177" fontId="1" fillId="7" borderId="3" xfId="0" applyNumberFormat="1" applyFont="1" applyFill="1" applyBorder="1">
      <alignment vertical="center"/>
    </xf>
    <xf numFmtId="180" fontId="1" fillId="2" borderId="3" xfId="0" applyNumberFormat="1" applyFont="1" applyFill="1" applyBorder="1">
      <alignment vertical="center"/>
    </xf>
    <xf numFmtId="177" fontId="5" fillId="4" borderId="3" xfId="0" applyNumberFormat="1" applyFont="1" applyFill="1" applyBorder="1">
      <alignment vertical="center"/>
    </xf>
    <xf numFmtId="177" fontId="1" fillId="4" borderId="3" xfId="0" applyNumberFormat="1" applyFont="1" applyFill="1" applyBorder="1">
      <alignment vertical="center"/>
    </xf>
    <xf numFmtId="1" fontId="1" fillId="0" borderId="3" xfId="0" applyNumberFormat="1" applyFont="1" applyBorder="1">
      <alignment vertical="center"/>
    </xf>
    <xf numFmtId="1" fontId="1" fillId="7" borderId="3" xfId="0" applyNumberFormat="1" applyFont="1" applyFill="1" applyBorder="1">
      <alignment vertical="center"/>
    </xf>
    <xf numFmtId="1" fontId="1" fillId="2" borderId="3" xfId="0" applyNumberFormat="1" applyFont="1" applyFill="1" applyBorder="1">
      <alignment vertical="center"/>
    </xf>
    <xf numFmtId="1" fontId="1" fillId="4" borderId="3" xfId="0" applyNumberFormat="1" applyFont="1" applyFill="1" applyBorder="1">
      <alignment vertical="center"/>
    </xf>
    <xf numFmtId="1" fontId="1" fillId="5" borderId="3" xfId="0" applyNumberFormat="1" applyFont="1" applyFill="1" applyBorder="1">
      <alignment vertical="center"/>
    </xf>
    <xf numFmtId="181" fontId="1" fillId="0" borderId="0" xfId="0" applyNumberFormat="1" applyFont="1">
      <alignment vertical="center"/>
    </xf>
    <xf numFmtId="179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7" fontId="1" fillId="0" borderId="3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179" fontId="1" fillId="0" borderId="3" xfId="0" applyNumberFormat="1" applyFont="1" applyFill="1" applyBorder="1" applyAlignment="1">
      <alignment vertical="center"/>
    </xf>
    <xf numFmtId="179" fontId="1" fillId="0" borderId="3" xfId="0" applyNumberFormat="1" applyFont="1" applyFill="1" applyBorder="1" applyAlignment="1">
      <alignment horizontal="right" vertical="center"/>
    </xf>
    <xf numFmtId="0" fontId="1" fillId="0" borderId="3" xfId="0" applyFont="1" applyFill="1" applyBorder="1">
      <alignment vertical="center"/>
    </xf>
    <xf numFmtId="177" fontId="1" fillId="0" borderId="3" xfId="0" applyNumberFormat="1" applyFont="1" applyFill="1" applyBorder="1">
      <alignment vertical="center"/>
    </xf>
    <xf numFmtId="177" fontId="5" fillId="0" borderId="3" xfId="0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177" fontId="5" fillId="7" borderId="3" xfId="0" applyNumberFormat="1" applyFont="1" applyFill="1" applyBorder="1" applyAlignment="1">
      <alignment horizontal="center" vertical="center"/>
    </xf>
    <xf numFmtId="0" fontId="5" fillId="7" borderId="3" xfId="0" applyFont="1" applyFill="1" applyBorder="1" applyAlignment="1">
      <alignment horizontal="center" vertical="center"/>
    </xf>
    <xf numFmtId="177" fontId="5" fillId="8" borderId="3" xfId="0" applyNumberFormat="1" applyFont="1" applyFill="1" applyBorder="1" applyAlignment="1">
      <alignment horizontal="center" vertical="center"/>
    </xf>
    <xf numFmtId="177" fontId="5" fillId="5" borderId="3" xfId="0" applyNumberFormat="1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182" fontId="6" fillId="0" borderId="3" xfId="0" applyNumberFormat="1" applyFont="1" applyFill="1" applyBorder="1" applyAlignment="1">
      <alignment horizontal="center" vertical="center"/>
    </xf>
    <xf numFmtId="182" fontId="6" fillId="7" borderId="3" xfId="0" applyNumberFormat="1" applyFont="1" applyFill="1" applyBorder="1" applyAlignment="1">
      <alignment horizontal="center" vertical="center"/>
    </xf>
    <xf numFmtId="182" fontId="6" fillId="8" borderId="3" xfId="0" applyNumberFormat="1" applyFont="1" applyFill="1" applyBorder="1" applyAlignment="1">
      <alignment horizontal="center" vertical="center"/>
    </xf>
    <xf numFmtId="182" fontId="6" fillId="5" borderId="3" xfId="0" applyNumberFormat="1" applyFont="1" applyFill="1" applyBorder="1" applyAlignment="1">
      <alignment horizontal="center" vertical="center"/>
    </xf>
    <xf numFmtId="176" fontId="1" fillId="9" borderId="0" xfId="0" applyNumberFormat="1" applyFont="1" applyFill="1">
      <alignment vertical="center"/>
    </xf>
    <xf numFmtId="0" fontId="1" fillId="9" borderId="0" xfId="0" applyFont="1" applyFill="1">
      <alignment vertical="center"/>
    </xf>
    <xf numFmtId="183" fontId="1" fillId="0" borderId="3" xfId="0" applyNumberFormat="1" applyFont="1" applyFill="1" applyBorder="1">
      <alignment vertical="center"/>
    </xf>
    <xf numFmtId="176" fontId="1" fillId="2" borderId="0" xfId="0" applyNumberFormat="1" applyFont="1" applyFill="1">
      <alignment vertical="center"/>
    </xf>
    <xf numFmtId="177" fontId="5" fillId="2" borderId="3" xfId="0" applyNumberFormat="1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182" fontId="6" fillId="2" borderId="3" xfId="0" applyNumberFormat="1" applyFont="1" applyFill="1" applyBorder="1" applyAlignment="1">
      <alignment horizontal="center" vertical="center"/>
    </xf>
    <xf numFmtId="176" fontId="1" fillId="7" borderId="0" xfId="0" applyNumberFormat="1" applyFont="1" applyFill="1">
      <alignment vertical="center"/>
    </xf>
    <xf numFmtId="2" fontId="1" fillId="7" borderId="0" xfId="0" applyNumberFormat="1" applyFont="1" applyFill="1">
      <alignment vertical="center"/>
    </xf>
    <xf numFmtId="2" fontId="1" fillId="0" borderId="0" xfId="0" applyNumberFormat="1" applyFont="1">
      <alignment vertical="center"/>
    </xf>
    <xf numFmtId="183" fontId="1" fillId="0" borderId="3" xfId="0" applyNumberFormat="1" applyFont="1" applyBorder="1">
      <alignment vertical="center"/>
    </xf>
    <xf numFmtId="180" fontId="1" fillId="7" borderId="3" xfId="0" applyNumberFormat="1" applyFont="1" applyFill="1" applyBorder="1">
      <alignment vertical="center"/>
    </xf>
    <xf numFmtId="183" fontId="1" fillId="7" borderId="3" xfId="0" applyNumberFormat="1" applyFont="1" applyFill="1" applyBorder="1">
      <alignment vertical="center"/>
    </xf>
    <xf numFmtId="183" fontId="1" fillId="5" borderId="3" xfId="0" applyNumberFormat="1" applyFont="1" applyFill="1" applyBorder="1">
      <alignment vertical="center"/>
    </xf>
    <xf numFmtId="180" fontId="1" fillId="0" borderId="3" xfId="0" applyNumberFormat="1" applyFont="1" applyFill="1" applyBorder="1">
      <alignment vertical="center"/>
    </xf>
    <xf numFmtId="183" fontId="1" fillId="2" borderId="3" xfId="0" applyNumberFormat="1" applyFont="1" applyFill="1" applyBorder="1">
      <alignment vertical="center"/>
    </xf>
    <xf numFmtId="0" fontId="1" fillId="7" borderId="0" xfId="0" applyFont="1" applyFill="1">
      <alignment vertical="center"/>
    </xf>
    <xf numFmtId="180" fontId="1" fillId="0" borderId="0" xfId="0" applyNumberFormat="1" applyFont="1">
      <alignment vertical="center"/>
    </xf>
    <xf numFmtId="0" fontId="7" fillId="2" borderId="0" xfId="0" applyFont="1" applyFill="1">
      <alignment vertical="center"/>
    </xf>
    <xf numFmtId="58" fontId="1" fillId="10" borderId="3" xfId="0" applyNumberFormat="1" applyFont="1" applyFill="1" applyBorder="1" applyAlignment="1">
      <alignment horizontal="center" vertical="center"/>
    </xf>
    <xf numFmtId="0" fontId="4" fillId="11" borderId="3" xfId="0" applyFont="1" applyFill="1" applyBorder="1" applyAlignment="1">
      <alignment horizontal="center" vertical="center" wrapText="1"/>
    </xf>
    <xf numFmtId="0" fontId="1" fillId="11" borderId="3" xfId="0" applyFont="1" applyFill="1" applyBorder="1" applyAlignment="1">
      <alignment horizontal="center" vertical="center"/>
    </xf>
    <xf numFmtId="177" fontId="1" fillId="11" borderId="3" xfId="0" applyNumberFormat="1" applyFont="1" applyFill="1" applyBorder="1">
      <alignment vertical="center"/>
    </xf>
    <xf numFmtId="183" fontId="1" fillId="11" borderId="3" xfId="0" applyNumberFormat="1" applyFont="1" applyFill="1" applyBorder="1">
      <alignment vertical="center"/>
    </xf>
    <xf numFmtId="1" fontId="1" fillId="0" borderId="3" xfId="0" applyNumberFormat="1" applyFont="1" applyFill="1" applyBorder="1">
      <alignment vertical="center"/>
    </xf>
    <xf numFmtId="58" fontId="7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>
      <alignment vertical="center"/>
    </xf>
    <xf numFmtId="0" fontId="7" fillId="0" borderId="0" xfId="0" applyFont="1">
      <alignment vertical="center"/>
    </xf>
    <xf numFmtId="178" fontId="1" fillId="0" borderId="0" xfId="0" applyNumberFormat="1" applyFont="1">
      <alignment vertical="center"/>
    </xf>
    <xf numFmtId="0" fontId="0" fillId="0" borderId="0" xfId="0" applyFont="1">
      <alignment vertical="center"/>
    </xf>
    <xf numFmtId="184" fontId="1" fillId="0" borderId="0" xfId="0" applyNumberFormat="1" applyFont="1" applyAlignment="1">
      <alignment vertical="center" wrapText="1"/>
    </xf>
    <xf numFmtId="0" fontId="9" fillId="0" borderId="4" xfId="0" applyFont="1" applyBorder="1" applyAlignment="1">
      <alignment horizontal="center" vertical="center"/>
    </xf>
    <xf numFmtId="178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78" fontId="1" fillId="5" borderId="3" xfId="0" applyNumberFormat="1" applyFont="1" applyFill="1" applyBorder="1">
      <alignment vertical="center"/>
    </xf>
    <xf numFmtId="178" fontId="1" fillId="0" borderId="3" xfId="0" applyNumberFormat="1" applyFont="1" applyFill="1" applyBorder="1">
      <alignment vertical="center"/>
    </xf>
    <xf numFmtId="58" fontId="1" fillId="12" borderId="3" xfId="0" applyNumberFormat="1" applyFont="1" applyFill="1" applyBorder="1" applyAlignment="1">
      <alignment horizontal="center" vertical="center"/>
    </xf>
    <xf numFmtId="178" fontId="1" fillId="2" borderId="3" xfId="0" applyNumberFormat="1" applyFont="1" applyFill="1" applyBorder="1">
      <alignment vertical="center"/>
    </xf>
    <xf numFmtId="177" fontId="1" fillId="10" borderId="3" xfId="0" applyNumberFormat="1" applyFont="1" applyFill="1" applyBorder="1">
      <alignment vertical="center"/>
    </xf>
    <xf numFmtId="178" fontId="1" fillId="0" borderId="3" xfId="0" applyNumberFormat="1" applyFont="1" applyFill="1" applyBorder="1" applyAlignment="1">
      <alignment vertical="center"/>
    </xf>
    <xf numFmtId="0" fontId="0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177" fontId="0" fillId="0" borderId="3" xfId="0" applyNumberFormat="1" applyFont="1" applyBorder="1">
      <alignment vertical="center"/>
    </xf>
    <xf numFmtId="177" fontId="0" fillId="5" borderId="3" xfId="0" applyNumberFormat="1" applyFont="1" applyFill="1" applyBorder="1">
      <alignment vertical="center"/>
    </xf>
    <xf numFmtId="177" fontId="0" fillId="0" borderId="3" xfId="0" applyNumberFormat="1" applyFont="1" applyFill="1" applyBorder="1">
      <alignment vertical="center"/>
    </xf>
    <xf numFmtId="177" fontId="0" fillId="2" borderId="3" xfId="0" applyNumberFormat="1" applyFont="1" applyFill="1" applyBorder="1">
      <alignment vertical="center"/>
    </xf>
    <xf numFmtId="1" fontId="5" fillId="2" borderId="3" xfId="0" applyNumberFormat="1" applyFont="1" applyFill="1" applyBorder="1" applyAlignment="1">
      <alignment horizontal="center" vertical="center"/>
    </xf>
    <xf numFmtId="184" fontId="2" fillId="0" borderId="3" xfId="0" applyNumberFormat="1" applyFont="1" applyBorder="1" applyAlignment="1">
      <alignment vertical="center" wrapText="1"/>
    </xf>
    <xf numFmtId="0" fontId="2" fillId="0" borderId="3" xfId="0" applyFont="1" applyBorder="1">
      <alignment vertical="center"/>
    </xf>
    <xf numFmtId="184" fontId="4" fillId="0" borderId="3" xfId="0" applyNumberFormat="1" applyFont="1" applyFill="1" applyBorder="1" applyAlignment="1">
      <alignment vertical="center" wrapText="1"/>
    </xf>
    <xf numFmtId="184" fontId="1" fillId="0" borderId="3" xfId="0" applyNumberFormat="1" applyFont="1" applyBorder="1" applyAlignment="1">
      <alignment horizontal="center" vertical="center" wrapText="1"/>
    </xf>
    <xf numFmtId="184" fontId="1" fillId="0" borderId="3" xfId="0" applyNumberFormat="1" applyFont="1" applyBorder="1" applyAlignment="1">
      <alignment vertical="center" wrapText="1"/>
    </xf>
    <xf numFmtId="10" fontId="6" fillId="5" borderId="3" xfId="0" applyNumberFormat="1" applyFont="1" applyFill="1" applyBorder="1" applyAlignment="1">
      <alignment horizontal="center" vertical="center"/>
    </xf>
    <xf numFmtId="184" fontId="1" fillId="5" borderId="3" xfId="0" applyNumberFormat="1" applyFont="1" applyFill="1" applyBorder="1" applyAlignment="1">
      <alignment vertical="center" wrapText="1"/>
    </xf>
    <xf numFmtId="184" fontId="1" fillId="0" borderId="3" xfId="0" applyNumberFormat="1" applyFont="1" applyFill="1" applyBorder="1" applyAlignment="1">
      <alignment vertical="center" wrapText="1"/>
    </xf>
    <xf numFmtId="184" fontId="1" fillId="0" borderId="3" xfId="0" applyNumberFormat="1" applyFont="1" applyBorder="1" applyAlignment="1">
      <alignment vertical="center"/>
    </xf>
    <xf numFmtId="184" fontId="1" fillId="2" borderId="3" xfId="0" applyNumberFormat="1" applyFont="1" applyFill="1" applyBorder="1" applyAlignment="1">
      <alignment vertical="center" wrapText="1"/>
    </xf>
    <xf numFmtId="178" fontId="5" fillId="2" borderId="3" xfId="0" applyNumberFormat="1" applyFont="1" applyFill="1" applyBorder="1" applyAlignment="1">
      <alignment horizontal="center" vertical="center"/>
    </xf>
    <xf numFmtId="10" fontId="1" fillId="11" borderId="3" xfId="0" applyNumberFormat="1" applyFont="1" applyFill="1" applyBorder="1">
      <alignment vertical="center"/>
    </xf>
    <xf numFmtId="0" fontId="1" fillId="2" borderId="3" xfId="0" applyNumberFormat="1" applyFont="1" applyFill="1" applyBorder="1">
      <alignment vertical="center"/>
    </xf>
    <xf numFmtId="10" fontId="6" fillId="2" borderId="3" xfId="0" applyNumberFormat="1" applyFont="1" applyFill="1" applyBorder="1" applyAlignment="1">
      <alignment horizontal="center" vertical="center"/>
    </xf>
    <xf numFmtId="184" fontId="0" fillId="5" borderId="3" xfId="0" applyNumberFormat="1" applyFont="1" applyFill="1" applyBorder="1" applyAlignment="1">
      <alignment vertical="center" wrapText="1"/>
    </xf>
    <xf numFmtId="178" fontId="1" fillId="0" borderId="3" xfId="0" applyNumberFormat="1" applyFont="1" applyBorder="1" applyAlignment="1">
      <alignment vertical="center"/>
    </xf>
    <xf numFmtId="179" fontId="0" fillId="0" borderId="3" xfId="0" applyNumberFormat="1" applyFont="1" applyBorder="1" applyAlignment="1">
      <alignment vertical="center"/>
    </xf>
    <xf numFmtId="179" fontId="7" fillId="0" borderId="3" xfId="0" applyNumberFormat="1" applyFont="1" applyBorder="1" applyAlignment="1">
      <alignment vertical="center"/>
    </xf>
    <xf numFmtId="178" fontId="7" fillId="0" borderId="3" xfId="0" applyNumberFormat="1" applyFont="1" applyBorder="1" applyAlignment="1">
      <alignment vertical="center"/>
    </xf>
    <xf numFmtId="177" fontId="0" fillId="2" borderId="3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10" fontId="1" fillId="0" borderId="3" xfId="0" applyNumberFormat="1" applyFont="1" applyFill="1" applyBorder="1" applyAlignment="1">
      <alignment vertical="center" wrapText="1"/>
    </xf>
    <xf numFmtId="184" fontId="0" fillId="0" borderId="3" xfId="0" applyNumberFormat="1" applyFont="1" applyBorder="1" applyAlignment="1">
      <alignment vertical="center" wrapText="1"/>
    </xf>
    <xf numFmtId="184" fontId="7" fillId="0" borderId="3" xfId="0" applyNumberFormat="1" applyFont="1" applyBorder="1" applyAlignment="1">
      <alignment vertical="center" wrapText="1"/>
    </xf>
    <xf numFmtId="0" fontId="1" fillId="10" borderId="0" xfId="0" applyFont="1" applyFill="1" applyAlignment="1">
      <alignment horizontal="center" vertical="center" wrapText="1"/>
    </xf>
    <xf numFmtId="0" fontId="7" fillId="10" borderId="0" xfId="0" applyFont="1" applyFill="1" applyAlignment="1">
      <alignment vertical="center" wrapText="1"/>
    </xf>
    <xf numFmtId="0" fontId="8" fillId="10" borderId="0" xfId="0" applyFont="1" applyFill="1" applyAlignment="1">
      <alignment vertical="center" wrapText="1"/>
    </xf>
    <xf numFmtId="0" fontId="1" fillId="10" borderId="0" xfId="0" applyFont="1" applyFill="1" applyAlignment="1">
      <alignment vertical="center" wrapText="1"/>
    </xf>
    <xf numFmtId="178" fontId="1" fillId="10" borderId="0" xfId="0" applyNumberFormat="1" applyFont="1" applyFill="1" applyAlignment="1">
      <alignment vertical="center" wrapText="1"/>
    </xf>
    <xf numFmtId="0" fontId="0" fillId="10" borderId="0" xfId="0" applyFont="1" applyFill="1" applyAlignment="1">
      <alignment vertical="center" wrapText="1"/>
    </xf>
    <xf numFmtId="184" fontId="1" fillId="10" borderId="0" xfId="0" applyNumberFormat="1" applyFont="1" applyFill="1" applyAlignment="1">
      <alignment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9" xfId="0" applyFont="1" applyFill="1" applyBorder="1" applyAlignment="1">
      <alignment horizontal="center" vertical="center" wrapText="1"/>
    </xf>
    <xf numFmtId="0" fontId="9" fillId="10" borderId="10" xfId="0" applyFont="1" applyFill="1" applyBorder="1" applyAlignment="1">
      <alignment horizontal="center" vertical="center" wrapText="1"/>
    </xf>
    <xf numFmtId="0" fontId="9" fillId="10" borderId="9" xfId="0" applyFont="1" applyFill="1" applyBorder="1" applyAlignment="1">
      <alignment horizontal="center" vertical="center" wrapText="1"/>
    </xf>
    <xf numFmtId="178" fontId="9" fillId="10" borderId="8" xfId="0" applyNumberFormat="1" applyFont="1" applyFill="1" applyBorder="1" applyAlignment="1">
      <alignment horizontal="center" vertical="center" wrapText="1"/>
    </xf>
    <xf numFmtId="0" fontId="9" fillId="10" borderId="8" xfId="0" applyFont="1" applyFill="1" applyBorder="1" applyAlignment="1">
      <alignment horizontal="center" vertical="center" wrapText="1"/>
    </xf>
    <xf numFmtId="178" fontId="0" fillId="10" borderId="8" xfId="0" applyNumberFormat="1" applyFill="1" applyBorder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0" borderId="11" xfId="0" applyFont="1" applyFill="1" applyBorder="1" applyAlignment="1">
      <alignment horizontal="center" vertical="center" wrapText="1"/>
    </xf>
    <xf numFmtId="178" fontId="1" fillId="10" borderId="3" xfId="0" applyNumberFormat="1" applyFont="1" applyFill="1" applyBorder="1" applyAlignment="1">
      <alignment horizontal="center" vertical="center" wrapText="1"/>
    </xf>
    <xf numFmtId="58" fontId="1" fillId="4" borderId="3" xfId="0" applyNumberFormat="1" applyFont="1" applyFill="1" applyBorder="1" applyAlignment="1">
      <alignment horizontal="center" vertical="center" wrapText="1"/>
    </xf>
    <xf numFmtId="58" fontId="1" fillId="10" borderId="4" xfId="0" applyNumberFormat="1" applyFont="1" applyFill="1" applyBorder="1" applyAlignment="1">
      <alignment horizontal="center" vertical="center" wrapText="1"/>
    </xf>
    <xf numFmtId="0" fontId="1" fillId="10" borderId="11" xfId="0" applyFont="1" applyFill="1" applyBorder="1" applyAlignment="1">
      <alignment vertical="center" wrapText="1"/>
    </xf>
    <xf numFmtId="177" fontId="1" fillId="10" borderId="3" xfId="0" applyNumberFormat="1" applyFont="1" applyFill="1" applyBorder="1" applyAlignment="1">
      <alignment vertical="center" wrapText="1"/>
    </xf>
    <xf numFmtId="178" fontId="1" fillId="10" borderId="3" xfId="0" applyNumberFormat="1" applyFont="1" applyFill="1" applyBorder="1" applyAlignment="1">
      <alignment vertical="center" wrapText="1"/>
    </xf>
    <xf numFmtId="179" fontId="1" fillId="10" borderId="3" xfId="0" applyNumberFormat="1" applyFont="1" applyFill="1" applyBorder="1" applyAlignment="1">
      <alignment vertical="center" wrapText="1"/>
    </xf>
    <xf numFmtId="58" fontId="1" fillId="10" borderId="3" xfId="0" applyNumberFormat="1" applyFont="1" applyFill="1" applyBorder="1" applyAlignment="1">
      <alignment horizontal="center" vertical="center" wrapText="1"/>
    </xf>
    <xf numFmtId="58" fontId="7" fillId="10" borderId="3" xfId="0" applyNumberFormat="1" applyFont="1" applyFill="1" applyBorder="1" applyAlignment="1">
      <alignment horizontal="center" vertical="center" wrapText="1"/>
    </xf>
    <xf numFmtId="58" fontId="7" fillId="10" borderId="4" xfId="0" applyNumberFormat="1" applyFont="1" applyFill="1" applyBorder="1" applyAlignment="1">
      <alignment horizontal="center" vertical="center" wrapText="1"/>
    </xf>
    <xf numFmtId="0" fontId="7" fillId="10" borderId="11" xfId="0" applyFont="1" applyFill="1" applyBorder="1" applyAlignment="1">
      <alignment vertical="center" wrapText="1"/>
    </xf>
    <xf numFmtId="177" fontId="7" fillId="10" borderId="3" xfId="0" applyNumberFormat="1" applyFont="1" applyFill="1" applyBorder="1" applyAlignment="1">
      <alignment vertical="center" wrapText="1"/>
    </xf>
    <xf numFmtId="178" fontId="7" fillId="10" borderId="3" xfId="0" applyNumberFormat="1" applyFont="1" applyFill="1" applyBorder="1" applyAlignment="1">
      <alignment vertical="center" wrapText="1"/>
    </xf>
    <xf numFmtId="179" fontId="7" fillId="10" borderId="3" xfId="0" applyNumberFormat="1" applyFont="1" applyFill="1" applyBorder="1" applyAlignment="1">
      <alignment vertical="center" wrapText="1"/>
    </xf>
    <xf numFmtId="58" fontId="1" fillId="12" borderId="3" xfId="0" applyNumberFormat="1" applyFont="1" applyFill="1" applyBorder="1" applyAlignment="1">
      <alignment horizontal="center" vertical="center" wrapText="1"/>
    </xf>
    <xf numFmtId="58" fontId="1" fillId="2" borderId="4" xfId="0" applyNumberFormat="1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vertical="center" wrapText="1"/>
    </xf>
    <xf numFmtId="177" fontId="1" fillId="2" borderId="3" xfId="0" applyNumberFormat="1" applyFont="1" applyFill="1" applyBorder="1" applyAlignment="1">
      <alignment vertical="center" wrapText="1"/>
    </xf>
    <xf numFmtId="178" fontId="1" fillId="2" borderId="3" xfId="0" applyNumberFormat="1" applyFont="1" applyFill="1" applyBorder="1" applyAlignment="1">
      <alignment vertical="center" wrapText="1"/>
    </xf>
    <xf numFmtId="179" fontId="1" fillId="2" borderId="3" xfId="0" applyNumberFormat="1" applyFont="1" applyFill="1" applyBorder="1" applyAlignment="1">
      <alignment vertical="center" wrapText="1"/>
    </xf>
    <xf numFmtId="58" fontId="7" fillId="12" borderId="3" xfId="0" applyNumberFormat="1" applyFont="1" applyFill="1" applyBorder="1" applyAlignment="1">
      <alignment horizontal="center" vertical="center" wrapText="1"/>
    </xf>
    <xf numFmtId="58" fontId="0" fillId="13" borderId="3" xfId="0" applyNumberFormat="1" applyFont="1" applyFill="1" applyBorder="1" applyAlignment="1">
      <alignment horizontal="center" vertical="center" wrapText="1"/>
    </xf>
    <xf numFmtId="58" fontId="1" fillId="2" borderId="3" xfId="0" applyNumberFormat="1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vertical="center" wrapText="1"/>
    </xf>
    <xf numFmtId="177" fontId="1" fillId="10" borderId="11" xfId="0" applyNumberFormat="1" applyFont="1" applyFill="1" applyBorder="1" applyAlignment="1">
      <alignment horizontal="center" vertical="center" wrapText="1"/>
    </xf>
    <xf numFmtId="179" fontId="1" fillId="10" borderId="3" xfId="0" applyNumberFormat="1" applyFont="1" applyFill="1" applyBorder="1" applyAlignment="1">
      <alignment horizontal="right" vertical="center" wrapText="1"/>
    </xf>
    <xf numFmtId="0" fontId="0" fillId="10" borderId="13" xfId="0" applyFont="1" applyFill="1" applyBorder="1" applyAlignment="1">
      <alignment horizontal="center" vertical="center" wrapText="1"/>
    </xf>
    <xf numFmtId="0" fontId="1" fillId="10" borderId="10" xfId="0" applyFont="1" applyFill="1" applyBorder="1" applyAlignment="1">
      <alignment horizontal="center" vertical="center" wrapText="1"/>
    </xf>
    <xf numFmtId="0" fontId="1" fillId="10" borderId="13" xfId="0" applyFont="1" applyFill="1" applyBorder="1" applyAlignment="1">
      <alignment horizontal="center" vertical="center" wrapText="1"/>
    </xf>
    <xf numFmtId="0" fontId="0" fillId="10" borderId="14" xfId="0" applyFont="1" applyFill="1" applyBorder="1" applyAlignment="1">
      <alignment horizontal="center" vertical="center" wrapText="1"/>
    </xf>
    <xf numFmtId="0" fontId="1" fillId="10" borderId="14" xfId="0" applyFont="1" applyFill="1" applyBorder="1" applyAlignment="1">
      <alignment horizontal="center" vertical="center" wrapText="1"/>
    </xf>
    <xf numFmtId="0" fontId="1" fillId="10" borderId="3" xfId="0" applyNumberFormat="1" applyFont="1" applyFill="1" applyBorder="1" applyAlignment="1">
      <alignment vertical="center" wrapText="1"/>
    </xf>
    <xf numFmtId="177" fontId="0" fillId="10" borderId="14" xfId="0" applyNumberFormat="1" applyFont="1" applyFill="1" applyBorder="1" applyAlignment="1">
      <alignment vertical="center" wrapText="1"/>
    </xf>
    <xf numFmtId="177" fontId="5" fillId="10" borderId="11" xfId="0" applyNumberFormat="1" applyFont="1" applyFill="1" applyBorder="1" applyAlignment="1">
      <alignment horizontal="center" vertical="center" wrapText="1"/>
    </xf>
    <xf numFmtId="177" fontId="5" fillId="10" borderId="3" xfId="0" applyNumberFormat="1" applyFont="1" applyFill="1" applyBorder="1" applyAlignment="1">
      <alignment horizontal="center" vertical="center" wrapText="1"/>
    </xf>
    <xf numFmtId="0" fontId="5" fillId="10" borderId="14" xfId="0" applyFont="1" applyFill="1" applyBorder="1" applyAlignment="1">
      <alignment horizontal="center" vertical="center" wrapText="1"/>
    </xf>
    <xf numFmtId="0" fontId="5" fillId="10" borderId="3" xfId="0" applyFont="1" applyFill="1" applyBorder="1" applyAlignment="1">
      <alignment horizontal="center" vertical="center" wrapText="1"/>
    </xf>
    <xf numFmtId="0" fontId="7" fillId="10" borderId="3" xfId="0" applyNumberFormat="1" applyFont="1" applyFill="1" applyBorder="1" applyAlignment="1">
      <alignment vertical="center" wrapText="1"/>
    </xf>
    <xf numFmtId="177" fontId="7" fillId="10" borderId="14" xfId="0" applyNumberFormat="1" applyFont="1" applyFill="1" applyBorder="1" applyAlignment="1">
      <alignment vertical="center" wrapText="1"/>
    </xf>
    <xf numFmtId="177" fontId="7" fillId="10" borderId="11" xfId="0" applyNumberFormat="1" applyFont="1" applyFill="1" applyBorder="1" applyAlignment="1">
      <alignment horizontal="center" vertical="center" wrapText="1"/>
    </xf>
    <xf numFmtId="177" fontId="7" fillId="10" borderId="3" xfId="0" applyNumberFormat="1" applyFont="1" applyFill="1" applyBorder="1" applyAlignment="1">
      <alignment horizontal="center" vertical="center" wrapText="1"/>
    </xf>
    <xf numFmtId="0" fontId="7" fillId="10" borderId="14" xfId="0" applyFont="1" applyFill="1" applyBorder="1" applyAlignment="1">
      <alignment horizontal="center" vertical="center" wrapText="1"/>
    </xf>
    <xf numFmtId="0" fontId="7" fillId="10" borderId="3" xfId="0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vertical="center" wrapText="1"/>
    </xf>
    <xf numFmtId="177" fontId="0" fillId="2" borderId="14" xfId="0" applyNumberFormat="1" applyFont="1" applyFill="1" applyBorder="1" applyAlignment="1">
      <alignment vertical="center" wrapText="1"/>
    </xf>
    <xf numFmtId="177" fontId="5" fillId="2" borderId="11" xfId="0" applyNumberFormat="1" applyFont="1" applyFill="1" applyBorder="1" applyAlignment="1">
      <alignment horizontal="center" vertical="center" wrapText="1"/>
    </xf>
    <xf numFmtId="177" fontId="5" fillId="2" borderId="3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7" fillId="10" borderId="3" xfId="0" applyNumberFormat="1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0" borderId="5" xfId="0" applyFont="1" applyFill="1" applyBorder="1" applyAlignment="1">
      <alignment horizontal="center" vertical="center" wrapText="1"/>
    </xf>
    <xf numFmtId="177" fontId="5" fillId="10" borderId="5" xfId="0" applyNumberFormat="1" applyFont="1" applyFill="1" applyBorder="1" applyAlignment="1">
      <alignment horizontal="center" vertical="center" wrapText="1"/>
    </xf>
    <xf numFmtId="177" fontId="5" fillId="10" borderId="14" xfId="0" applyNumberFormat="1" applyFont="1" applyFill="1" applyBorder="1" applyAlignment="1">
      <alignment horizontal="center" vertical="center" wrapText="1"/>
    </xf>
    <xf numFmtId="182" fontId="6" fillId="10" borderId="11" xfId="0" applyNumberFormat="1" applyFont="1" applyFill="1" applyBorder="1" applyAlignment="1">
      <alignment horizontal="center" vertical="center" wrapText="1"/>
    </xf>
    <xf numFmtId="182" fontId="6" fillId="10" borderId="3" xfId="0" applyNumberFormat="1" applyFont="1" applyFill="1" applyBorder="1" applyAlignment="1">
      <alignment horizontal="center" vertical="center" wrapText="1"/>
    </xf>
    <xf numFmtId="177" fontId="7" fillId="10" borderId="5" xfId="0" applyNumberFormat="1" applyFont="1" applyFill="1" applyBorder="1" applyAlignment="1">
      <alignment horizontal="center" vertical="center" wrapText="1"/>
    </xf>
    <xf numFmtId="177" fontId="7" fillId="10" borderId="14" xfId="0" applyNumberFormat="1" applyFont="1" applyFill="1" applyBorder="1" applyAlignment="1">
      <alignment horizontal="center" vertical="center" wrapText="1"/>
    </xf>
    <xf numFmtId="182" fontId="7" fillId="10" borderId="11" xfId="0" applyNumberFormat="1" applyFont="1" applyFill="1" applyBorder="1" applyAlignment="1">
      <alignment horizontal="center" vertical="center" wrapText="1"/>
    </xf>
    <xf numFmtId="182" fontId="7" fillId="10" borderId="3" xfId="0" applyNumberFormat="1" applyFont="1" applyFill="1" applyBorder="1" applyAlignment="1">
      <alignment horizontal="center" vertical="center" wrapText="1"/>
    </xf>
    <xf numFmtId="177" fontId="5" fillId="2" borderId="5" xfId="0" applyNumberFormat="1" applyFont="1" applyFill="1" applyBorder="1" applyAlignment="1">
      <alignment horizontal="center" vertical="center" wrapText="1"/>
    </xf>
    <xf numFmtId="177" fontId="5" fillId="2" borderId="14" xfId="0" applyNumberFormat="1" applyFont="1" applyFill="1" applyBorder="1" applyAlignment="1">
      <alignment horizontal="center" vertical="center" wrapText="1"/>
    </xf>
    <xf numFmtId="182" fontId="6" fillId="2" borderId="11" xfId="0" applyNumberFormat="1" applyFont="1" applyFill="1" applyBorder="1" applyAlignment="1">
      <alignment horizontal="center" vertical="center" wrapText="1"/>
    </xf>
    <xf numFmtId="182" fontId="6" fillId="2" borderId="3" xfId="0" applyNumberFormat="1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184" fontId="4" fillId="10" borderId="13" xfId="0" applyNumberFormat="1" applyFont="1" applyFill="1" applyBorder="1" applyAlignment="1">
      <alignment horizontal="center" vertical="center" wrapText="1"/>
    </xf>
    <xf numFmtId="0" fontId="4" fillId="10" borderId="18" xfId="0" applyFont="1" applyFill="1" applyBorder="1" applyAlignment="1">
      <alignment horizontal="center" vertical="center" wrapText="1"/>
    </xf>
    <xf numFmtId="0" fontId="4" fillId="10" borderId="13" xfId="0" applyFont="1" applyFill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184" fontId="1" fillId="10" borderId="11" xfId="0" applyNumberFormat="1" applyFont="1" applyFill="1" applyBorder="1" applyAlignment="1">
      <alignment horizontal="center" vertical="center" wrapText="1"/>
    </xf>
    <xf numFmtId="184" fontId="1" fillId="10" borderId="14" xfId="0" applyNumberFormat="1" applyFont="1" applyFill="1" applyBorder="1" applyAlignment="1">
      <alignment horizontal="center" vertical="center" wrapText="1"/>
    </xf>
    <xf numFmtId="182" fontId="6" fillId="10" borderId="14" xfId="0" applyNumberFormat="1" applyFont="1" applyFill="1" applyBorder="1" applyAlignment="1">
      <alignment horizontal="center" vertical="center" wrapText="1"/>
    </xf>
    <xf numFmtId="184" fontId="1" fillId="10" borderId="11" xfId="0" applyNumberFormat="1" applyFont="1" applyFill="1" applyBorder="1" applyAlignment="1">
      <alignment vertical="center" wrapText="1"/>
    </xf>
    <xf numFmtId="184" fontId="1" fillId="10" borderId="14" xfId="0" applyNumberFormat="1" applyFont="1" applyFill="1" applyBorder="1" applyAlignment="1">
      <alignment vertical="center" wrapText="1"/>
    </xf>
    <xf numFmtId="177" fontId="1" fillId="10" borderId="11" xfId="0" applyNumberFormat="1" applyFont="1" applyFill="1" applyBorder="1" applyAlignment="1">
      <alignment vertical="center" wrapText="1"/>
    </xf>
    <xf numFmtId="177" fontId="1" fillId="10" borderId="14" xfId="0" applyNumberFormat="1" applyFont="1" applyFill="1" applyBorder="1" applyAlignment="1">
      <alignment vertical="center" wrapText="1"/>
    </xf>
    <xf numFmtId="182" fontId="7" fillId="10" borderId="14" xfId="0" applyNumberFormat="1" applyFont="1" applyFill="1" applyBorder="1" applyAlignment="1">
      <alignment horizontal="center" vertical="center" wrapText="1"/>
    </xf>
    <xf numFmtId="184" fontId="7" fillId="10" borderId="11" xfId="0" applyNumberFormat="1" applyFont="1" applyFill="1" applyBorder="1" applyAlignment="1">
      <alignment vertical="center" wrapText="1"/>
    </xf>
    <xf numFmtId="184" fontId="7" fillId="10" borderId="14" xfId="0" applyNumberFormat="1" applyFont="1" applyFill="1" applyBorder="1" applyAlignment="1">
      <alignment vertical="center" wrapText="1"/>
    </xf>
    <xf numFmtId="177" fontId="7" fillId="10" borderId="11" xfId="0" applyNumberFormat="1" applyFont="1" applyFill="1" applyBorder="1" applyAlignment="1">
      <alignment vertical="center" wrapText="1"/>
    </xf>
    <xf numFmtId="10" fontId="6" fillId="10" borderId="14" xfId="0" applyNumberFormat="1" applyFont="1" applyFill="1" applyBorder="1" applyAlignment="1">
      <alignment horizontal="center" vertical="center" wrapText="1"/>
    </xf>
    <xf numFmtId="182" fontId="6" fillId="2" borderId="14" xfId="0" applyNumberFormat="1" applyFont="1" applyFill="1" applyBorder="1" applyAlignment="1">
      <alignment horizontal="center" vertical="center" wrapText="1"/>
    </xf>
    <xf numFmtId="184" fontId="1" fillId="2" borderId="11" xfId="0" applyNumberFormat="1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vertical="center" wrapText="1"/>
    </xf>
    <xf numFmtId="177" fontId="1" fillId="2" borderId="11" xfId="0" applyNumberFormat="1" applyFont="1" applyFill="1" applyBorder="1" applyAlignment="1">
      <alignment vertical="center" wrapText="1"/>
    </xf>
    <xf numFmtId="177" fontId="1" fillId="2" borderId="14" xfId="0" applyNumberFormat="1" applyFont="1" applyFill="1" applyBorder="1" applyAlignment="1">
      <alignment vertical="center" wrapText="1"/>
    </xf>
    <xf numFmtId="184" fontId="7" fillId="13" borderId="14" xfId="0" applyNumberFormat="1" applyFont="1" applyFill="1" applyBorder="1" applyAlignment="1">
      <alignment vertical="center" wrapText="1"/>
    </xf>
    <xf numFmtId="184" fontId="7" fillId="0" borderId="14" xfId="0" applyNumberFormat="1" applyFont="1" applyFill="1" applyBorder="1" applyAlignment="1">
      <alignment vertical="center" wrapText="1"/>
    </xf>
    <xf numFmtId="184" fontId="1" fillId="0" borderId="14" xfId="0" applyNumberFormat="1" applyFont="1" applyFill="1" applyBorder="1" applyAlignment="1">
      <alignment vertical="center" wrapText="1"/>
    </xf>
    <xf numFmtId="183" fontId="1" fillId="10" borderId="11" xfId="0" applyNumberFormat="1" applyFont="1" applyFill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10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vertical="center" wrapText="1"/>
    </xf>
    <xf numFmtId="177" fontId="0" fillId="10" borderId="3" xfId="0" applyNumberFormat="1" applyFont="1" applyFill="1" applyBorder="1" applyAlignment="1">
      <alignment vertical="center" wrapText="1"/>
    </xf>
    <xf numFmtId="1" fontId="5" fillId="2" borderId="14" xfId="0" applyNumberFormat="1" applyFont="1" applyFill="1" applyBorder="1" applyAlignment="1">
      <alignment horizontal="center" vertical="center" wrapText="1"/>
    </xf>
    <xf numFmtId="10" fontId="6" fillId="2" borderId="3" xfId="0" applyNumberFormat="1" applyFont="1" applyFill="1" applyBorder="1" applyAlignment="1">
      <alignment horizontal="center" vertical="center" wrapText="1"/>
    </xf>
    <xf numFmtId="10" fontId="6" fillId="2" borderId="14" xfId="0" applyNumberFormat="1" applyFont="1" applyFill="1" applyBorder="1" applyAlignment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1" fontId="1" fillId="0" borderId="0" xfId="0" applyNumberFormat="1" applyFont="1" applyAlignment="1">
      <alignment horizontal="center" vertical="center" wrapText="1"/>
    </xf>
    <xf numFmtId="1" fontId="1" fillId="10" borderId="3" xfId="0" applyNumberFormat="1" applyFont="1" applyFill="1" applyBorder="1" applyAlignment="1">
      <alignment vertical="center" wrapText="1"/>
    </xf>
    <xf numFmtId="58" fontId="7" fillId="2" borderId="3" xfId="0" applyNumberFormat="1" applyFont="1" applyFill="1" applyBorder="1" applyAlignment="1">
      <alignment horizontal="center" vertical="center" wrapText="1"/>
    </xf>
    <xf numFmtId="58" fontId="7" fillId="2" borderId="4" xfId="0" applyNumberFormat="1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vertical="center" wrapText="1"/>
    </xf>
    <xf numFmtId="177" fontId="7" fillId="2" borderId="3" xfId="0" applyNumberFormat="1" applyFont="1" applyFill="1" applyBorder="1" applyAlignment="1">
      <alignment vertical="center" wrapText="1"/>
    </xf>
    <xf numFmtId="178" fontId="7" fillId="2" borderId="3" xfId="0" applyNumberFormat="1" applyFont="1" applyFill="1" applyBorder="1" applyAlignment="1">
      <alignment vertical="center" wrapText="1"/>
    </xf>
    <xf numFmtId="179" fontId="7" fillId="2" borderId="3" xfId="0" applyNumberFormat="1" applyFont="1" applyFill="1" applyBorder="1" applyAlignment="1">
      <alignment vertical="center" wrapText="1"/>
    </xf>
    <xf numFmtId="0" fontId="7" fillId="2" borderId="3" xfId="0" applyNumberFormat="1" applyFont="1" applyFill="1" applyBorder="1" applyAlignment="1">
      <alignment vertical="center" wrapText="1"/>
    </xf>
    <xf numFmtId="177" fontId="7" fillId="2" borderId="14" xfId="0" applyNumberFormat="1" applyFont="1" applyFill="1" applyBorder="1" applyAlignment="1">
      <alignment vertical="center" wrapText="1"/>
    </xf>
    <xf numFmtId="182" fontId="7" fillId="2" borderId="11" xfId="0" applyNumberFormat="1" applyFont="1" applyFill="1" applyBorder="1" applyAlignment="1">
      <alignment horizontal="center" vertical="center" wrapText="1"/>
    </xf>
    <xf numFmtId="182" fontId="7" fillId="2" borderId="3" xfId="0" applyNumberFormat="1" applyFont="1" applyFill="1" applyBorder="1" applyAlignment="1">
      <alignment horizontal="center" vertical="center" wrapText="1"/>
    </xf>
    <xf numFmtId="182" fontId="7" fillId="2" borderId="14" xfId="0" applyNumberFormat="1" applyFont="1" applyFill="1" applyBorder="1" applyAlignment="1">
      <alignment horizontal="center" vertical="center" wrapText="1"/>
    </xf>
    <xf numFmtId="184" fontId="7" fillId="2" borderId="11" xfId="0" applyNumberFormat="1" applyFont="1" applyFill="1" applyBorder="1" applyAlignment="1">
      <alignment vertical="center" wrapText="1"/>
    </xf>
    <xf numFmtId="184" fontId="7" fillId="2" borderId="14" xfId="0" applyNumberFormat="1" applyFont="1" applyFill="1" applyBorder="1" applyAlignment="1">
      <alignment vertical="center" wrapText="1"/>
    </xf>
    <xf numFmtId="177" fontId="7" fillId="2" borderId="11" xfId="0" applyNumberFormat="1" applyFont="1" applyFill="1" applyBorder="1" applyAlignment="1">
      <alignment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58" fontId="0" fillId="2" borderId="3" xfId="0" applyNumberFormat="1" applyFont="1" applyFill="1" applyBorder="1" applyAlignment="1">
      <alignment horizontal="center" vertical="center" wrapText="1"/>
    </xf>
    <xf numFmtId="58" fontId="0" fillId="2" borderId="4" xfId="0" applyNumberFormat="1" applyFont="1" applyFill="1" applyBorder="1" applyAlignment="1">
      <alignment horizontal="center" vertical="center" wrapText="1"/>
    </xf>
    <xf numFmtId="0" fontId="0" fillId="2" borderId="11" xfId="0" applyFont="1" applyFill="1" applyBorder="1" applyAlignment="1">
      <alignment vertical="center" wrapText="1"/>
    </xf>
    <xf numFmtId="177" fontId="0" fillId="2" borderId="3" xfId="0" applyNumberFormat="1" applyFont="1" applyFill="1" applyBorder="1" applyAlignment="1">
      <alignment vertical="center" wrapText="1"/>
    </xf>
    <xf numFmtId="178" fontId="0" fillId="2" borderId="3" xfId="0" applyNumberFormat="1" applyFont="1" applyFill="1" applyBorder="1" applyAlignment="1">
      <alignment vertical="center" wrapText="1"/>
    </xf>
    <xf numFmtId="179" fontId="0" fillId="2" borderId="3" xfId="0" applyNumberFormat="1" applyFont="1" applyFill="1" applyBorder="1" applyAlignment="1">
      <alignment vertical="center" wrapText="1"/>
    </xf>
    <xf numFmtId="0" fontId="0" fillId="2" borderId="3" xfId="0" applyNumberFormat="1" applyFont="1" applyFill="1" applyBorder="1" applyAlignment="1">
      <alignment vertical="center" wrapText="1"/>
    </xf>
    <xf numFmtId="177" fontId="0" fillId="2" borderId="11" xfId="0" applyNumberFormat="1" applyFont="1" applyFill="1" applyBorder="1" applyAlignment="1">
      <alignment horizontal="center" vertical="center" wrapText="1"/>
    </xf>
    <xf numFmtId="0" fontId="0" fillId="2" borderId="3" xfId="0" applyFont="1" applyFill="1" applyBorder="1" applyAlignment="1">
      <alignment horizontal="center" vertical="center" wrapText="1"/>
    </xf>
    <xf numFmtId="177" fontId="0" fillId="2" borderId="5" xfId="0" applyNumberFormat="1" applyFont="1" applyFill="1" applyBorder="1" applyAlignment="1">
      <alignment horizontal="center" vertical="center" wrapText="1"/>
    </xf>
    <xf numFmtId="177" fontId="0" fillId="2" borderId="3" xfId="0" applyNumberFormat="1" applyFont="1" applyFill="1" applyBorder="1" applyAlignment="1">
      <alignment horizontal="center" vertical="center" wrapText="1"/>
    </xf>
    <xf numFmtId="177" fontId="0" fillId="2" borderId="14" xfId="0" applyNumberFormat="1" applyFont="1" applyFill="1" applyBorder="1" applyAlignment="1">
      <alignment horizontal="center" vertical="center" wrapText="1"/>
    </xf>
    <xf numFmtId="10" fontId="1" fillId="10" borderId="14" xfId="0" applyNumberFormat="1" applyFont="1" applyFill="1" applyBorder="1" applyAlignment="1">
      <alignment vertical="center" wrapText="1"/>
    </xf>
    <xf numFmtId="0" fontId="1" fillId="2" borderId="11" xfId="0" applyNumberFormat="1" applyFont="1" applyFill="1" applyBorder="1" applyAlignment="1">
      <alignment vertical="center" wrapText="1"/>
    </xf>
    <xf numFmtId="184" fontId="0" fillId="10" borderId="14" xfId="0" applyNumberFormat="1" applyFont="1" applyFill="1" applyBorder="1" applyAlignment="1">
      <alignment vertical="center" wrapText="1"/>
    </xf>
    <xf numFmtId="177" fontId="0" fillId="10" borderId="11" xfId="0" applyNumberFormat="1" applyFont="1" applyFill="1" applyBorder="1" applyAlignment="1">
      <alignment vertical="center" wrapText="1"/>
    </xf>
    <xf numFmtId="178" fontId="1" fillId="10" borderId="0" xfId="0" applyNumberFormat="1" applyFont="1" applyFill="1" applyBorder="1" applyAlignment="1">
      <alignment vertical="center" wrapText="1"/>
    </xf>
    <xf numFmtId="0" fontId="1" fillId="2" borderId="19" xfId="0" applyFont="1" applyFill="1" applyBorder="1" applyAlignment="1">
      <alignment vertical="center" wrapText="1"/>
    </xf>
    <xf numFmtId="177" fontId="1" fillId="2" borderId="20" xfId="0" applyNumberFormat="1" applyFont="1" applyFill="1" applyBorder="1" applyAlignment="1">
      <alignment vertical="center" wrapText="1"/>
    </xf>
    <xf numFmtId="178" fontId="1" fillId="2" borderId="20" xfId="0" applyNumberFormat="1" applyFont="1" applyFill="1" applyBorder="1" applyAlignment="1">
      <alignment vertical="center" wrapText="1"/>
    </xf>
    <xf numFmtId="179" fontId="1" fillId="2" borderId="20" xfId="0" applyNumberFormat="1" applyFont="1" applyFill="1" applyBorder="1" applyAlignment="1">
      <alignment vertical="center" wrapText="1"/>
    </xf>
    <xf numFmtId="58" fontId="8" fillId="10" borderId="3" xfId="0" applyNumberFormat="1" applyFont="1" applyFill="1" applyBorder="1" applyAlignment="1">
      <alignment horizontal="center" vertical="center" wrapText="1"/>
    </xf>
    <xf numFmtId="177" fontId="8" fillId="10" borderId="8" xfId="0" applyNumberFormat="1" applyFont="1" applyFill="1" applyBorder="1" applyAlignment="1">
      <alignment horizontal="center" vertical="center" wrapText="1"/>
    </xf>
    <xf numFmtId="179" fontId="0" fillId="10" borderId="3" xfId="0" applyNumberFormat="1" applyFont="1" applyFill="1" applyBorder="1" applyAlignment="1">
      <alignment vertical="center" wrapText="1"/>
    </xf>
    <xf numFmtId="0" fontId="1" fillId="2" borderId="20" xfId="0" applyNumberFormat="1" applyFont="1" applyFill="1" applyBorder="1" applyAlignment="1">
      <alignment vertical="center" wrapText="1"/>
    </xf>
    <xf numFmtId="177" fontId="0" fillId="2" borderId="21" xfId="0" applyNumberFormat="1" applyFont="1" applyFill="1" applyBorder="1" applyAlignment="1">
      <alignment vertical="center" wrapText="1"/>
    </xf>
    <xf numFmtId="177" fontId="5" fillId="2" borderId="19" xfId="0" applyNumberFormat="1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 wrapText="1"/>
    </xf>
    <xf numFmtId="177" fontId="10" fillId="10" borderId="8" xfId="0" applyNumberFormat="1" applyFont="1" applyFill="1" applyBorder="1" applyAlignment="1">
      <alignment horizontal="center" vertical="center" wrapText="1"/>
    </xf>
    <xf numFmtId="0" fontId="10" fillId="10" borderId="8" xfId="0" applyFont="1" applyFill="1" applyBorder="1" applyAlignment="1">
      <alignment horizontal="center" vertical="center" wrapText="1"/>
    </xf>
    <xf numFmtId="177" fontId="5" fillId="2" borderId="22" xfId="0" applyNumberFormat="1" applyFont="1" applyFill="1" applyBorder="1" applyAlignment="1">
      <alignment horizontal="center" vertical="center" wrapText="1"/>
    </xf>
    <xf numFmtId="177" fontId="5" fillId="2" borderId="20" xfId="0" applyNumberFormat="1" applyFont="1" applyFill="1" applyBorder="1" applyAlignment="1">
      <alignment horizontal="center" vertical="center" wrapText="1"/>
    </xf>
    <xf numFmtId="177" fontId="5" fillId="2" borderId="21" xfId="0" applyNumberFormat="1" applyFont="1" applyFill="1" applyBorder="1" applyAlignment="1">
      <alignment horizontal="center" vertical="center" wrapText="1"/>
    </xf>
    <xf numFmtId="182" fontId="6" fillId="2" borderId="19" xfId="0" applyNumberFormat="1" applyFont="1" applyFill="1" applyBorder="1" applyAlignment="1">
      <alignment horizontal="center" vertical="center" wrapText="1"/>
    </xf>
    <xf numFmtId="182" fontId="6" fillId="2" borderId="20" xfId="0" applyNumberFormat="1" applyFont="1" applyFill="1" applyBorder="1" applyAlignment="1">
      <alignment horizontal="center" vertical="center" wrapText="1"/>
    </xf>
    <xf numFmtId="182" fontId="6" fillId="2" borderId="21" xfId="0" applyNumberFormat="1" applyFont="1" applyFill="1" applyBorder="1" applyAlignment="1">
      <alignment horizontal="center" vertical="center" wrapText="1"/>
    </xf>
    <xf numFmtId="184" fontId="1" fillId="2" borderId="19" xfId="0" applyNumberFormat="1" applyFont="1" applyFill="1" applyBorder="1" applyAlignment="1">
      <alignment vertical="center" wrapText="1"/>
    </xf>
    <xf numFmtId="184" fontId="1" fillId="2" borderId="21" xfId="0" applyNumberFormat="1" applyFont="1" applyFill="1" applyBorder="1" applyAlignment="1">
      <alignment vertical="center" wrapText="1"/>
    </xf>
    <xf numFmtId="177" fontId="1" fillId="2" borderId="19" xfId="0" applyNumberFormat="1" applyFont="1" applyFill="1" applyBorder="1" applyAlignment="1">
      <alignment vertical="center" wrapText="1"/>
    </xf>
    <xf numFmtId="177" fontId="1" fillId="2" borderId="21" xfId="0" applyNumberFormat="1" applyFont="1" applyFill="1" applyBorder="1" applyAlignment="1">
      <alignment vertical="center" wrapText="1"/>
    </xf>
    <xf numFmtId="184" fontId="8" fillId="10" borderId="8" xfId="0" applyNumberFormat="1" applyFont="1" applyFill="1" applyBorder="1" applyAlignment="1">
      <alignment vertical="center" wrapText="1"/>
    </xf>
    <xf numFmtId="177" fontId="8" fillId="10" borderId="8" xfId="0" applyNumberFormat="1" applyFont="1" applyFill="1" applyBorder="1" applyAlignment="1">
      <alignment vertical="center" wrapText="1"/>
    </xf>
    <xf numFmtId="184" fontId="1" fillId="10" borderId="3" xfId="0" applyNumberFormat="1" applyFont="1" applyFill="1" applyBorder="1" applyAlignment="1">
      <alignment vertical="center" wrapText="1"/>
    </xf>
    <xf numFmtId="184" fontId="0" fillId="10" borderId="3" xfId="0" applyNumberFormat="1" applyFont="1" applyFill="1" applyBorder="1" applyAlignment="1">
      <alignment vertical="center" wrapText="1"/>
    </xf>
    <xf numFmtId="184" fontId="7" fillId="10" borderId="3" xfId="0" applyNumberFormat="1" applyFont="1" applyFill="1" applyBorder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0" fontId="7" fillId="10" borderId="0" xfId="0" applyFont="1" applyFill="1" applyAlignment="1">
      <alignment horizontal="center" vertical="center" wrapText="1"/>
    </xf>
    <xf numFmtId="0" fontId="1" fillId="0" borderId="0" xfId="0" applyFont="1" applyAlignment="1">
      <alignment vertical="center"/>
    </xf>
    <xf numFmtId="1" fontId="0" fillId="2" borderId="14" xfId="0" applyNumberFormat="1" applyFont="1" applyFill="1" applyBorder="1" applyAlignment="1">
      <alignment horizontal="center" vertical="center" wrapText="1"/>
    </xf>
    <xf numFmtId="1" fontId="0" fillId="2" borderId="3" xfId="0" applyNumberFormat="1" applyFont="1" applyFill="1" applyBorder="1" applyAlignment="1">
      <alignment horizontal="center" vertical="center" wrapText="1"/>
    </xf>
    <xf numFmtId="58" fontId="1" fillId="13" borderId="3" xfId="0" applyNumberFormat="1" applyFont="1" applyFill="1" applyBorder="1" applyAlignment="1">
      <alignment horizontal="center" vertical="center" wrapText="1"/>
    </xf>
    <xf numFmtId="58" fontId="7" fillId="13" borderId="3" xfId="0" applyNumberFormat="1" applyFont="1" applyFill="1" applyBorder="1" applyAlignment="1">
      <alignment horizontal="center" vertical="center" wrapText="1"/>
    </xf>
    <xf numFmtId="177" fontId="1" fillId="0" borderId="3" xfId="0" applyNumberFormat="1" applyFont="1" applyFill="1" applyBorder="1" applyAlignment="1">
      <alignment vertical="center" wrapText="1"/>
    </xf>
    <xf numFmtId="177" fontId="7" fillId="0" borderId="3" xfId="0" applyNumberFormat="1" applyFont="1" applyFill="1" applyBorder="1" applyAlignment="1">
      <alignment vertical="center" wrapText="1"/>
    </xf>
    <xf numFmtId="10" fontId="6" fillId="2" borderId="11" xfId="0" applyNumberFormat="1" applyFont="1" applyFill="1" applyBorder="1" applyAlignment="1">
      <alignment horizontal="center" vertical="center" wrapText="1"/>
    </xf>
    <xf numFmtId="177" fontId="11" fillId="10" borderId="3" xfId="0" applyNumberFormat="1" applyFont="1" applyFill="1" applyBorder="1">
      <alignment vertical="center"/>
    </xf>
    <xf numFmtId="177" fontId="11" fillId="10" borderId="3" xfId="0" applyNumberFormat="1" applyFont="1" applyFill="1" applyBorder="1" applyAlignment="1">
      <alignment vertical="center" wrapText="1"/>
    </xf>
    <xf numFmtId="0" fontId="11" fillId="10" borderId="3" xfId="0" applyFont="1" applyFill="1" applyBorder="1" applyAlignment="1">
      <alignment horizontal="center" vertical="center" wrapText="1"/>
    </xf>
    <xf numFmtId="0" fontId="11" fillId="10" borderId="4" xfId="0" applyFont="1" applyFill="1" applyBorder="1" applyAlignment="1">
      <alignment horizontal="center" vertical="center" wrapText="1"/>
    </xf>
    <xf numFmtId="0" fontId="11" fillId="10" borderId="11" xfId="0" applyFont="1" applyFill="1" applyBorder="1" applyAlignment="1">
      <alignment horizontal="center" vertical="center" wrapText="1"/>
    </xf>
    <xf numFmtId="178" fontId="11" fillId="10" borderId="3" xfId="0" applyNumberFormat="1" applyFont="1" applyFill="1" applyBorder="1" applyAlignment="1">
      <alignment horizontal="center" vertical="center" wrapText="1"/>
    </xf>
    <xf numFmtId="0" fontId="11" fillId="10" borderId="14" xfId="0" applyFont="1" applyFill="1" applyBorder="1" applyAlignment="1">
      <alignment horizontal="center" vertical="center" wrapText="1"/>
    </xf>
    <xf numFmtId="0" fontId="11" fillId="10" borderId="5" xfId="0" applyFont="1" applyFill="1" applyBorder="1" applyAlignment="1">
      <alignment horizontal="center" vertical="center" wrapText="1"/>
    </xf>
    <xf numFmtId="184" fontId="11" fillId="10" borderId="11" xfId="0" applyNumberFormat="1" applyFont="1" applyFill="1" applyBorder="1" applyAlignment="1">
      <alignment horizontal="center" vertical="center" wrapText="1"/>
    </xf>
    <xf numFmtId="184" fontId="11" fillId="10" borderId="14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1" fillId="10" borderId="0" xfId="0" applyFont="1" applyFill="1" applyAlignment="1">
      <alignment horizontal="center" vertical="center" wrapText="1"/>
    </xf>
    <xf numFmtId="58" fontId="11" fillId="10" borderId="4" xfId="0" applyNumberFormat="1" applyFont="1" applyFill="1" applyBorder="1" applyAlignment="1">
      <alignment horizontal="center" vertical="center" wrapText="1"/>
    </xf>
    <xf numFmtId="0" fontId="11" fillId="10" borderId="11" xfId="0" applyFont="1" applyFill="1" applyBorder="1" applyAlignment="1">
      <alignment vertical="center" wrapText="1"/>
    </xf>
    <xf numFmtId="178" fontId="11" fillId="10" borderId="3" xfId="0" applyNumberFormat="1" applyFont="1" applyFill="1" applyBorder="1" applyAlignment="1">
      <alignment vertical="center" wrapText="1"/>
    </xf>
    <xf numFmtId="179" fontId="11" fillId="10" borderId="3" xfId="0" applyNumberFormat="1" applyFont="1" applyFill="1" applyBorder="1" applyAlignment="1">
      <alignment vertical="center" wrapText="1"/>
    </xf>
    <xf numFmtId="0" fontId="11" fillId="10" borderId="3" xfId="0" applyNumberFormat="1" applyFont="1" applyFill="1" applyBorder="1" applyAlignment="1">
      <alignment vertical="center" wrapText="1"/>
    </xf>
    <xf numFmtId="177" fontId="11" fillId="10" borderId="14" xfId="0" applyNumberFormat="1" applyFont="1" applyFill="1" applyBorder="1" applyAlignment="1">
      <alignment vertical="center" wrapText="1"/>
    </xf>
    <xf numFmtId="177" fontId="11" fillId="10" borderId="11" xfId="0" applyNumberFormat="1" applyFont="1" applyFill="1" applyBorder="1" applyAlignment="1">
      <alignment horizontal="center" vertical="center" wrapText="1"/>
    </xf>
    <xf numFmtId="177" fontId="11" fillId="10" borderId="3" xfId="0" applyNumberFormat="1" applyFont="1" applyFill="1" applyBorder="1" applyAlignment="1">
      <alignment horizontal="center" vertical="center" wrapText="1"/>
    </xf>
    <xf numFmtId="177" fontId="11" fillId="10" borderId="5" xfId="0" applyNumberFormat="1" applyFont="1" applyFill="1" applyBorder="1" applyAlignment="1">
      <alignment horizontal="center" vertical="center" wrapText="1"/>
    </xf>
    <xf numFmtId="177" fontId="11" fillId="10" borderId="14" xfId="0" applyNumberFormat="1" applyFont="1" applyFill="1" applyBorder="1" applyAlignment="1">
      <alignment horizontal="center" vertical="center" wrapText="1"/>
    </xf>
    <xf numFmtId="182" fontId="11" fillId="10" borderId="11" xfId="0" applyNumberFormat="1" applyFont="1" applyFill="1" applyBorder="1" applyAlignment="1">
      <alignment horizontal="center" vertical="center" wrapText="1"/>
    </xf>
    <xf numFmtId="182" fontId="11" fillId="10" borderId="3" xfId="0" applyNumberFormat="1" applyFont="1" applyFill="1" applyBorder="1" applyAlignment="1">
      <alignment horizontal="center" vertical="center" wrapText="1"/>
    </xf>
    <xf numFmtId="182" fontId="11" fillId="10" borderId="14" xfId="0" applyNumberFormat="1" applyFont="1" applyFill="1" applyBorder="1" applyAlignment="1">
      <alignment horizontal="center" vertical="center" wrapText="1"/>
    </xf>
    <xf numFmtId="184" fontId="11" fillId="10" borderId="11" xfId="0" applyNumberFormat="1" applyFont="1" applyFill="1" applyBorder="1" applyAlignment="1">
      <alignment vertical="center" wrapText="1"/>
    </xf>
    <xf numFmtId="184" fontId="11" fillId="10" borderId="14" xfId="0" applyNumberFormat="1" applyFont="1" applyFill="1" applyBorder="1" applyAlignment="1">
      <alignment vertical="center" wrapText="1"/>
    </xf>
    <xf numFmtId="177" fontId="11" fillId="10" borderId="11" xfId="0" applyNumberFormat="1" applyFont="1" applyFill="1" applyBorder="1" applyAlignment="1">
      <alignment vertical="center" wrapText="1"/>
    </xf>
    <xf numFmtId="0" fontId="11" fillId="10" borderId="0" xfId="0" applyFont="1" applyFill="1" applyAlignment="1">
      <alignment vertical="center" wrapText="1"/>
    </xf>
    <xf numFmtId="58" fontId="11" fillId="10" borderId="3" xfId="0" applyNumberFormat="1" applyFont="1" applyFill="1" applyBorder="1" applyAlignment="1">
      <alignment horizontal="center" vertical="center" wrapText="1"/>
    </xf>
    <xf numFmtId="10" fontId="11" fillId="10" borderId="14" xfId="0" applyNumberFormat="1" applyFont="1" applyFill="1" applyBorder="1" applyAlignment="1">
      <alignment horizontal="center" vertical="center" wrapText="1"/>
    </xf>
    <xf numFmtId="10" fontId="11" fillId="0" borderId="0" xfId="0" applyNumberFormat="1" applyFont="1" applyAlignment="1">
      <alignment horizontal="center" vertical="center" wrapText="1"/>
    </xf>
    <xf numFmtId="58" fontId="11" fillId="2" borderId="4" xfId="0" applyNumberFormat="1" applyFont="1" applyFill="1" applyBorder="1" applyAlignment="1">
      <alignment horizontal="center" vertical="center" wrapText="1"/>
    </xf>
    <xf numFmtId="0" fontId="11" fillId="2" borderId="11" xfId="0" applyFont="1" applyFill="1" applyBorder="1" applyAlignment="1">
      <alignment vertical="center" wrapText="1"/>
    </xf>
    <xf numFmtId="177" fontId="11" fillId="2" borderId="3" xfId="0" applyNumberFormat="1" applyFont="1" applyFill="1" applyBorder="1" applyAlignment="1">
      <alignment vertical="center" wrapText="1"/>
    </xf>
    <xf numFmtId="178" fontId="11" fillId="2" borderId="3" xfId="0" applyNumberFormat="1" applyFont="1" applyFill="1" applyBorder="1" applyAlignment="1">
      <alignment vertical="center" wrapText="1"/>
    </xf>
    <xf numFmtId="179" fontId="11" fillId="2" borderId="3" xfId="0" applyNumberFormat="1" applyFont="1" applyFill="1" applyBorder="1" applyAlignment="1">
      <alignment vertical="center" wrapText="1"/>
    </xf>
    <xf numFmtId="0" fontId="11" fillId="2" borderId="3" xfId="0" applyNumberFormat="1" applyFont="1" applyFill="1" applyBorder="1" applyAlignment="1">
      <alignment vertical="center" wrapText="1"/>
    </xf>
    <xf numFmtId="177" fontId="11" fillId="2" borderId="14" xfId="0" applyNumberFormat="1" applyFont="1" applyFill="1" applyBorder="1" applyAlignment="1">
      <alignment vertical="center" wrapText="1"/>
    </xf>
    <xf numFmtId="177" fontId="11" fillId="2" borderId="11" xfId="0" applyNumberFormat="1" applyFont="1" applyFill="1" applyBorder="1" applyAlignment="1">
      <alignment horizontal="center" vertical="center" wrapText="1"/>
    </xf>
    <xf numFmtId="177" fontId="11" fillId="2" borderId="3" xfId="0" applyNumberFormat="1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horizontal="center" vertical="center" wrapText="1"/>
    </xf>
    <xf numFmtId="177" fontId="11" fillId="2" borderId="5" xfId="0" applyNumberFormat="1" applyFont="1" applyFill="1" applyBorder="1" applyAlignment="1">
      <alignment horizontal="center" vertical="center" wrapText="1"/>
    </xf>
    <xf numFmtId="177" fontId="11" fillId="2" borderId="14" xfId="0" applyNumberFormat="1" applyFont="1" applyFill="1" applyBorder="1" applyAlignment="1">
      <alignment horizontal="center" vertical="center" wrapText="1"/>
    </xf>
    <xf numFmtId="182" fontId="11" fillId="2" borderId="11" xfId="0" applyNumberFormat="1" applyFont="1" applyFill="1" applyBorder="1" applyAlignment="1">
      <alignment horizontal="center" vertical="center" wrapText="1"/>
    </xf>
    <xf numFmtId="182" fontId="11" fillId="2" borderId="3" xfId="0" applyNumberFormat="1" applyFont="1" applyFill="1" applyBorder="1" applyAlignment="1">
      <alignment horizontal="center" vertical="center" wrapText="1"/>
    </xf>
    <xf numFmtId="182" fontId="11" fillId="2" borderId="14" xfId="0" applyNumberFormat="1" applyFont="1" applyFill="1" applyBorder="1" applyAlignment="1">
      <alignment horizontal="center" vertical="center" wrapText="1"/>
    </xf>
    <xf numFmtId="184" fontId="11" fillId="2" borderId="11" xfId="0" applyNumberFormat="1" applyFont="1" applyFill="1" applyBorder="1" applyAlignment="1">
      <alignment vertical="center" wrapText="1"/>
    </xf>
    <xf numFmtId="184" fontId="11" fillId="2" borderId="14" xfId="0" applyNumberFormat="1" applyFont="1" applyFill="1" applyBorder="1" applyAlignment="1">
      <alignment vertical="center" wrapText="1"/>
    </xf>
    <xf numFmtId="177" fontId="11" fillId="2" borderId="11" xfId="0" applyNumberFormat="1" applyFont="1" applyFill="1" applyBorder="1" applyAlignment="1">
      <alignment vertical="center" wrapText="1"/>
    </xf>
    <xf numFmtId="0" fontId="11" fillId="10" borderId="3" xfId="0" applyNumberFormat="1" applyFont="1" applyFill="1" applyBorder="1" applyAlignment="1">
      <alignment horizontal="center" vertical="center" wrapText="1"/>
    </xf>
    <xf numFmtId="184" fontId="11" fillId="0" borderId="0" xfId="0" applyNumberFormat="1" applyFont="1" applyAlignment="1">
      <alignment vertical="center" wrapText="1"/>
    </xf>
    <xf numFmtId="58" fontId="11" fillId="13" borderId="3" xfId="0" applyNumberFormat="1" applyFont="1" applyFill="1" applyBorder="1" applyAlignment="1">
      <alignment horizontal="center" vertical="center" wrapText="1"/>
    </xf>
    <xf numFmtId="184" fontId="11" fillId="0" borderId="14" xfId="0" applyNumberFormat="1" applyFont="1" applyFill="1" applyBorder="1" applyAlignment="1">
      <alignment vertical="center" wrapText="1"/>
    </xf>
    <xf numFmtId="2" fontId="11" fillId="0" borderId="0" xfId="0" applyNumberFormat="1" applyFont="1" applyAlignment="1">
      <alignment vertical="center" wrapText="1"/>
    </xf>
    <xf numFmtId="58" fontId="11" fillId="2" borderId="3" xfId="0" applyNumberFormat="1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179" fontId="11" fillId="10" borderId="3" xfId="0" applyNumberFormat="1" applyFont="1" applyFill="1" applyBorder="1" applyAlignment="1">
      <alignment horizontal="right" vertical="center" wrapText="1"/>
    </xf>
    <xf numFmtId="183" fontId="11" fillId="10" borderId="11" xfId="0" applyNumberFormat="1" applyFont="1" applyFill="1" applyBorder="1" applyAlignment="1">
      <alignment vertical="center" wrapText="1"/>
    </xf>
    <xf numFmtId="10" fontId="11" fillId="0" borderId="0" xfId="0" applyNumberFormat="1" applyFont="1" applyAlignment="1">
      <alignment vertical="center" wrapText="1"/>
    </xf>
    <xf numFmtId="10" fontId="11" fillId="2" borderId="3" xfId="0" applyNumberFormat="1" applyFont="1" applyFill="1" applyBorder="1" applyAlignment="1">
      <alignment horizontal="center" vertical="center" wrapText="1"/>
    </xf>
    <xf numFmtId="10" fontId="11" fillId="2" borderId="14" xfId="0" applyNumberFormat="1" applyFont="1" applyFill="1" applyBorder="1" applyAlignment="1">
      <alignment horizontal="center" vertical="center" wrapText="1"/>
    </xf>
    <xf numFmtId="1" fontId="11" fillId="2" borderId="14" xfId="0" applyNumberFormat="1" applyFont="1" applyFill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10" borderId="3" xfId="0" applyNumberFormat="1" applyFont="1" applyFill="1" applyBorder="1" applyAlignment="1">
      <alignment vertical="center" wrapText="1"/>
    </xf>
    <xf numFmtId="10" fontId="11" fillId="10" borderId="14" xfId="0" applyNumberFormat="1" applyFont="1" applyFill="1" applyBorder="1" applyAlignment="1">
      <alignment vertical="center" wrapText="1"/>
    </xf>
    <xf numFmtId="0" fontId="11" fillId="2" borderId="11" xfId="0" applyNumberFormat="1" applyFont="1" applyFill="1" applyBorder="1" applyAlignment="1">
      <alignment vertical="center" wrapText="1"/>
    </xf>
    <xf numFmtId="1" fontId="11" fillId="2" borderId="3" xfId="0" applyNumberFormat="1" applyFont="1" applyFill="1" applyBorder="1" applyAlignment="1">
      <alignment horizontal="center" vertical="center" wrapText="1"/>
    </xf>
    <xf numFmtId="177" fontId="11" fillId="0" borderId="3" xfId="0" applyNumberFormat="1" applyFont="1" applyFill="1" applyBorder="1" applyAlignment="1">
      <alignment vertical="center" wrapText="1"/>
    </xf>
    <xf numFmtId="10" fontId="11" fillId="2" borderId="11" xfId="0" applyNumberFormat="1" applyFont="1" applyFill="1" applyBorder="1" applyAlignment="1">
      <alignment horizontal="center" vertical="center" wrapText="1"/>
    </xf>
    <xf numFmtId="178" fontId="11" fillId="10" borderId="0" xfId="0" applyNumberFormat="1" applyFont="1" applyFill="1" applyAlignment="1">
      <alignment vertical="center" wrapText="1"/>
    </xf>
    <xf numFmtId="178" fontId="11" fillId="10" borderId="0" xfId="0" applyNumberFormat="1" applyFont="1" applyFill="1" applyBorder="1" applyAlignment="1">
      <alignment vertical="center" wrapText="1"/>
    </xf>
    <xf numFmtId="0" fontId="11" fillId="2" borderId="19" xfId="0" applyFont="1" applyFill="1" applyBorder="1" applyAlignment="1">
      <alignment vertical="center" wrapText="1"/>
    </xf>
    <xf numFmtId="177" fontId="11" fillId="2" borderId="20" xfId="0" applyNumberFormat="1" applyFont="1" applyFill="1" applyBorder="1" applyAlignment="1">
      <alignment vertical="center" wrapText="1"/>
    </xf>
    <xf numFmtId="178" fontId="11" fillId="2" borderId="20" xfId="0" applyNumberFormat="1" applyFont="1" applyFill="1" applyBorder="1" applyAlignment="1">
      <alignment vertical="center" wrapText="1"/>
    </xf>
    <xf numFmtId="179" fontId="11" fillId="2" borderId="20" xfId="0" applyNumberFormat="1" applyFont="1" applyFill="1" applyBorder="1" applyAlignment="1">
      <alignment vertical="center" wrapText="1"/>
    </xf>
    <xf numFmtId="0" fontId="11" fillId="2" borderId="20" xfId="0" applyNumberFormat="1" applyFont="1" applyFill="1" applyBorder="1" applyAlignment="1">
      <alignment vertical="center" wrapText="1"/>
    </xf>
    <xf numFmtId="177" fontId="11" fillId="2" borderId="21" xfId="0" applyNumberFormat="1" applyFont="1" applyFill="1" applyBorder="1" applyAlignment="1">
      <alignment vertical="center" wrapText="1"/>
    </xf>
    <xf numFmtId="177" fontId="11" fillId="2" borderId="19" xfId="0" applyNumberFormat="1" applyFont="1" applyFill="1" applyBorder="1" applyAlignment="1">
      <alignment horizontal="center" vertical="center" wrapText="1"/>
    </xf>
    <xf numFmtId="0" fontId="11" fillId="2" borderId="20" xfId="0" applyFont="1" applyFill="1" applyBorder="1" applyAlignment="1">
      <alignment horizontal="center" vertical="center" wrapText="1"/>
    </xf>
    <xf numFmtId="0" fontId="11" fillId="2" borderId="21" xfId="0" applyFont="1" applyFill="1" applyBorder="1" applyAlignment="1">
      <alignment horizontal="center" vertical="center" wrapText="1"/>
    </xf>
    <xf numFmtId="177" fontId="11" fillId="2" borderId="22" xfId="0" applyNumberFormat="1" applyFont="1" applyFill="1" applyBorder="1" applyAlignment="1">
      <alignment horizontal="center" vertical="center" wrapText="1"/>
    </xf>
    <xf numFmtId="177" fontId="11" fillId="2" borderId="20" xfId="0" applyNumberFormat="1" applyFont="1" applyFill="1" applyBorder="1" applyAlignment="1">
      <alignment horizontal="center" vertical="center" wrapText="1"/>
    </xf>
    <xf numFmtId="177" fontId="11" fillId="2" borderId="21" xfId="0" applyNumberFormat="1" applyFont="1" applyFill="1" applyBorder="1" applyAlignment="1">
      <alignment horizontal="center" vertical="center" wrapText="1"/>
    </xf>
    <xf numFmtId="182" fontId="11" fillId="2" borderId="19" xfId="0" applyNumberFormat="1" applyFont="1" applyFill="1" applyBorder="1" applyAlignment="1">
      <alignment horizontal="center" vertical="center" wrapText="1"/>
    </xf>
    <xf numFmtId="182" fontId="11" fillId="2" borderId="20" xfId="0" applyNumberFormat="1" applyFont="1" applyFill="1" applyBorder="1" applyAlignment="1">
      <alignment horizontal="center" vertical="center" wrapText="1"/>
    </xf>
    <xf numFmtId="182" fontId="11" fillId="2" borderId="21" xfId="0" applyNumberFormat="1" applyFont="1" applyFill="1" applyBorder="1" applyAlignment="1">
      <alignment horizontal="center" vertical="center" wrapText="1"/>
    </xf>
    <xf numFmtId="184" fontId="11" fillId="2" borderId="19" xfId="0" applyNumberFormat="1" applyFont="1" applyFill="1" applyBorder="1" applyAlignment="1">
      <alignment vertical="center" wrapText="1"/>
    </xf>
    <xf numFmtId="184" fontId="11" fillId="2" borderId="21" xfId="0" applyNumberFormat="1" applyFont="1" applyFill="1" applyBorder="1" applyAlignment="1">
      <alignment vertical="center" wrapText="1"/>
    </xf>
    <xf numFmtId="177" fontId="11" fillId="2" borderId="19" xfId="0" applyNumberFormat="1" applyFont="1" applyFill="1" applyBorder="1" applyAlignment="1">
      <alignment vertical="center" wrapText="1"/>
    </xf>
    <xf numFmtId="58" fontId="19" fillId="10" borderId="3" xfId="0" applyNumberFormat="1" applyFont="1" applyFill="1" applyBorder="1" applyAlignment="1">
      <alignment horizontal="center" vertical="center" wrapText="1"/>
    </xf>
    <xf numFmtId="177" fontId="19" fillId="10" borderId="8" xfId="0" applyNumberFormat="1" applyFont="1" applyFill="1" applyBorder="1" applyAlignment="1">
      <alignment horizontal="center" vertical="center" wrapText="1"/>
    </xf>
    <xf numFmtId="0" fontId="19" fillId="10" borderId="8" xfId="0" applyFont="1" applyFill="1" applyBorder="1" applyAlignment="1">
      <alignment horizontal="center" vertical="center" wrapText="1"/>
    </xf>
    <xf numFmtId="184" fontId="19" fillId="10" borderId="8" xfId="0" applyNumberFormat="1" applyFont="1" applyFill="1" applyBorder="1" applyAlignment="1">
      <alignment vertical="center" wrapText="1"/>
    </xf>
    <xf numFmtId="177" fontId="19" fillId="10" borderId="8" xfId="0" applyNumberFormat="1" applyFont="1" applyFill="1" applyBorder="1" applyAlignment="1">
      <alignment vertic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9" fillId="10" borderId="0" xfId="0" applyFont="1" applyFill="1" applyAlignment="1">
      <alignment vertical="center" wrapText="1"/>
    </xf>
    <xf numFmtId="184" fontId="11" fillId="10" borderId="3" xfId="0" applyNumberFormat="1" applyFont="1" applyFill="1" applyBorder="1" applyAlignment="1">
      <alignment vertical="center" wrapText="1"/>
    </xf>
    <xf numFmtId="0" fontId="11" fillId="0" borderId="0" xfId="0" applyFont="1" applyAlignment="1">
      <alignment vertical="center"/>
    </xf>
    <xf numFmtId="58" fontId="11" fillId="0" borderId="3" xfId="0" applyNumberFormat="1" applyFont="1" applyFill="1" applyBorder="1" applyAlignment="1">
      <alignment horizontal="center" vertical="center" wrapText="1"/>
    </xf>
    <xf numFmtId="58" fontId="7" fillId="0" borderId="3" xfId="0" applyNumberFormat="1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1" fillId="10" borderId="3" xfId="0" applyFont="1" applyFill="1" applyBorder="1" applyAlignment="1">
      <alignment vertical="center" wrapText="1"/>
    </xf>
    <xf numFmtId="1" fontId="11" fillId="10" borderId="11" xfId="0" applyNumberFormat="1" applyFont="1" applyFill="1" applyBorder="1" applyAlignment="1">
      <alignment vertical="center" wrapText="1"/>
    </xf>
    <xf numFmtId="1" fontId="7" fillId="10" borderId="11" xfId="0" applyNumberFormat="1" applyFont="1" applyFill="1" applyBorder="1" applyAlignment="1">
      <alignment vertical="center" wrapText="1"/>
    </xf>
    <xf numFmtId="1" fontId="7" fillId="10" borderId="3" xfId="0" applyNumberFormat="1" applyFont="1" applyFill="1" applyBorder="1" applyAlignment="1">
      <alignment vertical="center" wrapText="1"/>
    </xf>
    <xf numFmtId="1" fontId="7" fillId="10" borderId="14" xfId="0" applyNumberFormat="1" applyFont="1" applyFill="1" applyBorder="1" applyAlignment="1">
      <alignment horizontal="center" vertical="center" wrapText="1"/>
    </xf>
    <xf numFmtId="1" fontId="11" fillId="10" borderId="14" xfId="0" applyNumberFormat="1" applyFont="1" applyFill="1" applyBorder="1" applyAlignment="1">
      <alignment horizontal="center" vertical="center" wrapText="1"/>
    </xf>
    <xf numFmtId="58" fontId="11" fillId="0" borderId="4" xfId="0" applyNumberFormat="1" applyFont="1" applyFill="1" applyBorder="1" applyAlignment="1">
      <alignment horizontal="center" vertical="center" wrapText="1"/>
    </xf>
    <xf numFmtId="0" fontId="11" fillId="10" borderId="11" xfId="0" applyNumberFormat="1" applyFont="1" applyFill="1" applyBorder="1" applyAlignment="1">
      <alignment vertical="center" wrapText="1"/>
    </xf>
    <xf numFmtId="0" fontId="7" fillId="10" borderId="11" xfId="0" applyNumberFormat="1" applyFont="1" applyFill="1" applyBorder="1" applyAlignment="1">
      <alignment vertical="center" wrapText="1"/>
    </xf>
    <xf numFmtId="1" fontId="11" fillId="2" borderId="11" xfId="0" applyNumberFormat="1" applyFont="1" applyFill="1" applyBorder="1" applyAlignment="1">
      <alignment vertical="center" wrapText="1"/>
    </xf>
    <xf numFmtId="1" fontId="11" fillId="2" borderId="3" xfId="0" applyNumberFormat="1" applyFont="1" applyFill="1" applyBorder="1" applyAlignment="1">
      <alignment vertical="center" wrapText="1"/>
    </xf>
    <xf numFmtId="180" fontId="11" fillId="2" borderId="11" xfId="0" applyNumberFormat="1" applyFont="1" applyFill="1" applyBorder="1" applyAlignment="1">
      <alignment vertical="center" wrapText="1"/>
    </xf>
    <xf numFmtId="180" fontId="7" fillId="10" borderId="11" xfId="0" applyNumberFormat="1" applyFont="1" applyFill="1" applyBorder="1" applyAlignment="1">
      <alignment vertical="center" wrapText="1"/>
    </xf>
    <xf numFmtId="10" fontId="7" fillId="0" borderId="0" xfId="0" applyNumberFormat="1" applyFont="1" applyAlignment="1">
      <alignment horizontal="center" vertical="center" wrapText="1"/>
    </xf>
    <xf numFmtId="2" fontId="7" fillId="0" borderId="0" xfId="0" applyNumberFormat="1" applyFont="1" applyAlignment="1">
      <alignment vertical="center" wrapText="1"/>
    </xf>
    <xf numFmtId="1" fontId="7" fillId="10" borderId="14" xfId="0" applyNumberFormat="1" applyFont="1" applyFill="1" applyBorder="1" applyAlignment="1">
      <alignment vertical="center" wrapText="1"/>
    </xf>
    <xf numFmtId="0" fontId="8" fillId="10" borderId="0" xfId="0" applyFont="1" applyFill="1" applyBorder="1" applyAlignment="1">
      <alignment horizontal="center" vertical="center" wrapText="1"/>
    </xf>
    <xf numFmtId="0" fontId="1" fillId="10" borderId="6" xfId="0" applyFont="1" applyFill="1" applyBorder="1" applyAlignment="1">
      <alignment horizontal="center" vertical="center" wrapText="1"/>
    </xf>
    <xf numFmtId="0" fontId="1" fillId="10" borderId="7" xfId="0" applyFont="1" applyFill="1" applyBorder="1" applyAlignment="1">
      <alignment horizontal="center" vertical="center" wrapText="1"/>
    </xf>
    <xf numFmtId="0" fontId="1" fillId="10" borderId="12" xfId="0" applyFont="1" applyFill="1" applyBorder="1" applyAlignment="1">
      <alignment horizontal="center" vertical="center" wrapText="1"/>
    </xf>
    <xf numFmtId="0" fontId="1" fillId="10" borderId="15" xfId="0" applyFont="1" applyFill="1" applyBorder="1" applyAlignment="1">
      <alignment horizontal="center" vertical="center" wrapText="1"/>
    </xf>
    <xf numFmtId="0" fontId="1" fillId="10" borderId="16" xfId="0" applyFont="1" applyFill="1" applyBorder="1" applyAlignment="1">
      <alignment horizontal="center" vertical="center" wrapText="1"/>
    </xf>
    <xf numFmtId="0" fontId="1" fillId="10" borderId="17" xfId="0" applyFont="1" applyFill="1" applyBorder="1" applyAlignment="1">
      <alignment horizontal="center" vertical="center" wrapText="1"/>
    </xf>
    <xf numFmtId="184" fontId="2" fillId="10" borderId="6" xfId="0" applyNumberFormat="1" applyFont="1" applyFill="1" applyBorder="1" applyAlignment="1">
      <alignment horizontal="center" vertical="center" wrapText="1"/>
    </xf>
    <xf numFmtId="184" fontId="2" fillId="10" borderId="12" xfId="0" applyNumberFormat="1" applyFont="1" applyFill="1" applyBorder="1" applyAlignment="1">
      <alignment horizontal="center" vertical="center" wrapText="1"/>
    </xf>
    <xf numFmtId="0" fontId="2" fillId="10" borderId="6" xfId="0" applyFont="1" applyFill="1" applyBorder="1" applyAlignment="1">
      <alignment horizontal="center" vertical="center" wrapText="1"/>
    </xf>
    <xf numFmtId="0" fontId="2" fillId="10" borderId="12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  <colors>
    <mruColors>
      <color rgb="FFFF99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externalLink" Target="externalLinks/externalLink2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externalLink" Target="externalLinks/externalLink1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externalLink" Target="externalLinks/externalLink21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096872"/>
        <c:axId val="247639568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8456984"/>
        <c:axId val="246497744"/>
      </c:lineChart>
      <c:catAx>
        <c:axId val="24809687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7639568"/>
        <c:crosses val="autoZero"/>
        <c:auto val="1"/>
        <c:lblAlgn val="ctr"/>
        <c:lblOffset val="100"/>
        <c:noMultiLvlLbl val="1"/>
      </c:catAx>
      <c:valAx>
        <c:axId val="24763956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8096872"/>
        <c:crosses val="autoZero"/>
        <c:crossBetween val="between"/>
      </c:valAx>
      <c:catAx>
        <c:axId val="248456984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246497744"/>
        <c:crosses val="autoZero"/>
        <c:auto val="1"/>
        <c:lblAlgn val="ctr"/>
        <c:lblOffset val="100"/>
        <c:noMultiLvlLbl val="1"/>
      </c:catAx>
      <c:valAx>
        <c:axId val="246497744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8456984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326440"/>
        <c:axId val="247456128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0826160"/>
        <c:axId val="247436088"/>
      </c:lineChart>
      <c:catAx>
        <c:axId val="24732644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7456128"/>
        <c:crosses val="autoZero"/>
        <c:auto val="1"/>
        <c:lblAlgn val="ctr"/>
        <c:lblOffset val="100"/>
        <c:noMultiLvlLbl val="1"/>
      </c:catAx>
      <c:valAx>
        <c:axId val="24745612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7326440"/>
        <c:crosses val="autoZero"/>
        <c:crossBetween val="between"/>
      </c:valAx>
      <c:catAx>
        <c:axId val="300826160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247436088"/>
        <c:crosses val="autoZero"/>
        <c:auto val="1"/>
        <c:lblAlgn val="ctr"/>
        <c:lblOffset val="100"/>
        <c:noMultiLvlLbl val="1"/>
      </c:catAx>
      <c:valAx>
        <c:axId val="247436088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0826160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202880"/>
        <c:axId val="247248560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601392"/>
        <c:axId val="301690800"/>
      </c:lineChart>
      <c:catAx>
        <c:axId val="3012028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7248560"/>
        <c:crosses val="autoZero"/>
        <c:auto val="1"/>
        <c:lblAlgn val="ctr"/>
        <c:lblOffset val="100"/>
        <c:noMultiLvlLbl val="1"/>
      </c:catAx>
      <c:valAx>
        <c:axId val="24724856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202880"/>
        <c:crosses val="autoZero"/>
        <c:crossBetween val="between"/>
      </c:valAx>
      <c:catAx>
        <c:axId val="247601392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301690800"/>
        <c:crosses val="autoZero"/>
        <c:auto val="1"/>
        <c:lblAlgn val="ctr"/>
        <c:lblOffset val="100"/>
        <c:noMultiLvlLbl val="1"/>
      </c:catAx>
      <c:valAx>
        <c:axId val="301690800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247601392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1584"/>
        <c:axId val="301691976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2368"/>
        <c:axId val="301692760"/>
      </c:lineChart>
      <c:catAx>
        <c:axId val="3016915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1976"/>
        <c:crosses val="autoZero"/>
        <c:auto val="1"/>
        <c:lblAlgn val="ctr"/>
        <c:lblOffset val="100"/>
        <c:noMultiLvlLbl val="1"/>
      </c:catAx>
      <c:valAx>
        <c:axId val="30169197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1584"/>
        <c:crosses val="autoZero"/>
        <c:crossBetween val="between"/>
      </c:valAx>
      <c:catAx>
        <c:axId val="301692368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301692760"/>
        <c:crosses val="autoZero"/>
        <c:auto val="1"/>
        <c:lblAlgn val="ctr"/>
        <c:lblOffset val="100"/>
        <c:noMultiLvlLbl val="1"/>
      </c:catAx>
      <c:valAx>
        <c:axId val="301692760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236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3544"/>
        <c:axId val="301693936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4328"/>
        <c:axId val="301694720"/>
      </c:lineChart>
      <c:catAx>
        <c:axId val="3016935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3936"/>
        <c:crosses val="autoZero"/>
        <c:auto val="1"/>
        <c:lblAlgn val="ctr"/>
        <c:lblOffset val="100"/>
        <c:noMultiLvlLbl val="1"/>
      </c:catAx>
      <c:valAx>
        <c:axId val="30169393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3544"/>
        <c:crosses val="autoZero"/>
        <c:crossBetween val="between"/>
      </c:valAx>
      <c:catAx>
        <c:axId val="301694328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301694720"/>
        <c:crosses val="autoZero"/>
        <c:auto val="1"/>
        <c:lblAlgn val="ctr"/>
        <c:lblOffset val="100"/>
        <c:noMultiLvlLbl val="1"/>
      </c:catAx>
      <c:valAx>
        <c:axId val="301694720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432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5504"/>
        <c:axId val="301695896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6288"/>
        <c:axId val="301696680"/>
      </c:lineChart>
      <c:catAx>
        <c:axId val="3016955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5896"/>
        <c:crosses val="autoZero"/>
        <c:auto val="1"/>
        <c:lblAlgn val="ctr"/>
        <c:lblOffset val="100"/>
        <c:noMultiLvlLbl val="1"/>
      </c:catAx>
      <c:valAx>
        <c:axId val="30169589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5504"/>
        <c:crosses val="autoZero"/>
        <c:crossBetween val="between"/>
      </c:valAx>
      <c:catAx>
        <c:axId val="301696288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301696680"/>
        <c:crosses val="autoZero"/>
        <c:auto val="1"/>
        <c:lblAlgn val="ctr"/>
        <c:lblOffset val="100"/>
        <c:noMultiLvlLbl val="1"/>
      </c:catAx>
      <c:valAx>
        <c:axId val="301696680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628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r>
              <a:rPr lang="zh-CN" altLang="en-US"/>
              <a:t>我厂日发电量与统调日用电量趋势</a:t>
            </a:r>
          </a:p>
        </c:rich>
      </c:tx>
      <c:layout>
        <c:manualLayout>
          <c:xMode val="edge"/>
          <c:yMode val="edge"/>
          <c:x val="0.41304391298913701"/>
          <c:y val="4.9689440993788803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统调日用电量</c:v>
          </c:tx>
          <c:spPr>
            <a:ln w="12700" cap="rnd" cmpd="sng" algn="ctr">
              <a:solidFill>
                <a:srgbClr val="FF00FF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FF00FF"/>
              </a:solidFill>
              <a:ln w="9525" cap="flat" cmpd="sng" algn="ctr">
                <a:solidFill>
                  <a:srgbClr val="FF00FF"/>
                </a:solidFill>
                <a:prstDash val="solid"/>
                <a:round/>
              </a:ln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7464"/>
        <c:axId val="301697856"/>
      </c:lineChart>
      <c:lineChart>
        <c:grouping val="standard"/>
        <c:varyColors val="0"/>
        <c:ser>
          <c:idx val="0"/>
          <c:order val="0"/>
          <c:tx>
            <c:v>我厂日发电量</c:v>
          </c:tx>
          <c:spPr>
            <a:ln w="12700" cap="rnd" cmpd="sng" algn="ctr">
              <a:solidFill>
                <a:srgbClr val="000080"/>
              </a:solidFill>
              <a:prstDash val="solid"/>
              <a:round/>
            </a:ln>
          </c:spPr>
          <c:marker>
            <c:symbol val="diamond"/>
            <c:size val="5"/>
            <c:spPr>
              <a:solidFill>
                <a:srgbClr val="000080"/>
              </a:solidFill>
              <a:ln w="9525" cap="flat" cmpd="sng" algn="ctr">
                <a:solidFill>
                  <a:srgbClr val="000080"/>
                </a:solidFill>
                <a:prstDash val="solid"/>
                <a:round/>
              </a:ln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698248"/>
        <c:axId val="303786168"/>
      </c:lineChart>
      <c:catAx>
        <c:axId val="3016974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0.90993875765529397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m&quot;月&quot;d&quot;日&quot;yyyy&quot;年&quot;" sourceLinked="0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 forceAA="0"/>
          <a:lstStyle/>
          <a:p>
            <a:pPr>
              <a:defRPr lang="zh-CN" sz="4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7856"/>
        <c:crosses val="autoZero"/>
        <c:auto val="1"/>
        <c:lblAlgn val="ctr"/>
        <c:lblOffset val="100"/>
        <c:noMultiLvlLbl val="1"/>
      </c:catAx>
      <c:valAx>
        <c:axId val="30169785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rgbClr val="000000"/>
              </a:solidFill>
              <a:prstDash val="solid"/>
              <a:round/>
            </a:ln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algn="ctr">
                  <a:defRPr lang="zh-CN" sz="800" b="0" i="0" u="none" strike="noStrike" kern="1200" baseline="0">
                    <a:solidFill>
                      <a:srgbClr val="000000"/>
                    </a:solidFill>
                    <a:latin typeface="宋体" panose="02010600030101010101" pitchFamily="7" charset="-122"/>
                    <a:ea typeface="宋体" panose="02010600030101010101" pitchFamily="7" charset="-122"/>
                    <a:cs typeface="宋体" panose="02010600030101010101" pitchFamily="7" charset="-122"/>
                  </a:defRPr>
                </a:pPr>
                <a:r>
                  <a:rPr lang="zh-CN" altLang="en-US"/>
                  <a:t>万千瓦时</a:t>
                </a:r>
              </a:p>
            </c:rich>
          </c:tx>
          <c:layout>
            <c:manualLayout>
              <c:xMode val="edge"/>
              <c:yMode val="edge"/>
              <c:x val="7.3499073485379499E-2"/>
              <c:y val="0.17391304347827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7464"/>
        <c:crosses val="autoZero"/>
        <c:crossBetween val="between"/>
      </c:valAx>
      <c:catAx>
        <c:axId val="301698248"/>
        <c:scaling>
          <c:orientation val="minMax"/>
        </c:scaling>
        <c:delete val="1"/>
        <c:axPos val="b"/>
        <c:numFmt formatCode="m&quot;月&quot;d&quot;日&quot;" sourceLinked="1"/>
        <c:majorTickMark val="out"/>
        <c:minorTickMark val="none"/>
        <c:tickLblPos val="nextTo"/>
        <c:crossAx val="303786168"/>
        <c:crosses val="autoZero"/>
        <c:auto val="1"/>
        <c:lblAlgn val="ctr"/>
        <c:lblOffset val="100"/>
        <c:noMultiLvlLbl val="1"/>
      </c:catAx>
      <c:valAx>
        <c:axId val="303786168"/>
        <c:scaling>
          <c:orientation val="minMax"/>
        </c:scaling>
        <c:delete val="0"/>
        <c:axPos val="r"/>
        <c:numFmt formatCode="General" sourceLinked="1"/>
        <c:majorTickMark val="in"/>
        <c:minorTickMark val="none"/>
        <c:tickLblPos val="nextTo"/>
        <c:spPr>
          <a:ln w="3175" cap="flat" cmpd="sng" algn="ctr">
            <a:solidFill>
              <a:srgbClr val="000000"/>
            </a:solidFill>
            <a:prstDash val="solid"/>
            <a:round/>
          </a:ln>
        </c:spPr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  <a:endParaRPr lang="zh-CN"/>
          </a:p>
        </c:txPr>
        <c:crossAx val="301698248"/>
        <c:crosses val="max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 rot="0" spcFirstLastPara="0" vertOverflow="ellipsis" vert="horz" wrap="square" anchor="ctr" anchorCtr="1"/>
        <a:lstStyle/>
        <a:p>
          <a:pPr>
            <a:defRPr lang="zh-CN" sz="1010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FFFFFF"/>
    </a:solidFill>
    <a:ln w="3175" cap="flat" cmpd="sng" algn="ctr">
      <a:solidFill>
        <a:srgbClr val="000000"/>
      </a:solidFill>
      <a:prstDash val="solid"/>
      <a:round/>
    </a:ln>
  </c:spPr>
  <c:txPr>
    <a:bodyPr/>
    <a:lstStyle/>
    <a:p>
      <a:pPr>
        <a:defRPr lang="zh-CN" sz="800" b="0" i="0" u="none" strike="noStrike" baseline="0">
          <a:solidFill>
            <a:srgbClr val="000000"/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35</xdr:row>
      <xdr:rowOff>0</xdr:rowOff>
    </xdr:from>
    <xdr:to>
      <xdr:col>25</xdr:col>
      <xdr:colOff>0</xdr:colOff>
      <xdr:row>35</xdr:row>
      <xdr:rowOff>0</xdr:rowOff>
    </xdr:to>
    <xdr:graphicFrame macro="">
      <xdr:nvGraphicFramePr>
        <xdr:cNvPr id="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35</xdr:row>
      <xdr:rowOff>0</xdr:rowOff>
    </xdr:from>
    <xdr:to>
      <xdr:col>25</xdr:col>
      <xdr:colOff>0</xdr:colOff>
      <xdr:row>35</xdr:row>
      <xdr:rowOff>0</xdr:rowOff>
    </xdr:to>
    <xdr:graphicFrame macro="">
      <xdr:nvGraphicFramePr>
        <xdr:cNvPr id="2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35</xdr:row>
      <xdr:rowOff>0</xdr:rowOff>
    </xdr:from>
    <xdr:to>
      <xdr:col>25</xdr:col>
      <xdr:colOff>0</xdr:colOff>
      <xdr:row>35</xdr:row>
      <xdr:rowOff>0</xdr:rowOff>
    </xdr:to>
    <xdr:graphicFrame macro="">
      <xdr:nvGraphicFramePr>
        <xdr:cNvPr id="2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35</xdr:row>
      <xdr:rowOff>0</xdr:rowOff>
    </xdr:from>
    <xdr:to>
      <xdr:col>25</xdr:col>
      <xdr:colOff>0</xdr:colOff>
      <xdr:row>35</xdr:row>
      <xdr:rowOff>0</xdr:rowOff>
    </xdr:to>
    <xdr:graphicFrame macro="">
      <xdr:nvGraphicFramePr>
        <xdr:cNvPr id="2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35</xdr:row>
      <xdr:rowOff>0</xdr:rowOff>
    </xdr:from>
    <xdr:to>
      <xdr:col>24</xdr:col>
      <xdr:colOff>0</xdr:colOff>
      <xdr:row>35</xdr:row>
      <xdr:rowOff>0</xdr:rowOff>
    </xdr:to>
    <xdr:graphicFrame macro="">
      <xdr:nvGraphicFramePr>
        <xdr:cNvPr id="2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142875</xdr:colOff>
      <xdr:row>35</xdr:row>
      <xdr:rowOff>0</xdr:rowOff>
    </xdr:from>
    <xdr:to>
      <xdr:col>24</xdr:col>
      <xdr:colOff>0</xdr:colOff>
      <xdr:row>35</xdr:row>
      <xdr:rowOff>0</xdr:rowOff>
    </xdr:to>
    <xdr:graphicFrame macro="">
      <xdr:nvGraphicFramePr>
        <xdr:cNvPr id="3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142875</xdr:colOff>
      <xdr:row>35</xdr:row>
      <xdr:rowOff>0</xdr:rowOff>
    </xdr:from>
    <xdr:to>
      <xdr:col>18</xdr:col>
      <xdr:colOff>0</xdr:colOff>
      <xdr:row>35</xdr:row>
      <xdr:rowOff>0</xdr:rowOff>
    </xdr:to>
    <xdr:graphicFrame macro="">
      <xdr:nvGraphicFramePr>
        <xdr:cNvPr id="2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&#2637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30005;&#21147;&#30005;&#37327;&#26597;&#3581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H.&#32479;&#35843;&#21457;&#30005;&#37327;/2018&#24180;/2018&#24180;4&#26376;30&#26085;&#32479;&#35843;&#21457;&#29992;&#30005;&#37327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H.&#32479;&#35843;&#21457;&#30005;&#37327;/2018&#24180;/2018&#24180;5&#26376;31&#26085;&#32479;&#35843;&#21457;&#29992;&#30005;&#37327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H.&#32479;&#35843;&#21457;&#30005;&#37327;/2018&#24180;/2018&#24180;6&#26376;30&#26085;&#32479;&#35843;&#21457;&#29992;&#30005;&#37327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H.&#32479;&#35843;&#21457;&#30005;&#37327;/2018&#24180;/2018&#24180;7&#26376;31&#26085;&#32479;&#35843;&#21457;&#29992;&#30005;&#3732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G.&#32479;&#35843;&#21457;&#30005;&#37327;/2018&#24180;/2018&#24180;8&#26376;31&#26085;&#32479;&#35843;&#21457;&#29992;&#30005;&#37327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G.&#32479;&#35843;&#21457;&#30005;&#37327;/2018&#24180;/2018&#24180;9&#26376;30&#26085;&#32479;&#35843;&#21457;&#29992;&#30005;&#37327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G.&#32479;&#35843;&#21457;&#30005;&#37327;/2018&#24180;/2018&#24180;10&#26376;31&#26085;&#32479;&#35843;&#21457;&#29992;&#30005;&#37327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G.&#32479;&#35843;&#21457;&#30005;&#37327;/2018&#24180;/2018&#24180;11&#26376;30&#26085;&#32479;&#35843;&#21457;&#29992;&#30005;&#37327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&#30005;&#37327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8&#24180;1&#26376;31&#26085;&#32479;&#35843;&#21457;&#29992;&#30005;&#37327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8&#24180;2&#26376;28&#26085;&#32479;&#35843;&#21457;&#29992;&#30005;&#37327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ho/Desktop/&#25253;&#34920;/F.&#32479;&#35843;&#21457;&#30005;&#37327;/2017&#24180;/2017&#24180;1&#26376;31&#26085;&#32479;&#35843;&#21457;&#29992;&#30005;&#37327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ho/Desktop/2017&#24180;5&#26376;31&#26085;&#32479;&#35843;&#21457;&#29992;&#30005;&#37327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F.&#32479;&#35843;&#21457;&#30005;&#37327;/2017&#24180;/2017&#24180;7&#26376;31&#26085;&#30465;&#32479;&#35843;&#21457;&#29992;&#30005;&#37327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103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7&#24180;11&#26376;30&#26085;&#30465;&#32479;&#35843;&#21457;&#29992;&#30005;&#37327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1231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&#25253;&#34920;&#29399;/F.&#32479;&#35843;&#21457;&#30005;&#37327;/2017&#24180;/2017&#24180;12&#26376;31&#26085;&#30465;&#32479;&#35843;&#21457;&#29992;&#30005;&#37327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ho/Desktop/2016&#24180;&#30465;&#20844;&#21496;&#21457;&#29992;&#30005;&#27719;&#2463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2、统调口径电量"/>
      <sheetName val="表5、统调电厂发电量统计"/>
      <sheetName val="表6、受电量统计"/>
    </sheetNames>
    <sheetDataSet>
      <sheetData sheetId="0">
        <row r="3">
          <cell r="D3">
            <v>3269642.36</v>
          </cell>
        </row>
        <row r="4">
          <cell r="D4">
            <v>1991105.36</v>
          </cell>
        </row>
        <row r="10">
          <cell r="D10">
            <v>1835074.72</v>
          </cell>
        </row>
        <row r="11">
          <cell r="D11">
            <v>1743002.76</v>
          </cell>
        </row>
        <row r="12">
          <cell r="D12">
            <v>92071.96</v>
          </cell>
        </row>
        <row r="13">
          <cell r="D13">
            <v>15803.72</v>
          </cell>
        </row>
        <row r="14">
          <cell r="D14">
            <v>1278537</v>
          </cell>
        </row>
        <row r="17">
          <cell r="D17">
            <v>119197.75999999999</v>
          </cell>
        </row>
      </sheetData>
      <sheetData sheetId="1">
        <row r="6">
          <cell r="H6">
            <v>8.6120999999999999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2、统调口径电量"/>
      <sheetName val="表5、统调电厂发电量统计"/>
      <sheetName val="表6、受电量统计"/>
    </sheetNames>
    <sheetDataSet>
      <sheetData sheetId="0" refreshError="1">
        <row r="3">
          <cell r="D3">
            <v>2098093.06</v>
          </cell>
          <cell r="I3">
            <v>5367735.42</v>
          </cell>
        </row>
        <row r="4">
          <cell r="I4">
            <v>3340301.42</v>
          </cell>
        </row>
        <row r="10">
          <cell r="D10">
            <v>1217041.58</v>
          </cell>
          <cell r="I10">
            <v>3052116.3</v>
          </cell>
        </row>
        <row r="11">
          <cell r="I11">
            <v>2848082.91</v>
          </cell>
        </row>
        <row r="12">
          <cell r="I12">
            <v>204033.39</v>
          </cell>
        </row>
        <row r="13">
          <cell r="I13">
            <v>43576.77</v>
          </cell>
        </row>
        <row r="14">
          <cell r="D14">
            <v>748897</v>
          </cell>
          <cell r="I14">
            <v>2027434</v>
          </cell>
        </row>
        <row r="17">
          <cell r="I17">
            <v>208314.07</v>
          </cell>
        </row>
      </sheetData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 refreshError="1"/>
      <sheetData sheetId="1" refreshError="1">
        <row r="3">
          <cell r="D3">
            <v>2971268.14</v>
          </cell>
          <cell r="I3">
            <v>11317748.98</v>
          </cell>
        </row>
        <row r="4">
          <cell r="I4">
            <v>7572430.9800000004</v>
          </cell>
        </row>
        <row r="10">
          <cell r="D10">
            <v>2000577.88</v>
          </cell>
          <cell r="I10">
            <v>7390704.4800000004</v>
          </cell>
        </row>
        <row r="12">
          <cell r="I12">
            <v>371570.39</v>
          </cell>
        </row>
        <row r="13">
          <cell r="I13">
            <v>52541.2</v>
          </cell>
        </row>
        <row r="14">
          <cell r="D14">
            <v>921258</v>
          </cell>
          <cell r="I14">
            <v>3745318</v>
          </cell>
        </row>
        <row r="15">
          <cell r="I15">
            <v>43161.64</v>
          </cell>
        </row>
        <row r="16">
          <cell r="I16">
            <v>18387.8</v>
          </cell>
        </row>
        <row r="17">
          <cell r="I17">
            <v>67635.86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/>
      <sheetData sheetId="1">
        <row r="3">
          <cell r="D3">
            <v>3236304.25</v>
          </cell>
          <cell r="I3">
            <v>14554202.57</v>
          </cell>
        </row>
        <row r="4">
          <cell r="I4">
            <v>9786714.5700000003</v>
          </cell>
        </row>
        <row r="10">
          <cell r="D10">
            <v>2165250.7599999998</v>
          </cell>
          <cell r="I10">
            <v>9556059.1799999997</v>
          </cell>
        </row>
        <row r="11">
          <cell r="I11">
            <v>9105821.4299999997</v>
          </cell>
        </row>
        <row r="12">
          <cell r="I12">
            <v>449967.19</v>
          </cell>
        </row>
        <row r="13">
          <cell r="I13">
            <v>76209.22</v>
          </cell>
        </row>
        <row r="14">
          <cell r="D14">
            <v>1022170</v>
          </cell>
          <cell r="I14">
            <v>4767488</v>
          </cell>
        </row>
        <row r="15">
          <cell r="I15">
            <v>43161.64</v>
          </cell>
        </row>
        <row r="16">
          <cell r="I16">
            <v>22893.64</v>
          </cell>
        </row>
        <row r="17">
          <cell r="I17">
            <v>88390.89</v>
          </cell>
        </row>
      </sheetData>
      <sheetData sheetId="2"/>
      <sheetData sheetId="3"/>
      <sheetData sheetId="4">
        <row r="5">
          <cell r="E5">
            <v>528342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/>
      <sheetData sheetId="1">
        <row r="3">
          <cell r="D3">
            <v>3222478.17</v>
          </cell>
          <cell r="I3">
            <v>17776680.739999998</v>
          </cell>
        </row>
        <row r="10">
          <cell r="D10">
            <v>2022262.82</v>
          </cell>
          <cell r="I10">
            <v>11578322</v>
          </cell>
        </row>
        <row r="12">
          <cell r="I12">
            <v>537640.30000000005</v>
          </cell>
        </row>
        <row r="14">
          <cell r="D14">
            <v>1137803</v>
          </cell>
          <cell r="I14">
            <v>5905291</v>
          </cell>
        </row>
      </sheetData>
      <sheetData sheetId="2"/>
      <sheetData sheetId="3"/>
      <sheetData sheetId="4">
        <row r="5">
          <cell r="E5">
            <v>630610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 refreshError="1"/>
      <sheetData sheetId="1" refreshError="1">
        <row r="3">
          <cell r="D3">
            <v>3992595.62</v>
          </cell>
          <cell r="I3">
            <v>21771111.719999999</v>
          </cell>
        </row>
        <row r="10">
          <cell r="D10">
            <v>2299564.7000000002</v>
          </cell>
          <cell r="I10">
            <v>13879287.720000001</v>
          </cell>
        </row>
        <row r="11">
          <cell r="I11">
            <v>13184987.029999999</v>
          </cell>
        </row>
        <row r="12">
          <cell r="I12">
            <v>694300.69</v>
          </cell>
        </row>
        <row r="14">
          <cell r="D14">
            <v>1614262</v>
          </cell>
          <cell r="I14">
            <v>7519553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/>
      <sheetData sheetId="1">
        <row r="3">
          <cell r="D3">
            <v>4060084.02</v>
          </cell>
          <cell r="I3">
            <v>25831195.739999998</v>
          </cell>
        </row>
        <row r="4">
          <cell r="I4">
            <v>16539165.939999999</v>
          </cell>
        </row>
        <row r="10">
          <cell r="D10">
            <v>2142873.35</v>
          </cell>
          <cell r="I10">
            <v>16022161.07</v>
          </cell>
        </row>
        <row r="12">
          <cell r="I12">
            <v>832210.87</v>
          </cell>
        </row>
        <row r="13">
          <cell r="I13">
            <v>151020.45000000001</v>
          </cell>
        </row>
        <row r="14">
          <cell r="D14">
            <v>1772476.8</v>
          </cell>
          <cell r="I14">
            <v>9292029.8000000007</v>
          </cell>
        </row>
        <row r="17">
          <cell r="I17">
            <v>160719.97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/>
      <sheetData sheetId="1">
        <row r="3">
          <cell r="D3">
            <v>3347475.69</v>
          </cell>
          <cell r="I3">
            <v>29178671.43</v>
          </cell>
        </row>
        <row r="10">
          <cell r="D10">
            <v>1546472.23</v>
          </cell>
          <cell r="I10">
            <v>17568633.300000001</v>
          </cell>
        </row>
        <row r="12">
          <cell r="I12">
            <v>936075.33</v>
          </cell>
        </row>
        <row r="14">
          <cell r="D14">
            <v>1622410</v>
          </cell>
          <cell r="I14">
            <v>10914439.800000001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/>
      <sheetData sheetId="1">
        <row r="3">
          <cell r="D3">
            <v>3010714.77</v>
          </cell>
          <cell r="I3">
            <v>32189402.91</v>
          </cell>
        </row>
        <row r="4">
          <cell r="I4">
            <v>19778292.109999999</v>
          </cell>
        </row>
        <row r="10">
          <cell r="D10">
            <v>1316440.92</v>
          </cell>
          <cell r="I10">
            <v>18885074.219999999</v>
          </cell>
        </row>
        <row r="11">
          <cell r="I11">
            <v>17788332.140000001</v>
          </cell>
        </row>
        <row r="12">
          <cell r="I12">
            <v>1096742.08</v>
          </cell>
        </row>
        <row r="13">
          <cell r="I13">
            <v>194521.13</v>
          </cell>
        </row>
        <row r="14">
          <cell r="D14">
            <v>1496671</v>
          </cell>
          <cell r="I14">
            <v>12411110.800000001</v>
          </cell>
        </row>
        <row r="17">
          <cell r="I17">
            <v>436642.62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和燃气开机"/>
      <sheetName val="表11、调度口径装机容量统计"/>
    </sheetNames>
    <sheetDataSet>
      <sheetData sheetId="0"/>
      <sheetData sheetId="1">
        <row r="3">
          <cell r="D3">
            <v>3048724.49</v>
          </cell>
          <cell r="I3">
            <v>35238127.399999999</v>
          </cell>
        </row>
        <row r="4">
          <cell r="I4">
            <v>21438289.600000001</v>
          </cell>
        </row>
        <row r="10">
          <cell r="D10">
            <v>1423477.66</v>
          </cell>
          <cell r="I10">
            <v>20308551.879999999</v>
          </cell>
        </row>
        <row r="11">
          <cell r="I11">
            <v>18992008.66</v>
          </cell>
        </row>
        <row r="12">
          <cell r="I12">
            <v>1316543.22</v>
          </cell>
        </row>
        <row r="13">
          <cell r="I13">
            <v>206858.22</v>
          </cell>
        </row>
        <row r="14">
          <cell r="D14">
            <v>1388727</v>
          </cell>
          <cell r="I14">
            <v>13799837.800000001</v>
          </cell>
        </row>
        <row r="17">
          <cell r="I17">
            <v>641604.93999999994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和燃气开机"/>
      <sheetName val="表11、调度口径装机容量统计"/>
    </sheetNames>
    <sheetDataSet>
      <sheetData sheetId="0" refreshError="1"/>
      <sheetData sheetId="1" refreshError="1">
        <row r="3">
          <cell r="D3">
            <v>3557368.74</v>
          </cell>
          <cell r="I3">
            <v>38795496.140000001</v>
          </cell>
        </row>
        <row r="4">
          <cell r="I4">
            <v>23780261.34</v>
          </cell>
        </row>
        <row r="10">
          <cell r="D10">
            <v>2119531.64</v>
          </cell>
          <cell r="I10">
            <v>22428083.52</v>
          </cell>
        </row>
        <row r="11">
          <cell r="I11">
            <v>20923412.210000001</v>
          </cell>
        </row>
        <row r="12">
          <cell r="I12">
            <v>1504671.31</v>
          </cell>
        </row>
        <row r="13">
          <cell r="I13">
            <v>225160.47</v>
          </cell>
        </row>
        <row r="14">
          <cell r="D14">
            <v>1215397</v>
          </cell>
          <cell r="I14">
            <v>15015234.800000001</v>
          </cell>
        </row>
        <row r="17">
          <cell r="I17">
            <v>826835.81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 refreshError="1"/>
      <sheetData sheetId="1" refreshError="1">
        <row r="3">
          <cell r="D3">
            <v>3558081.12</v>
          </cell>
        </row>
        <row r="4">
          <cell r="I4">
            <v>2386827.12</v>
          </cell>
        </row>
        <row r="10">
          <cell r="D10">
            <v>2339744.04</v>
          </cell>
        </row>
        <row r="11">
          <cell r="I11">
            <v>2260865.64</v>
          </cell>
        </row>
        <row r="12">
          <cell r="I12">
            <v>78878.399999999994</v>
          </cell>
        </row>
        <row r="13">
          <cell r="I13">
            <v>9760.2800000000007</v>
          </cell>
        </row>
        <row r="14">
          <cell r="D14">
            <v>1171254</v>
          </cell>
        </row>
        <row r="15">
          <cell r="I15">
            <v>24503.58</v>
          </cell>
        </row>
        <row r="16">
          <cell r="I16">
            <v>2893.95</v>
          </cell>
        </row>
        <row r="17">
          <cell r="I17">
            <v>9925.27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 refreshError="1"/>
      <sheetData sheetId="1" refreshError="1">
        <row r="3">
          <cell r="D3">
            <v>1851437.35</v>
          </cell>
          <cell r="I3">
            <v>5409518.4699999997</v>
          </cell>
        </row>
        <row r="4">
          <cell r="I4">
            <v>3560915.47</v>
          </cell>
        </row>
        <row r="10">
          <cell r="D10">
            <v>1127028.26</v>
          </cell>
          <cell r="I10">
            <v>3466772.3</v>
          </cell>
        </row>
        <row r="11">
          <cell r="I11">
            <v>3333948.31</v>
          </cell>
        </row>
        <row r="12">
          <cell r="I12">
            <v>132823.99</v>
          </cell>
        </row>
        <row r="13">
          <cell r="I13">
            <v>18125.29</v>
          </cell>
        </row>
        <row r="14">
          <cell r="D14">
            <v>677349</v>
          </cell>
          <cell r="I14">
            <v>1848603</v>
          </cell>
        </row>
        <row r="15">
          <cell r="I15">
            <v>43161.64</v>
          </cell>
        </row>
        <row r="16">
          <cell r="I16">
            <v>7013.17</v>
          </cell>
        </row>
        <row r="17">
          <cell r="I17">
            <v>25843.07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发电量查询"/>
    </sheetNames>
    <sheetDataSet>
      <sheetData sheetId="0" refreshError="1">
        <row r="2">
          <cell r="D2" t="str">
            <v>2294564.368</v>
          </cell>
        </row>
        <row r="10">
          <cell r="C10" t="str">
            <v>1537312.620</v>
          </cell>
        </row>
        <row r="15">
          <cell r="C15">
            <v>714986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发电量查询"/>
    </sheetNames>
    <sheetDataSet>
      <sheetData sheetId="0" refreshError="1">
        <row r="11">
          <cell r="D11" t="str">
            <v>8192101.070</v>
          </cell>
        </row>
        <row r="12">
          <cell r="D12" t="str">
            <v>619376.750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发电量查询"/>
    </sheetNames>
    <sheetDataSet>
      <sheetData sheetId="0">
        <row r="4">
          <cell r="D4" t="str">
            <v>13095678.948</v>
          </cell>
        </row>
        <row r="11">
          <cell r="D11" t="str">
            <v>11648319.920</v>
          </cell>
        </row>
        <row r="12">
          <cell r="D12" t="str">
            <v>946879.220</v>
          </cell>
        </row>
        <row r="14">
          <cell r="D14" t="str">
            <v>236796.680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发电量查询"/>
    </sheetNames>
    <sheetDataSet>
      <sheetData sheetId="0" refreshError="1">
        <row r="2">
          <cell r="D2" t="str">
            <v>29674529.478</v>
          </cell>
        </row>
        <row r="4">
          <cell r="D4" t="str">
            <v>18949989.478</v>
          </cell>
        </row>
        <row r="10">
          <cell r="D10" t="str">
            <v>18243119.930</v>
          </cell>
        </row>
        <row r="11">
          <cell r="D11" t="str">
            <v>16963427.780</v>
          </cell>
        </row>
        <row r="12">
          <cell r="D12" t="str">
            <v>1279692.150</v>
          </cell>
        </row>
        <row r="14">
          <cell r="D14" t="str">
            <v>306134.920</v>
          </cell>
        </row>
        <row r="15">
          <cell r="D15">
            <v>10724540</v>
          </cell>
        </row>
        <row r="16">
          <cell r="D16" t="str">
            <v>233139.060</v>
          </cell>
        </row>
        <row r="124">
          <cell r="D124" t="str">
            <v>30118.520</v>
          </cell>
        </row>
        <row r="125">
          <cell r="D125" t="str">
            <v>137477.048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 refreshError="1"/>
      <sheetData sheetId="1" refreshError="1">
        <row r="3">
          <cell r="D3">
            <v>3037218.53</v>
          </cell>
        </row>
        <row r="4">
          <cell r="I4">
            <v>20855919.010000002</v>
          </cell>
        </row>
        <row r="10">
          <cell r="D10">
            <v>1853767.66</v>
          </cell>
        </row>
        <row r="13">
          <cell r="I13">
            <v>319475.21000000002</v>
          </cell>
        </row>
        <row r="14">
          <cell r="D14">
            <v>1131289</v>
          </cell>
        </row>
        <row r="15">
          <cell r="I15">
            <v>256848.3</v>
          </cell>
        </row>
        <row r="22">
          <cell r="I22">
            <v>182707.91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42">
          <cell r="C42">
            <v>42692</v>
          </cell>
        </row>
      </sheetData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、调度口径（含华东）电量"/>
      <sheetName val="表2、统调口径电量"/>
      <sheetName val="表3、调度口径（不含华东）电量"/>
      <sheetName val="表4、地区数据统计"/>
      <sheetName val="表5、统调电厂发电量统计"/>
      <sheetName val="表6、受电量统计"/>
      <sheetName val="表7、负荷统计"/>
      <sheetName val="表8、按时段负荷统计"/>
      <sheetName val="表9、停机容量统计"/>
      <sheetName val="表10、旋转备用"/>
    </sheetNames>
    <sheetDataSet>
      <sheetData sheetId="0"/>
      <sheetData sheetId="1">
        <row r="4">
          <cell r="I4">
            <v>23033641.27</v>
          </cell>
        </row>
        <row r="13">
          <cell r="I13">
            <v>331714.95</v>
          </cell>
        </row>
        <row r="15">
          <cell r="I15">
            <v>281395.56</v>
          </cell>
        </row>
        <row r="16">
          <cell r="I16">
            <v>37950.49</v>
          </cell>
        </row>
        <row r="17">
          <cell r="I17">
            <v>162850.25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曲线"/>
      <sheetName val="2016"/>
      <sheetName val="2015"/>
      <sheetName val="2014"/>
      <sheetName val="Sheet1"/>
    </sheetNames>
    <sheetDataSet>
      <sheetData sheetId="0"/>
      <sheetData sheetId="1"/>
      <sheetData sheetId="2"/>
      <sheetData sheetId="3">
        <row r="5">
          <cell r="M5">
            <v>53508</v>
          </cell>
          <cell r="N5">
            <v>16795</v>
          </cell>
          <cell r="O5">
            <v>71301</v>
          </cell>
          <cell r="P5">
            <v>53508</v>
          </cell>
          <cell r="Q5">
            <v>16795</v>
          </cell>
          <cell r="R5">
            <v>71301</v>
          </cell>
        </row>
        <row r="6">
          <cell r="M6">
            <v>118017</v>
          </cell>
          <cell r="N6">
            <v>35047</v>
          </cell>
          <cell r="O6">
            <v>155068</v>
          </cell>
          <cell r="P6">
            <v>118017</v>
          </cell>
          <cell r="Q6">
            <v>35047</v>
          </cell>
          <cell r="R6">
            <v>155068</v>
          </cell>
        </row>
        <row r="7">
          <cell r="M7">
            <v>182015</v>
          </cell>
          <cell r="N7">
            <v>56270</v>
          </cell>
          <cell r="O7">
            <v>241276</v>
          </cell>
          <cell r="P7">
            <v>182015</v>
          </cell>
          <cell r="Q7">
            <v>56270</v>
          </cell>
          <cell r="R7">
            <v>241276</v>
          </cell>
        </row>
        <row r="8">
          <cell r="M8">
            <v>248223</v>
          </cell>
          <cell r="N8">
            <v>76391</v>
          </cell>
          <cell r="O8">
            <v>328554</v>
          </cell>
          <cell r="P8">
            <v>248223</v>
          </cell>
          <cell r="Q8">
            <v>76391</v>
          </cell>
          <cell r="R8">
            <v>328554</v>
          </cell>
        </row>
        <row r="9">
          <cell r="M9">
            <v>314248</v>
          </cell>
          <cell r="N9">
            <v>95464</v>
          </cell>
          <cell r="O9">
            <v>414692</v>
          </cell>
          <cell r="P9">
            <v>314248</v>
          </cell>
          <cell r="Q9">
            <v>95464</v>
          </cell>
          <cell r="R9">
            <v>414692</v>
          </cell>
        </row>
        <row r="10">
          <cell r="M10">
            <v>380939</v>
          </cell>
          <cell r="N10">
            <v>116030</v>
          </cell>
          <cell r="O10">
            <v>503165</v>
          </cell>
          <cell r="P10">
            <v>380939</v>
          </cell>
          <cell r="Q10">
            <v>116030</v>
          </cell>
          <cell r="R10">
            <v>503165</v>
          </cell>
        </row>
        <row r="11">
          <cell r="M11">
            <v>446609</v>
          </cell>
          <cell r="N11">
            <v>138574</v>
          </cell>
          <cell r="O11">
            <v>592322</v>
          </cell>
          <cell r="P11">
            <v>446609</v>
          </cell>
          <cell r="Q11">
            <v>138574</v>
          </cell>
          <cell r="R11">
            <v>592322</v>
          </cell>
        </row>
        <row r="12">
          <cell r="M12">
            <v>512064</v>
          </cell>
          <cell r="N12">
            <v>160712</v>
          </cell>
          <cell r="O12">
            <v>680788</v>
          </cell>
          <cell r="P12">
            <v>512064</v>
          </cell>
          <cell r="Q12">
            <v>160712</v>
          </cell>
          <cell r="R12">
            <v>680788</v>
          </cell>
        </row>
        <row r="13">
          <cell r="M13">
            <v>578725</v>
          </cell>
          <cell r="N13">
            <v>183168</v>
          </cell>
          <cell r="O13">
            <v>770795</v>
          </cell>
          <cell r="P13">
            <v>578725</v>
          </cell>
          <cell r="Q13">
            <v>183168</v>
          </cell>
          <cell r="R13">
            <v>770795</v>
          </cell>
        </row>
        <row r="14">
          <cell r="M14">
            <v>645172</v>
          </cell>
          <cell r="N14">
            <v>205615</v>
          </cell>
          <cell r="O14">
            <v>860582</v>
          </cell>
          <cell r="P14">
            <v>645172</v>
          </cell>
          <cell r="Q14">
            <v>205615</v>
          </cell>
          <cell r="R14">
            <v>860582</v>
          </cell>
        </row>
        <row r="15">
          <cell r="M15">
            <v>710732</v>
          </cell>
          <cell r="N15">
            <v>227838</v>
          </cell>
          <cell r="O15">
            <v>949257</v>
          </cell>
          <cell r="P15">
            <v>710732</v>
          </cell>
          <cell r="Q15">
            <v>227838</v>
          </cell>
          <cell r="R15">
            <v>949257</v>
          </cell>
        </row>
        <row r="16">
          <cell r="M16">
            <v>772970</v>
          </cell>
          <cell r="N16">
            <v>248893</v>
          </cell>
          <cell r="O16">
            <v>1033628</v>
          </cell>
          <cell r="P16">
            <v>772970</v>
          </cell>
          <cell r="Q16">
            <v>248893</v>
          </cell>
          <cell r="R16">
            <v>1033628</v>
          </cell>
        </row>
        <row r="17">
          <cell r="M17">
            <v>836242</v>
          </cell>
          <cell r="N17">
            <v>271654</v>
          </cell>
          <cell r="O17">
            <v>1120726</v>
          </cell>
          <cell r="P17">
            <v>836242</v>
          </cell>
          <cell r="Q17">
            <v>271654</v>
          </cell>
          <cell r="R17">
            <v>1120726</v>
          </cell>
        </row>
        <row r="18">
          <cell r="M18">
            <v>898675</v>
          </cell>
          <cell r="N18">
            <v>293786</v>
          </cell>
          <cell r="O18">
            <v>1206500</v>
          </cell>
          <cell r="P18">
            <v>898675</v>
          </cell>
          <cell r="Q18">
            <v>293786</v>
          </cell>
          <cell r="R18">
            <v>1206500</v>
          </cell>
        </row>
        <row r="19">
          <cell r="M19">
            <v>959239</v>
          </cell>
          <cell r="N19">
            <v>316195</v>
          </cell>
          <cell r="O19">
            <v>1290740</v>
          </cell>
          <cell r="P19">
            <v>959239</v>
          </cell>
          <cell r="Q19">
            <v>316195</v>
          </cell>
          <cell r="R19">
            <v>1290740</v>
          </cell>
        </row>
        <row r="20">
          <cell r="M20">
            <v>1017663</v>
          </cell>
          <cell r="N20">
            <v>338084</v>
          </cell>
          <cell r="O20">
            <v>1372095</v>
          </cell>
          <cell r="P20">
            <v>1017663</v>
          </cell>
          <cell r="Q20">
            <v>338084</v>
          </cell>
          <cell r="R20">
            <v>1372095</v>
          </cell>
        </row>
        <row r="21">
          <cell r="M21">
            <v>1072385</v>
          </cell>
          <cell r="N21">
            <v>360174</v>
          </cell>
          <cell r="O21">
            <v>1449823</v>
          </cell>
          <cell r="P21">
            <v>1072385</v>
          </cell>
          <cell r="Q21">
            <v>360174</v>
          </cell>
          <cell r="R21">
            <v>1449823</v>
          </cell>
        </row>
        <row r="22">
          <cell r="M22">
            <v>1123943</v>
          </cell>
          <cell r="N22">
            <v>382474</v>
          </cell>
          <cell r="O22">
            <v>1524716</v>
          </cell>
          <cell r="P22">
            <v>1123943</v>
          </cell>
          <cell r="Q22">
            <v>382474</v>
          </cell>
          <cell r="R22">
            <v>1524716</v>
          </cell>
        </row>
        <row r="23">
          <cell r="M23">
            <v>1170884</v>
          </cell>
          <cell r="N23">
            <v>404365</v>
          </cell>
          <cell r="O23">
            <v>1594606</v>
          </cell>
          <cell r="P23">
            <v>1170884</v>
          </cell>
          <cell r="Q23">
            <v>404365</v>
          </cell>
          <cell r="R23">
            <v>1594606</v>
          </cell>
        </row>
        <row r="24">
          <cell r="M24">
            <v>1215690</v>
          </cell>
          <cell r="N24">
            <v>426635</v>
          </cell>
          <cell r="O24">
            <v>1662618</v>
          </cell>
          <cell r="P24">
            <v>1215690</v>
          </cell>
          <cell r="Q24">
            <v>426635</v>
          </cell>
          <cell r="R24">
            <v>1662618</v>
          </cell>
        </row>
        <row r="25">
          <cell r="M25">
            <v>1257711</v>
          </cell>
          <cell r="N25">
            <v>448719</v>
          </cell>
          <cell r="O25">
            <v>1727955</v>
          </cell>
          <cell r="P25">
            <v>1257711</v>
          </cell>
          <cell r="Q25">
            <v>448719</v>
          </cell>
          <cell r="R25">
            <v>1727955</v>
          </cell>
        </row>
        <row r="26">
          <cell r="M26">
            <v>1300107</v>
          </cell>
          <cell r="N26">
            <v>467799</v>
          </cell>
          <cell r="O26">
            <v>1790638</v>
          </cell>
          <cell r="P26">
            <v>1300107</v>
          </cell>
          <cell r="Q26">
            <v>467799</v>
          </cell>
          <cell r="R26">
            <v>1790638</v>
          </cell>
        </row>
        <row r="27">
          <cell r="M27">
            <v>1338389</v>
          </cell>
          <cell r="N27">
            <v>486546</v>
          </cell>
          <cell r="O27">
            <v>1848747</v>
          </cell>
          <cell r="P27">
            <v>1338389</v>
          </cell>
          <cell r="Q27">
            <v>486546</v>
          </cell>
          <cell r="R27">
            <v>1848747</v>
          </cell>
        </row>
        <row r="28">
          <cell r="M28">
            <v>1370789</v>
          </cell>
          <cell r="N28">
            <v>504769</v>
          </cell>
          <cell r="O28">
            <v>1900460</v>
          </cell>
          <cell r="P28">
            <v>1370789</v>
          </cell>
          <cell r="Q28">
            <v>504769</v>
          </cell>
          <cell r="R28">
            <v>1900460</v>
          </cell>
        </row>
        <row r="29">
          <cell r="M29">
            <v>1397549</v>
          </cell>
          <cell r="N29">
            <v>521462</v>
          </cell>
          <cell r="O29">
            <v>1945872</v>
          </cell>
          <cell r="P29">
            <v>1397549</v>
          </cell>
          <cell r="Q29">
            <v>521462</v>
          </cell>
          <cell r="R29">
            <v>1945872</v>
          </cell>
        </row>
        <row r="30">
          <cell r="M30">
            <v>1422201</v>
          </cell>
          <cell r="N30">
            <v>538429</v>
          </cell>
          <cell r="O30">
            <v>1988370</v>
          </cell>
          <cell r="P30">
            <v>1422201</v>
          </cell>
          <cell r="Q30">
            <v>538429</v>
          </cell>
          <cell r="R30">
            <v>1988370</v>
          </cell>
        </row>
        <row r="31">
          <cell r="M31">
            <v>1444305</v>
          </cell>
          <cell r="N31">
            <v>555293</v>
          </cell>
          <cell r="O31">
            <v>2028289</v>
          </cell>
          <cell r="P31">
            <v>1444305</v>
          </cell>
          <cell r="Q31">
            <v>555293</v>
          </cell>
          <cell r="R31">
            <v>2028289</v>
          </cell>
        </row>
        <row r="32">
          <cell r="M32">
            <v>1464770</v>
          </cell>
          <cell r="N32">
            <v>571135</v>
          </cell>
          <cell r="O32">
            <v>2065496</v>
          </cell>
          <cell r="P32">
            <v>1464770</v>
          </cell>
          <cell r="Q32">
            <v>571135</v>
          </cell>
          <cell r="R32">
            <v>2065496</v>
          </cell>
        </row>
        <row r="33">
          <cell r="M33">
            <v>1484146</v>
          </cell>
          <cell r="N33">
            <v>585349</v>
          </cell>
          <cell r="O33">
            <v>2099934</v>
          </cell>
          <cell r="P33">
            <v>1484146</v>
          </cell>
          <cell r="Q33">
            <v>585349</v>
          </cell>
          <cell r="R33">
            <v>2099934</v>
          </cell>
        </row>
        <row r="34">
          <cell r="M34">
            <v>1502306</v>
          </cell>
          <cell r="N34">
            <v>599607.5</v>
          </cell>
          <cell r="O34">
            <v>2132116</v>
          </cell>
          <cell r="P34">
            <v>1502306</v>
          </cell>
          <cell r="Q34">
            <v>599607.5</v>
          </cell>
          <cell r="R34">
            <v>2132116</v>
          </cell>
        </row>
        <row r="35">
          <cell r="M35">
            <v>1518159</v>
          </cell>
          <cell r="N35">
            <v>611552.5</v>
          </cell>
          <cell r="O35">
            <v>2160767</v>
          </cell>
          <cell r="P35">
            <v>1518159</v>
          </cell>
          <cell r="Q35">
            <v>611552.5</v>
          </cell>
          <cell r="R35">
            <v>2160767</v>
          </cell>
        </row>
        <row r="36">
          <cell r="M36">
            <v>15318</v>
          </cell>
          <cell r="N36">
            <v>11730</v>
          </cell>
          <cell r="O36">
            <v>27871</v>
          </cell>
          <cell r="P36">
            <v>1533477</v>
          </cell>
          <cell r="Q36">
            <v>623282.5</v>
          </cell>
          <cell r="R36">
            <v>2188638</v>
          </cell>
        </row>
        <row r="37">
          <cell r="M37">
            <v>31375</v>
          </cell>
          <cell r="N37">
            <v>23389</v>
          </cell>
          <cell r="O37">
            <v>56362</v>
          </cell>
          <cell r="P37">
            <v>1549534</v>
          </cell>
          <cell r="Q37">
            <v>634941.5</v>
          </cell>
          <cell r="R37">
            <v>2217129</v>
          </cell>
        </row>
        <row r="38">
          <cell r="M38">
            <v>47934</v>
          </cell>
          <cell r="N38">
            <v>36055</v>
          </cell>
          <cell r="O38">
            <v>86541</v>
          </cell>
          <cell r="P38">
            <v>1566093</v>
          </cell>
          <cell r="Q38">
            <v>647607.5</v>
          </cell>
          <cell r="R38">
            <v>2247308</v>
          </cell>
        </row>
        <row r="39">
          <cell r="M39">
            <v>66212</v>
          </cell>
          <cell r="N39">
            <v>49395</v>
          </cell>
          <cell r="O39">
            <v>119238</v>
          </cell>
          <cell r="P39">
            <v>1584371</v>
          </cell>
          <cell r="Q39">
            <v>660947.5</v>
          </cell>
          <cell r="R39">
            <v>2280005</v>
          </cell>
        </row>
        <row r="40">
          <cell r="M40">
            <v>88183</v>
          </cell>
          <cell r="N40">
            <v>61566</v>
          </cell>
          <cell r="O40">
            <v>154464</v>
          </cell>
          <cell r="P40">
            <v>1606342</v>
          </cell>
          <cell r="Q40">
            <v>673118.5</v>
          </cell>
          <cell r="R40">
            <v>2315231</v>
          </cell>
        </row>
        <row r="41">
          <cell r="M41">
            <v>111283</v>
          </cell>
          <cell r="N41">
            <v>74226</v>
          </cell>
          <cell r="O41">
            <v>191106</v>
          </cell>
          <cell r="P41">
            <v>1629442</v>
          </cell>
          <cell r="Q41">
            <v>685778.5</v>
          </cell>
          <cell r="R41">
            <v>2351873</v>
          </cell>
        </row>
        <row r="42">
          <cell r="M42">
            <v>137560</v>
          </cell>
          <cell r="N42">
            <v>88526</v>
          </cell>
          <cell r="O42">
            <v>233073</v>
          </cell>
          <cell r="P42">
            <v>1655719</v>
          </cell>
          <cell r="Q42">
            <v>700078.5</v>
          </cell>
          <cell r="R42">
            <v>2393840</v>
          </cell>
        </row>
        <row r="43">
          <cell r="M43">
            <v>171039</v>
          </cell>
          <cell r="N43">
            <v>100987</v>
          </cell>
          <cell r="O43">
            <v>280918</v>
          </cell>
          <cell r="P43">
            <v>1689198</v>
          </cell>
          <cell r="Q43">
            <v>712539.5</v>
          </cell>
          <cell r="R43">
            <v>2441685</v>
          </cell>
        </row>
        <row r="44">
          <cell r="M44">
            <v>210462</v>
          </cell>
          <cell r="N44">
            <v>114058</v>
          </cell>
          <cell r="O44">
            <v>334316</v>
          </cell>
          <cell r="P44">
            <v>1728621</v>
          </cell>
          <cell r="Q44">
            <v>725610.5</v>
          </cell>
          <cell r="R44">
            <v>2495083</v>
          </cell>
        </row>
        <row r="45">
          <cell r="M45">
            <v>255782.5</v>
          </cell>
          <cell r="N45">
            <v>127600</v>
          </cell>
          <cell r="O45">
            <v>394477</v>
          </cell>
          <cell r="P45">
            <v>1773941.5</v>
          </cell>
          <cell r="Q45">
            <v>739152.5</v>
          </cell>
          <cell r="R45">
            <v>2555244</v>
          </cell>
        </row>
        <row r="46">
          <cell r="M46">
            <v>303536.5</v>
          </cell>
          <cell r="N46">
            <v>143366</v>
          </cell>
          <cell r="O46">
            <v>458864</v>
          </cell>
          <cell r="P46">
            <v>1821695.5</v>
          </cell>
          <cell r="Q46">
            <v>754918.5</v>
          </cell>
          <cell r="R46">
            <v>2619631</v>
          </cell>
        </row>
        <row r="47">
          <cell r="M47">
            <v>355077.5</v>
          </cell>
          <cell r="N47">
            <v>159932</v>
          </cell>
          <cell r="O47">
            <v>528306</v>
          </cell>
          <cell r="P47">
            <v>1873236.5</v>
          </cell>
          <cell r="Q47">
            <v>771484.5</v>
          </cell>
          <cell r="R47">
            <v>2689073</v>
          </cell>
        </row>
        <row r="48">
          <cell r="M48">
            <v>408621.5</v>
          </cell>
          <cell r="N48">
            <v>176654</v>
          </cell>
          <cell r="O48">
            <v>599609</v>
          </cell>
          <cell r="P48">
            <v>1926780.5</v>
          </cell>
          <cell r="Q48">
            <v>788206.5</v>
          </cell>
          <cell r="R48">
            <v>2760376</v>
          </cell>
        </row>
        <row r="49">
          <cell r="M49">
            <v>458563.5</v>
          </cell>
          <cell r="N49">
            <v>194934</v>
          </cell>
          <cell r="O49">
            <v>668760</v>
          </cell>
          <cell r="P49">
            <v>1976722.5</v>
          </cell>
          <cell r="Q49">
            <v>806486.5</v>
          </cell>
          <cell r="R49">
            <v>2829527</v>
          </cell>
        </row>
        <row r="50">
          <cell r="M50">
            <v>510840.5</v>
          </cell>
          <cell r="N50">
            <v>211481</v>
          </cell>
          <cell r="O50">
            <v>738462</v>
          </cell>
          <cell r="P50">
            <v>2028999.5</v>
          </cell>
          <cell r="Q50">
            <v>823033.5</v>
          </cell>
          <cell r="R50">
            <v>2899229</v>
          </cell>
        </row>
        <row r="51">
          <cell r="M51">
            <v>564472.5</v>
          </cell>
          <cell r="N51">
            <v>227536</v>
          </cell>
          <cell r="O51">
            <v>809000</v>
          </cell>
          <cell r="P51">
            <v>2082631.5</v>
          </cell>
          <cell r="Q51">
            <v>839088.5</v>
          </cell>
          <cell r="R51">
            <v>2969767</v>
          </cell>
        </row>
        <row r="52">
          <cell r="M52">
            <v>621904.5</v>
          </cell>
          <cell r="N52">
            <v>242750</v>
          </cell>
          <cell r="O52">
            <v>882668</v>
          </cell>
          <cell r="P52">
            <v>2140063.5</v>
          </cell>
          <cell r="Q52">
            <v>854302.5</v>
          </cell>
          <cell r="R52">
            <v>3043435</v>
          </cell>
        </row>
        <row r="53">
          <cell r="M53">
            <v>681957.5</v>
          </cell>
          <cell r="N53">
            <v>259351</v>
          </cell>
          <cell r="O53">
            <v>960969</v>
          </cell>
          <cell r="P53">
            <v>2200116.5</v>
          </cell>
          <cell r="Q53">
            <v>870903.5</v>
          </cell>
          <cell r="R53">
            <v>3121736</v>
          </cell>
        </row>
        <row r="54">
          <cell r="M54">
            <v>741256.5</v>
          </cell>
          <cell r="N54">
            <v>278806</v>
          </cell>
          <cell r="O54">
            <v>1041161</v>
          </cell>
          <cell r="P54">
            <v>2259415.5</v>
          </cell>
          <cell r="Q54">
            <v>890358.5</v>
          </cell>
          <cell r="R54">
            <v>3201928</v>
          </cell>
        </row>
        <row r="55">
          <cell r="M55">
            <v>801060.5</v>
          </cell>
          <cell r="N55">
            <v>298134</v>
          </cell>
          <cell r="O55">
            <v>1121462</v>
          </cell>
          <cell r="P55">
            <v>2319219.5</v>
          </cell>
          <cell r="Q55">
            <v>909686.5</v>
          </cell>
          <cell r="R55">
            <v>3282229</v>
          </cell>
        </row>
        <row r="56">
          <cell r="M56">
            <v>861194.5</v>
          </cell>
          <cell r="N56">
            <v>318544</v>
          </cell>
          <cell r="O56">
            <v>1203329</v>
          </cell>
          <cell r="P56">
            <v>2379353.5</v>
          </cell>
          <cell r="Q56">
            <v>930096.5</v>
          </cell>
          <cell r="R56">
            <v>3364096</v>
          </cell>
        </row>
        <row r="57">
          <cell r="M57">
            <v>920348.5</v>
          </cell>
          <cell r="N57">
            <v>338682</v>
          </cell>
          <cell r="O57">
            <v>1283705</v>
          </cell>
          <cell r="P57">
            <v>2438507.5</v>
          </cell>
          <cell r="Q57">
            <v>950234.5</v>
          </cell>
          <cell r="R57">
            <v>3444472</v>
          </cell>
        </row>
        <row r="58">
          <cell r="M58">
            <v>976919.5</v>
          </cell>
          <cell r="N58">
            <v>358479</v>
          </cell>
          <cell r="O58">
            <v>1361127</v>
          </cell>
          <cell r="P58">
            <v>2495078.5</v>
          </cell>
          <cell r="Q58">
            <v>970031.5</v>
          </cell>
          <cell r="R58">
            <v>3521894</v>
          </cell>
        </row>
        <row r="59">
          <cell r="M59">
            <v>1037887.5</v>
          </cell>
          <cell r="N59">
            <v>378914</v>
          </cell>
          <cell r="O59">
            <v>1443826</v>
          </cell>
          <cell r="P59">
            <v>2556046.5</v>
          </cell>
          <cell r="Q59">
            <v>990466.5</v>
          </cell>
          <cell r="R59">
            <v>3604593</v>
          </cell>
        </row>
        <row r="60">
          <cell r="M60">
            <v>1098838.5</v>
          </cell>
          <cell r="N60">
            <v>399482</v>
          </cell>
          <cell r="O60">
            <v>1526493</v>
          </cell>
          <cell r="P60">
            <v>2616997.5</v>
          </cell>
          <cell r="Q60">
            <v>1011034.5</v>
          </cell>
          <cell r="R60">
            <v>3687260</v>
          </cell>
        </row>
        <row r="61">
          <cell r="M61">
            <v>1158358.5</v>
          </cell>
          <cell r="N61">
            <v>419640</v>
          </cell>
          <cell r="O61">
            <v>1607428</v>
          </cell>
          <cell r="P61">
            <v>2676517.5</v>
          </cell>
          <cell r="Q61">
            <v>1031192.5</v>
          </cell>
          <cell r="R61">
            <v>3768195</v>
          </cell>
        </row>
        <row r="62">
          <cell r="M62">
            <v>1218057.5</v>
          </cell>
          <cell r="N62">
            <v>439830</v>
          </cell>
          <cell r="O62">
            <v>1688487</v>
          </cell>
          <cell r="P62">
            <v>2736216.5</v>
          </cell>
          <cell r="Q62">
            <v>1051382.5</v>
          </cell>
          <cell r="R62">
            <v>3849254</v>
          </cell>
        </row>
        <row r="63">
          <cell r="M63">
            <v>1277962</v>
          </cell>
          <cell r="N63">
            <v>461188</v>
          </cell>
          <cell r="O63">
            <v>1771062</v>
          </cell>
          <cell r="P63">
            <v>2796121</v>
          </cell>
          <cell r="Q63">
            <v>1072740.5</v>
          </cell>
          <cell r="R63">
            <v>3931829</v>
          </cell>
        </row>
        <row r="65">
          <cell r="M65">
            <v>61965</v>
          </cell>
          <cell r="N65">
            <v>17993</v>
          </cell>
          <cell r="O65">
            <v>81370</v>
          </cell>
          <cell r="P65">
            <v>2858086</v>
          </cell>
          <cell r="Q65">
            <v>1090733.5</v>
          </cell>
          <cell r="R65">
            <v>4013199</v>
          </cell>
        </row>
        <row r="66">
          <cell r="M66">
            <v>120685</v>
          </cell>
          <cell r="N66">
            <v>35670</v>
          </cell>
          <cell r="O66">
            <v>159239</v>
          </cell>
          <cell r="P66">
            <v>2916806</v>
          </cell>
          <cell r="Q66">
            <v>1108410.5</v>
          </cell>
          <cell r="R66">
            <v>4091068</v>
          </cell>
        </row>
        <row r="67">
          <cell r="M67">
            <v>181273</v>
          </cell>
          <cell r="N67">
            <v>55528</v>
          </cell>
          <cell r="O67">
            <v>241217</v>
          </cell>
          <cell r="P67">
            <v>2977394</v>
          </cell>
          <cell r="Q67">
            <v>1128268.5</v>
          </cell>
          <cell r="R67">
            <v>4173046</v>
          </cell>
        </row>
        <row r="68">
          <cell r="M68">
            <v>244903</v>
          </cell>
          <cell r="N68">
            <v>75487</v>
          </cell>
          <cell r="O68">
            <v>326127</v>
          </cell>
          <cell r="P68">
            <v>3041024</v>
          </cell>
          <cell r="Q68">
            <v>1148227.5</v>
          </cell>
          <cell r="R68">
            <v>4257956</v>
          </cell>
        </row>
        <row r="69">
          <cell r="M69">
            <v>308824</v>
          </cell>
          <cell r="N69">
            <v>95109</v>
          </cell>
          <cell r="O69">
            <v>411857</v>
          </cell>
          <cell r="P69">
            <v>3104945</v>
          </cell>
          <cell r="Q69">
            <v>1167849.5</v>
          </cell>
          <cell r="R69">
            <v>4343686</v>
          </cell>
        </row>
        <row r="70">
          <cell r="M70">
            <v>376730</v>
          </cell>
          <cell r="N70">
            <v>115017</v>
          </cell>
          <cell r="O70">
            <v>501637</v>
          </cell>
          <cell r="P70">
            <v>3172851</v>
          </cell>
          <cell r="Q70">
            <v>1187757.5</v>
          </cell>
          <cell r="R70">
            <v>4433466</v>
          </cell>
        </row>
        <row r="71">
          <cell r="M71">
            <v>442097</v>
          </cell>
          <cell r="N71">
            <v>136313</v>
          </cell>
          <cell r="O71">
            <v>590724</v>
          </cell>
          <cell r="P71">
            <v>3238218</v>
          </cell>
          <cell r="Q71">
            <v>1209053.5</v>
          </cell>
          <cell r="R71">
            <v>4522553</v>
          </cell>
        </row>
        <row r="72">
          <cell r="M72">
            <v>508076</v>
          </cell>
          <cell r="N72">
            <v>157141</v>
          </cell>
          <cell r="O72">
            <v>679557</v>
          </cell>
          <cell r="P72">
            <v>3304197</v>
          </cell>
          <cell r="Q72">
            <v>1229881.5</v>
          </cell>
          <cell r="R72">
            <v>4611386</v>
          </cell>
        </row>
        <row r="73">
          <cell r="M73">
            <v>568838</v>
          </cell>
          <cell r="N73">
            <v>177870</v>
          </cell>
          <cell r="O73">
            <v>762827</v>
          </cell>
          <cell r="P73">
            <v>3364959</v>
          </cell>
          <cell r="Q73">
            <v>1250610.5</v>
          </cell>
          <cell r="R73">
            <v>4694656</v>
          </cell>
        </row>
        <row r="74">
          <cell r="M74">
            <v>632167</v>
          </cell>
          <cell r="N74">
            <v>198788</v>
          </cell>
          <cell r="O74">
            <v>848858</v>
          </cell>
          <cell r="P74">
            <v>3428288</v>
          </cell>
          <cell r="Q74">
            <v>1271528.5</v>
          </cell>
          <cell r="R74">
            <v>4780687</v>
          </cell>
        </row>
        <row r="75">
          <cell r="M75">
            <v>694580</v>
          </cell>
          <cell r="N75">
            <v>220226</v>
          </cell>
          <cell r="O75">
            <v>934752</v>
          </cell>
          <cell r="P75">
            <v>3490701</v>
          </cell>
          <cell r="Q75">
            <v>1292966.5</v>
          </cell>
          <cell r="R75">
            <v>4866581</v>
          </cell>
        </row>
        <row r="76">
          <cell r="M76">
            <v>756787</v>
          </cell>
          <cell r="N76">
            <v>240438</v>
          </cell>
          <cell r="O76">
            <v>1019973</v>
          </cell>
          <cell r="P76">
            <v>3552908</v>
          </cell>
          <cell r="Q76">
            <v>1313178.5</v>
          </cell>
          <cell r="R76">
            <v>4951802</v>
          </cell>
        </row>
        <row r="77">
          <cell r="M77">
            <v>817668</v>
          </cell>
          <cell r="N77">
            <v>262017</v>
          </cell>
          <cell r="O77">
            <v>1105411</v>
          </cell>
          <cell r="P77">
            <v>3613789</v>
          </cell>
          <cell r="Q77">
            <v>1334757.5</v>
          </cell>
          <cell r="R77">
            <v>5037240</v>
          </cell>
        </row>
        <row r="78">
          <cell r="M78">
            <v>878433</v>
          </cell>
          <cell r="N78">
            <v>283463</v>
          </cell>
          <cell r="O78">
            <v>1190545</v>
          </cell>
          <cell r="P78">
            <v>3674554</v>
          </cell>
          <cell r="Q78">
            <v>1356203.5</v>
          </cell>
          <cell r="R78">
            <v>5122374</v>
          </cell>
        </row>
        <row r="79">
          <cell r="M79">
            <v>938743</v>
          </cell>
          <cell r="N79">
            <v>305291</v>
          </cell>
          <cell r="O79">
            <v>1273740</v>
          </cell>
          <cell r="P79">
            <v>3734864</v>
          </cell>
          <cell r="Q79">
            <v>1378031.5</v>
          </cell>
          <cell r="R79">
            <v>5205569</v>
          </cell>
        </row>
        <row r="80">
          <cell r="M80">
            <v>995185</v>
          </cell>
          <cell r="N80">
            <v>326366</v>
          </cell>
          <cell r="O80">
            <v>1352716</v>
          </cell>
          <cell r="P80">
            <v>3791306</v>
          </cell>
          <cell r="Q80">
            <v>1399106.5</v>
          </cell>
          <cell r="R80">
            <v>5284545</v>
          </cell>
        </row>
        <row r="81">
          <cell r="M81">
            <v>1053857</v>
          </cell>
          <cell r="N81">
            <v>347164</v>
          </cell>
          <cell r="O81">
            <v>1435493</v>
          </cell>
          <cell r="P81">
            <v>3849978</v>
          </cell>
          <cell r="Q81">
            <v>1419904.5</v>
          </cell>
          <cell r="R81">
            <v>5367322</v>
          </cell>
        </row>
        <row r="82">
          <cell r="M82">
            <v>1115844</v>
          </cell>
          <cell r="N82">
            <v>366662</v>
          </cell>
          <cell r="O82">
            <v>1518648</v>
          </cell>
          <cell r="P82">
            <v>3911965</v>
          </cell>
          <cell r="Q82">
            <v>1439402.5</v>
          </cell>
          <cell r="R82">
            <v>5450477</v>
          </cell>
        </row>
        <row r="83">
          <cell r="M83">
            <v>1179390</v>
          </cell>
          <cell r="N83">
            <v>386792</v>
          </cell>
          <cell r="O83">
            <v>1604251</v>
          </cell>
          <cell r="P83">
            <v>3975511</v>
          </cell>
          <cell r="Q83">
            <v>1459532.5</v>
          </cell>
          <cell r="R83">
            <v>5536080</v>
          </cell>
        </row>
        <row r="84">
          <cell r="M84">
            <v>1241201</v>
          </cell>
          <cell r="N84">
            <v>408844</v>
          </cell>
          <cell r="O84">
            <v>1690166</v>
          </cell>
          <cell r="P84">
            <v>4037322</v>
          </cell>
          <cell r="Q84">
            <v>1481584.5</v>
          </cell>
          <cell r="R84">
            <v>5621995</v>
          </cell>
        </row>
        <row r="85">
          <cell r="M85">
            <v>1303461</v>
          </cell>
          <cell r="N85">
            <v>430754</v>
          </cell>
          <cell r="O85">
            <v>1776231</v>
          </cell>
          <cell r="P85">
            <v>4099582</v>
          </cell>
          <cell r="Q85">
            <v>1503494.5</v>
          </cell>
          <cell r="R85">
            <v>5708060</v>
          </cell>
        </row>
        <row r="86">
          <cell r="M86">
            <v>1362384</v>
          </cell>
          <cell r="N86">
            <v>454468</v>
          </cell>
          <cell r="O86">
            <v>1861088</v>
          </cell>
          <cell r="P86">
            <v>4158505</v>
          </cell>
          <cell r="Q86">
            <v>1527208.5</v>
          </cell>
          <cell r="R86">
            <v>5792917</v>
          </cell>
        </row>
        <row r="87">
          <cell r="M87">
            <v>1418679</v>
          </cell>
          <cell r="N87">
            <v>477323</v>
          </cell>
          <cell r="O87">
            <v>1942054</v>
          </cell>
          <cell r="P87">
            <v>4214800</v>
          </cell>
          <cell r="Q87">
            <v>1550063.5</v>
          </cell>
          <cell r="R87">
            <v>5873883</v>
          </cell>
        </row>
        <row r="88">
          <cell r="M88">
            <v>1476855</v>
          </cell>
          <cell r="N88">
            <v>500572</v>
          </cell>
          <cell r="O88">
            <v>2026083</v>
          </cell>
          <cell r="P88">
            <v>4272976</v>
          </cell>
          <cell r="Q88">
            <v>1573312.5</v>
          </cell>
          <cell r="R88">
            <v>5957912</v>
          </cell>
        </row>
        <row r="89">
          <cell r="M89">
            <v>1535999</v>
          </cell>
          <cell r="N89">
            <v>524672</v>
          </cell>
          <cell r="O89">
            <v>2111134</v>
          </cell>
          <cell r="P89">
            <v>4332120</v>
          </cell>
          <cell r="Q89">
            <v>1597412.5</v>
          </cell>
          <cell r="R89">
            <v>6042963</v>
          </cell>
        </row>
        <row r="90">
          <cell r="M90">
            <v>1595811</v>
          </cell>
          <cell r="N90">
            <v>547924</v>
          </cell>
          <cell r="O90">
            <v>2196118</v>
          </cell>
          <cell r="P90">
            <v>4391932</v>
          </cell>
          <cell r="Q90">
            <v>1620664.5</v>
          </cell>
          <cell r="R90">
            <v>6127947</v>
          </cell>
        </row>
        <row r="91">
          <cell r="M91">
            <v>1655464</v>
          </cell>
          <cell r="N91">
            <v>571183</v>
          </cell>
          <cell r="O91">
            <v>2281166</v>
          </cell>
          <cell r="P91">
            <v>4451585</v>
          </cell>
          <cell r="Q91">
            <v>1643923.5</v>
          </cell>
          <cell r="R91">
            <v>6212995</v>
          </cell>
        </row>
        <row r="92">
          <cell r="M92">
            <v>1713618</v>
          </cell>
          <cell r="N92">
            <v>595718</v>
          </cell>
          <cell r="O92">
            <v>2365981</v>
          </cell>
          <cell r="P92">
            <v>4509739</v>
          </cell>
          <cell r="Q92">
            <v>1668458.5</v>
          </cell>
          <cell r="R92">
            <v>6297810</v>
          </cell>
        </row>
        <row r="93">
          <cell r="M93">
            <v>1768696</v>
          </cell>
          <cell r="N93">
            <v>621684</v>
          </cell>
          <cell r="O93">
            <v>2448374</v>
          </cell>
          <cell r="P93">
            <v>4564817</v>
          </cell>
          <cell r="Q93">
            <v>1694424.5</v>
          </cell>
          <cell r="R93">
            <v>6380203</v>
          </cell>
        </row>
        <row r="94">
          <cell r="M94">
            <v>1819484</v>
          </cell>
          <cell r="N94">
            <v>648587</v>
          </cell>
          <cell r="O94">
            <v>2527126</v>
          </cell>
          <cell r="P94">
            <v>4615605</v>
          </cell>
          <cell r="Q94">
            <v>1721327.5</v>
          </cell>
          <cell r="R94">
            <v>6458955</v>
          </cell>
        </row>
        <row r="95">
          <cell r="M95">
            <v>1872431.77</v>
          </cell>
          <cell r="N95">
            <v>676126.6</v>
          </cell>
          <cell r="O95">
            <v>2608951.16</v>
          </cell>
          <cell r="P95">
            <v>4668552.7699999996</v>
          </cell>
          <cell r="Q95">
            <v>1748867.1</v>
          </cell>
          <cell r="R95">
            <v>6540780.1600000001</v>
          </cell>
        </row>
        <row r="96">
          <cell r="M96">
            <v>57029</v>
          </cell>
          <cell r="N96">
            <v>23138</v>
          </cell>
          <cell r="O96">
            <v>81663</v>
          </cell>
          <cell r="P96">
            <v>4725581.7699999996</v>
          </cell>
          <cell r="Q96">
            <v>1772005.1</v>
          </cell>
          <cell r="R96">
            <v>6622443.1600000001</v>
          </cell>
        </row>
        <row r="97">
          <cell r="M97">
            <v>116580</v>
          </cell>
          <cell r="N97">
            <v>45085</v>
          </cell>
          <cell r="O97">
            <v>164776</v>
          </cell>
          <cell r="P97">
            <v>4785132.7699999996</v>
          </cell>
          <cell r="Q97">
            <v>1793952.1</v>
          </cell>
          <cell r="R97">
            <v>6705556.1600000001</v>
          </cell>
        </row>
        <row r="98">
          <cell r="M98">
            <v>176284</v>
          </cell>
          <cell r="N98">
            <v>66131</v>
          </cell>
          <cell r="O98">
            <v>247515</v>
          </cell>
          <cell r="P98">
            <v>4844836.7699999996</v>
          </cell>
          <cell r="Q98">
            <v>1814998.1</v>
          </cell>
          <cell r="R98">
            <v>6788295.1600000001</v>
          </cell>
        </row>
        <row r="99">
          <cell r="M99">
            <v>233823</v>
          </cell>
          <cell r="N99">
            <v>89130</v>
          </cell>
          <cell r="O99">
            <v>329644</v>
          </cell>
          <cell r="P99">
            <v>4902375.7699999996</v>
          </cell>
          <cell r="Q99">
            <v>1837997.1</v>
          </cell>
          <cell r="R99">
            <v>6870424.1600000001</v>
          </cell>
        </row>
        <row r="100">
          <cell r="M100">
            <v>281331</v>
          </cell>
          <cell r="N100">
            <v>105883</v>
          </cell>
          <cell r="O100">
            <v>395294</v>
          </cell>
          <cell r="P100">
            <v>4949883.7699999996</v>
          </cell>
          <cell r="Q100">
            <v>1854750.1</v>
          </cell>
          <cell r="R100">
            <v>6936074.1600000001</v>
          </cell>
        </row>
        <row r="101">
          <cell r="M101">
            <v>335026</v>
          </cell>
          <cell r="N101">
            <v>124710</v>
          </cell>
          <cell r="O101">
            <v>469404</v>
          </cell>
          <cell r="P101">
            <v>5003578.7699999996</v>
          </cell>
          <cell r="Q101">
            <v>1873577.1</v>
          </cell>
          <cell r="R101">
            <v>7010184.1600000001</v>
          </cell>
        </row>
        <row r="102">
          <cell r="M102">
            <v>391828</v>
          </cell>
          <cell r="N102">
            <v>148375</v>
          </cell>
          <cell r="O102">
            <v>551481</v>
          </cell>
          <cell r="P102">
            <v>5060380.7699999996</v>
          </cell>
          <cell r="Q102">
            <v>1897242.1</v>
          </cell>
          <cell r="R102">
            <v>7092261.1600000001</v>
          </cell>
        </row>
        <row r="103">
          <cell r="M103">
            <v>452042</v>
          </cell>
          <cell r="N103">
            <v>170950</v>
          </cell>
          <cell r="O103">
            <v>636435</v>
          </cell>
          <cell r="P103">
            <v>5120594.7699999996</v>
          </cell>
          <cell r="Q103">
            <v>1919817.1</v>
          </cell>
          <cell r="R103">
            <v>7177215.1600000001</v>
          </cell>
        </row>
        <row r="104">
          <cell r="M104">
            <v>512673</v>
          </cell>
          <cell r="N104">
            <v>194718</v>
          </cell>
          <cell r="O104">
            <v>722261</v>
          </cell>
          <cell r="P104">
            <v>5181225.7699999996</v>
          </cell>
          <cell r="Q104">
            <v>1943585.1</v>
          </cell>
          <cell r="R104">
            <v>7263041.1600000001</v>
          </cell>
        </row>
        <row r="105">
          <cell r="M105">
            <v>573443</v>
          </cell>
          <cell r="N105">
            <v>217863</v>
          </cell>
          <cell r="O105">
            <v>808165</v>
          </cell>
          <cell r="P105">
            <v>5241995.7699999996</v>
          </cell>
          <cell r="Q105">
            <v>1966730.1</v>
          </cell>
          <cell r="R105">
            <v>7348945.1600000001</v>
          </cell>
        </row>
        <row r="106">
          <cell r="M106">
            <v>633049</v>
          </cell>
          <cell r="N106">
            <v>242456</v>
          </cell>
          <cell r="O106">
            <v>893869</v>
          </cell>
          <cell r="P106">
            <v>5301601.7699999996</v>
          </cell>
          <cell r="Q106">
            <v>1991323.1</v>
          </cell>
          <cell r="R106">
            <v>7434649.1600000001</v>
          </cell>
        </row>
        <row r="107">
          <cell r="M107">
            <v>693097</v>
          </cell>
          <cell r="N107">
            <v>266384</v>
          </cell>
          <cell r="O107">
            <v>979278</v>
          </cell>
          <cell r="P107">
            <v>5361649.7699999996</v>
          </cell>
          <cell r="Q107">
            <v>2015251.1</v>
          </cell>
          <cell r="R107">
            <v>7520058.1600000001</v>
          </cell>
        </row>
        <row r="108">
          <cell r="M108">
            <v>751522</v>
          </cell>
          <cell r="N108">
            <v>288870</v>
          </cell>
          <cell r="O108">
            <v>1061319</v>
          </cell>
          <cell r="P108">
            <v>5420074.7699999996</v>
          </cell>
          <cell r="Q108">
            <v>2037737.1</v>
          </cell>
          <cell r="R108">
            <v>7602099.1600000001</v>
          </cell>
        </row>
        <row r="109">
          <cell r="M109">
            <v>810848</v>
          </cell>
          <cell r="N109">
            <v>312490</v>
          </cell>
          <cell r="O109">
            <v>1146226</v>
          </cell>
          <cell r="P109">
            <v>5479400.7699999996</v>
          </cell>
          <cell r="Q109">
            <v>2061357.1</v>
          </cell>
          <cell r="R109">
            <v>7687006.1600000001</v>
          </cell>
        </row>
        <row r="110">
          <cell r="M110">
            <v>872624</v>
          </cell>
          <cell r="N110">
            <v>335136</v>
          </cell>
          <cell r="O110">
            <v>1231998</v>
          </cell>
          <cell r="P110">
            <v>5541176.7699999996</v>
          </cell>
          <cell r="Q110">
            <v>2084003.1</v>
          </cell>
          <cell r="R110">
            <v>7772778.1600000001</v>
          </cell>
        </row>
        <row r="111">
          <cell r="M111">
            <v>933717</v>
          </cell>
          <cell r="N111">
            <v>357630</v>
          </cell>
          <cell r="O111">
            <v>1317531</v>
          </cell>
          <cell r="P111">
            <v>5602269.7699999996</v>
          </cell>
          <cell r="Q111">
            <v>2106497.1</v>
          </cell>
          <cell r="R111">
            <v>7858311.1600000001</v>
          </cell>
        </row>
        <row r="112">
          <cell r="M112">
            <v>996506</v>
          </cell>
          <cell r="N112">
            <v>379507</v>
          </cell>
          <cell r="O112">
            <v>1404023</v>
          </cell>
          <cell r="P112">
            <v>5665058.7699999996</v>
          </cell>
          <cell r="Q112">
            <v>2128374.1</v>
          </cell>
          <cell r="R112">
            <v>7944803.1600000001</v>
          </cell>
        </row>
        <row r="113">
          <cell r="M113">
            <v>1058821</v>
          </cell>
          <cell r="N113">
            <v>402509</v>
          </cell>
          <cell r="O113">
            <v>1490971</v>
          </cell>
          <cell r="P113">
            <v>5727373.7699999996</v>
          </cell>
          <cell r="Q113">
            <v>2151376.1</v>
          </cell>
          <cell r="R113">
            <v>8031751.1600000001</v>
          </cell>
        </row>
        <row r="114">
          <cell r="M114">
            <v>1121038</v>
          </cell>
          <cell r="N114">
            <v>424848</v>
          </cell>
          <cell r="O114">
            <v>1577026</v>
          </cell>
          <cell r="P114">
            <v>5789590.7699999996</v>
          </cell>
          <cell r="Q114">
            <v>2173715.1</v>
          </cell>
          <cell r="R114">
            <v>8117806.1600000001</v>
          </cell>
        </row>
        <row r="115">
          <cell r="M115">
            <v>1181079</v>
          </cell>
          <cell r="N115">
            <v>444964</v>
          </cell>
          <cell r="O115">
            <v>1658264</v>
          </cell>
          <cell r="P115">
            <v>5849631.7699999996</v>
          </cell>
          <cell r="Q115">
            <v>2193831.1</v>
          </cell>
          <cell r="R115">
            <v>8199044.1600000001</v>
          </cell>
        </row>
        <row r="116">
          <cell r="M116">
            <v>1241998</v>
          </cell>
          <cell r="N116">
            <v>467319</v>
          </cell>
          <cell r="O116">
            <v>1743959</v>
          </cell>
          <cell r="P116">
            <v>5910550.7699999996</v>
          </cell>
          <cell r="Q116">
            <v>2216186.1</v>
          </cell>
          <cell r="R116">
            <v>8284739.1600000001</v>
          </cell>
        </row>
        <row r="117">
          <cell r="M117">
            <v>1303535</v>
          </cell>
          <cell r="N117">
            <v>489789</v>
          </cell>
          <cell r="O117">
            <v>1829237</v>
          </cell>
          <cell r="P117">
            <v>5972087.7699999996</v>
          </cell>
          <cell r="Q117">
            <v>2238656.1</v>
          </cell>
          <cell r="R117">
            <v>8370017.1600000001</v>
          </cell>
        </row>
        <row r="118">
          <cell r="M118">
            <v>1365260</v>
          </cell>
          <cell r="N118">
            <v>511710</v>
          </cell>
          <cell r="O118">
            <v>1914158</v>
          </cell>
          <cell r="P118">
            <v>6033812.7699999996</v>
          </cell>
          <cell r="Q118">
            <v>2260577.1</v>
          </cell>
          <cell r="R118">
            <v>8454938.1600000001</v>
          </cell>
        </row>
        <row r="119">
          <cell r="M119">
            <v>1426473</v>
          </cell>
          <cell r="N119">
            <v>533874</v>
          </cell>
          <cell r="O119">
            <v>1999325</v>
          </cell>
          <cell r="P119">
            <v>6095025.7699999996</v>
          </cell>
          <cell r="Q119">
            <v>2282741.1</v>
          </cell>
          <cell r="R119">
            <v>8540105.1600000001</v>
          </cell>
        </row>
        <row r="120">
          <cell r="M120">
            <v>1487706</v>
          </cell>
          <cell r="N120">
            <v>555481</v>
          </cell>
          <cell r="O120">
            <v>2083926</v>
          </cell>
          <cell r="P120">
            <v>6156258.7699999996</v>
          </cell>
          <cell r="Q120">
            <v>2304348.1</v>
          </cell>
          <cell r="R120">
            <v>8624706.1600000001</v>
          </cell>
        </row>
        <row r="121">
          <cell r="M121">
            <v>1548020</v>
          </cell>
          <cell r="N121">
            <v>576944</v>
          </cell>
          <cell r="O121">
            <v>2166970</v>
          </cell>
          <cell r="P121">
            <v>6216572.7699999996</v>
          </cell>
          <cell r="Q121">
            <v>2325811.1</v>
          </cell>
          <cell r="R121">
            <v>8707750.1600000001</v>
          </cell>
        </row>
        <row r="122">
          <cell r="M122">
            <v>1608236</v>
          </cell>
          <cell r="N122">
            <v>595843</v>
          </cell>
          <cell r="O122">
            <v>2247089</v>
          </cell>
          <cell r="P122">
            <v>6276788.7699999996</v>
          </cell>
          <cell r="Q122">
            <v>2344710.1</v>
          </cell>
          <cell r="R122">
            <v>8787869.1600000001</v>
          </cell>
        </row>
        <row r="123">
          <cell r="M123">
            <v>1667712</v>
          </cell>
          <cell r="N123">
            <v>616989</v>
          </cell>
          <cell r="O123">
            <v>2329534</v>
          </cell>
          <cell r="P123">
            <v>6336264.7699999996</v>
          </cell>
          <cell r="Q123">
            <v>2365856.1</v>
          </cell>
          <cell r="R123">
            <v>8870314.1600000001</v>
          </cell>
        </row>
        <row r="124">
          <cell r="M124">
            <v>1727215</v>
          </cell>
          <cell r="N124">
            <v>639337</v>
          </cell>
          <cell r="O124">
            <v>2412866</v>
          </cell>
          <cell r="P124">
            <v>6395767.7699999996</v>
          </cell>
          <cell r="Q124">
            <v>2388204.1</v>
          </cell>
          <cell r="R124">
            <v>8953646.1600000001</v>
          </cell>
        </row>
        <row r="125">
          <cell r="M125">
            <v>1785213</v>
          </cell>
          <cell r="N125">
            <v>659406</v>
          </cell>
          <cell r="O125">
            <v>2493386</v>
          </cell>
          <cell r="P125">
            <v>6453765.7699999996</v>
          </cell>
          <cell r="Q125">
            <v>2408273.1</v>
          </cell>
          <cell r="R125">
            <v>9034166.1600000001</v>
          </cell>
        </row>
        <row r="126">
          <cell r="M126">
            <v>40647</v>
          </cell>
          <cell r="N126">
            <v>15094</v>
          </cell>
          <cell r="O126">
            <v>56694</v>
          </cell>
          <cell r="P126">
            <v>6494412.7699999996</v>
          </cell>
          <cell r="Q126">
            <v>2423367.1</v>
          </cell>
          <cell r="R126">
            <v>9090860.1600000001</v>
          </cell>
        </row>
        <row r="127">
          <cell r="M127">
            <v>86836</v>
          </cell>
          <cell r="N127">
            <v>30518</v>
          </cell>
          <cell r="O127">
            <v>119577</v>
          </cell>
          <cell r="P127">
            <v>6540601.7699999996</v>
          </cell>
          <cell r="Q127">
            <v>2438791.1</v>
          </cell>
          <cell r="R127">
            <v>9153743.1600000001</v>
          </cell>
        </row>
        <row r="128">
          <cell r="M128">
            <v>142662</v>
          </cell>
          <cell r="N128">
            <v>47372</v>
          </cell>
          <cell r="O128">
            <v>194336</v>
          </cell>
          <cell r="P128">
            <v>6596427.7699999996</v>
          </cell>
          <cell r="Q128">
            <v>2455645.1</v>
          </cell>
          <cell r="R128">
            <v>9228502.1600000001</v>
          </cell>
        </row>
        <row r="129">
          <cell r="M129">
            <v>203652</v>
          </cell>
          <cell r="N129">
            <v>64866</v>
          </cell>
          <cell r="O129">
            <v>274816</v>
          </cell>
          <cell r="P129">
            <v>6657417.7699999996</v>
          </cell>
          <cell r="Q129">
            <v>2473139.1</v>
          </cell>
          <cell r="R129">
            <v>9308982.1600000001</v>
          </cell>
        </row>
        <row r="130">
          <cell r="M130">
            <v>265012</v>
          </cell>
          <cell r="N130">
            <v>83605</v>
          </cell>
          <cell r="O130">
            <v>356898</v>
          </cell>
          <cell r="P130">
            <v>6718777.7699999996</v>
          </cell>
          <cell r="Q130">
            <v>2491878.1</v>
          </cell>
          <cell r="R130">
            <v>9391064.1600000001</v>
          </cell>
        </row>
        <row r="131">
          <cell r="M131">
            <v>327525</v>
          </cell>
          <cell r="N131">
            <v>101321</v>
          </cell>
          <cell r="O131">
            <v>439745</v>
          </cell>
          <cell r="P131">
            <v>6781290.7699999996</v>
          </cell>
          <cell r="Q131">
            <v>2509594.1</v>
          </cell>
          <cell r="R131">
            <v>9473911.1600000001</v>
          </cell>
        </row>
        <row r="132">
          <cell r="M132">
            <v>389681</v>
          </cell>
          <cell r="N132">
            <v>120235</v>
          </cell>
          <cell r="O132">
            <v>522833</v>
          </cell>
          <cell r="P132">
            <v>6843446.7699999996</v>
          </cell>
          <cell r="Q132">
            <v>2528508.1</v>
          </cell>
          <cell r="R132">
            <v>9556999.1600000001</v>
          </cell>
        </row>
        <row r="133">
          <cell r="M133">
            <v>453001</v>
          </cell>
          <cell r="N133">
            <v>139002</v>
          </cell>
          <cell r="O133">
            <v>606836</v>
          </cell>
          <cell r="P133">
            <v>6906766.7699999996</v>
          </cell>
          <cell r="Q133">
            <v>2547275.1</v>
          </cell>
          <cell r="R133">
            <v>9641002.1600000001</v>
          </cell>
        </row>
        <row r="134">
          <cell r="M134">
            <v>516625</v>
          </cell>
          <cell r="N134">
            <v>157779</v>
          </cell>
          <cell r="O134">
            <v>691148</v>
          </cell>
          <cell r="P134">
            <v>6970390.7699999996</v>
          </cell>
          <cell r="Q134">
            <v>2566052.1</v>
          </cell>
          <cell r="R134">
            <v>9725314.1600000001</v>
          </cell>
        </row>
        <row r="135">
          <cell r="M135">
            <v>578265</v>
          </cell>
          <cell r="N135">
            <v>177829</v>
          </cell>
          <cell r="O135">
            <v>774538</v>
          </cell>
          <cell r="P135">
            <v>7032030.7699999996</v>
          </cell>
          <cell r="Q135">
            <v>2586102.1</v>
          </cell>
          <cell r="R135">
            <v>9808704.1600000001</v>
          </cell>
        </row>
        <row r="136">
          <cell r="M136">
            <v>637938</v>
          </cell>
          <cell r="N136">
            <v>196347</v>
          </cell>
          <cell r="O136">
            <v>854039</v>
          </cell>
          <cell r="P136">
            <v>7091703.7699999996</v>
          </cell>
          <cell r="Q136">
            <v>2604620.1</v>
          </cell>
          <cell r="R136">
            <v>9888205.1600000001</v>
          </cell>
        </row>
        <row r="137">
          <cell r="M137">
            <v>697528</v>
          </cell>
          <cell r="N137">
            <v>216280</v>
          </cell>
          <cell r="O137">
            <v>935120</v>
          </cell>
          <cell r="P137">
            <v>7151293.7699999996</v>
          </cell>
          <cell r="Q137">
            <v>2624553.1</v>
          </cell>
          <cell r="R137">
            <v>9969286.1600000001</v>
          </cell>
        </row>
        <row r="138">
          <cell r="M138">
            <v>757027</v>
          </cell>
          <cell r="N138">
            <v>236401</v>
          </cell>
          <cell r="O138">
            <v>1017484</v>
          </cell>
          <cell r="P138">
            <v>7210792.7699999996</v>
          </cell>
          <cell r="Q138">
            <v>2644674.1</v>
          </cell>
          <cell r="R138">
            <v>10051650.16</v>
          </cell>
        </row>
        <row r="139">
          <cell r="M139">
            <v>815982</v>
          </cell>
          <cell r="N139">
            <v>256105</v>
          </cell>
          <cell r="O139">
            <v>1098926</v>
          </cell>
          <cell r="P139">
            <v>7269747.7699999996</v>
          </cell>
          <cell r="Q139">
            <v>2664378.1</v>
          </cell>
          <cell r="R139">
            <v>10133092.16</v>
          </cell>
        </row>
        <row r="140">
          <cell r="M140">
            <v>874982</v>
          </cell>
          <cell r="N140">
            <v>276105</v>
          </cell>
          <cell r="O140">
            <v>1180426</v>
          </cell>
          <cell r="P140">
            <v>7328747.7699999996</v>
          </cell>
          <cell r="Q140">
            <v>2684378.1</v>
          </cell>
          <cell r="R140">
            <v>10214592.16</v>
          </cell>
        </row>
        <row r="141">
          <cell r="M141">
            <v>932986</v>
          </cell>
          <cell r="N141">
            <v>296182</v>
          </cell>
          <cell r="O141">
            <v>1261006</v>
          </cell>
          <cell r="P141">
            <v>7386751.7699999996</v>
          </cell>
          <cell r="Q141">
            <v>2704455.1</v>
          </cell>
          <cell r="R141">
            <v>10295172.16</v>
          </cell>
        </row>
        <row r="142">
          <cell r="M142">
            <v>988965</v>
          </cell>
          <cell r="N142">
            <v>316051</v>
          </cell>
          <cell r="O142">
            <v>1339465</v>
          </cell>
          <cell r="P142">
            <v>7442730.7699999996</v>
          </cell>
          <cell r="Q142">
            <v>2724324.1</v>
          </cell>
          <cell r="R142">
            <v>10373631.16</v>
          </cell>
        </row>
        <row r="143">
          <cell r="M143">
            <v>1040585</v>
          </cell>
          <cell r="N143">
            <v>335615</v>
          </cell>
          <cell r="O143">
            <v>1412892</v>
          </cell>
          <cell r="P143">
            <v>7494350.7699999996</v>
          </cell>
          <cell r="Q143">
            <v>2743888.1</v>
          </cell>
          <cell r="R143">
            <v>10447058.16</v>
          </cell>
        </row>
        <row r="144">
          <cell r="M144">
            <v>1094870</v>
          </cell>
          <cell r="N144">
            <v>356027</v>
          </cell>
          <cell r="O144">
            <v>1490239</v>
          </cell>
          <cell r="P144">
            <v>7548635.7699999996</v>
          </cell>
          <cell r="Q144">
            <v>2764300.1</v>
          </cell>
          <cell r="R144">
            <v>10524405.16</v>
          </cell>
        </row>
        <row r="145">
          <cell r="M145">
            <v>1150762</v>
          </cell>
          <cell r="N145">
            <v>375735</v>
          </cell>
          <cell r="O145">
            <v>1568981</v>
          </cell>
          <cell r="P145">
            <v>7604527.7699999996</v>
          </cell>
          <cell r="Q145">
            <v>2784008.1</v>
          </cell>
          <cell r="R145">
            <v>10603147.16</v>
          </cell>
        </row>
        <row r="146">
          <cell r="M146">
            <v>1207449</v>
          </cell>
          <cell r="N146">
            <v>396246</v>
          </cell>
          <cell r="O146">
            <v>1649677</v>
          </cell>
          <cell r="P146">
            <v>7661214.7699999996</v>
          </cell>
          <cell r="Q146">
            <v>2804519.1</v>
          </cell>
          <cell r="R146">
            <v>10683843.16</v>
          </cell>
        </row>
        <row r="147">
          <cell r="M147">
            <v>1262585</v>
          </cell>
          <cell r="N147">
            <v>417911</v>
          </cell>
          <cell r="O147">
            <v>1729648</v>
          </cell>
          <cell r="P147">
            <v>7716350.7699999996</v>
          </cell>
          <cell r="Q147">
            <v>2826184.1</v>
          </cell>
          <cell r="R147">
            <v>10763814.16</v>
          </cell>
        </row>
        <row r="148">
          <cell r="M148">
            <v>1318885</v>
          </cell>
          <cell r="N148">
            <v>438911</v>
          </cell>
          <cell r="O148">
            <v>1809448</v>
          </cell>
          <cell r="P148">
            <v>7772650.7699999996</v>
          </cell>
          <cell r="Q148">
            <v>2847184.1</v>
          </cell>
          <cell r="R148">
            <v>10843614.16</v>
          </cell>
        </row>
        <row r="149">
          <cell r="M149">
            <v>1375185</v>
          </cell>
          <cell r="N149">
            <v>458811</v>
          </cell>
          <cell r="O149">
            <v>1887348</v>
          </cell>
          <cell r="P149">
            <v>7828950.7699999996</v>
          </cell>
          <cell r="Q149">
            <v>2867084.1</v>
          </cell>
          <cell r="R149">
            <v>10921514.16</v>
          </cell>
        </row>
        <row r="150">
          <cell r="M150">
            <v>1431485</v>
          </cell>
          <cell r="N150">
            <v>477311</v>
          </cell>
          <cell r="O150">
            <v>1965248</v>
          </cell>
          <cell r="P150">
            <v>7885250.7699999996</v>
          </cell>
          <cell r="Q150">
            <v>2885584.1</v>
          </cell>
          <cell r="R150">
            <v>10999414.16</v>
          </cell>
        </row>
        <row r="151">
          <cell r="M151">
            <v>1488229</v>
          </cell>
          <cell r="N151">
            <v>498670</v>
          </cell>
          <cell r="O151">
            <v>2046635</v>
          </cell>
          <cell r="P151">
            <v>7941994.7699999996</v>
          </cell>
          <cell r="Q151">
            <v>2906943.1</v>
          </cell>
          <cell r="R151">
            <v>11080801.16</v>
          </cell>
        </row>
        <row r="152">
          <cell r="M152">
            <v>1546125</v>
          </cell>
          <cell r="N152">
            <v>522057</v>
          </cell>
          <cell r="O152">
            <v>2130952</v>
          </cell>
          <cell r="P152">
            <v>7999890.7699999996</v>
          </cell>
          <cell r="Q152">
            <v>2930330.1</v>
          </cell>
          <cell r="R152">
            <v>11165118.16</v>
          </cell>
        </row>
        <row r="153">
          <cell r="M153">
            <v>1606078</v>
          </cell>
          <cell r="N153">
            <v>545929</v>
          </cell>
          <cell r="O153">
            <v>2217472</v>
          </cell>
          <cell r="P153">
            <v>8059843.7699999996</v>
          </cell>
          <cell r="Q153">
            <v>2954202.1</v>
          </cell>
          <cell r="R153">
            <v>11251638.16</v>
          </cell>
        </row>
        <row r="154">
          <cell r="M154">
            <v>1666513</v>
          </cell>
          <cell r="N154">
            <v>570264</v>
          </cell>
          <cell r="O154">
            <v>2305115</v>
          </cell>
          <cell r="P154">
            <v>8120278.7699999996</v>
          </cell>
          <cell r="Q154">
            <v>2978537.1</v>
          </cell>
          <cell r="R154">
            <v>11339281.16</v>
          </cell>
        </row>
        <row r="155">
          <cell r="M155">
            <v>1723779</v>
          </cell>
          <cell r="N155">
            <v>594991</v>
          </cell>
          <cell r="O155">
            <v>2392191</v>
          </cell>
          <cell r="P155">
            <v>8177544.7699999996</v>
          </cell>
          <cell r="Q155">
            <v>3003264.1</v>
          </cell>
          <cell r="R155">
            <v>11426357.16</v>
          </cell>
        </row>
        <row r="156">
          <cell r="M156">
            <v>1781398</v>
          </cell>
          <cell r="N156">
            <v>615413</v>
          </cell>
          <cell r="O156">
            <v>2473411</v>
          </cell>
          <cell r="P156">
            <v>8235163.7699999996</v>
          </cell>
          <cell r="Q156">
            <v>3023686.1</v>
          </cell>
          <cell r="R156">
            <v>11507577.16</v>
          </cell>
        </row>
        <row r="157">
          <cell r="M157">
            <v>50500</v>
          </cell>
          <cell r="N157">
            <v>17500</v>
          </cell>
          <cell r="O157">
            <v>70135</v>
          </cell>
          <cell r="P157">
            <v>8285663.7699999996</v>
          </cell>
          <cell r="Q157">
            <v>3041186.1</v>
          </cell>
          <cell r="R157">
            <v>11577712.16</v>
          </cell>
        </row>
        <row r="158">
          <cell r="M158">
            <v>89800</v>
          </cell>
          <cell r="N158">
            <v>34300</v>
          </cell>
          <cell r="O158">
            <v>128335</v>
          </cell>
          <cell r="P158">
            <v>8324963.7699999996</v>
          </cell>
          <cell r="Q158">
            <v>3057986.1</v>
          </cell>
          <cell r="R158">
            <v>11635912.16</v>
          </cell>
        </row>
        <row r="159">
          <cell r="M159">
            <v>140960</v>
          </cell>
          <cell r="N159">
            <v>55200</v>
          </cell>
          <cell r="O159">
            <v>203035</v>
          </cell>
          <cell r="P159">
            <v>8376123.7699999996</v>
          </cell>
          <cell r="Q159">
            <v>3078886.1</v>
          </cell>
          <cell r="R159">
            <v>11710612.16</v>
          </cell>
        </row>
        <row r="160">
          <cell r="M160">
            <v>196760</v>
          </cell>
          <cell r="N160">
            <v>78900</v>
          </cell>
          <cell r="O160">
            <v>285335</v>
          </cell>
          <cell r="P160">
            <v>8431923.7699999996</v>
          </cell>
          <cell r="Q160">
            <v>3102586.1</v>
          </cell>
          <cell r="R160">
            <v>11792912.16</v>
          </cell>
        </row>
        <row r="161">
          <cell r="M161">
            <v>254260</v>
          </cell>
          <cell r="N161">
            <v>102000</v>
          </cell>
          <cell r="O161">
            <v>367035</v>
          </cell>
          <cell r="P161">
            <v>8489423.7699999996</v>
          </cell>
          <cell r="Q161">
            <v>3125686.1</v>
          </cell>
          <cell r="R161">
            <v>11874612.16</v>
          </cell>
        </row>
        <row r="162">
          <cell r="M162">
            <v>316260</v>
          </cell>
          <cell r="N162">
            <v>124700</v>
          </cell>
          <cell r="O162">
            <v>455035</v>
          </cell>
          <cell r="P162">
            <v>8551423.7699999996</v>
          </cell>
          <cell r="Q162">
            <v>3148386.1</v>
          </cell>
          <cell r="R162">
            <v>11962612.16</v>
          </cell>
        </row>
        <row r="163">
          <cell r="M163">
            <v>378260</v>
          </cell>
          <cell r="N163">
            <v>147700</v>
          </cell>
          <cell r="O163">
            <v>543035</v>
          </cell>
          <cell r="P163">
            <v>8613423.7699999996</v>
          </cell>
          <cell r="Q163">
            <v>3171386.1</v>
          </cell>
          <cell r="R163">
            <v>12050612.16</v>
          </cell>
        </row>
        <row r="164">
          <cell r="M164">
            <v>440773</v>
          </cell>
          <cell r="N164">
            <v>169810</v>
          </cell>
          <cell r="O164">
            <v>630157</v>
          </cell>
          <cell r="P164">
            <v>8675936.7699999996</v>
          </cell>
          <cell r="Q164">
            <v>3193496.1</v>
          </cell>
          <cell r="R164">
            <v>12137734.16</v>
          </cell>
        </row>
        <row r="165">
          <cell r="M165">
            <v>505173</v>
          </cell>
          <cell r="N165">
            <v>192110</v>
          </cell>
          <cell r="O165">
            <v>718657</v>
          </cell>
          <cell r="P165">
            <v>8740336.7699999996</v>
          </cell>
          <cell r="Q165">
            <v>3215796.1</v>
          </cell>
          <cell r="R165">
            <v>12226234.16</v>
          </cell>
        </row>
        <row r="166">
          <cell r="M166">
            <v>568549</v>
          </cell>
          <cell r="N166">
            <v>216417</v>
          </cell>
          <cell r="O166">
            <v>807645</v>
          </cell>
          <cell r="P166">
            <v>8803712.7699999996</v>
          </cell>
          <cell r="Q166">
            <v>3240103.1</v>
          </cell>
          <cell r="R166">
            <v>12315222.16</v>
          </cell>
        </row>
        <row r="167">
          <cell r="M167">
            <v>630649</v>
          </cell>
          <cell r="N167">
            <v>241817</v>
          </cell>
          <cell r="O167">
            <v>896445</v>
          </cell>
          <cell r="P167">
            <v>8865812.7699999996</v>
          </cell>
          <cell r="Q167">
            <v>3265503.1</v>
          </cell>
          <cell r="R167">
            <v>12404022.16</v>
          </cell>
        </row>
        <row r="168">
          <cell r="M168">
            <v>695849</v>
          </cell>
          <cell r="N168">
            <v>265517</v>
          </cell>
          <cell r="O168">
            <v>986245</v>
          </cell>
          <cell r="P168">
            <v>8931012.7699999996</v>
          </cell>
          <cell r="Q168">
            <v>3289203.1</v>
          </cell>
          <cell r="R168">
            <v>12493822.16</v>
          </cell>
        </row>
        <row r="169">
          <cell r="M169">
            <v>761649</v>
          </cell>
          <cell r="N169">
            <v>289517</v>
          </cell>
          <cell r="O169">
            <v>1076945</v>
          </cell>
          <cell r="P169">
            <v>8996812.7699999996</v>
          </cell>
          <cell r="Q169">
            <v>3313203.1</v>
          </cell>
          <cell r="R169">
            <v>12584522.16</v>
          </cell>
        </row>
        <row r="170">
          <cell r="M170">
            <v>827449</v>
          </cell>
          <cell r="N170">
            <v>314317</v>
          </cell>
          <cell r="O170">
            <v>1167745</v>
          </cell>
          <cell r="P170">
            <v>9062612.7699999996</v>
          </cell>
          <cell r="Q170">
            <v>3338003.1</v>
          </cell>
          <cell r="R170">
            <v>12675322.16</v>
          </cell>
        </row>
        <row r="171">
          <cell r="M171">
            <v>891349</v>
          </cell>
          <cell r="N171">
            <v>336417</v>
          </cell>
          <cell r="O171">
            <v>1254145</v>
          </cell>
          <cell r="P171">
            <v>9126512.7699999996</v>
          </cell>
          <cell r="Q171">
            <v>3360103.1</v>
          </cell>
          <cell r="R171">
            <v>12761722.16</v>
          </cell>
        </row>
        <row r="172">
          <cell r="M172">
            <v>960849</v>
          </cell>
          <cell r="N172">
            <v>358317</v>
          </cell>
          <cell r="O172">
            <v>1345845</v>
          </cell>
          <cell r="P172">
            <v>9196012.7699999996</v>
          </cell>
          <cell r="Q172">
            <v>3382003.1</v>
          </cell>
          <cell r="R172">
            <v>12853422.16</v>
          </cell>
        </row>
        <row r="173">
          <cell r="M173">
            <v>1027477</v>
          </cell>
          <cell r="N173">
            <v>381717</v>
          </cell>
          <cell r="O173">
            <v>1436359</v>
          </cell>
          <cell r="P173">
            <v>9262640.7699999996</v>
          </cell>
          <cell r="Q173">
            <v>3405403.1</v>
          </cell>
          <cell r="R173">
            <v>12943936.16</v>
          </cell>
        </row>
        <row r="174">
          <cell r="M174">
            <v>1091577</v>
          </cell>
          <cell r="N174">
            <v>405917</v>
          </cell>
          <cell r="O174">
            <v>1524759</v>
          </cell>
          <cell r="P174">
            <v>9326740.7699999996</v>
          </cell>
          <cell r="Q174">
            <v>3429603.1</v>
          </cell>
          <cell r="R174">
            <v>13032336.16</v>
          </cell>
        </row>
        <row r="175">
          <cell r="M175">
            <v>1155478</v>
          </cell>
          <cell r="N175">
            <v>429512</v>
          </cell>
          <cell r="O175">
            <v>1612739</v>
          </cell>
          <cell r="P175">
            <v>9390641.7699999996</v>
          </cell>
          <cell r="Q175">
            <v>3453198.1</v>
          </cell>
          <cell r="R175">
            <v>13120316.16</v>
          </cell>
        </row>
        <row r="176">
          <cell r="M176">
            <v>1219612</v>
          </cell>
          <cell r="N176">
            <v>453846</v>
          </cell>
          <cell r="O176">
            <v>1701413</v>
          </cell>
          <cell r="P176">
            <v>9454775.7699999996</v>
          </cell>
          <cell r="Q176">
            <v>3477532.1</v>
          </cell>
          <cell r="R176">
            <v>13208990.16</v>
          </cell>
        </row>
        <row r="177">
          <cell r="M177">
            <v>1282257</v>
          </cell>
          <cell r="N177">
            <v>476733</v>
          </cell>
          <cell r="O177">
            <v>1787148</v>
          </cell>
          <cell r="P177">
            <v>9517420.7699999996</v>
          </cell>
          <cell r="Q177">
            <v>3500419.1</v>
          </cell>
          <cell r="R177">
            <v>13294725.16</v>
          </cell>
        </row>
        <row r="178">
          <cell r="M178">
            <v>1337411</v>
          </cell>
          <cell r="N178">
            <v>496768</v>
          </cell>
          <cell r="O178">
            <v>1862897</v>
          </cell>
          <cell r="P178">
            <v>9572574.7699999996</v>
          </cell>
          <cell r="Q178">
            <v>3520454.1</v>
          </cell>
          <cell r="R178">
            <v>13370474.16</v>
          </cell>
        </row>
        <row r="179">
          <cell r="M179">
            <v>1393906</v>
          </cell>
          <cell r="N179">
            <v>516970</v>
          </cell>
          <cell r="O179">
            <v>1940501</v>
          </cell>
          <cell r="P179">
            <v>9629069.7699999996</v>
          </cell>
          <cell r="Q179">
            <v>3540656.1</v>
          </cell>
          <cell r="R179">
            <v>13448078.16</v>
          </cell>
        </row>
        <row r="180">
          <cell r="M180">
            <v>1449053</v>
          </cell>
          <cell r="N180">
            <v>537736</v>
          </cell>
          <cell r="O180">
            <v>2018673</v>
          </cell>
          <cell r="P180">
            <v>9684216.7699999996</v>
          </cell>
          <cell r="Q180">
            <v>3561422.1</v>
          </cell>
          <cell r="R180">
            <v>13526250.16</v>
          </cell>
        </row>
        <row r="181">
          <cell r="M181">
            <v>1499646</v>
          </cell>
          <cell r="N181">
            <v>562369</v>
          </cell>
          <cell r="O181">
            <v>2096910</v>
          </cell>
          <cell r="P181">
            <v>9734809.7699999996</v>
          </cell>
          <cell r="Q181">
            <v>3586055.1</v>
          </cell>
          <cell r="R181">
            <v>13604487.16</v>
          </cell>
        </row>
        <row r="182">
          <cell r="M182">
            <v>1550257</v>
          </cell>
          <cell r="N182">
            <v>589832</v>
          </cell>
          <cell r="O182">
            <v>2178327</v>
          </cell>
          <cell r="P182">
            <v>9785420.7699999996</v>
          </cell>
          <cell r="Q182">
            <v>3613518.1</v>
          </cell>
          <cell r="R182">
            <v>13685904.16</v>
          </cell>
        </row>
        <row r="183">
          <cell r="M183">
            <v>1600867</v>
          </cell>
          <cell r="N183">
            <v>616588</v>
          </cell>
          <cell r="O183">
            <v>2259685</v>
          </cell>
          <cell r="P183">
            <v>9836030.7699999996</v>
          </cell>
          <cell r="Q183">
            <v>3640274.1</v>
          </cell>
          <cell r="R183">
            <v>13767262.16</v>
          </cell>
        </row>
        <row r="184">
          <cell r="M184">
            <v>1649483</v>
          </cell>
          <cell r="N184">
            <v>642106</v>
          </cell>
          <cell r="O184">
            <v>2338008</v>
          </cell>
          <cell r="P184">
            <v>9884646.7699999996</v>
          </cell>
          <cell r="Q184">
            <v>3665792.1</v>
          </cell>
          <cell r="R184">
            <v>13845585.16</v>
          </cell>
        </row>
        <row r="185">
          <cell r="M185">
            <v>1694166</v>
          </cell>
          <cell r="N185">
            <v>667853</v>
          </cell>
          <cell r="O185">
            <v>2411607</v>
          </cell>
          <cell r="P185">
            <v>9929329.7699999996</v>
          </cell>
          <cell r="Q185">
            <v>3691539.1</v>
          </cell>
          <cell r="R185">
            <v>13919184.16</v>
          </cell>
        </row>
        <row r="186">
          <cell r="M186">
            <v>1741075</v>
          </cell>
          <cell r="N186">
            <v>694345</v>
          </cell>
          <cell r="O186">
            <v>2488062</v>
          </cell>
          <cell r="P186">
            <v>9976408</v>
          </cell>
          <cell r="Q186">
            <v>3718031.1</v>
          </cell>
          <cell r="R186">
            <v>13995639.16</v>
          </cell>
        </row>
        <row r="187">
          <cell r="M187">
            <v>44861</v>
          </cell>
          <cell r="N187">
            <v>28770</v>
          </cell>
          <cell r="O187">
            <v>76920</v>
          </cell>
          <cell r="P187">
            <v>10021269</v>
          </cell>
          <cell r="Q187">
            <v>3746801.1</v>
          </cell>
          <cell r="R187">
            <v>14072559.16</v>
          </cell>
        </row>
        <row r="188">
          <cell r="M188">
            <v>92159</v>
          </cell>
          <cell r="N188">
            <v>60152</v>
          </cell>
          <cell r="O188">
            <v>159085</v>
          </cell>
          <cell r="P188">
            <v>10068567</v>
          </cell>
          <cell r="Q188">
            <v>3778183.1</v>
          </cell>
          <cell r="R188">
            <v>14154724.16</v>
          </cell>
        </row>
        <row r="189">
          <cell r="M189">
            <v>141611</v>
          </cell>
          <cell r="N189">
            <v>92886</v>
          </cell>
          <cell r="O189">
            <v>244408</v>
          </cell>
          <cell r="P189">
            <v>10118019</v>
          </cell>
          <cell r="Q189">
            <v>3810917.1</v>
          </cell>
          <cell r="R189">
            <v>14240047.16</v>
          </cell>
        </row>
        <row r="190">
          <cell r="M190">
            <v>190742</v>
          </cell>
          <cell r="N190">
            <v>127281</v>
          </cell>
          <cell r="O190">
            <v>331010</v>
          </cell>
          <cell r="P190">
            <v>10167150</v>
          </cell>
          <cell r="Q190">
            <v>3845312.1</v>
          </cell>
          <cell r="R190">
            <v>14326649.16</v>
          </cell>
        </row>
        <row r="191">
          <cell r="M191">
            <v>246266</v>
          </cell>
          <cell r="N191">
            <v>154961</v>
          </cell>
          <cell r="O191">
            <v>418127</v>
          </cell>
          <cell r="P191">
            <v>10222674</v>
          </cell>
          <cell r="Q191">
            <v>3872992.1</v>
          </cell>
          <cell r="R191">
            <v>14413766.16</v>
          </cell>
        </row>
        <row r="192">
          <cell r="M192">
            <v>297895</v>
          </cell>
          <cell r="N192">
            <v>182220</v>
          </cell>
          <cell r="O192">
            <v>501516</v>
          </cell>
          <cell r="P192">
            <v>10274303</v>
          </cell>
          <cell r="Q192">
            <v>3900251.1</v>
          </cell>
          <cell r="R192">
            <v>14497155.16</v>
          </cell>
        </row>
        <row r="193">
          <cell r="M193">
            <v>351060</v>
          </cell>
          <cell r="N193">
            <v>215467</v>
          </cell>
          <cell r="O193">
            <v>590398</v>
          </cell>
          <cell r="P193">
            <v>10327468</v>
          </cell>
          <cell r="Q193">
            <v>3933498.1</v>
          </cell>
          <cell r="R193">
            <v>14586037.16</v>
          </cell>
        </row>
        <row r="194">
          <cell r="M194">
            <v>407211</v>
          </cell>
          <cell r="N194">
            <v>249295</v>
          </cell>
          <cell r="O194">
            <v>682943</v>
          </cell>
          <cell r="P194">
            <v>10383619</v>
          </cell>
          <cell r="Q194">
            <v>3967326.1</v>
          </cell>
          <cell r="R194">
            <v>14678582.16</v>
          </cell>
        </row>
        <row r="195">
          <cell r="M195">
            <v>467340</v>
          </cell>
          <cell r="N195">
            <v>283034</v>
          </cell>
          <cell r="O195">
            <v>779651</v>
          </cell>
          <cell r="P195">
            <v>10443748</v>
          </cell>
          <cell r="Q195">
            <v>4001065.1</v>
          </cell>
          <cell r="R195">
            <v>14775290.16</v>
          </cell>
        </row>
        <row r="196">
          <cell r="M196">
            <v>531760</v>
          </cell>
          <cell r="N196">
            <v>317030</v>
          </cell>
          <cell r="O196">
            <v>880831</v>
          </cell>
          <cell r="P196">
            <v>10508168</v>
          </cell>
          <cell r="Q196">
            <v>4035061.1</v>
          </cell>
          <cell r="R196">
            <v>14876470.16</v>
          </cell>
        </row>
        <row r="197">
          <cell r="M197">
            <v>598720</v>
          </cell>
          <cell r="N197">
            <v>352571</v>
          </cell>
          <cell r="O197">
            <v>985065</v>
          </cell>
          <cell r="P197">
            <v>10575128</v>
          </cell>
          <cell r="Q197">
            <v>4070602.1</v>
          </cell>
          <cell r="R197">
            <v>14980704.16</v>
          </cell>
        </row>
        <row r="198">
          <cell r="M198">
            <v>665490</v>
          </cell>
          <cell r="N198">
            <v>387342</v>
          </cell>
          <cell r="O198">
            <v>1087961</v>
          </cell>
          <cell r="P198">
            <v>10641898</v>
          </cell>
          <cell r="Q198">
            <v>4105373.1</v>
          </cell>
          <cell r="R198">
            <v>15083600.16</v>
          </cell>
        </row>
        <row r="199">
          <cell r="M199">
            <v>719311</v>
          </cell>
          <cell r="N199">
            <v>420894</v>
          </cell>
          <cell r="O199">
            <v>1176562</v>
          </cell>
          <cell r="P199">
            <v>10695719</v>
          </cell>
          <cell r="Q199">
            <v>4138925.1</v>
          </cell>
          <cell r="R199">
            <v>15172201.16</v>
          </cell>
        </row>
        <row r="200">
          <cell r="M200">
            <v>773033</v>
          </cell>
          <cell r="N200">
            <v>456519</v>
          </cell>
          <cell r="O200">
            <v>1267453</v>
          </cell>
          <cell r="P200">
            <v>10749441</v>
          </cell>
          <cell r="Q200">
            <v>4174550.1</v>
          </cell>
          <cell r="R200">
            <v>15263092.16</v>
          </cell>
        </row>
        <row r="201">
          <cell r="M201">
            <v>821257</v>
          </cell>
          <cell r="N201">
            <v>496095</v>
          </cell>
          <cell r="O201">
            <v>1357447</v>
          </cell>
          <cell r="P201">
            <v>10797665</v>
          </cell>
          <cell r="Q201">
            <v>4214126.0999999996</v>
          </cell>
          <cell r="R201">
            <v>15353086.16</v>
          </cell>
        </row>
        <row r="202">
          <cell r="M202">
            <v>877008</v>
          </cell>
          <cell r="N202">
            <v>530005</v>
          </cell>
          <cell r="O202">
            <v>1449148</v>
          </cell>
          <cell r="P202">
            <v>10853416</v>
          </cell>
          <cell r="Q202">
            <v>4248036.0999999996</v>
          </cell>
          <cell r="R202">
            <v>15444787.16</v>
          </cell>
        </row>
        <row r="203">
          <cell r="M203">
            <v>935862</v>
          </cell>
          <cell r="N203">
            <v>566805</v>
          </cell>
          <cell r="O203">
            <v>1546457</v>
          </cell>
          <cell r="P203">
            <v>10912270</v>
          </cell>
          <cell r="Q203">
            <v>4284836.0999999996</v>
          </cell>
          <cell r="R203">
            <v>15542096.16</v>
          </cell>
        </row>
        <row r="204">
          <cell r="M204">
            <v>996990</v>
          </cell>
          <cell r="N204">
            <v>605931</v>
          </cell>
          <cell r="O204">
            <v>1648403</v>
          </cell>
          <cell r="P204">
            <v>10973398</v>
          </cell>
          <cell r="Q204">
            <v>4323962.0999999996</v>
          </cell>
          <cell r="R204">
            <v>15644042.16</v>
          </cell>
        </row>
        <row r="205">
          <cell r="M205">
            <v>1058819</v>
          </cell>
          <cell r="N205">
            <v>644643</v>
          </cell>
          <cell r="O205">
            <v>1751173</v>
          </cell>
          <cell r="P205">
            <v>11035227</v>
          </cell>
          <cell r="Q205">
            <v>4362674.0999999996</v>
          </cell>
          <cell r="R205">
            <v>15746812.16</v>
          </cell>
        </row>
        <row r="206">
          <cell r="M206">
            <v>1118170</v>
          </cell>
          <cell r="N206">
            <v>683268</v>
          </cell>
          <cell r="O206">
            <v>1851002</v>
          </cell>
          <cell r="P206">
            <v>11094578</v>
          </cell>
          <cell r="Q206">
            <v>4401299.0999999996</v>
          </cell>
          <cell r="R206">
            <v>15846641.16</v>
          </cell>
        </row>
        <row r="207">
          <cell r="M207">
            <v>1184486</v>
          </cell>
          <cell r="N207">
            <v>721785</v>
          </cell>
          <cell r="O207">
            <v>1958741</v>
          </cell>
          <cell r="P207">
            <v>11160894</v>
          </cell>
          <cell r="Q207">
            <v>4439816.0999999996</v>
          </cell>
          <cell r="R207">
            <v>15954380.16</v>
          </cell>
        </row>
        <row r="208">
          <cell r="M208">
            <v>1248262.52</v>
          </cell>
          <cell r="N208">
            <v>758165</v>
          </cell>
          <cell r="O208">
            <v>2062929</v>
          </cell>
          <cell r="P208">
            <v>11224670.52</v>
          </cell>
          <cell r="Q208">
            <v>4476196.0999999996</v>
          </cell>
          <cell r="R208">
            <v>16058568.16</v>
          </cell>
        </row>
        <row r="209">
          <cell r="M209">
            <v>1312874.52</v>
          </cell>
          <cell r="N209">
            <v>796126</v>
          </cell>
          <cell r="O209">
            <v>2169632</v>
          </cell>
          <cell r="P209">
            <v>11289282.52</v>
          </cell>
          <cell r="Q209">
            <v>4514157.0999999996</v>
          </cell>
          <cell r="R209">
            <v>16165271.16</v>
          </cell>
        </row>
        <row r="210">
          <cell r="M210">
            <v>1374874.52</v>
          </cell>
          <cell r="N210">
            <v>832486</v>
          </cell>
          <cell r="O210">
            <v>2272132</v>
          </cell>
          <cell r="P210">
            <v>11351282.52</v>
          </cell>
          <cell r="Q210">
            <v>4550517.0999999996</v>
          </cell>
          <cell r="R210">
            <v>16267771.16</v>
          </cell>
        </row>
        <row r="211">
          <cell r="M211">
            <v>1430495.52</v>
          </cell>
          <cell r="N211">
            <v>870393</v>
          </cell>
          <cell r="O211">
            <v>2369004</v>
          </cell>
          <cell r="P211">
            <v>11406903.52</v>
          </cell>
          <cell r="Q211">
            <v>4588424.0999999996</v>
          </cell>
          <cell r="R211">
            <v>16364643.16</v>
          </cell>
        </row>
        <row r="212">
          <cell r="M212">
            <v>1487049.52</v>
          </cell>
          <cell r="N212">
            <v>907966</v>
          </cell>
          <cell r="O212">
            <v>2465825</v>
          </cell>
          <cell r="P212">
            <v>11463457.52</v>
          </cell>
          <cell r="Q212">
            <v>4625997.0999999996</v>
          </cell>
          <cell r="R212">
            <v>16461464.16</v>
          </cell>
        </row>
        <row r="213">
          <cell r="M213">
            <v>1537834.52</v>
          </cell>
          <cell r="N213">
            <v>945509</v>
          </cell>
          <cell r="O213">
            <v>2556195</v>
          </cell>
          <cell r="P213">
            <v>11514242.52</v>
          </cell>
          <cell r="Q213">
            <v>4663540.0999999996</v>
          </cell>
          <cell r="R213">
            <v>16551834.16</v>
          </cell>
        </row>
        <row r="214">
          <cell r="M214">
            <v>1592602.52</v>
          </cell>
          <cell r="N214">
            <v>983701</v>
          </cell>
          <cell r="O214">
            <v>2652135</v>
          </cell>
          <cell r="P214">
            <v>11569010.52</v>
          </cell>
          <cell r="Q214">
            <v>4701732.0999999996</v>
          </cell>
          <cell r="R214">
            <v>16647774.16</v>
          </cell>
        </row>
        <row r="215">
          <cell r="M215">
            <v>1653100.52</v>
          </cell>
          <cell r="N215">
            <v>1020924</v>
          </cell>
          <cell r="O215">
            <v>2753071</v>
          </cell>
          <cell r="P215">
            <v>11629508.52</v>
          </cell>
          <cell r="Q215">
            <v>4738955.0999999996</v>
          </cell>
          <cell r="R215">
            <v>16748710.16</v>
          </cell>
        </row>
        <row r="216">
          <cell r="M216">
            <v>1719325.52</v>
          </cell>
          <cell r="N216">
            <v>1056173</v>
          </cell>
          <cell r="O216">
            <v>2858171</v>
          </cell>
          <cell r="P216">
            <v>11695733.52</v>
          </cell>
          <cell r="Q216">
            <v>4774204.0999999996</v>
          </cell>
          <cell r="R216">
            <v>16853810.16</v>
          </cell>
        </row>
        <row r="217">
          <cell r="M217">
            <v>1785255.52</v>
          </cell>
          <cell r="N217">
            <v>1090543</v>
          </cell>
          <cell r="O217">
            <v>2962437</v>
          </cell>
          <cell r="P217">
            <v>11761663.52</v>
          </cell>
          <cell r="Q217">
            <v>4808574.0999999996</v>
          </cell>
          <cell r="R217">
            <v>16958076.16</v>
          </cell>
        </row>
        <row r="218">
          <cell r="M218">
            <v>56413</v>
          </cell>
          <cell r="N218">
            <v>34245</v>
          </cell>
          <cell r="O218">
            <v>93059</v>
          </cell>
          <cell r="P218">
            <v>11818076.52</v>
          </cell>
          <cell r="Q218">
            <v>4842819.0999999996</v>
          </cell>
          <cell r="R218">
            <v>17051135.16</v>
          </cell>
        </row>
        <row r="219">
          <cell r="M219">
            <v>110297</v>
          </cell>
          <cell r="N219">
            <v>68582</v>
          </cell>
          <cell r="O219">
            <v>183084</v>
          </cell>
          <cell r="P219">
            <v>11871960.52</v>
          </cell>
          <cell r="Q219">
            <v>4877156.0999999996</v>
          </cell>
          <cell r="R219">
            <v>17141160.16</v>
          </cell>
        </row>
        <row r="220">
          <cell r="M220">
            <v>169187</v>
          </cell>
          <cell r="N220">
            <v>101436</v>
          </cell>
          <cell r="O220">
            <v>276990</v>
          </cell>
          <cell r="P220">
            <v>11930850.52</v>
          </cell>
          <cell r="Q220">
            <v>4910010.0999999996</v>
          </cell>
          <cell r="R220">
            <v>17235066.16</v>
          </cell>
        </row>
        <row r="221">
          <cell r="M221">
            <v>240344</v>
          </cell>
          <cell r="N221">
            <v>133453</v>
          </cell>
          <cell r="O221">
            <v>383296</v>
          </cell>
          <cell r="P221">
            <v>12002007.52</v>
          </cell>
          <cell r="Q221">
            <v>4942027.0999999996</v>
          </cell>
          <cell r="R221">
            <v>17341372.16</v>
          </cell>
        </row>
        <row r="222">
          <cell r="M222">
            <v>313766</v>
          </cell>
          <cell r="N222">
            <v>168266</v>
          </cell>
          <cell r="O222">
            <v>493950</v>
          </cell>
          <cell r="P222">
            <v>12075429.52</v>
          </cell>
          <cell r="Q222">
            <v>4976840.0999999996</v>
          </cell>
          <cell r="R222">
            <v>17452026.16</v>
          </cell>
        </row>
        <row r="223">
          <cell r="M223">
            <v>386154</v>
          </cell>
          <cell r="N223">
            <v>207164</v>
          </cell>
          <cell r="O223">
            <v>607471</v>
          </cell>
          <cell r="P223">
            <v>12147817.52</v>
          </cell>
          <cell r="Q223">
            <v>5015738.0999999996</v>
          </cell>
          <cell r="R223">
            <v>17565547.16</v>
          </cell>
        </row>
        <row r="224">
          <cell r="M224">
            <v>457271</v>
          </cell>
          <cell r="N224">
            <v>243411</v>
          </cell>
          <cell r="O224">
            <v>716557</v>
          </cell>
          <cell r="P224">
            <v>12218934.52</v>
          </cell>
          <cell r="Q224">
            <v>5051985.0999999996</v>
          </cell>
          <cell r="R224">
            <v>17674633.16</v>
          </cell>
        </row>
        <row r="225">
          <cell r="M225">
            <v>519728</v>
          </cell>
          <cell r="N225">
            <v>280740</v>
          </cell>
          <cell r="O225">
            <v>818282</v>
          </cell>
          <cell r="P225">
            <v>12281391.52</v>
          </cell>
          <cell r="Q225">
            <v>5089314.0999999996</v>
          </cell>
          <cell r="R225">
            <v>17776358.16</v>
          </cell>
        </row>
        <row r="226">
          <cell r="M226">
            <v>581497</v>
          </cell>
          <cell r="N226">
            <v>314498</v>
          </cell>
          <cell r="O226">
            <v>915872</v>
          </cell>
          <cell r="P226">
            <v>12343160.52</v>
          </cell>
          <cell r="Q226">
            <v>5123072.0999999996</v>
          </cell>
          <cell r="R226">
            <v>17873948.16</v>
          </cell>
        </row>
        <row r="227">
          <cell r="M227">
            <v>635790</v>
          </cell>
          <cell r="N227">
            <v>348841</v>
          </cell>
          <cell r="O227">
            <v>1005807</v>
          </cell>
          <cell r="P227">
            <v>12397453.52</v>
          </cell>
          <cell r="Q227">
            <v>5157415.0999999996</v>
          </cell>
          <cell r="R227">
            <v>17963883.16</v>
          </cell>
        </row>
        <row r="228">
          <cell r="M228">
            <v>690177</v>
          </cell>
          <cell r="N228">
            <v>385287</v>
          </cell>
          <cell r="O228">
            <v>1098083</v>
          </cell>
          <cell r="P228">
            <v>12451840.52</v>
          </cell>
          <cell r="Q228">
            <v>5193861.0999999996</v>
          </cell>
          <cell r="R228">
            <v>18056159.16</v>
          </cell>
        </row>
        <row r="229">
          <cell r="M229">
            <v>739991</v>
          </cell>
          <cell r="N229">
            <v>423270</v>
          </cell>
          <cell r="O229">
            <v>1187093</v>
          </cell>
          <cell r="P229">
            <v>12501654.52</v>
          </cell>
          <cell r="Q229">
            <v>5231844.0999999996</v>
          </cell>
          <cell r="R229">
            <v>18145169.16</v>
          </cell>
        </row>
        <row r="230">
          <cell r="M230">
            <v>792364</v>
          </cell>
          <cell r="N230">
            <v>461417</v>
          </cell>
          <cell r="O230">
            <v>1279425</v>
          </cell>
          <cell r="P230">
            <v>12554027.52</v>
          </cell>
          <cell r="Q230">
            <v>5269991.0999999996</v>
          </cell>
          <cell r="R230">
            <v>18237501.16</v>
          </cell>
        </row>
        <row r="231">
          <cell r="M231">
            <v>842950</v>
          </cell>
          <cell r="N231">
            <v>498511</v>
          </cell>
          <cell r="O231">
            <v>1369409</v>
          </cell>
          <cell r="P231">
            <v>12604613.52</v>
          </cell>
          <cell r="Q231">
            <v>5307085.0999999996</v>
          </cell>
          <cell r="R231">
            <v>18327485.16</v>
          </cell>
        </row>
        <row r="232">
          <cell r="M232">
            <v>890218</v>
          </cell>
          <cell r="N232">
            <v>536158</v>
          </cell>
          <cell r="O232">
            <v>1456609</v>
          </cell>
          <cell r="P232">
            <v>12651881.52</v>
          </cell>
          <cell r="Q232">
            <v>5344732.0999999996</v>
          </cell>
          <cell r="R232">
            <v>18414685.16</v>
          </cell>
        </row>
        <row r="233">
          <cell r="M233">
            <v>934888</v>
          </cell>
          <cell r="N233">
            <v>573130</v>
          </cell>
          <cell r="O233">
            <v>1540921</v>
          </cell>
          <cell r="P233">
            <v>12696551.52</v>
          </cell>
          <cell r="Q233">
            <v>5381704.0999999996</v>
          </cell>
          <cell r="R233">
            <v>18498997.16</v>
          </cell>
        </row>
        <row r="234">
          <cell r="M234">
            <v>973026</v>
          </cell>
          <cell r="N234">
            <v>610129</v>
          </cell>
          <cell r="O234">
            <v>1618749</v>
          </cell>
          <cell r="P234">
            <v>12734689.52</v>
          </cell>
          <cell r="Q234">
            <v>5418703.0999999996</v>
          </cell>
          <cell r="R234">
            <v>18576825.16</v>
          </cell>
        </row>
        <row r="235">
          <cell r="M235">
            <v>1013819</v>
          </cell>
          <cell r="N235">
            <v>647604</v>
          </cell>
          <cell r="O235">
            <v>1700664</v>
          </cell>
          <cell r="P235">
            <v>12775482.52</v>
          </cell>
          <cell r="Q235">
            <v>5456178.0999999996</v>
          </cell>
          <cell r="R235">
            <v>18658740.16</v>
          </cell>
        </row>
        <row r="236">
          <cell r="M236">
            <v>1052268</v>
          </cell>
          <cell r="N236">
            <v>684920</v>
          </cell>
          <cell r="O236">
            <v>1780484</v>
          </cell>
          <cell r="P236">
            <v>12813931.52</v>
          </cell>
          <cell r="Q236">
            <v>5493494.0999999996</v>
          </cell>
          <cell r="R236">
            <v>18738560.16</v>
          </cell>
        </row>
        <row r="237">
          <cell r="M237">
            <v>1090690</v>
          </cell>
          <cell r="N237">
            <v>721178</v>
          </cell>
          <cell r="O237">
            <v>1859014</v>
          </cell>
          <cell r="P237">
            <v>12852499</v>
          </cell>
          <cell r="Q237">
            <v>5529752.0999999996</v>
          </cell>
          <cell r="R237">
            <v>18817090.16</v>
          </cell>
        </row>
        <row r="238">
          <cell r="M238">
            <v>1130237</v>
          </cell>
          <cell r="N238">
            <v>758846</v>
          </cell>
          <cell r="O238">
            <v>1940772</v>
          </cell>
          <cell r="P238">
            <v>12891900.52</v>
          </cell>
          <cell r="Q238">
            <v>5567420.0999999996</v>
          </cell>
          <cell r="R238">
            <v>18898848.16</v>
          </cell>
        </row>
        <row r="239">
          <cell r="M239">
            <v>1174068</v>
          </cell>
          <cell r="N239">
            <v>796956</v>
          </cell>
          <cell r="O239">
            <v>2027333</v>
          </cell>
          <cell r="P239">
            <v>12935731.52</v>
          </cell>
          <cell r="Q239">
            <v>5605530.0999999996</v>
          </cell>
          <cell r="R239">
            <v>18985409.16</v>
          </cell>
        </row>
        <row r="240">
          <cell r="M240">
            <v>1220445</v>
          </cell>
          <cell r="N240">
            <v>834581</v>
          </cell>
          <cell r="O240">
            <v>2116070</v>
          </cell>
          <cell r="P240">
            <v>12982108.52</v>
          </cell>
          <cell r="Q240">
            <v>5643155.0999999996</v>
          </cell>
          <cell r="R240">
            <v>19074146.16</v>
          </cell>
        </row>
        <row r="241">
          <cell r="M241">
            <v>1268023</v>
          </cell>
          <cell r="N241">
            <v>870738</v>
          </cell>
          <cell r="O241">
            <v>2204503</v>
          </cell>
          <cell r="P241">
            <v>13029686.52</v>
          </cell>
          <cell r="Q241">
            <v>5679312.0999999996</v>
          </cell>
          <cell r="R241">
            <v>19162579.16</v>
          </cell>
        </row>
        <row r="242">
          <cell r="M242">
            <v>1317737</v>
          </cell>
          <cell r="N242">
            <v>908175</v>
          </cell>
          <cell r="O242">
            <v>2296290</v>
          </cell>
          <cell r="P242">
            <v>13079400.52</v>
          </cell>
          <cell r="Q242">
            <v>5716749.0999999996</v>
          </cell>
          <cell r="R242">
            <v>19254366.16</v>
          </cell>
        </row>
        <row r="243">
          <cell r="M243">
            <v>1363919</v>
          </cell>
          <cell r="N243">
            <v>947053</v>
          </cell>
          <cell r="O243">
            <v>2385994</v>
          </cell>
          <cell r="P243">
            <v>13125582.52</v>
          </cell>
          <cell r="Q243">
            <v>5755627.0999999996</v>
          </cell>
          <cell r="R243">
            <v>19344070.16</v>
          </cell>
        </row>
        <row r="244">
          <cell r="M244">
            <v>1410945</v>
          </cell>
          <cell r="N244">
            <v>985506</v>
          </cell>
          <cell r="O244">
            <v>2474851</v>
          </cell>
          <cell r="P244">
            <v>13172608.52</v>
          </cell>
          <cell r="Q244">
            <v>5794080.0999999996</v>
          </cell>
          <cell r="R244">
            <v>19432927.16</v>
          </cell>
        </row>
        <row r="245">
          <cell r="M245">
            <v>1460470</v>
          </cell>
          <cell r="N245">
            <v>1023778</v>
          </cell>
          <cell r="O245">
            <v>2568076</v>
          </cell>
          <cell r="P245">
            <v>13222133.52</v>
          </cell>
          <cell r="Q245">
            <v>5832352.0999999996</v>
          </cell>
          <cell r="R245">
            <v>19526152.16</v>
          </cell>
        </row>
        <row r="246">
          <cell r="M246">
            <v>1509992</v>
          </cell>
          <cell r="N246">
            <v>1062493</v>
          </cell>
          <cell r="O246">
            <v>2660708</v>
          </cell>
          <cell r="P246">
            <v>13271655.52</v>
          </cell>
          <cell r="Q246">
            <v>5871067.0999999996</v>
          </cell>
          <cell r="R246">
            <v>19618784.16</v>
          </cell>
        </row>
        <row r="247">
          <cell r="M247">
            <v>1556203</v>
          </cell>
          <cell r="N247">
            <v>1100794</v>
          </cell>
          <cell r="O247">
            <v>2749256</v>
          </cell>
          <cell r="P247">
            <v>13317866.52</v>
          </cell>
          <cell r="Q247">
            <v>5909368.0999999996</v>
          </cell>
          <cell r="R247">
            <v>19707332.16</v>
          </cell>
        </row>
        <row r="248">
          <cell r="M248">
            <v>1600311</v>
          </cell>
          <cell r="N248">
            <v>1137133</v>
          </cell>
          <cell r="O248">
            <v>2833871</v>
          </cell>
          <cell r="P248">
            <v>13361974.52</v>
          </cell>
          <cell r="Q248">
            <v>5945707.0999999996</v>
          </cell>
          <cell r="R248">
            <v>19791947.16</v>
          </cell>
        </row>
        <row r="249">
          <cell r="M249">
            <v>46043</v>
          </cell>
          <cell r="N249">
            <v>38763</v>
          </cell>
          <cell r="O249">
            <v>87980</v>
          </cell>
          <cell r="P249">
            <v>13408017.52</v>
          </cell>
          <cell r="Q249">
            <v>5984470.0999999996</v>
          </cell>
          <cell r="R249">
            <v>19879927.16</v>
          </cell>
        </row>
        <row r="250">
          <cell r="M250">
            <v>97313</v>
          </cell>
          <cell r="N250">
            <v>77830</v>
          </cell>
          <cell r="O250">
            <v>181392</v>
          </cell>
          <cell r="P250">
            <v>13459287.52</v>
          </cell>
          <cell r="Q250">
            <v>6023537.0999999996</v>
          </cell>
          <cell r="R250">
            <v>19973339.16</v>
          </cell>
        </row>
        <row r="251">
          <cell r="M251">
            <v>143443</v>
          </cell>
          <cell r="N251">
            <v>116962</v>
          </cell>
          <cell r="O251">
            <v>269390</v>
          </cell>
          <cell r="P251">
            <v>13505417.52</v>
          </cell>
          <cell r="Q251">
            <v>6062669.0999999996</v>
          </cell>
          <cell r="R251">
            <v>20061337.16</v>
          </cell>
        </row>
        <row r="252">
          <cell r="M252">
            <v>190089</v>
          </cell>
          <cell r="N252">
            <v>156424</v>
          </cell>
          <cell r="O252">
            <v>357673</v>
          </cell>
          <cell r="P252">
            <v>13552063.52</v>
          </cell>
          <cell r="Q252">
            <v>6102131.0999999996</v>
          </cell>
          <cell r="R252">
            <v>20149620.16</v>
          </cell>
        </row>
        <row r="253">
          <cell r="M253">
            <v>239879</v>
          </cell>
          <cell r="N253">
            <v>195733</v>
          </cell>
          <cell r="O253">
            <v>447997</v>
          </cell>
          <cell r="P253">
            <v>13601853.52</v>
          </cell>
          <cell r="Q253">
            <v>6141440.0999999996</v>
          </cell>
          <cell r="R253">
            <v>20239944.16</v>
          </cell>
        </row>
        <row r="254">
          <cell r="M254">
            <v>290747</v>
          </cell>
          <cell r="N254">
            <v>234129</v>
          </cell>
          <cell r="O254">
            <v>538872</v>
          </cell>
          <cell r="P254">
            <v>13652721.52</v>
          </cell>
          <cell r="Q254">
            <v>6179836.0999999996</v>
          </cell>
          <cell r="R254">
            <v>20330819.16</v>
          </cell>
        </row>
        <row r="255">
          <cell r="M255">
            <v>335513</v>
          </cell>
          <cell r="N255">
            <v>271535</v>
          </cell>
          <cell r="O255">
            <v>622910</v>
          </cell>
          <cell r="P255">
            <v>13697487.52</v>
          </cell>
          <cell r="Q255">
            <v>6217242.0999999996</v>
          </cell>
          <cell r="R255">
            <v>20414857.16</v>
          </cell>
        </row>
        <row r="256">
          <cell r="M256">
            <v>366045</v>
          </cell>
          <cell r="N256">
            <v>307085</v>
          </cell>
          <cell r="O256">
            <v>689982</v>
          </cell>
          <cell r="P256">
            <v>13728019.52</v>
          </cell>
          <cell r="Q256">
            <v>6252792.0999999996</v>
          </cell>
          <cell r="R256">
            <v>20481929.16</v>
          </cell>
        </row>
        <row r="257">
          <cell r="M257">
            <v>413872</v>
          </cell>
          <cell r="N257">
            <v>342341</v>
          </cell>
          <cell r="O257">
            <v>775503</v>
          </cell>
          <cell r="P257">
            <v>13775846.52</v>
          </cell>
          <cell r="Q257">
            <v>6288048.0999999996</v>
          </cell>
          <cell r="R257">
            <v>20567450.16</v>
          </cell>
        </row>
        <row r="258">
          <cell r="M258">
            <v>464796</v>
          </cell>
          <cell r="N258">
            <v>381365</v>
          </cell>
          <cell r="O258">
            <v>867106</v>
          </cell>
          <cell r="P258">
            <v>13826770.52</v>
          </cell>
          <cell r="Q258">
            <v>6327072.0999999996</v>
          </cell>
          <cell r="R258">
            <v>20659053.16</v>
          </cell>
        </row>
        <row r="259">
          <cell r="M259">
            <v>513262</v>
          </cell>
          <cell r="N259">
            <v>420540</v>
          </cell>
          <cell r="O259">
            <v>956663</v>
          </cell>
          <cell r="P259">
            <v>13875236.52</v>
          </cell>
          <cell r="Q259">
            <v>6366247.0999999996</v>
          </cell>
          <cell r="R259">
            <v>20748610.16</v>
          </cell>
        </row>
        <row r="260">
          <cell r="M260">
            <v>566271</v>
          </cell>
          <cell r="N260">
            <v>459207</v>
          </cell>
          <cell r="O260">
            <v>1050213</v>
          </cell>
          <cell r="P260">
            <v>13928245.52</v>
          </cell>
          <cell r="Q260">
            <v>6404914.0999999996</v>
          </cell>
          <cell r="R260">
            <v>20842160.16</v>
          </cell>
        </row>
        <row r="261">
          <cell r="M261">
            <v>617351</v>
          </cell>
          <cell r="N261">
            <v>496657</v>
          </cell>
          <cell r="O261">
            <v>1140280</v>
          </cell>
          <cell r="P261">
            <v>13979325.52</v>
          </cell>
          <cell r="Q261">
            <v>6442364.0999999996</v>
          </cell>
          <cell r="R261">
            <v>20932227.16</v>
          </cell>
        </row>
        <row r="262">
          <cell r="M262">
            <v>663118</v>
          </cell>
          <cell r="N262">
            <v>533847</v>
          </cell>
          <cell r="O262">
            <v>1224664</v>
          </cell>
          <cell r="P262">
            <v>14025092.52</v>
          </cell>
          <cell r="Q262">
            <v>6479554.0999999996</v>
          </cell>
          <cell r="R262">
            <v>21016611.16</v>
          </cell>
        </row>
        <row r="263">
          <cell r="M263">
            <v>712535</v>
          </cell>
          <cell r="N263">
            <v>571685</v>
          </cell>
          <cell r="O263">
            <v>1313205</v>
          </cell>
          <cell r="P263">
            <v>14074509.52</v>
          </cell>
          <cell r="Q263">
            <v>6517392.0999999996</v>
          </cell>
          <cell r="R263">
            <v>21105152.16</v>
          </cell>
        </row>
        <row r="264">
          <cell r="M264">
            <v>761726</v>
          </cell>
          <cell r="N264">
            <v>608723</v>
          </cell>
          <cell r="O264">
            <v>1401643</v>
          </cell>
          <cell r="P264">
            <v>14123700.52</v>
          </cell>
          <cell r="Q264">
            <v>6554430.0999999996</v>
          </cell>
          <cell r="R264">
            <v>21193590.16</v>
          </cell>
        </row>
        <row r="265">
          <cell r="M265">
            <v>815023</v>
          </cell>
          <cell r="N265">
            <v>646497</v>
          </cell>
          <cell r="O265">
            <v>1494261</v>
          </cell>
          <cell r="P265">
            <v>14176997.52</v>
          </cell>
          <cell r="Q265">
            <v>6592204.0999999996</v>
          </cell>
          <cell r="R265">
            <v>21286208.16</v>
          </cell>
        </row>
        <row r="266">
          <cell r="M266">
            <v>865798</v>
          </cell>
          <cell r="N266">
            <v>684293</v>
          </cell>
          <cell r="O266">
            <v>1584884</v>
          </cell>
          <cell r="P266">
            <v>14227772.52</v>
          </cell>
          <cell r="Q266">
            <v>6630000.0999999996</v>
          </cell>
          <cell r="R266">
            <v>21376831.16</v>
          </cell>
        </row>
        <row r="267">
          <cell r="M267">
            <v>908862</v>
          </cell>
          <cell r="N267">
            <v>723144</v>
          </cell>
          <cell r="O267">
            <v>1669078</v>
          </cell>
          <cell r="P267">
            <v>14270836.52</v>
          </cell>
          <cell r="Q267">
            <v>6668851.0999999996</v>
          </cell>
          <cell r="R267">
            <v>21461025.16</v>
          </cell>
        </row>
        <row r="268">
          <cell r="M268">
            <v>950260</v>
          </cell>
          <cell r="N268">
            <v>761088</v>
          </cell>
          <cell r="O268">
            <v>1750689</v>
          </cell>
          <cell r="P268">
            <v>14312234.52</v>
          </cell>
          <cell r="Q268">
            <v>6706795.0999999996</v>
          </cell>
          <cell r="R268">
            <v>21542636.16</v>
          </cell>
        </row>
        <row r="269">
          <cell r="M269">
            <v>985305</v>
          </cell>
          <cell r="N269">
            <v>798153</v>
          </cell>
          <cell r="O269">
            <v>1826033</v>
          </cell>
          <cell r="P269">
            <v>14347279.52</v>
          </cell>
          <cell r="Q269">
            <v>6743860.0999999996</v>
          </cell>
          <cell r="R269">
            <v>21617980.16</v>
          </cell>
        </row>
        <row r="270">
          <cell r="M270">
            <v>1024317</v>
          </cell>
          <cell r="N270">
            <v>832328</v>
          </cell>
          <cell r="O270">
            <v>1902881</v>
          </cell>
          <cell r="P270">
            <v>14386291.52</v>
          </cell>
          <cell r="Q270">
            <v>6778035.0999999996</v>
          </cell>
          <cell r="R270">
            <v>21694828.16</v>
          </cell>
        </row>
        <row r="271">
          <cell r="M271">
            <v>1065387</v>
          </cell>
          <cell r="N271">
            <v>868761</v>
          </cell>
          <cell r="O271">
            <v>1983461</v>
          </cell>
          <cell r="P271">
            <v>14427361.52</v>
          </cell>
          <cell r="Q271">
            <v>6814468.0999999996</v>
          </cell>
          <cell r="R271">
            <v>21775408.16</v>
          </cell>
        </row>
        <row r="272">
          <cell r="M272">
            <v>1110815</v>
          </cell>
          <cell r="N272">
            <v>906333</v>
          </cell>
          <cell r="O272">
            <v>2068323</v>
          </cell>
          <cell r="P272">
            <v>14472789.52</v>
          </cell>
          <cell r="Q272">
            <v>6852040.0999999996</v>
          </cell>
          <cell r="R272">
            <v>21860270.16</v>
          </cell>
        </row>
        <row r="273">
          <cell r="M273">
            <v>1155391</v>
          </cell>
          <cell r="N273">
            <v>944776</v>
          </cell>
          <cell r="O273">
            <v>2153178</v>
          </cell>
          <cell r="P273">
            <v>14517365.52</v>
          </cell>
          <cell r="Q273">
            <v>6890483.0999999996</v>
          </cell>
          <cell r="R273">
            <v>21945125.16</v>
          </cell>
        </row>
        <row r="274">
          <cell r="M274">
            <v>1201756</v>
          </cell>
          <cell r="N274">
            <v>983434</v>
          </cell>
          <cell r="O274">
            <v>2239509</v>
          </cell>
          <cell r="P274">
            <v>14563730.52</v>
          </cell>
          <cell r="Q274">
            <v>6929141.0999999996</v>
          </cell>
          <cell r="R274">
            <v>22031456.16</v>
          </cell>
        </row>
        <row r="275">
          <cell r="M275">
            <v>1250668</v>
          </cell>
          <cell r="N275">
            <v>1021586</v>
          </cell>
          <cell r="O275">
            <v>2328225</v>
          </cell>
          <cell r="P275">
            <v>14612642.52</v>
          </cell>
          <cell r="Q275">
            <v>6967293.0999999996</v>
          </cell>
          <cell r="R275">
            <v>22120172.16</v>
          </cell>
        </row>
        <row r="276">
          <cell r="M276">
            <v>1300837</v>
          </cell>
          <cell r="N276">
            <v>1059841</v>
          </cell>
          <cell r="O276">
            <v>2418410</v>
          </cell>
          <cell r="P276">
            <v>14662811.52</v>
          </cell>
          <cell r="Q276">
            <v>7005548.0999999996</v>
          </cell>
          <cell r="R276">
            <v>22210357.16</v>
          </cell>
        </row>
        <row r="277">
          <cell r="M277">
            <v>1352324</v>
          </cell>
          <cell r="N277">
            <v>1098483</v>
          </cell>
          <cell r="O277">
            <v>2510461</v>
          </cell>
          <cell r="P277">
            <v>14714298.52</v>
          </cell>
          <cell r="Q277">
            <v>7044190.0999999996</v>
          </cell>
          <cell r="R277">
            <v>22302408.16</v>
          </cell>
        </row>
        <row r="278">
          <cell r="M278">
            <v>1395042.17</v>
          </cell>
          <cell r="N278">
            <v>1134665.3999999999</v>
          </cell>
          <cell r="O278">
            <v>2590631.5699999998</v>
          </cell>
          <cell r="P278">
            <v>14757016.689999999</v>
          </cell>
          <cell r="Q278">
            <v>7080372.5</v>
          </cell>
          <cell r="R278">
            <v>22382578.73</v>
          </cell>
        </row>
        <row r="279">
          <cell r="M279">
            <v>26675</v>
          </cell>
          <cell r="N279">
            <v>26314</v>
          </cell>
          <cell r="O279">
            <v>54188</v>
          </cell>
          <cell r="P279">
            <v>14783691.689999999</v>
          </cell>
          <cell r="Q279">
            <v>7106686.5</v>
          </cell>
          <cell r="R279">
            <v>22436766.73</v>
          </cell>
        </row>
        <row r="280">
          <cell r="M280">
            <v>56509</v>
          </cell>
          <cell r="N280">
            <v>50855</v>
          </cell>
          <cell r="O280">
            <v>109578</v>
          </cell>
          <cell r="P280">
            <v>14813525.689999999</v>
          </cell>
          <cell r="Q280">
            <v>7131227.5</v>
          </cell>
          <cell r="R280">
            <v>22492156.73</v>
          </cell>
        </row>
        <row r="281">
          <cell r="M281">
            <v>94472</v>
          </cell>
          <cell r="N281">
            <v>76553</v>
          </cell>
          <cell r="O281">
            <v>174602</v>
          </cell>
          <cell r="P281">
            <v>14851488.689999999</v>
          </cell>
          <cell r="Q281">
            <v>7156925.5</v>
          </cell>
          <cell r="R281">
            <v>22557180.73</v>
          </cell>
        </row>
        <row r="282">
          <cell r="M282">
            <v>136727</v>
          </cell>
          <cell r="N282">
            <v>105394</v>
          </cell>
          <cell r="O282">
            <v>247523</v>
          </cell>
          <cell r="P282">
            <v>14893743.689999999</v>
          </cell>
          <cell r="Q282">
            <v>7185766.5</v>
          </cell>
          <cell r="R282">
            <v>22630101.73</v>
          </cell>
        </row>
        <row r="283">
          <cell r="M283">
            <v>183332</v>
          </cell>
          <cell r="N283">
            <v>134003</v>
          </cell>
          <cell r="O283">
            <v>324242</v>
          </cell>
          <cell r="P283">
            <v>14940348.689999999</v>
          </cell>
          <cell r="Q283">
            <v>7214375.5</v>
          </cell>
          <cell r="R283">
            <v>22706820.73</v>
          </cell>
        </row>
        <row r="284">
          <cell r="M284">
            <v>232477</v>
          </cell>
          <cell r="N284">
            <v>162511</v>
          </cell>
          <cell r="O284">
            <v>403722</v>
          </cell>
          <cell r="P284">
            <v>14989493.689999999</v>
          </cell>
          <cell r="Q284">
            <v>7242883.5</v>
          </cell>
          <cell r="R284">
            <v>22786300.73</v>
          </cell>
        </row>
        <row r="285">
          <cell r="M285">
            <v>285270</v>
          </cell>
          <cell r="N285">
            <v>188990</v>
          </cell>
          <cell r="O285">
            <v>484341</v>
          </cell>
          <cell r="P285">
            <v>15042286.689999999</v>
          </cell>
          <cell r="Q285">
            <v>7269362.5</v>
          </cell>
          <cell r="R285">
            <v>22866919.73</v>
          </cell>
        </row>
        <row r="286">
          <cell r="M286">
            <v>338909</v>
          </cell>
          <cell r="N286">
            <v>216755</v>
          </cell>
          <cell r="O286">
            <v>567119</v>
          </cell>
          <cell r="P286">
            <v>15095925.689999999</v>
          </cell>
          <cell r="Q286">
            <v>7297127.5</v>
          </cell>
          <cell r="R286">
            <v>22949697.73</v>
          </cell>
        </row>
        <row r="287">
          <cell r="M287">
            <v>392248</v>
          </cell>
          <cell r="N287">
            <v>245956</v>
          </cell>
          <cell r="O287">
            <v>650852</v>
          </cell>
          <cell r="P287">
            <v>15149264.689999999</v>
          </cell>
          <cell r="Q287">
            <v>7326328.5</v>
          </cell>
          <cell r="R287">
            <v>23033430.73</v>
          </cell>
        </row>
        <row r="288">
          <cell r="M288">
            <v>444944</v>
          </cell>
          <cell r="N288">
            <v>276570</v>
          </cell>
          <cell r="O288">
            <v>735259</v>
          </cell>
          <cell r="P288">
            <v>15201960.689999999</v>
          </cell>
          <cell r="Q288">
            <v>7356942.5</v>
          </cell>
          <cell r="R288">
            <v>23117837.73</v>
          </cell>
        </row>
        <row r="289">
          <cell r="M289">
            <v>499476</v>
          </cell>
          <cell r="N289">
            <v>305202</v>
          </cell>
          <cell r="O289">
            <v>819570</v>
          </cell>
          <cell r="P289">
            <v>15256492.689999999</v>
          </cell>
          <cell r="Q289">
            <v>7385574.5</v>
          </cell>
          <cell r="R289">
            <v>23202148.73</v>
          </cell>
        </row>
        <row r="290">
          <cell r="M290">
            <v>549060</v>
          </cell>
          <cell r="N290">
            <v>334420</v>
          </cell>
          <cell r="O290">
            <v>899510</v>
          </cell>
          <cell r="P290">
            <v>15306076.689999999</v>
          </cell>
          <cell r="Q290">
            <v>7414792.5</v>
          </cell>
          <cell r="R290">
            <v>23282088.73</v>
          </cell>
        </row>
        <row r="291">
          <cell r="M291">
            <v>602281</v>
          </cell>
          <cell r="N291">
            <v>362804</v>
          </cell>
          <cell r="O291">
            <v>982296</v>
          </cell>
          <cell r="P291">
            <v>15359297.689999999</v>
          </cell>
          <cell r="Q291">
            <v>7443176.5</v>
          </cell>
          <cell r="R291">
            <v>23364874.73</v>
          </cell>
        </row>
        <row r="292">
          <cell r="M292">
            <v>661564</v>
          </cell>
          <cell r="N292">
            <v>386193</v>
          </cell>
          <cell r="O292">
            <v>1066292</v>
          </cell>
          <cell r="P292">
            <v>15418580.689999999</v>
          </cell>
          <cell r="Q292">
            <v>7466565.5</v>
          </cell>
          <cell r="R292">
            <v>23448870.73</v>
          </cell>
        </row>
        <row r="293">
          <cell r="M293">
            <v>722028</v>
          </cell>
          <cell r="N293">
            <v>409464</v>
          </cell>
          <cell r="O293">
            <v>1151036</v>
          </cell>
          <cell r="P293">
            <v>15479044.689999999</v>
          </cell>
          <cell r="Q293">
            <v>7489836.5</v>
          </cell>
          <cell r="R293">
            <v>23533614.73</v>
          </cell>
        </row>
        <row r="294">
          <cell r="M294">
            <v>782690</v>
          </cell>
          <cell r="N294">
            <v>432689</v>
          </cell>
          <cell r="O294">
            <v>1235835</v>
          </cell>
          <cell r="P294">
            <v>15539706.689999999</v>
          </cell>
          <cell r="Q294">
            <v>7513061.5</v>
          </cell>
          <cell r="R294">
            <v>23618413.73</v>
          </cell>
        </row>
        <row r="295">
          <cell r="M295">
            <v>843360</v>
          </cell>
          <cell r="N295">
            <v>455989</v>
          </cell>
          <cell r="O295">
            <v>1320835</v>
          </cell>
          <cell r="P295">
            <v>15600376.689999999</v>
          </cell>
          <cell r="Q295">
            <v>7536361.5</v>
          </cell>
          <cell r="R295">
            <v>23703413.73</v>
          </cell>
        </row>
        <row r="296">
          <cell r="M296">
            <v>902940</v>
          </cell>
          <cell r="N296">
            <v>478989</v>
          </cell>
          <cell r="O296">
            <v>1405335</v>
          </cell>
          <cell r="P296">
            <v>15659956.689999999</v>
          </cell>
          <cell r="Q296">
            <v>7559361.5</v>
          </cell>
          <cell r="R296">
            <v>23787913.73</v>
          </cell>
        </row>
        <row r="297">
          <cell r="M297">
            <v>961656</v>
          </cell>
          <cell r="N297">
            <v>501975</v>
          </cell>
          <cell r="O297">
            <v>1488029</v>
          </cell>
          <cell r="P297">
            <v>15718672.689999999</v>
          </cell>
          <cell r="Q297">
            <v>7582347.5</v>
          </cell>
          <cell r="R297">
            <v>23870607.73</v>
          </cell>
        </row>
        <row r="298">
          <cell r="M298">
            <v>1022879</v>
          </cell>
          <cell r="N298">
            <v>525716</v>
          </cell>
          <cell r="O298">
            <v>1574342</v>
          </cell>
          <cell r="P298">
            <v>15779895.689999999</v>
          </cell>
          <cell r="Q298">
            <v>7606088.5</v>
          </cell>
          <cell r="R298">
            <v>23956920.73</v>
          </cell>
        </row>
        <row r="299">
          <cell r="M299">
            <v>1085805</v>
          </cell>
          <cell r="N299">
            <v>549751</v>
          </cell>
          <cell r="O299">
            <v>1662301</v>
          </cell>
          <cell r="P299">
            <v>15842821.689999999</v>
          </cell>
          <cell r="Q299">
            <v>7630123.5</v>
          </cell>
          <cell r="R299">
            <v>24044879.73</v>
          </cell>
        </row>
        <row r="300">
          <cell r="M300">
            <v>1146991</v>
          </cell>
          <cell r="N300">
            <v>573502</v>
          </cell>
          <cell r="O300">
            <v>1748225</v>
          </cell>
          <cell r="P300">
            <v>15904007.689999999</v>
          </cell>
          <cell r="Q300">
            <v>7653874.5</v>
          </cell>
          <cell r="R300">
            <v>24130803.73</v>
          </cell>
        </row>
        <row r="301">
          <cell r="M301">
            <v>1209115</v>
          </cell>
          <cell r="N301">
            <v>596628</v>
          </cell>
          <cell r="O301">
            <v>1834506</v>
          </cell>
          <cell r="P301">
            <v>15966131.689999999</v>
          </cell>
          <cell r="Q301">
            <v>7677000.5</v>
          </cell>
          <cell r="R301">
            <v>24217084.73</v>
          </cell>
        </row>
        <row r="302">
          <cell r="M302">
            <v>1271729</v>
          </cell>
          <cell r="N302">
            <v>619667</v>
          </cell>
          <cell r="O302">
            <v>1921116</v>
          </cell>
          <cell r="P302">
            <v>16028745.689999999</v>
          </cell>
          <cell r="Q302">
            <v>7700039.5</v>
          </cell>
          <cell r="R302">
            <v>24303694.73</v>
          </cell>
        </row>
        <row r="303">
          <cell r="M303">
            <v>1335087</v>
          </cell>
          <cell r="N303">
            <v>641094</v>
          </cell>
          <cell r="O303">
            <v>2006849</v>
          </cell>
          <cell r="P303">
            <v>16092103.689999999</v>
          </cell>
          <cell r="Q303">
            <v>7721466.5</v>
          </cell>
          <cell r="R303">
            <v>24389427.73</v>
          </cell>
        </row>
        <row r="304">
          <cell r="M304">
            <v>1393993</v>
          </cell>
          <cell r="N304">
            <v>662713</v>
          </cell>
          <cell r="O304">
            <v>2088439</v>
          </cell>
          <cell r="P304">
            <v>16151009.689999999</v>
          </cell>
          <cell r="Q304">
            <v>7743085.5</v>
          </cell>
          <cell r="R304">
            <v>24471017.73</v>
          </cell>
        </row>
        <row r="305">
          <cell r="M305">
            <v>1453773</v>
          </cell>
          <cell r="N305">
            <v>686931</v>
          </cell>
          <cell r="O305">
            <v>2173411</v>
          </cell>
          <cell r="P305">
            <v>16210789.689999999</v>
          </cell>
          <cell r="Q305">
            <v>7767303.5</v>
          </cell>
          <cell r="R305">
            <v>24555989.73</v>
          </cell>
        </row>
        <row r="306">
          <cell r="M306">
            <v>1514094</v>
          </cell>
          <cell r="N306">
            <v>711100</v>
          </cell>
          <cell r="O306">
            <v>2259032</v>
          </cell>
          <cell r="P306">
            <v>16271110.689999999</v>
          </cell>
          <cell r="Q306">
            <v>7791472.5</v>
          </cell>
          <cell r="R306">
            <v>24641610.73</v>
          </cell>
        </row>
        <row r="307">
          <cell r="M307">
            <v>1576483</v>
          </cell>
          <cell r="N307">
            <v>733281</v>
          </cell>
          <cell r="O307">
            <v>2344744</v>
          </cell>
          <cell r="P307">
            <v>16333499.689999999</v>
          </cell>
          <cell r="Q307">
            <v>7813653.5</v>
          </cell>
          <cell r="R307">
            <v>24727322.73</v>
          </cell>
        </row>
        <row r="308">
          <cell r="M308">
            <v>1638397</v>
          </cell>
          <cell r="N308">
            <v>756072</v>
          </cell>
          <cell r="O308">
            <v>2430644</v>
          </cell>
          <cell r="P308">
            <v>16395413.689999999</v>
          </cell>
          <cell r="Q308">
            <v>7836444.5</v>
          </cell>
          <cell r="R308">
            <v>24813222.73</v>
          </cell>
        </row>
        <row r="309">
          <cell r="M309">
            <v>1699066</v>
          </cell>
          <cell r="N309">
            <v>778917</v>
          </cell>
          <cell r="O309">
            <v>2515379</v>
          </cell>
          <cell r="P309">
            <v>16456228</v>
          </cell>
          <cell r="Q309">
            <v>7859289.5</v>
          </cell>
          <cell r="R309">
            <v>24897957.73</v>
          </cell>
        </row>
        <row r="310">
          <cell r="M310">
            <v>53903</v>
          </cell>
          <cell r="N310">
            <v>25479</v>
          </cell>
          <cell r="O310">
            <v>80438</v>
          </cell>
          <cell r="P310">
            <v>16510131</v>
          </cell>
          <cell r="Q310">
            <v>7884768.5</v>
          </cell>
          <cell r="R310">
            <v>24978395.73</v>
          </cell>
        </row>
        <row r="311">
          <cell r="M311">
            <v>104344</v>
          </cell>
          <cell r="N311">
            <v>50383</v>
          </cell>
          <cell r="O311">
            <v>156946</v>
          </cell>
          <cell r="P311">
            <v>16560572</v>
          </cell>
          <cell r="Q311">
            <v>7909672.5</v>
          </cell>
          <cell r="R311">
            <v>25054903.73</v>
          </cell>
        </row>
        <row r="312">
          <cell r="M312">
            <v>160962</v>
          </cell>
          <cell r="N312">
            <v>74895</v>
          </cell>
          <cell r="O312">
            <v>239203</v>
          </cell>
          <cell r="P312">
            <v>16617190</v>
          </cell>
          <cell r="Q312">
            <v>7934184.5</v>
          </cell>
          <cell r="R312">
            <v>25137160.73</v>
          </cell>
        </row>
        <row r="313">
          <cell r="M313">
            <v>224498</v>
          </cell>
          <cell r="N313">
            <v>95327</v>
          </cell>
          <cell r="O313">
            <v>324271</v>
          </cell>
          <cell r="P313">
            <v>16680726</v>
          </cell>
          <cell r="Q313">
            <v>7954616.5</v>
          </cell>
          <cell r="R313">
            <v>25222228.73</v>
          </cell>
        </row>
        <row r="314">
          <cell r="M314">
            <v>288403</v>
          </cell>
          <cell r="N314">
            <v>115489</v>
          </cell>
          <cell r="O314">
            <v>409465</v>
          </cell>
          <cell r="P314">
            <v>16744631</v>
          </cell>
          <cell r="Q314">
            <v>7974778.5</v>
          </cell>
          <cell r="R314">
            <v>25307422.73</v>
          </cell>
        </row>
        <row r="315">
          <cell r="M315">
            <v>352551</v>
          </cell>
          <cell r="N315">
            <v>135848</v>
          </cell>
          <cell r="O315">
            <v>495190</v>
          </cell>
          <cell r="P315">
            <v>16808779</v>
          </cell>
          <cell r="Q315">
            <v>7995137.5</v>
          </cell>
          <cell r="R315">
            <v>25393147.73</v>
          </cell>
        </row>
        <row r="316">
          <cell r="M316">
            <v>416273</v>
          </cell>
          <cell r="N316">
            <v>157017</v>
          </cell>
          <cell r="O316">
            <v>581389</v>
          </cell>
          <cell r="P316">
            <v>16872501</v>
          </cell>
          <cell r="Q316">
            <v>8016306.5</v>
          </cell>
          <cell r="R316">
            <v>25479346.73</v>
          </cell>
        </row>
        <row r="317">
          <cell r="M317">
            <v>480028</v>
          </cell>
          <cell r="N317">
            <v>177519</v>
          </cell>
          <cell r="O317">
            <v>666876</v>
          </cell>
          <cell r="P317">
            <v>16936256</v>
          </cell>
          <cell r="Q317">
            <v>8036808.5</v>
          </cell>
          <cell r="R317">
            <v>25564833.73</v>
          </cell>
        </row>
        <row r="318">
          <cell r="M318">
            <v>540588</v>
          </cell>
          <cell r="N318">
            <v>196290</v>
          </cell>
          <cell r="O318">
            <v>747439</v>
          </cell>
          <cell r="P318">
            <v>16996816</v>
          </cell>
          <cell r="Q318">
            <v>8055579.5</v>
          </cell>
          <cell r="R318">
            <v>25645396.73</v>
          </cell>
        </row>
        <row r="319">
          <cell r="M319">
            <v>605035</v>
          </cell>
          <cell r="N319">
            <v>215932</v>
          </cell>
          <cell r="O319">
            <v>833274</v>
          </cell>
          <cell r="P319">
            <v>17061263.850000001</v>
          </cell>
          <cell r="Q319">
            <v>8075221.5</v>
          </cell>
          <cell r="R319">
            <v>25731231.73</v>
          </cell>
        </row>
        <row r="320">
          <cell r="M320">
            <v>674613</v>
          </cell>
          <cell r="N320">
            <v>231715</v>
          </cell>
          <cell r="O320">
            <v>920553</v>
          </cell>
          <cell r="P320">
            <v>17130841</v>
          </cell>
          <cell r="Q320">
            <v>8091004.5</v>
          </cell>
          <cell r="R320">
            <v>25818510.73</v>
          </cell>
        </row>
        <row r="321">
          <cell r="M321">
            <v>744189</v>
          </cell>
          <cell r="N321">
            <v>247224</v>
          </cell>
          <cell r="O321">
            <v>1007093</v>
          </cell>
          <cell r="P321">
            <v>17200417</v>
          </cell>
          <cell r="Q321">
            <v>8106513.5</v>
          </cell>
          <cell r="R321">
            <v>25905050.73</v>
          </cell>
        </row>
        <row r="322">
          <cell r="M322">
            <v>814366</v>
          </cell>
          <cell r="N322">
            <v>262935</v>
          </cell>
          <cell r="O322">
            <v>1094241</v>
          </cell>
          <cell r="P322">
            <v>17270594</v>
          </cell>
          <cell r="Q322">
            <v>8122224.5</v>
          </cell>
          <cell r="R322">
            <v>25992198.73</v>
          </cell>
        </row>
        <row r="323">
          <cell r="M323">
            <v>885050</v>
          </cell>
          <cell r="N323">
            <v>278881</v>
          </cell>
          <cell r="O323">
            <v>1182127</v>
          </cell>
          <cell r="P323">
            <v>17341278</v>
          </cell>
          <cell r="Q323">
            <v>8138170.5</v>
          </cell>
          <cell r="R323">
            <v>26080084.73</v>
          </cell>
        </row>
        <row r="324">
          <cell r="M324">
            <v>954036</v>
          </cell>
          <cell r="N324">
            <v>294754</v>
          </cell>
          <cell r="O324">
            <v>1267969</v>
          </cell>
          <cell r="P324">
            <v>17410264</v>
          </cell>
          <cell r="Q324">
            <v>8154043.5</v>
          </cell>
          <cell r="R324">
            <v>26165926.73</v>
          </cell>
        </row>
        <row r="325">
          <cell r="M325">
            <v>1019292</v>
          </cell>
          <cell r="N325">
            <v>310366</v>
          </cell>
          <cell r="O325">
            <v>1349750</v>
          </cell>
          <cell r="P325">
            <v>17475520</v>
          </cell>
          <cell r="Q325">
            <v>8169655.5</v>
          </cell>
          <cell r="R325">
            <v>26247707.73</v>
          </cell>
        </row>
        <row r="326">
          <cell r="M326">
            <v>1087738</v>
          </cell>
          <cell r="N326">
            <v>326132</v>
          </cell>
          <cell r="O326">
            <v>1435204</v>
          </cell>
          <cell r="P326">
            <v>17543966</v>
          </cell>
          <cell r="Q326">
            <v>8185421.5</v>
          </cell>
          <cell r="R326">
            <v>26333161.73</v>
          </cell>
        </row>
        <row r="327">
          <cell r="M327">
            <v>1156727</v>
          </cell>
          <cell r="N327">
            <v>343905</v>
          </cell>
          <cell r="O327">
            <v>1522969</v>
          </cell>
          <cell r="P327">
            <v>17612955</v>
          </cell>
          <cell r="Q327">
            <v>8203194.5</v>
          </cell>
          <cell r="R327">
            <v>26420926.73</v>
          </cell>
        </row>
        <row r="328">
          <cell r="M328">
            <v>1227810</v>
          </cell>
          <cell r="N328">
            <v>360359</v>
          </cell>
          <cell r="O328">
            <v>1611784</v>
          </cell>
          <cell r="P328">
            <v>17684038</v>
          </cell>
          <cell r="Q328">
            <v>8219648.5</v>
          </cell>
          <cell r="R328">
            <v>26509741.73</v>
          </cell>
        </row>
        <row r="329">
          <cell r="M329">
            <v>1295743</v>
          </cell>
          <cell r="N329">
            <v>378884</v>
          </cell>
          <cell r="O329">
            <v>1699281</v>
          </cell>
          <cell r="P329">
            <v>17751971</v>
          </cell>
          <cell r="Q329">
            <v>8238173.5</v>
          </cell>
          <cell r="R329">
            <v>26597238.73</v>
          </cell>
        </row>
        <row r="330">
          <cell r="M330">
            <v>1362100</v>
          </cell>
          <cell r="N330">
            <v>399208</v>
          </cell>
          <cell r="O330">
            <v>1786875</v>
          </cell>
          <cell r="P330">
            <v>17818328</v>
          </cell>
          <cell r="Q330">
            <v>8258497.5</v>
          </cell>
          <cell r="R330">
            <v>26684832.73</v>
          </cell>
        </row>
        <row r="331">
          <cell r="M331">
            <v>1424916</v>
          </cell>
          <cell r="N331">
            <v>421014</v>
          </cell>
          <cell r="O331">
            <v>1872637</v>
          </cell>
          <cell r="P331">
            <v>17881144</v>
          </cell>
          <cell r="Q331">
            <v>8280303.5</v>
          </cell>
          <cell r="R331">
            <v>26770594.73</v>
          </cell>
        </row>
        <row r="332">
          <cell r="M332">
            <v>1483287</v>
          </cell>
          <cell r="N332">
            <v>442599</v>
          </cell>
          <cell r="O332">
            <v>1953634</v>
          </cell>
          <cell r="P332">
            <v>17939515</v>
          </cell>
          <cell r="Q332">
            <v>8301888.5</v>
          </cell>
          <cell r="R332">
            <v>26851591.73</v>
          </cell>
        </row>
        <row r="333">
          <cell r="M333">
            <v>1545240</v>
          </cell>
          <cell r="N333">
            <v>464224</v>
          </cell>
          <cell r="O333">
            <v>2038193</v>
          </cell>
          <cell r="P333">
            <v>18001468</v>
          </cell>
          <cell r="Q333">
            <v>8323513.5</v>
          </cell>
          <cell r="R333">
            <v>26936150.73</v>
          </cell>
        </row>
        <row r="334">
          <cell r="M334">
            <v>1608147</v>
          </cell>
          <cell r="N334">
            <v>484016</v>
          </cell>
          <cell r="O334">
            <v>2122012</v>
          </cell>
          <cell r="P334">
            <v>18064375</v>
          </cell>
          <cell r="Q334">
            <v>8343305.5</v>
          </cell>
          <cell r="R334">
            <v>27019969.73</v>
          </cell>
        </row>
        <row r="335">
          <cell r="M335">
            <v>1672897</v>
          </cell>
          <cell r="N335">
            <v>504313</v>
          </cell>
          <cell r="O335">
            <v>2208084</v>
          </cell>
          <cell r="P335">
            <v>18129125</v>
          </cell>
          <cell r="Q335">
            <v>8363602.5</v>
          </cell>
          <cell r="R335">
            <v>27106041.73</v>
          </cell>
        </row>
        <row r="336">
          <cell r="M336">
            <v>1736572</v>
          </cell>
          <cell r="N336">
            <v>525826</v>
          </cell>
          <cell r="O336">
            <v>2294161</v>
          </cell>
          <cell r="P336">
            <v>18192800</v>
          </cell>
          <cell r="Q336">
            <v>8385115.5</v>
          </cell>
          <cell r="R336">
            <v>27192118.73</v>
          </cell>
        </row>
        <row r="337">
          <cell r="M337">
            <v>1800331</v>
          </cell>
          <cell r="N337">
            <v>546927</v>
          </cell>
          <cell r="O337">
            <v>2380049</v>
          </cell>
          <cell r="P337">
            <v>18256559</v>
          </cell>
          <cell r="Q337">
            <v>8406216.5</v>
          </cell>
          <cell r="R337">
            <v>27278006.73</v>
          </cell>
        </row>
        <row r="338">
          <cell r="M338">
            <v>1863408</v>
          </cell>
          <cell r="N338">
            <v>568853</v>
          </cell>
          <cell r="O338">
            <v>2466139</v>
          </cell>
          <cell r="P338">
            <v>18319636</v>
          </cell>
          <cell r="Q338">
            <v>8428142.5</v>
          </cell>
          <cell r="R338">
            <v>27364096.73</v>
          </cell>
        </row>
        <row r="339">
          <cell r="M339">
            <v>1920379</v>
          </cell>
          <cell r="N339">
            <v>589485</v>
          </cell>
          <cell r="O339">
            <v>2544620</v>
          </cell>
          <cell r="P339">
            <v>18376607</v>
          </cell>
          <cell r="Q339">
            <v>8448774.5</v>
          </cell>
          <cell r="R339">
            <v>27442577.73</v>
          </cell>
        </row>
        <row r="340">
          <cell r="M340">
            <v>56773</v>
          </cell>
          <cell r="N340">
            <v>23754</v>
          </cell>
          <cell r="O340">
            <v>81538</v>
          </cell>
          <cell r="P340">
            <v>18433380</v>
          </cell>
          <cell r="Q340">
            <v>8472528.5</v>
          </cell>
          <cell r="R340">
            <v>27524115.73</v>
          </cell>
        </row>
        <row r="341">
          <cell r="M341">
            <v>120467</v>
          </cell>
          <cell r="N341">
            <v>46268</v>
          </cell>
          <cell r="O341">
            <v>168876</v>
          </cell>
          <cell r="P341">
            <v>18497074</v>
          </cell>
          <cell r="Q341">
            <v>8495042.5</v>
          </cell>
          <cell r="R341">
            <v>27611453.73</v>
          </cell>
        </row>
        <row r="342">
          <cell r="M342">
            <v>190768</v>
          </cell>
          <cell r="N342">
            <v>65443</v>
          </cell>
          <cell r="O342">
            <v>259701</v>
          </cell>
          <cell r="P342">
            <v>18567375</v>
          </cell>
          <cell r="Q342">
            <v>8514217.5</v>
          </cell>
          <cell r="R342">
            <v>27702278.73</v>
          </cell>
        </row>
        <row r="343">
          <cell r="M343">
            <v>261503</v>
          </cell>
          <cell r="N343">
            <v>85038</v>
          </cell>
          <cell r="O343">
            <v>351597</v>
          </cell>
          <cell r="P343">
            <v>18638110</v>
          </cell>
          <cell r="Q343">
            <v>8533812.5</v>
          </cell>
          <cell r="R343">
            <v>27794174.73</v>
          </cell>
        </row>
        <row r="344">
          <cell r="M344">
            <v>332585</v>
          </cell>
          <cell r="N344">
            <v>105351</v>
          </cell>
          <cell r="O344">
            <v>443994</v>
          </cell>
          <cell r="P344">
            <v>18709192</v>
          </cell>
          <cell r="Q344">
            <v>8554125.5</v>
          </cell>
          <cell r="R344">
            <v>27886571.73</v>
          </cell>
        </row>
        <row r="345">
          <cell r="M345">
            <v>402818</v>
          </cell>
          <cell r="N345">
            <v>125660</v>
          </cell>
          <cell r="O345">
            <v>535686</v>
          </cell>
          <cell r="P345">
            <v>18779425</v>
          </cell>
          <cell r="Q345">
            <v>8574434.5</v>
          </cell>
          <cell r="R345">
            <v>27978263.73</v>
          </cell>
        </row>
        <row r="346">
          <cell r="M346">
            <v>467312</v>
          </cell>
          <cell r="N346">
            <v>146849</v>
          </cell>
          <cell r="O346">
            <v>622583</v>
          </cell>
          <cell r="P346">
            <v>18843919</v>
          </cell>
          <cell r="Q346">
            <v>8595623.5</v>
          </cell>
          <cell r="R346">
            <v>28065160.73</v>
          </cell>
        </row>
        <row r="347">
          <cell r="M347">
            <v>536522</v>
          </cell>
          <cell r="N347">
            <v>167424</v>
          </cell>
          <cell r="O347">
            <v>713539</v>
          </cell>
          <cell r="P347">
            <v>18913129</v>
          </cell>
          <cell r="Q347">
            <v>8616198.5</v>
          </cell>
          <cell r="R347">
            <v>28156116.73</v>
          </cell>
        </row>
        <row r="348">
          <cell r="M348">
            <v>609279</v>
          </cell>
          <cell r="N348">
            <v>187089</v>
          </cell>
          <cell r="O348">
            <v>807282</v>
          </cell>
          <cell r="P348">
            <v>18985886</v>
          </cell>
          <cell r="Q348">
            <v>8635863.5</v>
          </cell>
          <cell r="R348">
            <v>28249859.73</v>
          </cell>
        </row>
        <row r="349">
          <cell r="M349">
            <v>681260</v>
          </cell>
          <cell r="N349">
            <v>206539</v>
          </cell>
          <cell r="O349">
            <v>900144</v>
          </cell>
          <cell r="P349">
            <v>19057867</v>
          </cell>
          <cell r="Q349">
            <v>8655313.5</v>
          </cell>
          <cell r="R349">
            <v>28342721.73</v>
          </cell>
        </row>
        <row r="350">
          <cell r="M350">
            <v>755849</v>
          </cell>
          <cell r="N350">
            <v>225932</v>
          </cell>
          <cell r="O350">
            <v>995475</v>
          </cell>
          <cell r="P350">
            <v>19132456</v>
          </cell>
          <cell r="Q350">
            <v>8674706.5</v>
          </cell>
          <cell r="R350">
            <v>28438052.73</v>
          </cell>
        </row>
        <row r="351">
          <cell r="M351">
            <v>829098</v>
          </cell>
          <cell r="N351">
            <v>246581</v>
          </cell>
          <cell r="O351">
            <v>1090523</v>
          </cell>
          <cell r="P351">
            <v>19205705</v>
          </cell>
          <cell r="Q351">
            <v>8695355.5</v>
          </cell>
          <cell r="R351">
            <v>28533100.73</v>
          </cell>
        </row>
        <row r="352">
          <cell r="M352">
            <v>901895</v>
          </cell>
          <cell r="N352">
            <v>266499</v>
          </cell>
          <cell r="O352">
            <v>1184171</v>
          </cell>
          <cell r="P352">
            <v>19278502</v>
          </cell>
          <cell r="Q352">
            <v>8715273.5</v>
          </cell>
          <cell r="R352">
            <v>28626748.73</v>
          </cell>
        </row>
        <row r="353">
          <cell r="M353">
            <v>968887</v>
          </cell>
          <cell r="N353">
            <v>287285</v>
          </cell>
          <cell r="O353">
            <v>1272839</v>
          </cell>
          <cell r="P353">
            <v>19345494</v>
          </cell>
          <cell r="Q353">
            <v>8736059.5</v>
          </cell>
          <cell r="R353">
            <v>28715416.73</v>
          </cell>
        </row>
        <row r="354">
          <cell r="M354">
            <v>1040305</v>
          </cell>
          <cell r="N354">
            <v>308068</v>
          </cell>
          <cell r="O354">
            <v>1366242</v>
          </cell>
          <cell r="P354">
            <v>19416912</v>
          </cell>
          <cell r="Q354">
            <v>8756842.5</v>
          </cell>
          <cell r="R354">
            <v>28808819.73</v>
          </cell>
        </row>
        <row r="355">
          <cell r="M355">
            <v>1113530</v>
          </cell>
          <cell r="N355">
            <v>328308</v>
          </cell>
          <cell r="O355">
            <v>1461035</v>
          </cell>
          <cell r="P355">
            <v>19490137</v>
          </cell>
          <cell r="Q355">
            <v>8777082.5</v>
          </cell>
          <cell r="R355">
            <v>28903612.73</v>
          </cell>
        </row>
        <row r="356">
          <cell r="M356">
            <v>1189429</v>
          </cell>
          <cell r="N356">
            <v>347982</v>
          </cell>
          <cell r="O356">
            <v>1557537</v>
          </cell>
          <cell r="P356">
            <v>19566036</v>
          </cell>
          <cell r="Q356">
            <v>8796756.5</v>
          </cell>
          <cell r="R356">
            <v>29000114.73</v>
          </cell>
        </row>
        <row r="357">
          <cell r="M357">
            <v>1263935</v>
          </cell>
          <cell r="N357">
            <v>370638</v>
          </cell>
          <cell r="O357">
            <v>1654970</v>
          </cell>
          <cell r="P357">
            <v>19640542</v>
          </cell>
          <cell r="Q357">
            <v>8819412.5</v>
          </cell>
          <cell r="R357">
            <v>29097547.73</v>
          </cell>
        </row>
        <row r="358">
          <cell r="M358">
            <v>1336395</v>
          </cell>
          <cell r="N358">
            <v>394375</v>
          </cell>
          <cell r="O358">
            <v>1751940</v>
          </cell>
          <cell r="P358">
            <v>19713002</v>
          </cell>
          <cell r="Q358">
            <v>8843149.5</v>
          </cell>
          <cell r="R358">
            <v>29194517.73</v>
          </cell>
        </row>
        <row r="359">
          <cell r="M359">
            <v>1405099</v>
          </cell>
          <cell r="N359">
            <v>418593</v>
          </cell>
          <cell r="O359">
            <v>1845489</v>
          </cell>
          <cell r="P359">
            <v>19781706</v>
          </cell>
          <cell r="Q359">
            <v>8867367.5</v>
          </cell>
          <cell r="R359">
            <v>29288066.73</v>
          </cell>
        </row>
        <row r="360">
          <cell r="M360">
            <v>1475568</v>
          </cell>
          <cell r="N360">
            <v>438605</v>
          </cell>
          <cell r="O360">
            <v>1936316</v>
          </cell>
          <cell r="P360">
            <v>19852175</v>
          </cell>
          <cell r="Q360">
            <v>8887379.5</v>
          </cell>
          <cell r="R360">
            <v>29378893.73</v>
          </cell>
        </row>
        <row r="361">
          <cell r="M361">
            <v>1548037</v>
          </cell>
          <cell r="N361">
            <v>461081</v>
          </cell>
          <cell r="O361">
            <v>2031831</v>
          </cell>
          <cell r="P361">
            <v>19924644</v>
          </cell>
          <cell r="Q361">
            <v>8909855.5</v>
          </cell>
          <cell r="R361">
            <v>29474408.73</v>
          </cell>
        </row>
        <row r="362">
          <cell r="M362">
            <v>1620796</v>
          </cell>
          <cell r="N362">
            <v>483325</v>
          </cell>
          <cell r="O362">
            <v>2127300</v>
          </cell>
          <cell r="P362">
            <v>19997403</v>
          </cell>
          <cell r="Q362">
            <v>8932099.5</v>
          </cell>
          <cell r="R362">
            <v>29569877.73</v>
          </cell>
        </row>
        <row r="363">
          <cell r="M363">
            <v>1690326</v>
          </cell>
          <cell r="N363">
            <v>506200</v>
          </cell>
          <cell r="O363">
            <v>2220585</v>
          </cell>
          <cell r="P363">
            <v>20066933</v>
          </cell>
          <cell r="Q363">
            <v>8954974.5</v>
          </cell>
          <cell r="R363">
            <v>29663162.73</v>
          </cell>
        </row>
        <row r="364">
          <cell r="M364">
            <v>1762220</v>
          </cell>
          <cell r="N364">
            <v>527434</v>
          </cell>
          <cell r="O364">
            <v>2314875</v>
          </cell>
          <cell r="P364">
            <v>20138827</v>
          </cell>
          <cell r="Q364">
            <v>8976208.5</v>
          </cell>
          <cell r="R364">
            <v>29757452.73</v>
          </cell>
        </row>
        <row r="365">
          <cell r="M365">
            <v>1834570</v>
          </cell>
          <cell r="N365">
            <v>548824</v>
          </cell>
          <cell r="O365">
            <v>2409623</v>
          </cell>
          <cell r="P365">
            <v>20211177</v>
          </cell>
          <cell r="Q365">
            <v>8997598.5</v>
          </cell>
          <cell r="R365">
            <v>29852200.73</v>
          </cell>
        </row>
        <row r="366">
          <cell r="M366">
            <v>1905407</v>
          </cell>
          <cell r="N366">
            <v>569826</v>
          </cell>
          <cell r="O366">
            <v>2502476</v>
          </cell>
          <cell r="P366">
            <v>20282014</v>
          </cell>
          <cell r="Q366">
            <v>9018600.5</v>
          </cell>
          <cell r="R366">
            <v>29945053.73</v>
          </cell>
        </row>
        <row r="367">
          <cell r="M367">
            <v>1972038</v>
          </cell>
          <cell r="N367">
            <v>591064</v>
          </cell>
          <cell r="O367">
            <v>2591303</v>
          </cell>
          <cell r="P367">
            <v>20348645</v>
          </cell>
          <cell r="Q367">
            <v>9039838.5</v>
          </cell>
          <cell r="R367">
            <v>30033880.73</v>
          </cell>
        </row>
        <row r="368">
          <cell r="M368">
            <v>2039438</v>
          </cell>
          <cell r="N368">
            <v>613064</v>
          </cell>
          <cell r="O368">
            <v>2682003</v>
          </cell>
          <cell r="P368">
            <v>20416045</v>
          </cell>
          <cell r="Q368">
            <v>9061838.5</v>
          </cell>
          <cell r="R368">
            <v>30124580.73</v>
          </cell>
        </row>
        <row r="369">
          <cell r="M369">
            <v>2106826</v>
          </cell>
          <cell r="N369">
            <v>635268</v>
          </cell>
          <cell r="O369">
            <v>2772765</v>
          </cell>
          <cell r="P369">
            <v>20483433</v>
          </cell>
          <cell r="Q369">
            <v>9084042.5</v>
          </cell>
          <cell r="R369">
            <v>30215342.73</v>
          </cell>
        </row>
        <row r="370">
          <cell r="M370">
            <v>2168866</v>
          </cell>
          <cell r="N370">
            <v>658845</v>
          </cell>
          <cell r="O370">
            <v>2859299</v>
          </cell>
          <cell r="P370">
            <v>20545473</v>
          </cell>
          <cell r="Q370">
            <v>9107619.5</v>
          </cell>
          <cell r="R370">
            <v>30301876.73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818"/>
  <sheetViews>
    <sheetView tabSelected="1" workbookViewId="0">
      <pane xSplit="2" ySplit="3" topLeftCell="C67" activePane="bottomRight" state="frozen"/>
      <selection pane="topRight" activeCell="C1" sqref="C1"/>
      <selection pane="bottomLeft" activeCell="A4" sqref="A4"/>
      <selection pane="bottomRight" activeCell="G81" sqref="G81"/>
    </sheetView>
  </sheetViews>
  <sheetFormatPr defaultColWidth="9" defaultRowHeight="14.25" x14ac:dyDescent="0.15"/>
  <cols>
    <col min="1" max="1" width="9.625" style="159" customWidth="1"/>
    <col min="2" max="2" width="6" style="159" customWidth="1"/>
    <col min="3" max="3" width="10.375" style="159" customWidth="1"/>
    <col min="4" max="4" width="8.75" style="159" customWidth="1"/>
    <col min="5" max="5" width="10.5" style="159" customWidth="1"/>
    <col min="6" max="6" width="9.5" style="160" customWidth="1"/>
    <col min="7" max="7" width="9.5" style="159" customWidth="1"/>
    <col min="8" max="8" width="7.5" style="159" hidden="1" customWidth="1"/>
    <col min="9" max="9" width="8.5" style="159" hidden="1" customWidth="1"/>
    <col min="10" max="10" width="11.25" style="159" customWidth="1"/>
    <col min="11" max="12" width="9" style="159"/>
    <col min="13" max="13" width="11.625" style="161" customWidth="1"/>
    <col min="14" max="14" width="11" style="159" customWidth="1"/>
    <col min="15" max="15" width="12.75" style="159" customWidth="1"/>
    <col min="16" max="16" width="10.625" style="159" customWidth="1"/>
    <col min="17" max="17" width="11.875" style="159" customWidth="1"/>
    <col min="18" max="18" width="10.125" style="159" customWidth="1"/>
    <col min="19" max="19" width="12.25" style="159" customWidth="1"/>
    <col min="20" max="25" width="10.625" style="159" customWidth="1"/>
    <col min="26" max="26" width="8.75" style="162" customWidth="1"/>
    <col min="27" max="27" width="10.75" style="162" customWidth="1"/>
    <col min="28" max="28" width="9.75" style="159" customWidth="1"/>
    <col min="29" max="29" width="15.125" style="159" customWidth="1"/>
    <col min="30" max="30" width="13.25" style="159" customWidth="1"/>
    <col min="31" max="33" width="9" style="159"/>
    <col min="34" max="34" width="16.25" style="156" customWidth="1"/>
    <col min="35" max="35" width="13.875" style="159" bestFit="1" customWidth="1"/>
    <col min="36" max="36" width="12.75" style="159" customWidth="1"/>
    <col min="37" max="16384" width="9" style="159"/>
  </cols>
  <sheetData>
    <row r="1" spans="1:55" ht="15" customHeight="1" thickBot="1" x14ac:dyDescent="0.2">
      <c r="A1" s="467" t="s">
        <v>0</v>
      </c>
      <c r="B1" s="467"/>
      <c r="C1" s="467"/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  <c r="Q1" s="467"/>
      <c r="R1" s="467"/>
      <c r="S1" s="467"/>
      <c r="T1" s="467"/>
      <c r="U1" s="467"/>
      <c r="V1" s="467"/>
      <c r="W1" s="467"/>
      <c r="X1" s="467"/>
      <c r="Y1" s="467"/>
      <c r="Z1" s="467"/>
      <c r="AA1" s="467"/>
      <c r="AB1" s="467"/>
      <c r="AC1" s="467"/>
      <c r="AD1" s="467"/>
      <c r="AE1" s="467"/>
      <c r="AF1" s="467"/>
      <c r="AG1" s="467"/>
      <c r="AH1" s="263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</row>
    <row r="2" spans="1:55" ht="15" customHeight="1" thickBot="1" x14ac:dyDescent="0.2">
      <c r="A2" s="468"/>
      <c r="B2" s="469"/>
      <c r="C2" s="468" t="s">
        <v>1</v>
      </c>
      <c r="D2" s="469"/>
      <c r="E2" s="469"/>
      <c r="F2" s="469"/>
      <c r="G2" s="469"/>
      <c r="H2" s="469"/>
      <c r="I2" s="469"/>
      <c r="J2" s="469"/>
      <c r="K2" s="469"/>
      <c r="L2" s="469"/>
      <c r="M2" s="470"/>
      <c r="N2" s="468" t="s">
        <v>2</v>
      </c>
      <c r="O2" s="469"/>
      <c r="P2" s="470"/>
      <c r="Q2" s="469" t="s">
        <v>3</v>
      </c>
      <c r="R2" s="469"/>
      <c r="S2" s="470"/>
      <c r="T2" s="468" t="s">
        <v>4</v>
      </c>
      <c r="U2" s="469"/>
      <c r="V2" s="470"/>
      <c r="W2" s="471" t="s">
        <v>5</v>
      </c>
      <c r="X2" s="472"/>
      <c r="Y2" s="473"/>
      <c r="Z2" s="474"/>
      <c r="AA2" s="475"/>
      <c r="AB2" s="476"/>
      <c r="AC2" s="477"/>
      <c r="AD2" s="468"/>
      <c r="AE2" s="469"/>
      <c r="AF2" s="469"/>
      <c r="AG2" s="470"/>
      <c r="AH2" s="263"/>
      <c r="AI2" s="264"/>
      <c r="AJ2" s="264"/>
      <c r="AK2" s="264"/>
      <c r="AL2" s="264"/>
      <c r="AM2" s="264"/>
      <c r="AN2" s="264"/>
      <c r="AO2" s="264"/>
      <c r="AP2" s="264"/>
      <c r="AQ2" s="264"/>
      <c r="AR2" s="264"/>
      <c r="AS2" s="264"/>
      <c r="AT2" s="264"/>
      <c r="AU2" s="264"/>
      <c r="AV2" s="264"/>
      <c r="AW2" s="264"/>
      <c r="AX2" s="264"/>
      <c r="AY2" s="264"/>
      <c r="AZ2" s="264"/>
      <c r="BA2" s="264"/>
      <c r="BB2" s="264"/>
      <c r="BC2" s="264"/>
    </row>
    <row r="3" spans="1:55" s="156" customFormat="1" ht="24.75" customHeight="1" x14ac:dyDescent="0.15">
      <c r="A3" s="163" t="s">
        <v>6</v>
      </c>
      <c r="B3" s="164" t="s">
        <v>7</v>
      </c>
      <c r="C3" s="165" t="s">
        <v>8</v>
      </c>
      <c r="D3" s="166" t="s">
        <v>9</v>
      </c>
      <c r="E3" s="166" t="s">
        <v>10</v>
      </c>
      <c r="F3" s="167" t="s">
        <v>11</v>
      </c>
      <c r="G3" s="168" t="s">
        <v>12</v>
      </c>
      <c r="H3" s="169" t="s">
        <v>13</v>
      </c>
      <c r="I3" s="169" t="s">
        <v>14</v>
      </c>
      <c r="J3" s="163" t="s">
        <v>15</v>
      </c>
      <c r="K3" s="168" t="s">
        <v>16</v>
      </c>
      <c r="L3" s="168" t="s">
        <v>17</v>
      </c>
      <c r="M3" s="199" t="s">
        <v>18</v>
      </c>
      <c r="N3" s="200" t="s">
        <v>8</v>
      </c>
      <c r="O3" s="164" t="s">
        <v>9</v>
      </c>
      <c r="P3" s="201" t="s">
        <v>10</v>
      </c>
      <c r="Q3" s="223" t="s">
        <v>8</v>
      </c>
      <c r="R3" s="164" t="s">
        <v>9</v>
      </c>
      <c r="S3" s="201" t="s">
        <v>10</v>
      </c>
      <c r="T3" s="200" t="s">
        <v>8</v>
      </c>
      <c r="U3" s="164" t="s">
        <v>9</v>
      </c>
      <c r="V3" s="164" t="s">
        <v>10</v>
      </c>
      <c r="W3" s="164" t="s">
        <v>8</v>
      </c>
      <c r="X3" s="164" t="s">
        <v>9</v>
      </c>
      <c r="Y3" s="201" t="s">
        <v>10</v>
      </c>
      <c r="Z3" s="237" t="s">
        <v>19</v>
      </c>
      <c r="AA3" s="238" t="s">
        <v>20</v>
      </c>
      <c r="AB3" s="239" t="s">
        <v>21</v>
      </c>
      <c r="AC3" s="240" t="s">
        <v>22</v>
      </c>
      <c r="AD3" s="239" t="s">
        <v>23</v>
      </c>
      <c r="AE3" s="241" t="s">
        <v>24</v>
      </c>
      <c r="AF3" s="241" t="s">
        <v>25</v>
      </c>
      <c r="AG3" s="240" t="s">
        <v>26</v>
      </c>
      <c r="AH3" s="263" t="s">
        <v>27</v>
      </c>
      <c r="AI3" s="264" t="s">
        <v>28</v>
      </c>
      <c r="AJ3" s="264"/>
      <c r="AK3" s="264"/>
      <c r="AL3" s="264"/>
      <c r="AM3" s="264"/>
      <c r="AN3" s="264"/>
      <c r="AO3" s="264"/>
      <c r="AP3" s="264"/>
      <c r="AQ3" s="264"/>
      <c r="AR3" s="264"/>
      <c r="AS3" s="264"/>
      <c r="AT3" s="264"/>
      <c r="AU3" s="264"/>
      <c r="AV3" s="264"/>
      <c r="AW3" s="264"/>
      <c r="AX3" s="264"/>
      <c r="AY3" s="264"/>
      <c r="AZ3" s="264"/>
      <c r="BA3" s="264"/>
      <c r="BB3" s="264"/>
      <c r="BC3" s="264"/>
    </row>
    <row r="4" spans="1:55" s="359" customFormat="1" ht="15" customHeight="1" x14ac:dyDescent="0.15">
      <c r="A4" s="349"/>
      <c r="B4" s="350"/>
      <c r="C4" s="351" t="s">
        <v>29</v>
      </c>
      <c r="D4" s="349" t="s">
        <v>29</v>
      </c>
      <c r="E4" s="349" t="s">
        <v>29</v>
      </c>
      <c r="F4" s="352" t="s">
        <v>30</v>
      </c>
      <c r="G4" s="349" t="s">
        <v>30</v>
      </c>
      <c r="H4" s="349" t="s">
        <v>30</v>
      </c>
      <c r="I4" s="349" t="s">
        <v>30</v>
      </c>
      <c r="J4" s="349" t="s">
        <v>29</v>
      </c>
      <c r="K4" s="349" t="s">
        <v>29</v>
      </c>
      <c r="L4" s="349" t="s">
        <v>29</v>
      </c>
      <c r="M4" s="353" t="s">
        <v>29</v>
      </c>
      <c r="N4" s="351" t="s">
        <v>29</v>
      </c>
      <c r="O4" s="349" t="s">
        <v>29</v>
      </c>
      <c r="P4" s="353" t="s">
        <v>29</v>
      </c>
      <c r="Q4" s="354" t="s">
        <v>29</v>
      </c>
      <c r="R4" s="349" t="s">
        <v>29</v>
      </c>
      <c r="S4" s="353" t="s">
        <v>29</v>
      </c>
      <c r="T4" s="351" t="s">
        <v>31</v>
      </c>
      <c r="U4" s="349" t="s">
        <v>31</v>
      </c>
      <c r="V4" s="349" t="s">
        <v>31</v>
      </c>
      <c r="W4" s="349" t="s">
        <v>31</v>
      </c>
      <c r="X4" s="349" t="s">
        <v>31</v>
      </c>
      <c r="Y4" s="353" t="s">
        <v>31</v>
      </c>
      <c r="Z4" s="355" t="s">
        <v>32</v>
      </c>
      <c r="AA4" s="356" t="s">
        <v>32</v>
      </c>
      <c r="AB4" s="351" t="s">
        <v>30</v>
      </c>
      <c r="AC4" s="353" t="s">
        <v>33</v>
      </c>
      <c r="AD4" s="351" t="s">
        <v>29</v>
      </c>
      <c r="AE4" s="349" t="s">
        <v>29</v>
      </c>
      <c r="AF4" s="349" t="s">
        <v>29</v>
      </c>
      <c r="AG4" s="353" t="s">
        <v>29</v>
      </c>
      <c r="AH4" s="357"/>
      <c r="AI4" s="358"/>
      <c r="AJ4" s="358"/>
      <c r="AK4" s="358"/>
      <c r="AL4" s="358"/>
      <c r="AM4" s="358"/>
      <c r="AN4" s="358"/>
      <c r="AO4" s="358"/>
      <c r="AP4" s="358"/>
      <c r="AQ4" s="358"/>
      <c r="AR4" s="358"/>
      <c r="AS4" s="358"/>
      <c r="AT4" s="358"/>
      <c r="AU4" s="358"/>
      <c r="AV4" s="358"/>
      <c r="AW4" s="358"/>
      <c r="AX4" s="358"/>
      <c r="AY4" s="358"/>
      <c r="AZ4" s="358"/>
      <c r="BA4" s="358"/>
      <c r="BB4" s="358"/>
      <c r="BC4" s="358"/>
    </row>
    <row r="5" spans="1:55" s="376" customFormat="1" ht="15" customHeight="1" x14ac:dyDescent="0.15">
      <c r="A5" s="448">
        <v>42736</v>
      </c>
      <c r="B5" s="360" t="s">
        <v>35</v>
      </c>
      <c r="C5" s="450">
        <v>68297</v>
      </c>
      <c r="D5" s="451">
        <f>22335+10436</f>
        <v>32771</v>
      </c>
      <c r="E5" s="451">
        <f>86323+19497</f>
        <v>105820</v>
      </c>
      <c r="F5" s="451">
        <v>5029</v>
      </c>
      <c r="G5" s="348">
        <v>3612.3</v>
      </c>
      <c r="H5" s="363"/>
      <c r="I5" s="363"/>
      <c r="J5" s="364">
        <f t="shared" ref="J5:J68" si="0">E5-D5</f>
        <v>73049</v>
      </c>
      <c r="K5" s="358">
        <v>391</v>
      </c>
      <c r="L5" s="348">
        <v>3791</v>
      </c>
      <c r="M5" s="365">
        <f>J5-K5-L5-C5</f>
        <v>570</v>
      </c>
      <c r="N5" s="366">
        <f>C5</f>
        <v>68297</v>
      </c>
      <c r="O5" s="367">
        <f>D5</f>
        <v>32771</v>
      </c>
      <c r="P5" s="353">
        <f>E5</f>
        <v>105820</v>
      </c>
      <c r="Q5" s="368">
        <f>N5</f>
        <v>68297</v>
      </c>
      <c r="R5" s="367">
        <f>O5</f>
        <v>32771</v>
      </c>
      <c r="S5" s="369">
        <f>P5</f>
        <v>105820</v>
      </c>
      <c r="T5" s="370">
        <f>N5/'2018'!N5-1</f>
        <v>0.25373106929784295</v>
      </c>
      <c r="U5" s="371">
        <f>O5/'2018'!O5-1</f>
        <v>0.16015860091337131</v>
      </c>
      <c r="V5" s="371">
        <f>P5/'2018'!P5-1</f>
        <v>0.25422242239632098</v>
      </c>
      <c r="W5" s="371">
        <f>Q5/'2018'!Q5-1</f>
        <v>0.25373106929784295</v>
      </c>
      <c r="X5" s="371">
        <f>R5/'2018'!R5-1</f>
        <v>0.16015860091337131</v>
      </c>
      <c r="Y5" s="372">
        <f>S5/'2018'!S5-1</f>
        <v>0.25422242239632098</v>
      </c>
      <c r="Z5" s="373"/>
      <c r="AA5" s="374">
        <f t="shared" ref="AA5:AA68" si="1">Q5/10000-Z5</f>
        <v>6.8296999999999999</v>
      </c>
      <c r="AB5" s="375"/>
      <c r="AC5" s="365"/>
      <c r="AD5" s="375">
        <f>S5-R5</f>
        <v>73049</v>
      </c>
      <c r="AE5" s="348">
        <f>K5</f>
        <v>391</v>
      </c>
      <c r="AF5" s="348">
        <f>L5</f>
        <v>3791</v>
      </c>
      <c r="AG5" s="365">
        <f>AD5-Q5-AE5-AF5</f>
        <v>570</v>
      </c>
      <c r="AH5" s="357"/>
      <c r="AI5" s="358"/>
      <c r="AJ5" s="358"/>
      <c r="AK5" s="358"/>
      <c r="AL5" s="358"/>
      <c r="AM5" s="358"/>
      <c r="AN5" s="358"/>
      <c r="AO5" s="358"/>
      <c r="AP5" s="358"/>
      <c r="AQ5" s="358"/>
      <c r="AR5" s="358"/>
      <c r="AS5" s="358"/>
      <c r="AT5" s="358"/>
      <c r="AU5" s="358"/>
      <c r="AV5" s="358"/>
      <c r="AW5" s="358"/>
      <c r="AX5" s="358"/>
      <c r="AY5" s="358"/>
      <c r="AZ5" s="358"/>
      <c r="BA5" s="358"/>
      <c r="BB5" s="358"/>
      <c r="BC5" s="358"/>
    </row>
    <row r="6" spans="1:55" s="376" customFormat="1" ht="15" customHeight="1" x14ac:dyDescent="0.15">
      <c r="A6" s="448">
        <v>42737</v>
      </c>
      <c r="B6" s="360" t="s">
        <v>36</v>
      </c>
      <c r="C6" s="361">
        <v>79444</v>
      </c>
      <c r="D6" s="348">
        <f>31769+11302</f>
        <v>43071</v>
      </c>
      <c r="E6" s="348">
        <v>127545</v>
      </c>
      <c r="F6" s="362">
        <v>6618.5</v>
      </c>
      <c r="G6" s="348">
        <v>3366.3</v>
      </c>
      <c r="H6" s="363"/>
      <c r="I6" s="363"/>
      <c r="J6" s="364">
        <f t="shared" si="0"/>
        <v>84474</v>
      </c>
      <c r="K6" s="348">
        <v>801</v>
      </c>
      <c r="L6" s="348">
        <v>3861</v>
      </c>
      <c r="M6" s="365">
        <f t="shared" ref="M6:M69" si="2">J6-K6-L6-C6</f>
        <v>368</v>
      </c>
      <c r="N6" s="366">
        <f t="shared" ref="N6:P21" si="3">N5+C6</f>
        <v>147741</v>
      </c>
      <c r="O6" s="349">
        <f t="shared" si="3"/>
        <v>75842</v>
      </c>
      <c r="P6" s="353">
        <f t="shared" si="3"/>
        <v>233365</v>
      </c>
      <c r="Q6" s="368">
        <f t="shared" ref="Q6:S35" si="4">N6</f>
        <v>147741</v>
      </c>
      <c r="R6" s="367">
        <f t="shared" si="4"/>
        <v>75842</v>
      </c>
      <c r="S6" s="369">
        <f t="shared" si="4"/>
        <v>233365</v>
      </c>
      <c r="T6" s="370">
        <f>N6/'2018'!N6-1</f>
        <v>0.21374760727224928</v>
      </c>
      <c r="U6" s="371">
        <f>O6/'2018'!O6-1</f>
        <v>0.20464436608532677</v>
      </c>
      <c r="V6" s="371">
        <f>P6/'2018'!P6-1</f>
        <v>0.24302226483434541</v>
      </c>
      <c r="W6" s="371">
        <f>Q6/'2018'!Q6-1</f>
        <v>0.21374760727224928</v>
      </c>
      <c r="X6" s="371">
        <f>R6/'2018'!R6-1</f>
        <v>0.20464436608532677</v>
      </c>
      <c r="Y6" s="372">
        <f>S6/'2018'!S6-1</f>
        <v>0.24302226483434541</v>
      </c>
      <c r="Z6" s="373"/>
      <c r="AA6" s="374">
        <f t="shared" si="1"/>
        <v>14.774100000000001</v>
      </c>
      <c r="AB6" s="458"/>
      <c r="AC6" s="365"/>
      <c r="AD6" s="375">
        <f t="shared" ref="AD6:AD69" si="5">S6-R6</f>
        <v>157523</v>
      </c>
      <c r="AE6" s="348">
        <f>AE5+K6</f>
        <v>1192</v>
      </c>
      <c r="AF6" s="348">
        <f>AF5+L6</f>
        <v>7652</v>
      </c>
      <c r="AG6" s="365">
        <f>AD6-Q6-AE6-AF6</f>
        <v>938</v>
      </c>
      <c r="AH6" s="357"/>
      <c r="AI6" s="358"/>
      <c r="AJ6" s="358"/>
      <c r="AK6" s="358"/>
      <c r="AL6" s="358"/>
      <c r="AM6" s="358"/>
      <c r="AN6" s="358"/>
      <c r="AO6" s="358"/>
      <c r="AP6" s="358"/>
      <c r="AQ6" s="358"/>
      <c r="AR6" s="358"/>
      <c r="AS6" s="358"/>
      <c r="AT6" s="358"/>
      <c r="AU6" s="358"/>
      <c r="AV6" s="358"/>
      <c r="AW6" s="358"/>
      <c r="AX6" s="358"/>
      <c r="AY6" s="358"/>
      <c r="AZ6" s="358"/>
      <c r="BA6" s="358"/>
      <c r="BB6" s="358"/>
      <c r="BC6" s="358"/>
    </row>
    <row r="7" spans="1:55" s="157" customFormat="1" ht="15" customHeight="1" x14ac:dyDescent="0.15">
      <c r="A7" s="449">
        <v>42738</v>
      </c>
      <c r="B7" s="182" t="s">
        <v>37</v>
      </c>
      <c r="C7" s="183">
        <v>79037</v>
      </c>
      <c r="D7" s="184">
        <v>46320</v>
      </c>
      <c r="E7" s="184">
        <v>130230</v>
      </c>
      <c r="F7" s="185">
        <v>6664</v>
      </c>
      <c r="G7" s="184">
        <v>3944</v>
      </c>
      <c r="H7" s="186"/>
      <c r="I7" s="186"/>
      <c r="J7" s="210">
        <f t="shared" si="0"/>
        <v>83910</v>
      </c>
      <c r="K7" s="184">
        <v>596</v>
      </c>
      <c r="L7" s="184">
        <v>3837</v>
      </c>
      <c r="M7" s="211">
        <f t="shared" si="2"/>
        <v>440</v>
      </c>
      <c r="N7" s="212">
        <f t="shared" si="3"/>
        <v>226778</v>
      </c>
      <c r="O7" s="215">
        <f t="shared" si="3"/>
        <v>122162</v>
      </c>
      <c r="P7" s="214">
        <f t="shared" si="3"/>
        <v>363595</v>
      </c>
      <c r="Q7" s="229">
        <f t="shared" si="4"/>
        <v>226778</v>
      </c>
      <c r="R7" s="213">
        <f t="shared" si="4"/>
        <v>122162</v>
      </c>
      <c r="S7" s="230">
        <f t="shared" si="4"/>
        <v>363595</v>
      </c>
      <c r="T7" s="231">
        <f>N7/'2018'!N7-1</f>
        <v>0.15126255190829618</v>
      </c>
      <c r="U7" s="232">
        <f>O7/'2018'!O7-1</f>
        <v>0.2419002307684488</v>
      </c>
      <c r="V7" s="232">
        <f>P7/'2018'!P7-1</f>
        <v>0.21239959052608071</v>
      </c>
      <c r="W7" s="232">
        <f>Q7/'2018'!Q7-1</f>
        <v>0.15126255190829618</v>
      </c>
      <c r="X7" s="232">
        <f>R7/'2018'!R7-1</f>
        <v>0.2419002307684488</v>
      </c>
      <c r="Y7" s="249">
        <f>S7/'2018'!S7-1</f>
        <v>0.21239959052608071</v>
      </c>
      <c r="Z7" s="250">
        <v>0.79</v>
      </c>
      <c r="AA7" s="251">
        <f t="shared" si="1"/>
        <v>21.887800000000002</v>
      </c>
      <c r="AB7" s="459">
        <v>4259.88</v>
      </c>
      <c r="AC7" s="211">
        <f t="shared" ref="AC7" si="6">AA7*10000/AB7</f>
        <v>51.381259565997169</v>
      </c>
      <c r="AD7" s="252">
        <f t="shared" si="5"/>
        <v>241433</v>
      </c>
      <c r="AE7" s="184">
        <f t="shared" ref="AE7:AF22" si="7">AE6+K7</f>
        <v>1788</v>
      </c>
      <c r="AF7" s="184">
        <f t="shared" si="7"/>
        <v>11489</v>
      </c>
      <c r="AG7" s="211">
        <f t="shared" ref="AG7:AG70" si="8">AD7-Q7-AE7-AF7</f>
        <v>1378</v>
      </c>
      <c r="AH7" s="288"/>
      <c r="AI7" s="289"/>
      <c r="AJ7" s="289"/>
      <c r="AK7" s="289"/>
      <c r="AL7" s="289"/>
      <c r="AM7" s="289"/>
      <c r="AN7" s="289"/>
      <c r="AO7" s="289"/>
      <c r="AP7" s="289"/>
      <c r="AQ7" s="289"/>
      <c r="AR7" s="289"/>
      <c r="AS7" s="289"/>
      <c r="AT7" s="289"/>
      <c r="AU7" s="289"/>
      <c r="AV7" s="289"/>
      <c r="AW7" s="289"/>
      <c r="AX7" s="289"/>
      <c r="AY7" s="289"/>
      <c r="AZ7" s="289"/>
      <c r="BA7" s="289"/>
      <c r="BB7" s="289"/>
      <c r="BC7" s="289"/>
    </row>
    <row r="8" spans="1:55" s="376" customFormat="1" ht="15" customHeight="1" x14ac:dyDescent="0.15">
      <c r="A8" s="448">
        <v>42739</v>
      </c>
      <c r="B8" s="360" t="s">
        <v>38</v>
      </c>
      <c r="C8" s="361">
        <v>76538</v>
      </c>
      <c r="D8" s="348">
        <f>35483+11493</f>
        <v>46976</v>
      </c>
      <c r="E8" s="348">
        <v>128115</v>
      </c>
      <c r="F8" s="362">
        <v>6484.2</v>
      </c>
      <c r="G8" s="348">
        <v>3906.5</v>
      </c>
      <c r="H8" s="363"/>
      <c r="I8" s="363"/>
      <c r="J8" s="364">
        <f t="shared" si="0"/>
        <v>81139</v>
      </c>
      <c r="K8" s="348">
        <v>340</v>
      </c>
      <c r="L8" s="348">
        <v>3846</v>
      </c>
      <c r="M8" s="365">
        <f t="shared" si="2"/>
        <v>415</v>
      </c>
      <c r="N8" s="366">
        <f t="shared" si="3"/>
        <v>303316</v>
      </c>
      <c r="O8" s="367">
        <f>O7+D8</f>
        <v>169138</v>
      </c>
      <c r="P8" s="353">
        <f t="shared" si="3"/>
        <v>491710</v>
      </c>
      <c r="Q8" s="368">
        <f t="shared" si="4"/>
        <v>303316</v>
      </c>
      <c r="R8" s="367">
        <f t="shared" si="4"/>
        <v>169138</v>
      </c>
      <c r="S8" s="369">
        <f t="shared" si="4"/>
        <v>491710</v>
      </c>
      <c r="T8" s="370">
        <f>N8/'2018'!N8-1</f>
        <v>0.10366157619156779</v>
      </c>
      <c r="U8" s="371">
        <f>O8/'2018'!O8-1</f>
        <v>0.25603742759542558</v>
      </c>
      <c r="V8" s="371">
        <f>P8/'2018'!P8-1</f>
        <v>0.18229645053787746</v>
      </c>
      <c r="W8" s="371">
        <f>Q8/'2018'!Q8-1</f>
        <v>0.10366157619156779</v>
      </c>
      <c r="X8" s="371">
        <f>R8/'2018'!R8-1</f>
        <v>0.25603742759542558</v>
      </c>
      <c r="Y8" s="372">
        <f>S8/'2018'!S8-1</f>
        <v>0.18229645053787746</v>
      </c>
      <c r="Z8" s="373"/>
      <c r="AA8" s="374">
        <f t="shared" si="1"/>
        <v>30.331600000000002</v>
      </c>
      <c r="AB8" s="458"/>
      <c r="AC8" s="365"/>
      <c r="AD8" s="375">
        <f t="shared" si="5"/>
        <v>322572</v>
      </c>
      <c r="AE8" s="348">
        <f t="shared" si="7"/>
        <v>2128</v>
      </c>
      <c r="AF8" s="348">
        <f t="shared" si="7"/>
        <v>15335</v>
      </c>
      <c r="AG8" s="365">
        <f t="shared" si="8"/>
        <v>1793</v>
      </c>
      <c r="AH8" s="357"/>
      <c r="AI8" s="358"/>
      <c r="AJ8" s="358"/>
      <c r="AK8" s="358"/>
      <c r="AL8" s="358"/>
      <c r="AM8" s="358"/>
      <c r="AN8" s="358"/>
      <c r="AO8" s="358"/>
      <c r="AP8" s="358"/>
      <c r="AQ8" s="358"/>
      <c r="AR8" s="358"/>
      <c r="AS8" s="358"/>
      <c r="AT8" s="358"/>
      <c r="AU8" s="358"/>
      <c r="AV8" s="358"/>
      <c r="AW8" s="358"/>
      <c r="AX8" s="358"/>
      <c r="AY8" s="358"/>
      <c r="AZ8" s="358"/>
      <c r="BA8" s="358"/>
      <c r="BB8" s="358"/>
      <c r="BC8" s="358"/>
    </row>
    <row r="9" spans="1:55" s="376" customFormat="1" ht="15" customHeight="1" x14ac:dyDescent="0.15">
      <c r="A9" s="448">
        <v>42740</v>
      </c>
      <c r="B9" s="360" t="s">
        <v>39</v>
      </c>
      <c r="C9" s="361">
        <v>72424</v>
      </c>
      <c r="D9" s="348">
        <f>35121+11496</f>
        <v>46617</v>
      </c>
      <c r="E9" s="348">
        <v>123604</v>
      </c>
      <c r="F9" s="362">
        <v>6253.1</v>
      </c>
      <c r="G9" s="348">
        <v>3790.2</v>
      </c>
      <c r="H9" s="363"/>
      <c r="I9" s="363"/>
      <c r="J9" s="364">
        <f t="shared" si="0"/>
        <v>76987</v>
      </c>
      <c r="K9" s="348">
        <v>148</v>
      </c>
      <c r="L9" s="348">
        <v>3843</v>
      </c>
      <c r="M9" s="365">
        <f t="shared" si="2"/>
        <v>572</v>
      </c>
      <c r="N9" s="366">
        <f t="shared" si="3"/>
        <v>375740</v>
      </c>
      <c r="O9" s="349">
        <f t="shared" si="3"/>
        <v>215755</v>
      </c>
      <c r="P9" s="353">
        <f t="shared" si="3"/>
        <v>615314</v>
      </c>
      <c r="Q9" s="368">
        <f t="shared" si="4"/>
        <v>375740</v>
      </c>
      <c r="R9" s="367">
        <f t="shared" si="4"/>
        <v>215755</v>
      </c>
      <c r="S9" s="369">
        <f t="shared" si="4"/>
        <v>615314</v>
      </c>
      <c r="T9" s="370">
        <f>N9/'2018'!N9-1</f>
        <v>6.363283804325981E-2</v>
      </c>
      <c r="U9" s="371">
        <f>O9/'2018'!O9-1</f>
        <v>0.2483509998148492</v>
      </c>
      <c r="V9" s="371">
        <f>P9/'2018'!P9-1</f>
        <v>0.1523489367280626</v>
      </c>
      <c r="W9" s="371">
        <f>Q9/'2018'!Q9-1</f>
        <v>6.363283804325981E-2</v>
      </c>
      <c r="X9" s="371">
        <f>R9/'2018'!R9-1</f>
        <v>0.2483509998148492</v>
      </c>
      <c r="Y9" s="378">
        <f>S9/'2018'!S9-1</f>
        <v>0.1523489367280626</v>
      </c>
      <c r="Z9" s="373"/>
      <c r="AA9" s="374">
        <f t="shared" si="1"/>
        <v>37.573999999999998</v>
      </c>
      <c r="AB9" s="458"/>
      <c r="AC9" s="365"/>
      <c r="AD9" s="375">
        <f t="shared" si="5"/>
        <v>399559</v>
      </c>
      <c r="AE9" s="348">
        <f t="shared" si="7"/>
        <v>2276</v>
      </c>
      <c r="AF9" s="348">
        <f t="shared" si="7"/>
        <v>19178</v>
      </c>
      <c r="AG9" s="365">
        <f t="shared" si="8"/>
        <v>2365</v>
      </c>
      <c r="AH9" s="357"/>
      <c r="AI9" s="358"/>
      <c r="AJ9" s="358"/>
      <c r="AK9" s="358"/>
      <c r="AL9" s="358"/>
      <c r="AM9" s="358"/>
      <c r="AN9" s="358"/>
      <c r="AO9" s="358"/>
      <c r="AP9" s="358"/>
      <c r="AQ9" s="358"/>
      <c r="AR9" s="358"/>
      <c r="AS9" s="358"/>
      <c r="AT9" s="358"/>
      <c r="AU9" s="358"/>
      <c r="AV9" s="358"/>
      <c r="AW9" s="358"/>
      <c r="AX9" s="358"/>
      <c r="AY9" s="358"/>
      <c r="AZ9" s="358"/>
      <c r="BA9" s="358"/>
      <c r="BB9" s="358"/>
      <c r="BC9" s="358"/>
    </row>
    <row r="10" spans="1:55" s="376" customFormat="1" ht="15" customHeight="1" x14ac:dyDescent="0.15">
      <c r="A10" s="448">
        <v>42741</v>
      </c>
      <c r="B10" s="360" t="s">
        <v>1</v>
      </c>
      <c r="C10" s="361">
        <v>66729</v>
      </c>
      <c r="D10" s="348">
        <f>34643+11620</f>
        <v>46263</v>
      </c>
      <c r="E10" s="348">
        <v>117670</v>
      </c>
      <c r="F10" s="362">
        <v>5889.8</v>
      </c>
      <c r="G10" s="348">
        <v>3670.4</v>
      </c>
      <c r="H10" s="363"/>
      <c r="I10" s="363"/>
      <c r="J10" s="364">
        <f t="shared" si="0"/>
        <v>71407</v>
      </c>
      <c r="K10" s="348">
        <v>349</v>
      </c>
      <c r="L10" s="348">
        <v>3850</v>
      </c>
      <c r="M10" s="365">
        <f t="shared" si="2"/>
        <v>479</v>
      </c>
      <c r="N10" s="366">
        <f t="shared" si="3"/>
        <v>442469</v>
      </c>
      <c r="O10" s="349">
        <f t="shared" si="3"/>
        <v>262018</v>
      </c>
      <c r="P10" s="353">
        <f t="shared" si="3"/>
        <v>732984</v>
      </c>
      <c r="Q10" s="368">
        <f t="shared" si="4"/>
        <v>442469</v>
      </c>
      <c r="R10" s="367">
        <f t="shared" si="4"/>
        <v>262018</v>
      </c>
      <c r="S10" s="369">
        <f t="shared" si="4"/>
        <v>732984</v>
      </c>
      <c r="T10" s="370">
        <f>N10/'2018'!N10-1</f>
        <v>2.3920931567206427E-2</v>
      </c>
      <c r="U10" s="371">
        <f>O10/'2018'!O10-1</f>
        <v>0.24643458570789756</v>
      </c>
      <c r="V10" s="371">
        <f>P10/'2018'!P10-1</f>
        <v>0.12459322743821888</v>
      </c>
      <c r="W10" s="371">
        <f>Q10/'2018'!Q10-1</f>
        <v>2.3920931567206427E-2</v>
      </c>
      <c r="X10" s="371">
        <f>R10/'2018'!R10-1</f>
        <v>0.24643458570789756</v>
      </c>
      <c r="Y10" s="372">
        <f>S10/'2018'!S10-1</f>
        <v>0.12459322743821888</v>
      </c>
      <c r="Z10" s="373"/>
      <c r="AA10" s="374">
        <f t="shared" si="1"/>
        <v>44.246899999999997</v>
      </c>
      <c r="AB10" s="458"/>
      <c r="AC10" s="365"/>
      <c r="AD10" s="375">
        <f t="shared" si="5"/>
        <v>470966</v>
      </c>
      <c r="AE10" s="348">
        <f t="shared" si="7"/>
        <v>2625</v>
      </c>
      <c r="AF10" s="348">
        <f t="shared" si="7"/>
        <v>23028</v>
      </c>
      <c r="AG10" s="365">
        <f t="shared" si="8"/>
        <v>2844</v>
      </c>
      <c r="AH10" s="357"/>
      <c r="AI10" s="358"/>
      <c r="AJ10" s="358"/>
      <c r="AK10" s="358"/>
      <c r="AL10" s="358"/>
      <c r="AM10" s="358"/>
      <c r="AN10" s="358"/>
      <c r="AO10" s="358"/>
      <c r="AP10" s="358"/>
      <c r="AQ10" s="358"/>
      <c r="AR10" s="358"/>
      <c r="AS10" s="358"/>
      <c r="AT10" s="358"/>
      <c r="AU10" s="358"/>
      <c r="AV10" s="358"/>
      <c r="AW10" s="358"/>
      <c r="AX10" s="358"/>
      <c r="AY10" s="358"/>
      <c r="AZ10" s="358"/>
      <c r="BA10" s="358"/>
      <c r="BB10" s="358"/>
      <c r="BC10" s="358"/>
    </row>
    <row r="11" spans="1:55" s="376" customFormat="1" ht="15" customHeight="1" x14ac:dyDescent="0.15">
      <c r="A11" s="448">
        <v>42742</v>
      </c>
      <c r="B11" s="360" t="s">
        <v>34</v>
      </c>
      <c r="C11" s="361">
        <v>72450</v>
      </c>
      <c r="D11" s="348">
        <f>34178+11496</f>
        <v>45674</v>
      </c>
      <c r="E11" s="348">
        <v>122733</v>
      </c>
      <c r="F11" s="362">
        <v>6292.2</v>
      </c>
      <c r="G11" s="348">
        <v>3602.6</v>
      </c>
      <c r="H11" s="363"/>
      <c r="I11" s="363"/>
      <c r="J11" s="364">
        <f t="shared" si="0"/>
        <v>77059</v>
      </c>
      <c r="K11" s="348">
        <v>451</v>
      </c>
      <c r="L11" s="348">
        <v>3866</v>
      </c>
      <c r="M11" s="365">
        <f t="shared" si="2"/>
        <v>292</v>
      </c>
      <c r="N11" s="366">
        <f t="shared" si="3"/>
        <v>514919</v>
      </c>
      <c r="O11" s="349">
        <f t="shared" si="3"/>
        <v>307692</v>
      </c>
      <c r="P11" s="353">
        <f t="shared" si="3"/>
        <v>855717</v>
      </c>
      <c r="Q11" s="368">
        <f t="shared" si="4"/>
        <v>514919</v>
      </c>
      <c r="R11" s="367">
        <f t="shared" si="4"/>
        <v>307692</v>
      </c>
      <c r="S11" s="369">
        <f t="shared" si="4"/>
        <v>855717</v>
      </c>
      <c r="T11" s="370">
        <f>N11/'2018'!N11-1</f>
        <v>1.5531196503656419E-2</v>
      </c>
      <c r="U11" s="371">
        <f>O11/'2018'!O11-1</f>
        <v>0.24886150549156172</v>
      </c>
      <c r="V11" s="371">
        <f>P11/'2018'!P11-1</f>
        <v>0.11967471589979795</v>
      </c>
      <c r="W11" s="371">
        <f>Q11/'2018'!Q11-1</f>
        <v>1.5531196503656419E-2</v>
      </c>
      <c r="X11" s="371">
        <f>R11/'2018'!R11-1</f>
        <v>0.24886150549156172</v>
      </c>
      <c r="Y11" s="372">
        <f>S11/'2018'!S11-1</f>
        <v>0.11967471589979795</v>
      </c>
      <c r="Z11" s="373"/>
      <c r="AA11" s="374">
        <f t="shared" si="1"/>
        <v>51.491900000000001</v>
      </c>
      <c r="AB11" s="458"/>
      <c r="AC11" s="365"/>
      <c r="AD11" s="375">
        <f t="shared" si="5"/>
        <v>548025</v>
      </c>
      <c r="AE11" s="348">
        <f t="shared" si="7"/>
        <v>3076</v>
      </c>
      <c r="AF11" s="348">
        <f t="shared" si="7"/>
        <v>26894</v>
      </c>
      <c r="AG11" s="365">
        <f t="shared" si="8"/>
        <v>3136</v>
      </c>
      <c r="AH11" s="357"/>
      <c r="AI11" s="358"/>
      <c r="AJ11" s="358"/>
      <c r="AK11" s="358"/>
      <c r="AL11" s="358"/>
      <c r="AM11" s="358"/>
      <c r="AN11" s="358"/>
      <c r="AO11" s="358"/>
      <c r="AP11" s="358"/>
      <c r="AQ11" s="358"/>
      <c r="AR11" s="358"/>
      <c r="AS11" s="358"/>
      <c r="AT11" s="358"/>
      <c r="AU11" s="358"/>
      <c r="AV11" s="358"/>
      <c r="AW11" s="358"/>
      <c r="AX11" s="358"/>
      <c r="AY11" s="358"/>
      <c r="AZ11" s="358"/>
      <c r="BA11" s="358"/>
      <c r="BB11" s="358"/>
      <c r="BC11" s="358"/>
    </row>
    <row r="12" spans="1:55" s="376" customFormat="1" ht="15" customHeight="1" x14ac:dyDescent="0.15">
      <c r="A12" s="448">
        <v>42743</v>
      </c>
      <c r="B12" s="360" t="s">
        <v>35</v>
      </c>
      <c r="C12" s="361">
        <v>74522</v>
      </c>
      <c r="D12" s="348">
        <f>33603+11419</f>
        <v>45022</v>
      </c>
      <c r="E12" s="348">
        <v>124129</v>
      </c>
      <c r="F12" s="362">
        <v>6269.2</v>
      </c>
      <c r="G12" s="348">
        <v>3729.5</v>
      </c>
      <c r="H12" s="363"/>
      <c r="I12" s="363"/>
      <c r="J12" s="364">
        <f t="shared" si="0"/>
        <v>79107</v>
      </c>
      <c r="K12" s="348">
        <v>372</v>
      </c>
      <c r="L12" s="348">
        <v>3834</v>
      </c>
      <c r="M12" s="365">
        <f t="shared" si="2"/>
        <v>379</v>
      </c>
      <c r="N12" s="366">
        <f t="shared" si="3"/>
        <v>589441</v>
      </c>
      <c r="O12" s="349">
        <f t="shared" si="3"/>
        <v>352714</v>
      </c>
      <c r="P12" s="353">
        <f t="shared" si="3"/>
        <v>979846</v>
      </c>
      <c r="Q12" s="368">
        <f t="shared" si="4"/>
        <v>589441</v>
      </c>
      <c r="R12" s="367">
        <f t="shared" si="4"/>
        <v>352714</v>
      </c>
      <c r="S12" s="369">
        <f t="shared" si="4"/>
        <v>979846</v>
      </c>
      <c r="T12" s="370">
        <f>N12/'2018'!N12-1</f>
        <v>7.2901268851197631E-3</v>
      </c>
      <c r="U12" s="371">
        <f>O12/'2018'!O12-1</f>
        <v>0.23653433551625969</v>
      </c>
      <c r="V12" s="371">
        <f>P12/'2018'!P12-1</f>
        <v>0.11010833187939162</v>
      </c>
      <c r="W12" s="371">
        <f>Q12/'2018'!Q12-1</f>
        <v>7.2901268851197631E-3</v>
      </c>
      <c r="X12" s="371">
        <f>R12/'2018'!R12-1</f>
        <v>0.23653433551625969</v>
      </c>
      <c r="Y12" s="372">
        <f>S12/'2018'!S12-1</f>
        <v>0.11010833187939162</v>
      </c>
      <c r="Z12" s="373"/>
      <c r="AA12" s="374">
        <f t="shared" si="1"/>
        <v>58.944099999999999</v>
      </c>
      <c r="AB12" s="458"/>
      <c r="AC12" s="365"/>
      <c r="AD12" s="375">
        <f t="shared" si="5"/>
        <v>627132</v>
      </c>
      <c r="AE12" s="348">
        <f t="shared" si="7"/>
        <v>3448</v>
      </c>
      <c r="AF12" s="348">
        <f t="shared" si="7"/>
        <v>30728</v>
      </c>
      <c r="AG12" s="365">
        <f t="shared" si="8"/>
        <v>3515</v>
      </c>
      <c r="AH12" s="357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</row>
    <row r="13" spans="1:55" s="376" customFormat="1" ht="15" customHeight="1" x14ac:dyDescent="0.15">
      <c r="A13" s="448">
        <v>42744</v>
      </c>
      <c r="B13" s="360" t="s">
        <v>36</v>
      </c>
      <c r="C13" s="361">
        <v>78356</v>
      </c>
      <c r="D13" s="348">
        <f>33245+11390</f>
        <v>44635</v>
      </c>
      <c r="E13" s="348">
        <v>127500</v>
      </c>
      <c r="F13" s="362">
        <v>6466.2</v>
      </c>
      <c r="G13" s="348">
        <v>3817.3</v>
      </c>
      <c r="H13" s="363"/>
      <c r="I13" s="363"/>
      <c r="J13" s="364">
        <f t="shared" si="0"/>
        <v>82865</v>
      </c>
      <c r="K13" s="348">
        <v>332</v>
      </c>
      <c r="L13" s="348">
        <v>3844</v>
      </c>
      <c r="M13" s="365">
        <f t="shared" si="2"/>
        <v>333</v>
      </c>
      <c r="N13" s="366">
        <f t="shared" si="3"/>
        <v>667797</v>
      </c>
      <c r="O13" s="349">
        <f t="shared" si="3"/>
        <v>397349</v>
      </c>
      <c r="P13" s="353">
        <f t="shared" si="3"/>
        <v>1107346</v>
      </c>
      <c r="Q13" s="368">
        <f t="shared" si="4"/>
        <v>667797</v>
      </c>
      <c r="R13" s="367">
        <f t="shared" si="4"/>
        <v>397349</v>
      </c>
      <c r="S13" s="369">
        <f t="shared" si="4"/>
        <v>1107346</v>
      </c>
      <c r="T13" s="370">
        <f>N13/'2018'!N13-1</f>
        <v>1.2299847047748669E-2</v>
      </c>
      <c r="U13" s="371">
        <f>O13/'2018'!O13-1</f>
        <v>0.2224355247087344</v>
      </c>
      <c r="V13" s="371">
        <f>P13/'2018'!P13-1</f>
        <v>0.10832021346763798</v>
      </c>
      <c r="W13" s="371">
        <f>Q13/'2018'!Q13-1</f>
        <v>1.2299847047748669E-2</v>
      </c>
      <c r="X13" s="371">
        <f>R13/'2018'!R13-1</f>
        <v>0.2224355247087344</v>
      </c>
      <c r="Y13" s="372">
        <f>S13/'2018'!S13-1</f>
        <v>0.10832021346763798</v>
      </c>
      <c r="Z13" s="373"/>
      <c r="AA13" s="374">
        <f t="shared" si="1"/>
        <v>66.779700000000005</v>
      </c>
      <c r="AB13" s="458"/>
      <c r="AC13" s="365"/>
      <c r="AD13" s="375">
        <f t="shared" si="5"/>
        <v>709997</v>
      </c>
      <c r="AE13" s="348">
        <f t="shared" si="7"/>
        <v>3780</v>
      </c>
      <c r="AF13" s="348">
        <f t="shared" si="7"/>
        <v>34572</v>
      </c>
      <c r="AG13" s="365">
        <f t="shared" si="8"/>
        <v>3848</v>
      </c>
      <c r="AH13" s="357"/>
      <c r="AI13" s="358"/>
      <c r="AJ13" s="358"/>
      <c r="AK13" s="358"/>
      <c r="AL13" s="358"/>
      <c r="AM13" s="358"/>
      <c r="AN13" s="358"/>
      <c r="AO13" s="358"/>
      <c r="AP13" s="358"/>
      <c r="AQ13" s="358"/>
      <c r="AR13" s="358"/>
      <c r="AS13" s="358"/>
      <c r="AT13" s="358"/>
      <c r="AU13" s="358"/>
      <c r="AV13" s="358"/>
      <c r="AW13" s="358"/>
      <c r="AX13" s="358"/>
      <c r="AY13" s="358"/>
      <c r="AZ13" s="358"/>
      <c r="BA13" s="358"/>
      <c r="BB13" s="358"/>
      <c r="BC13" s="358"/>
    </row>
    <row r="14" spans="1:55" s="157" customFormat="1" ht="15" customHeight="1" x14ac:dyDescent="0.15">
      <c r="A14" s="449">
        <v>42745</v>
      </c>
      <c r="B14" s="182" t="s">
        <v>37</v>
      </c>
      <c r="C14" s="183">
        <f>72838+2949</f>
        <v>75787</v>
      </c>
      <c r="D14" s="184">
        <f>30341+14893</f>
        <v>45234</v>
      </c>
      <c r="E14" s="184">
        <f>95108+30341</f>
        <v>125449</v>
      </c>
      <c r="F14" s="185">
        <v>6322</v>
      </c>
      <c r="G14" s="184">
        <v>3857</v>
      </c>
      <c r="H14" s="186"/>
      <c r="I14" s="186"/>
      <c r="J14" s="210">
        <f t="shared" si="0"/>
        <v>80215</v>
      </c>
      <c r="K14" s="184">
        <v>312</v>
      </c>
      <c r="L14" s="184">
        <v>3831</v>
      </c>
      <c r="M14" s="211">
        <f t="shared" si="2"/>
        <v>285</v>
      </c>
      <c r="N14" s="212">
        <f>N13+C14</f>
        <v>743584</v>
      </c>
      <c r="O14" s="215">
        <f t="shared" si="3"/>
        <v>442583</v>
      </c>
      <c r="P14" s="455">
        <f t="shared" si="3"/>
        <v>1232795</v>
      </c>
      <c r="Q14" s="229">
        <f t="shared" si="4"/>
        <v>743584</v>
      </c>
      <c r="R14" s="213">
        <f t="shared" si="4"/>
        <v>442583</v>
      </c>
      <c r="S14" s="230">
        <f t="shared" si="4"/>
        <v>1232795</v>
      </c>
      <c r="T14" s="231">
        <f>N14/'2018'!N14-1</f>
        <v>1.4323051655744878E-2</v>
      </c>
      <c r="U14" s="232">
        <f>O14/'2018'!O14-1</f>
        <v>0.21124204972139826</v>
      </c>
      <c r="V14" s="232">
        <f>P14/'2018'!P14-1</f>
        <v>0.10567152238527533</v>
      </c>
      <c r="W14" s="232">
        <f>Q14/'2018'!Q14-1</f>
        <v>1.4323051655744878E-2</v>
      </c>
      <c r="X14" s="232">
        <f>R14/'2018'!R14-1</f>
        <v>0.21124204972139826</v>
      </c>
      <c r="Y14" s="249">
        <f>S14/'2018'!S14-1</f>
        <v>0.10567152238527533</v>
      </c>
      <c r="Z14" s="250">
        <v>2.85</v>
      </c>
      <c r="AA14" s="251">
        <f t="shared" si="1"/>
        <v>71.508400000000009</v>
      </c>
      <c r="AB14" s="459">
        <v>4259.88</v>
      </c>
      <c r="AC14" s="211">
        <f t="shared" ref="AC14" si="9">AA14*10000/AB14</f>
        <v>167.86482248326246</v>
      </c>
      <c r="AD14" s="252">
        <f t="shared" si="5"/>
        <v>790212</v>
      </c>
      <c r="AE14" s="184">
        <f t="shared" si="7"/>
        <v>4092</v>
      </c>
      <c r="AF14" s="184">
        <f t="shared" si="7"/>
        <v>38403</v>
      </c>
      <c r="AG14" s="211">
        <f t="shared" si="8"/>
        <v>4133</v>
      </c>
      <c r="AH14" s="288"/>
      <c r="AI14" s="289"/>
      <c r="AJ14" s="289"/>
      <c r="AK14" s="289"/>
      <c r="AL14" s="289"/>
      <c r="AM14" s="289"/>
      <c r="AN14" s="289"/>
      <c r="AO14" s="289"/>
      <c r="AP14" s="289"/>
      <c r="AQ14" s="289"/>
      <c r="AR14" s="289"/>
      <c r="AS14" s="289"/>
      <c r="AT14" s="289"/>
      <c r="AU14" s="289"/>
      <c r="AV14" s="289"/>
      <c r="AW14" s="289"/>
      <c r="AX14" s="289"/>
      <c r="AY14" s="289"/>
      <c r="AZ14" s="289"/>
      <c r="BA14" s="289"/>
      <c r="BB14" s="289"/>
      <c r="BC14" s="289"/>
    </row>
    <row r="15" spans="1:55" s="376" customFormat="1" ht="15" customHeight="1" x14ac:dyDescent="0.15">
      <c r="A15" s="448">
        <v>42746</v>
      </c>
      <c r="B15" s="360" t="s">
        <v>38</v>
      </c>
      <c r="C15" s="361">
        <v>72519</v>
      </c>
      <c r="D15" s="348">
        <f>34170+11529</f>
        <v>45699</v>
      </c>
      <c r="E15" s="348">
        <v>122698</v>
      </c>
      <c r="F15" s="362">
        <v>6191.6</v>
      </c>
      <c r="G15" s="348">
        <v>3759.2</v>
      </c>
      <c r="H15" s="363"/>
      <c r="I15" s="363"/>
      <c r="J15" s="364">
        <f t="shared" si="0"/>
        <v>76999</v>
      </c>
      <c r="K15" s="348">
        <v>311</v>
      </c>
      <c r="L15" s="348">
        <v>3846</v>
      </c>
      <c r="M15" s="365">
        <f t="shared" si="2"/>
        <v>323</v>
      </c>
      <c r="N15" s="366">
        <f>N14+C15</f>
        <v>816103</v>
      </c>
      <c r="O15" s="349">
        <f t="shared" si="3"/>
        <v>488282</v>
      </c>
      <c r="P15" s="456">
        <f t="shared" si="3"/>
        <v>1355493</v>
      </c>
      <c r="Q15" s="368">
        <f>N15</f>
        <v>816103</v>
      </c>
      <c r="R15" s="367">
        <f t="shared" si="4"/>
        <v>488282</v>
      </c>
      <c r="S15" s="369">
        <f t="shared" si="4"/>
        <v>1355493</v>
      </c>
      <c r="T15" s="370">
        <f>N15/'2018'!N15-1</f>
        <v>9.026931189586529E-3</v>
      </c>
      <c r="U15" s="371">
        <f>O15/'2018'!O15-1</f>
        <v>0.20370566672172252</v>
      </c>
      <c r="V15" s="371">
        <f>P15/'2018'!P15-1</f>
        <v>9.932142605149763E-2</v>
      </c>
      <c r="W15" s="371">
        <f>Q15/'2018'!Q15-1</f>
        <v>9.026931189586529E-3</v>
      </c>
      <c r="X15" s="371">
        <f>R15/'2018'!R15-1</f>
        <v>0.20370566672172252</v>
      </c>
      <c r="Y15" s="372">
        <f>S15/'2018'!S15-1</f>
        <v>9.932142605149763E-2</v>
      </c>
      <c r="Z15" s="373"/>
      <c r="AA15" s="374">
        <f t="shared" si="1"/>
        <v>81.610299999999995</v>
      </c>
      <c r="AB15" s="458"/>
      <c r="AC15" s="365"/>
      <c r="AD15" s="375">
        <f t="shared" si="5"/>
        <v>867211</v>
      </c>
      <c r="AE15" s="348">
        <f t="shared" si="7"/>
        <v>4403</v>
      </c>
      <c r="AF15" s="348">
        <f t="shared" si="7"/>
        <v>42249</v>
      </c>
      <c r="AG15" s="365">
        <f t="shared" si="8"/>
        <v>4456</v>
      </c>
      <c r="AH15" s="357"/>
      <c r="AI15" s="358"/>
      <c r="AJ15" s="358"/>
      <c r="AK15" s="358"/>
      <c r="AL15" s="358"/>
      <c r="AM15" s="358"/>
      <c r="AN15" s="358"/>
      <c r="AO15" s="358"/>
      <c r="AP15" s="358"/>
      <c r="AQ15" s="358"/>
      <c r="AR15" s="358"/>
      <c r="AS15" s="358"/>
      <c r="AT15" s="358"/>
      <c r="AU15" s="358"/>
      <c r="AV15" s="358"/>
      <c r="AW15" s="358"/>
      <c r="AX15" s="358"/>
      <c r="AY15" s="358"/>
      <c r="AZ15" s="358"/>
      <c r="BA15" s="358"/>
      <c r="BB15" s="358"/>
      <c r="BC15" s="358"/>
    </row>
    <row r="16" spans="1:55" s="376" customFormat="1" ht="15" customHeight="1" x14ac:dyDescent="0.15">
      <c r="A16" s="448">
        <v>42747</v>
      </c>
      <c r="B16" s="360" t="s">
        <v>39</v>
      </c>
      <c r="C16" s="361">
        <v>68544</v>
      </c>
      <c r="D16" s="348">
        <f>33121+11357</f>
        <v>44478</v>
      </c>
      <c r="E16" s="348">
        <v>117901</v>
      </c>
      <c r="F16" s="362">
        <v>5946.9</v>
      </c>
      <c r="G16" s="348">
        <v>3601.6</v>
      </c>
      <c r="H16" s="363"/>
      <c r="I16" s="363"/>
      <c r="J16" s="364">
        <f t="shared" si="0"/>
        <v>73423</v>
      </c>
      <c r="K16" s="348">
        <v>342</v>
      </c>
      <c r="L16" s="348">
        <v>3849</v>
      </c>
      <c r="M16" s="365">
        <f t="shared" si="2"/>
        <v>688</v>
      </c>
      <c r="N16" s="366">
        <f t="shared" si="3"/>
        <v>884647</v>
      </c>
      <c r="O16" s="349">
        <f t="shared" si="3"/>
        <v>532760</v>
      </c>
      <c r="P16" s="456">
        <f t="shared" si="3"/>
        <v>1473394</v>
      </c>
      <c r="Q16" s="368">
        <f t="shared" si="4"/>
        <v>884647</v>
      </c>
      <c r="R16" s="367">
        <f t="shared" si="4"/>
        <v>532760</v>
      </c>
      <c r="S16" s="369">
        <f t="shared" si="4"/>
        <v>1473394</v>
      </c>
      <c r="T16" s="370">
        <f>N16/'2018'!N16-1</f>
        <v>-8.143198304761734E-3</v>
      </c>
      <c r="U16" s="371">
        <f>O16/'2018'!O16-1</f>
        <v>0.20456539237232185</v>
      </c>
      <c r="V16" s="371">
        <f>P16/'2018'!P16-1</f>
        <v>8.7712796586395747E-2</v>
      </c>
      <c r="W16" s="371">
        <f>Q16/'2018'!Q16-1</f>
        <v>-8.143198304761734E-3</v>
      </c>
      <c r="X16" s="371">
        <f>R16/'2018'!R16-1</f>
        <v>0.20456539237232185</v>
      </c>
      <c r="Y16" s="372">
        <f>S16/'2018'!S16-1</f>
        <v>8.7712796586395747E-2</v>
      </c>
      <c r="Z16" s="373"/>
      <c r="AA16" s="374">
        <f t="shared" si="1"/>
        <v>88.464699999999993</v>
      </c>
      <c r="AB16" s="458"/>
      <c r="AC16" s="365"/>
      <c r="AD16" s="375">
        <f t="shared" si="5"/>
        <v>940634</v>
      </c>
      <c r="AE16" s="348">
        <f t="shared" si="7"/>
        <v>4745</v>
      </c>
      <c r="AF16" s="348">
        <f t="shared" si="7"/>
        <v>46098</v>
      </c>
      <c r="AG16" s="365">
        <f t="shared" si="8"/>
        <v>5144</v>
      </c>
      <c r="AH16" s="357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</row>
    <row r="17" spans="1:55" s="376" customFormat="1" x14ac:dyDescent="0.15">
      <c r="A17" s="448">
        <v>42748</v>
      </c>
      <c r="B17" s="360" t="s">
        <v>1</v>
      </c>
      <c r="C17" s="361">
        <v>65051</v>
      </c>
      <c r="D17" s="348">
        <f>32869+11431</f>
        <v>44300</v>
      </c>
      <c r="E17" s="348">
        <v>114072</v>
      </c>
      <c r="F17" s="362">
        <v>5593.4</v>
      </c>
      <c r="G17" s="348">
        <v>3620.6</v>
      </c>
      <c r="H17" s="363"/>
      <c r="I17" s="363"/>
      <c r="J17" s="364">
        <f t="shared" si="0"/>
        <v>69772</v>
      </c>
      <c r="K17" s="348">
        <v>418</v>
      </c>
      <c r="L17" s="348">
        <v>3849</v>
      </c>
      <c r="M17" s="365">
        <f t="shared" si="2"/>
        <v>454</v>
      </c>
      <c r="N17" s="366">
        <f t="shared" si="3"/>
        <v>949698</v>
      </c>
      <c r="O17" s="349">
        <f t="shared" si="3"/>
        <v>577060</v>
      </c>
      <c r="P17" s="456">
        <f t="shared" si="3"/>
        <v>1587466</v>
      </c>
      <c r="Q17" s="368">
        <f t="shared" si="4"/>
        <v>949698</v>
      </c>
      <c r="R17" s="367">
        <f t="shared" si="4"/>
        <v>577060</v>
      </c>
      <c r="S17" s="369">
        <f t="shared" si="4"/>
        <v>1587466</v>
      </c>
      <c r="T17" s="370">
        <f>N17/'2018'!N17-1</f>
        <v>-1.7017220089448837E-2</v>
      </c>
      <c r="U17" s="371">
        <f>O17/'2018'!O17-1</f>
        <v>0.20348201846954694</v>
      </c>
      <c r="V17" s="371">
        <f>P17/'2018'!P17-1</f>
        <v>8.1688847157328937E-2</v>
      </c>
      <c r="W17" s="371">
        <f>Q17/'2018'!Q17-1</f>
        <v>-1.7017220089448837E-2</v>
      </c>
      <c r="X17" s="371">
        <f>R17/'2018'!R17-1</f>
        <v>0.20348201846954694</v>
      </c>
      <c r="Y17" s="372">
        <f>S17/'2018'!S17-1</f>
        <v>8.1688847157328937E-2</v>
      </c>
      <c r="Z17" s="373"/>
      <c r="AA17" s="374">
        <f t="shared" si="1"/>
        <v>94.969800000000006</v>
      </c>
      <c r="AB17" s="458"/>
      <c r="AC17" s="365"/>
      <c r="AD17" s="375">
        <f t="shared" si="5"/>
        <v>1010406</v>
      </c>
      <c r="AE17" s="348">
        <f t="shared" si="7"/>
        <v>5163</v>
      </c>
      <c r="AF17" s="348">
        <f t="shared" si="7"/>
        <v>49947</v>
      </c>
      <c r="AG17" s="365">
        <f t="shared" si="8"/>
        <v>5598</v>
      </c>
      <c r="AH17" s="357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</row>
    <row r="18" spans="1:55" s="376" customFormat="1" x14ac:dyDescent="0.15">
      <c r="A18" s="448">
        <v>42749</v>
      </c>
      <c r="B18" s="360" t="s">
        <v>34</v>
      </c>
      <c r="C18" s="361">
        <v>72301</v>
      </c>
      <c r="D18" s="348">
        <f>31652+11434</f>
        <v>43086</v>
      </c>
      <c r="E18" s="348">
        <v>120075</v>
      </c>
      <c r="F18" s="362">
        <v>6032.8</v>
      </c>
      <c r="G18" s="348">
        <v>3549.5</v>
      </c>
      <c r="H18" s="363"/>
      <c r="I18" s="363"/>
      <c r="J18" s="364">
        <f t="shared" si="0"/>
        <v>76989</v>
      </c>
      <c r="K18" s="348">
        <v>421</v>
      </c>
      <c r="L18" s="348">
        <v>3842</v>
      </c>
      <c r="M18" s="365">
        <f t="shared" si="2"/>
        <v>425</v>
      </c>
      <c r="N18" s="366">
        <f t="shared" si="3"/>
        <v>1021999</v>
      </c>
      <c r="O18" s="349">
        <f t="shared" si="3"/>
        <v>620146</v>
      </c>
      <c r="P18" s="456">
        <f t="shared" si="3"/>
        <v>1707541</v>
      </c>
      <c r="Q18" s="368">
        <f t="shared" si="4"/>
        <v>1021999</v>
      </c>
      <c r="R18" s="367">
        <f t="shared" si="4"/>
        <v>620146</v>
      </c>
      <c r="S18" s="369">
        <f t="shared" si="4"/>
        <v>1707541</v>
      </c>
      <c r="T18" s="370">
        <f>N18/'2018'!N18-1</f>
        <v>-1.7657196629272898E-2</v>
      </c>
      <c r="U18" s="371">
        <f>O18/'2018'!O18-1</f>
        <v>0.20020514805496425</v>
      </c>
      <c r="V18" s="371">
        <f>P18/'2018'!P18-1</f>
        <v>8.0323526192550565E-2</v>
      </c>
      <c r="W18" s="371">
        <f>Q18/'2018'!Q18-1</f>
        <v>-1.7657196629272898E-2</v>
      </c>
      <c r="X18" s="371">
        <f>R18/'2018'!R18-1</f>
        <v>0.20020514805496425</v>
      </c>
      <c r="Y18" s="372">
        <f>S18/'2018'!S18-1</f>
        <v>8.0323526192550565E-2</v>
      </c>
      <c r="Z18" s="373"/>
      <c r="AA18" s="374">
        <f t="shared" si="1"/>
        <v>102.1999</v>
      </c>
      <c r="AB18" s="458"/>
      <c r="AC18" s="365"/>
      <c r="AD18" s="375">
        <f t="shared" si="5"/>
        <v>1087395</v>
      </c>
      <c r="AE18" s="348">
        <f t="shared" si="7"/>
        <v>5584</v>
      </c>
      <c r="AF18" s="348">
        <f t="shared" si="7"/>
        <v>53789</v>
      </c>
      <c r="AG18" s="365">
        <f t="shared" si="8"/>
        <v>6023</v>
      </c>
      <c r="AH18" s="357"/>
      <c r="AI18" s="358"/>
      <c r="AJ18" s="358"/>
      <c r="AK18" s="358"/>
      <c r="AL18" s="358"/>
      <c r="AM18" s="358"/>
      <c r="AN18" s="358"/>
      <c r="AO18" s="358"/>
      <c r="AP18" s="358"/>
      <c r="AQ18" s="358"/>
      <c r="AR18" s="358"/>
      <c r="AS18" s="358"/>
      <c r="AT18" s="358"/>
      <c r="AU18" s="358"/>
      <c r="AV18" s="358"/>
      <c r="AW18" s="358"/>
      <c r="AX18" s="358"/>
      <c r="AY18" s="358"/>
      <c r="AZ18" s="358"/>
      <c r="BA18" s="358"/>
      <c r="BB18" s="358"/>
      <c r="BC18" s="358"/>
    </row>
    <row r="19" spans="1:55" s="376" customFormat="1" x14ac:dyDescent="0.15">
      <c r="A19" s="448">
        <v>42750</v>
      </c>
      <c r="B19" s="360" t="s">
        <v>35</v>
      </c>
      <c r="C19" s="452">
        <v>70276.12</v>
      </c>
      <c r="D19" s="412">
        <v>45532</v>
      </c>
      <c r="E19" s="348">
        <v>120771.87</v>
      </c>
      <c r="F19" s="412">
        <v>6071</v>
      </c>
      <c r="G19" s="412">
        <v>3690.5</v>
      </c>
      <c r="H19" s="363"/>
      <c r="I19" s="363"/>
      <c r="J19" s="412">
        <f t="shared" si="0"/>
        <v>75239.87</v>
      </c>
      <c r="K19" s="348">
        <v>692</v>
      </c>
      <c r="L19" s="348">
        <v>3852</v>
      </c>
      <c r="M19" s="365">
        <f t="shared" si="2"/>
        <v>419.75</v>
      </c>
      <c r="N19" s="366">
        <f t="shared" si="3"/>
        <v>1092275.1200000001</v>
      </c>
      <c r="O19" s="349">
        <f t="shared" si="3"/>
        <v>665678</v>
      </c>
      <c r="P19" s="456">
        <f t="shared" si="3"/>
        <v>1828312.87</v>
      </c>
      <c r="Q19" s="368">
        <f t="shared" si="4"/>
        <v>1092275.1200000001</v>
      </c>
      <c r="R19" s="367">
        <f t="shared" si="4"/>
        <v>665678</v>
      </c>
      <c r="S19" s="369">
        <f t="shared" si="4"/>
        <v>1828312.87</v>
      </c>
      <c r="T19" s="370">
        <f>N19/'2018'!N19-1</f>
        <v>-1.8993572074584297E-2</v>
      </c>
      <c r="U19" s="371">
        <f>O19/'2018'!O19-1</f>
        <v>0.20202746137566896</v>
      </c>
      <c r="V19" s="371">
        <f>P19/'2018'!P19-1</f>
        <v>8.0259897487407583E-2</v>
      </c>
      <c r="W19" s="371">
        <f>Q19/'2018'!Q19-1</f>
        <v>-1.8993572074584297E-2</v>
      </c>
      <c r="X19" s="371">
        <f>R19/'2018'!R19-1</f>
        <v>0.20202746137566896</v>
      </c>
      <c r="Y19" s="372">
        <f>S19/'2018'!S19-1</f>
        <v>8.0259897487407583E-2</v>
      </c>
      <c r="Z19" s="373"/>
      <c r="AA19" s="374">
        <f t="shared" si="1"/>
        <v>109.227512</v>
      </c>
      <c r="AB19" s="458"/>
      <c r="AC19" s="365"/>
      <c r="AD19" s="375">
        <f t="shared" si="5"/>
        <v>1162634.8700000001</v>
      </c>
      <c r="AE19" s="348">
        <f t="shared" si="7"/>
        <v>6276</v>
      </c>
      <c r="AF19" s="348">
        <f t="shared" si="7"/>
        <v>57641</v>
      </c>
      <c r="AG19" s="365">
        <f t="shared" si="8"/>
        <v>6442.75</v>
      </c>
      <c r="AH19" s="357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</row>
    <row r="20" spans="1:55" s="376" customFormat="1" x14ac:dyDescent="0.15">
      <c r="A20" s="448">
        <v>42751</v>
      </c>
      <c r="B20" s="360" t="s">
        <v>36</v>
      </c>
      <c r="C20" s="452">
        <v>71618.429999999993</v>
      </c>
      <c r="D20" s="412">
        <v>45569</v>
      </c>
      <c r="E20" s="412">
        <v>122153.12</v>
      </c>
      <c r="F20" s="412">
        <v>6070.9</v>
      </c>
      <c r="G20" s="412">
        <v>3691</v>
      </c>
      <c r="H20" s="363"/>
      <c r="I20" s="363"/>
      <c r="J20" s="412">
        <f t="shared" si="0"/>
        <v>76584.12</v>
      </c>
      <c r="K20" s="348">
        <v>601</v>
      </c>
      <c r="L20" s="348">
        <v>3845</v>
      </c>
      <c r="M20" s="365">
        <f t="shared" si="2"/>
        <v>519.69000000000233</v>
      </c>
      <c r="N20" s="366">
        <f t="shared" si="3"/>
        <v>1163893.55</v>
      </c>
      <c r="O20" s="349">
        <f t="shared" si="3"/>
        <v>711247</v>
      </c>
      <c r="P20" s="456">
        <f t="shared" si="3"/>
        <v>1950465.9900000002</v>
      </c>
      <c r="Q20" s="368">
        <f t="shared" si="4"/>
        <v>1163893.55</v>
      </c>
      <c r="R20" s="367">
        <f t="shared" si="4"/>
        <v>711247</v>
      </c>
      <c r="S20" s="369">
        <f t="shared" si="4"/>
        <v>1950465.9900000002</v>
      </c>
      <c r="T20" s="370">
        <f>N20/'2018'!N20-1</f>
        <v>-1.8149405099341265E-2</v>
      </c>
      <c r="U20" s="371">
        <f>O20/'2018'!O20-1</f>
        <v>0.20454791792273253</v>
      </c>
      <c r="V20" s="371">
        <f>P20/'2018'!P20-1</f>
        <v>8.2037088917206402E-2</v>
      </c>
      <c r="W20" s="371">
        <f>Q20/'2018'!Q20-1</f>
        <v>-1.8149405099341265E-2</v>
      </c>
      <c r="X20" s="371">
        <f>R20/'2018'!R20-1</f>
        <v>0.20454791792273253</v>
      </c>
      <c r="Y20" s="372">
        <f>S20/'2018'!S20-1</f>
        <v>8.2037088917206402E-2</v>
      </c>
      <c r="Z20" s="373"/>
      <c r="AA20" s="374">
        <f t="shared" si="1"/>
        <v>116.38935500000001</v>
      </c>
      <c r="AB20" s="458"/>
      <c r="AC20" s="365"/>
      <c r="AD20" s="375">
        <f t="shared" si="5"/>
        <v>1239218.9900000002</v>
      </c>
      <c r="AE20" s="348">
        <f t="shared" si="7"/>
        <v>6877</v>
      </c>
      <c r="AF20" s="348">
        <f t="shared" si="7"/>
        <v>61486</v>
      </c>
      <c r="AG20" s="365">
        <f t="shared" si="8"/>
        <v>6962.440000000177</v>
      </c>
      <c r="AH20" s="357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</row>
    <row r="21" spans="1:55" s="157" customFormat="1" x14ac:dyDescent="0.15">
      <c r="A21" s="449">
        <v>42752</v>
      </c>
      <c r="B21" s="182" t="s">
        <v>37</v>
      </c>
      <c r="C21" s="453">
        <v>67578.06</v>
      </c>
      <c r="D21" s="454">
        <v>43853</v>
      </c>
      <c r="E21" s="454">
        <v>116514.16</v>
      </c>
      <c r="F21" s="454">
        <v>5749.6</v>
      </c>
      <c r="G21" s="454">
        <v>3725.8</v>
      </c>
      <c r="H21" s="186"/>
      <c r="I21" s="186"/>
      <c r="J21" s="454">
        <f t="shared" si="0"/>
        <v>72661.16</v>
      </c>
      <c r="K21" s="184">
        <v>293.63</v>
      </c>
      <c r="L21" s="184">
        <v>3847.39</v>
      </c>
      <c r="M21" s="211">
        <f t="shared" si="2"/>
        <v>942.08000000000175</v>
      </c>
      <c r="N21" s="212">
        <f t="shared" si="3"/>
        <v>1231471.6100000001</v>
      </c>
      <c r="O21" s="215">
        <f t="shared" si="3"/>
        <v>755100</v>
      </c>
      <c r="P21" s="455">
        <f t="shared" si="3"/>
        <v>2066980.1500000001</v>
      </c>
      <c r="Q21" s="229">
        <f t="shared" si="4"/>
        <v>1231471.6100000001</v>
      </c>
      <c r="R21" s="213">
        <f t="shared" si="4"/>
        <v>755100</v>
      </c>
      <c r="S21" s="230">
        <f t="shared" si="4"/>
        <v>2066980.1500000001</v>
      </c>
      <c r="T21" s="231">
        <f>N21/'2018'!N21-1</f>
        <v>-2.0070430828825425E-2</v>
      </c>
      <c r="U21" s="232">
        <f>O21/'2018'!O21-1</f>
        <v>0.20458287070714798</v>
      </c>
      <c r="V21" s="232">
        <f>P21/'2018'!P21-1</f>
        <v>8.1212638435255391E-2</v>
      </c>
      <c r="W21" s="232">
        <f>Q21/'2018'!Q21-1</f>
        <v>-2.0070430828825425E-2</v>
      </c>
      <c r="X21" s="232">
        <f>R21/'2018'!R21-1</f>
        <v>0.20458287070714798</v>
      </c>
      <c r="Y21" s="249">
        <f>S21/'2018'!S21-1</f>
        <v>8.1212638435255391E-2</v>
      </c>
      <c r="Z21" s="250">
        <v>4.97</v>
      </c>
      <c r="AA21" s="251">
        <f t="shared" si="1"/>
        <v>118.17716100000001</v>
      </c>
      <c r="AB21" s="459">
        <v>4259.88</v>
      </c>
      <c r="AC21" s="211">
        <f t="shared" ref="AC21" si="10">AA21*10000/AB21</f>
        <v>277.41899067579368</v>
      </c>
      <c r="AD21" s="252">
        <f t="shared" si="5"/>
        <v>1311880.1500000001</v>
      </c>
      <c r="AE21" s="184">
        <f t="shared" si="7"/>
        <v>7170.63</v>
      </c>
      <c r="AF21" s="184">
        <f t="shared" si="7"/>
        <v>65333.39</v>
      </c>
      <c r="AG21" s="211">
        <f t="shared" si="8"/>
        <v>7904.5200000000332</v>
      </c>
      <c r="AH21" s="288"/>
      <c r="AI21" s="289"/>
      <c r="AJ21" s="289"/>
      <c r="AK21" s="289"/>
      <c r="AL21" s="289"/>
      <c r="AM21" s="289"/>
      <c r="AN21" s="289"/>
      <c r="AO21" s="289"/>
      <c r="AP21" s="289"/>
      <c r="AQ21" s="289"/>
      <c r="AR21" s="289"/>
      <c r="AS21" s="289"/>
      <c r="AT21" s="289"/>
      <c r="AU21" s="289"/>
      <c r="AV21" s="289"/>
      <c r="AW21" s="289"/>
      <c r="AX21" s="289"/>
      <c r="AY21" s="289"/>
      <c r="AZ21" s="289"/>
      <c r="BA21" s="289"/>
      <c r="BB21" s="289"/>
      <c r="BC21" s="289"/>
    </row>
    <row r="22" spans="1:55" s="376" customFormat="1" x14ac:dyDescent="0.15">
      <c r="A22" s="448">
        <v>42753</v>
      </c>
      <c r="B22" s="360" t="s">
        <v>38</v>
      </c>
      <c r="C22" s="361">
        <v>61418</v>
      </c>
      <c r="D22" s="348">
        <f>33907+11574</f>
        <v>45481</v>
      </c>
      <c r="E22" s="348">
        <v>112502</v>
      </c>
      <c r="F22" s="362">
        <v>5647.8</v>
      </c>
      <c r="G22" s="348">
        <v>3708.4</v>
      </c>
      <c r="H22" s="363"/>
      <c r="I22" s="363"/>
      <c r="J22" s="364">
        <f t="shared" si="0"/>
        <v>67021</v>
      </c>
      <c r="K22" s="348">
        <v>626</v>
      </c>
      <c r="L22" s="348">
        <v>3850</v>
      </c>
      <c r="M22" s="365">
        <f t="shared" si="2"/>
        <v>1127</v>
      </c>
      <c r="N22" s="366">
        <f t="shared" ref="N22:P34" si="11">N21+C22</f>
        <v>1292889.6100000001</v>
      </c>
      <c r="O22" s="349">
        <f t="shared" si="11"/>
        <v>800581</v>
      </c>
      <c r="P22" s="456">
        <f t="shared" si="11"/>
        <v>2179482.1500000004</v>
      </c>
      <c r="Q22" s="368">
        <f t="shared" si="4"/>
        <v>1292889.6100000001</v>
      </c>
      <c r="R22" s="367">
        <f t="shared" si="4"/>
        <v>800581</v>
      </c>
      <c r="S22" s="369">
        <f t="shared" si="4"/>
        <v>2179482.1500000004</v>
      </c>
      <c r="T22" s="370">
        <f>N22/'2018'!N22-1</f>
        <v>-2.8270783101741803E-2</v>
      </c>
      <c r="U22" s="371">
        <f>O22/'2018'!O22-1</f>
        <v>0.20649921559112472</v>
      </c>
      <c r="V22" s="371">
        <f>P22/'2018'!P22-1</f>
        <v>7.7113002162645383E-2</v>
      </c>
      <c r="W22" s="371">
        <f>Q22/'2018'!Q22-1</f>
        <v>-2.8270783101741803E-2</v>
      </c>
      <c r="X22" s="371">
        <f>R22/'2018'!R22-1</f>
        <v>0.20649921559112472</v>
      </c>
      <c r="Y22" s="372">
        <f>S22/'2018'!S22-1</f>
        <v>7.7113002162645383E-2</v>
      </c>
      <c r="Z22" s="373"/>
      <c r="AA22" s="374">
        <f t="shared" si="1"/>
        <v>129.288961</v>
      </c>
      <c r="AB22" s="458"/>
      <c r="AC22" s="365"/>
      <c r="AD22" s="375">
        <f t="shared" si="5"/>
        <v>1378901.1500000004</v>
      </c>
      <c r="AE22" s="348">
        <f t="shared" si="7"/>
        <v>7796.63</v>
      </c>
      <c r="AF22" s="348">
        <f t="shared" si="7"/>
        <v>69183.39</v>
      </c>
      <c r="AG22" s="365">
        <f t="shared" si="8"/>
        <v>9031.520000000266</v>
      </c>
      <c r="AH22" s="357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</row>
    <row r="23" spans="1:55" s="376" customFormat="1" x14ac:dyDescent="0.15">
      <c r="A23" s="448">
        <v>42754</v>
      </c>
      <c r="B23" s="360" t="s">
        <v>39</v>
      </c>
      <c r="C23" s="361">
        <v>63510</v>
      </c>
      <c r="D23" s="348">
        <f>27530+12081</f>
        <v>39611</v>
      </c>
      <c r="E23" s="348">
        <v>108454</v>
      </c>
      <c r="F23" s="362">
        <v>5294.4</v>
      </c>
      <c r="G23" s="348">
        <v>3506.5</v>
      </c>
      <c r="H23" s="363"/>
      <c r="I23" s="363"/>
      <c r="J23" s="364">
        <f t="shared" si="0"/>
        <v>68843</v>
      </c>
      <c r="K23" s="348">
        <v>823</v>
      </c>
      <c r="L23" s="348">
        <v>3844</v>
      </c>
      <c r="M23" s="365">
        <f t="shared" si="2"/>
        <v>666</v>
      </c>
      <c r="N23" s="366">
        <f t="shared" si="11"/>
        <v>1356399.61</v>
      </c>
      <c r="O23" s="349">
        <f t="shared" si="11"/>
        <v>840192</v>
      </c>
      <c r="P23" s="456">
        <f t="shared" si="11"/>
        <v>2287936.1500000004</v>
      </c>
      <c r="Q23" s="368">
        <f t="shared" si="4"/>
        <v>1356399.61</v>
      </c>
      <c r="R23" s="367">
        <f t="shared" si="4"/>
        <v>840192</v>
      </c>
      <c r="S23" s="369">
        <f t="shared" si="4"/>
        <v>2287936.1500000004</v>
      </c>
      <c r="T23" s="370">
        <f>N23/'2018'!N23-1</f>
        <v>-3.4448769320462036E-2</v>
      </c>
      <c r="U23" s="371">
        <f>O23/'2018'!O23-1</f>
        <v>0.1991402416571757</v>
      </c>
      <c r="V23" s="371">
        <f>P23/'2018'!P23-1</f>
        <v>7.1209390760748725E-2</v>
      </c>
      <c r="W23" s="371">
        <f>Q23/'2018'!Q23-1</f>
        <v>-3.4448769320462036E-2</v>
      </c>
      <c r="X23" s="371">
        <f>R23/'2018'!R23-1</f>
        <v>0.1991402416571757</v>
      </c>
      <c r="Y23" s="372">
        <f>S23/'2018'!S23-1</f>
        <v>7.1209390760748725E-2</v>
      </c>
      <c r="Z23" s="373"/>
      <c r="AA23" s="374">
        <f t="shared" si="1"/>
        <v>135.639961</v>
      </c>
      <c r="AB23" s="458"/>
      <c r="AC23" s="365"/>
      <c r="AD23" s="375">
        <f t="shared" si="5"/>
        <v>1447744.1500000004</v>
      </c>
      <c r="AE23" s="348">
        <f t="shared" ref="AE23:AF38" si="12">AE22+K23</f>
        <v>8619.630000000001</v>
      </c>
      <c r="AF23" s="348">
        <f t="shared" si="12"/>
        <v>73027.39</v>
      </c>
      <c r="AG23" s="365">
        <f t="shared" si="8"/>
        <v>9697.520000000266</v>
      </c>
      <c r="AH23" s="357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</row>
    <row r="24" spans="1:55" s="376" customFormat="1" x14ac:dyDescent="0.15">
      <c r="A24" s="448">
        <v>42755</v>
      </c>
      <c r="B24" s="360" t="s">
        <v>1</v>
      </c>
      <c r="C24" s="361">
        <v>57129</v>
      </c>
      <c r="D24" s="348">
        <f>27873+11536</f>
        <v>39409</v>
      </c>
      <c r="E24" s="348">
        <v>102027</v>
      </c>
      <c r="F24" s="362">
        <v>4974.3</v>
      </c>
      <c r="G24" s="348">
        <v>3305.3</v>
      </c>
      <c r="H24" s="363"/>
      <c r="I24" s="363"/>
      <c r="J24" s="364">
        <f t="shared" si="0"/>
        <v>62618</v>
      </c>
      <c r="K24" s="348">
        <v>538</v>
      </c>
      <c r="L24" s="348">
        <v>3849</v>
      </c>
      <c r="M24" s="365">
        <f t="shared" si="2"/>
        <v>1102</v>
      </c>
      <c r="N24" s="366">
        <f t="shared" si="11"/>
        <v>1413528.61</v>
      </c>
      <c r="O24" s="349">
        <f t="shared" si="11"/>
        <v>879601</v>
      </c>
      <c r="P24" s="456">
        <f t="shared" si="11"/>
        <v>2389963.1500000004</v>
      </c>
      <c r="Q24" s="368">
        <f t="shared" si="4"/>
        <v>1413528.61</v>
      </c>
      <c r="R24" s="367">
        <f t="shared" si="4"/>
        <v>879601</v>
      </c>
      <c r="S24" s="369">
        <f t="shared" si="4"/>
        <v>2389963.1500000004</v>
      </c>
      <c r="T24" s="370">
        <f>N24/'2018'!N24-1</f>
        <v>-4.4127736031766562E-2</v>
      </c>
      <c r="U24" s="371">
        <f>O24/'2018'!O24-1</f>
        <v>0.19165005954179248</v>
      </c>
      <c r="V24" s="371">
        <f>P24/'2018'!P24-1</f>
        <v>6.2981584783206479E-2</v>
      </c>
      <c r="W24" s="371">
        <f>Q24/'2018'!Q24-1</f>
        <v>-4.4127736031766562E-2</v>
      </c>
      <c r="X24" s="371">
        <f>R24/'2018'!R24-1</f>
        <v>0.19165005954179248</v>
      </c>
      <c r="Y24" s="372">
        <f>S24/'2018'!S24-1</f>
        <v>6.2981584783206479E-2</v>
      </c>
      <c r="Z24" s="373"/>
      <c r="AA24" s="374">
        <f t="shared" si="1"/>
        <v>141.35286100000002</v>
      </c>
      <c r="AB24" s="458"/>
      <c r="AC24" s="365"/>
      <c r="AD24" s="375">
        <f t="shared" si="5"/>
        <v>1510362.1500000004</v>
      </c>
      <c r="AE24" s="348">
        <f t="shared" si="12"/>
        <v>9157.630000000001</v>
      </c>
      <c r="AF24" s="348">
        <f t="shared" si="12"/>
        <v>76876.39</v>
      </c>
      <c r="AG24" s="365">
        <f t="shared" si="8"/>
        <v>10799.520000000266</v>
      </c>
      <c r="AH24" s="357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</row>
    <row r="25" spans="1:55" s="376" customFormat="1" x14ac:dyDescent="0.15">
      <c r="A25" s="448">
        <v>42756</v>
      </c>
      <c r="B25" s="360" t="s">
        <v>34</v>
      </c>
      <c r="C25" s="361">
        <v>58505</v>
      </c>
      <c r="D25" s="348">
        <f>28552+11366</f>
        <v>39918</v>
      </c>
      <c r="E25" s="348">
        <v>103595</v>
      </c>
      <c r="F25" s="362">
        <v>5113.1000000000004</v>
      </c>
      <c r="G25" s="348">
        <v>3220.2</v>
      </c>
      <c r="H25" s="363"/>
      <c r="I25" s="363"/>
      <c r="J25" s="364">
        <f t="shared" si="0"/>
        <v>63677</v>
      </c>
      <c r="K25" s="348">
        <v>594</v>
      </c>
      <c r="L25" s="348">
        <v>3844</v>
      </c>
      <c r="M25" s="365">
        <f t="shared" si="2"/>
        <v>734</v>
      </c>
      <c r="N25" s="366">
        <f t="shared" si="11"/>
        <v>1472033.61</v>
      </c>
      <c r="O25" s="349">
        <f t="shared" si="11"/>
        <v>919519</v>
      </c>
      <c r="P25" s="456">
        <f t="shared" si="11"/>
        <v>2493558.1500000004</v>
      </c>
      <c r="Q25" s="368">
        <f t="shared" si="4"/>
        <v>1472033.61</v>
      </c>
      <c r="R25" s="367">
        <f t="shared" si="4"/>
        <v>919519</v>
      </c>
      <c r="S25" s="369">
        <f t="shared" si="4"/>
        <v>2493558.1500000004</v>
      </c>
      <c r="T25" s="370">
        <f>N25/'2018'!N25-1</f>
        <v>-4.9987086056813568E-2</v>
      </c>
      <c r="U25" s="371">
        <f>O25/'2018'!O25-1</f>
        <v>0.18607362920712078</v>
      </c>
      <c r="V25" s="371">
        <f>P25/'2018'!P25-1</f>
        <v>5.7818789070719356E-2</v>
      </c>
      <c r="W25" s="371">
        <f>Q25/'2018'!Q25-1</f>
        <v>-4.9987086056813568E-2</v>
      </c>
      <c r="X25" s="371">
        <f>R25/'2018'!R25-1</f>
        <v>0.18607362920712078</v>
      </c>
      <c r="Y25" s="372">
        <f>S25/'2018'!S25-1</f>
        <v>5.7818789070719356E-2</v>
      </c>
      <c r="Z25" s="373"/>
      <c r="AA25" s="374">
        <f t="shared" si="1"/>
        <v>147.203361</v>
      </c>
      <c r="AB25" s="458"/>
      <c r="AC25" s="365"/>
      <c r="AD25" s="375">
        <f t="shared" si="5"/>
        <v>1574039.1500000004</v>
      </c>
      <c r="AE25" s="348">
        <f t="shared" si="12"/>
        <v>9751.630000000001</v>
      </c>
      <c r="AF25" s="348">
        <f t="shared" si="12"/>
        <v>80720.39</v>
      </c>
      <c r="AG25" s="365">
        <f t="shared" si="8"/>
        <v>11533.520000000266</v>
      </c>
      <c r="AH25" s="357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</row>
    <row r="26" spans="1:55" s="376" customFormat="1" x14ac:dyDescent="0.15">
      <c r="A26" s="448">
        <v>42757</v>
      </c>
      <c r="B26" s="360" t="s">
        <v>35</v>
      </c>
      <c r="C26" s="361">
        <v>55868</v>
      </c>
      <c r="D26" s="348">
        <f>27273+11338</f>
        <v>38611</v>
      </c>
      <c r="E26" s="416">
        <v>99964</v>
      </c>
      <c r="F26" s="362">
        <v>4894.7</v>
      </c>
      <c r="G26" s="348">
        <v>3248.5</v>
      </c>
      <c r="H26" s="363"/>
      <c r="I26" s="363"/>
      <c r="J26" s="364">
        <f t="shared" si="0"/>
        <v>61353</v>
      </c>
      <c r="K26" s="348">
        <v>477</v>
      </c>
      <c r="L26" s="348">
        <v>3849</v>
      </c>
      <c r="M26" s="365">
        <f t="shared" si="2"/>
        <v>1159</v>
      </c>
      <c r="N26" s="366">
        <f t="shared" si="11"/>
        <v>1527901.61</v>
      </c>
      <c r="O26" s="349">
        <f t="shared" si="11"/>
        <v>958130</v>
      </c>
      <c r="P26" s="456">
        <f t="shared" si="11"/>
        <v>2593522.1500000004</v>
      </c>
      <c r="Q26" s="368">
        <f t="shared" si="4"/>
        <v>1527901.61</v>
      </c>
      <c r="R26" s="367">
        <f t="shared" si="4"/>
        <v>958130</v>
      </c>
      <c r="S26" s="369">
        <f t="shared" si="4"/>
        <v>2593522.1500000004</v>
      </c>
      <c r="T26" s="370">
        <f>N26/'2018'!N26-1</f>
        <v>-5.5576469235647519E-2</v>
      </c>
      <c r="U26" s="371">
        <f>O26/'2018'!O26-1</f>
        <v>0.17619257478796424</v>
      </c>
      <c r="V26" s="371">
        <f>P26/'2018'!P26-1</f>
        <v>5.1472088894547019E-2</v>
      </c>
      <c r="W26" s="371">
        <f>Q26/'2018'!Q26-1</f>
        <v>-5.5576469235647519E-2</v>
      </c>
      <c r="X26" s="371">
        <f>R26/'2018'!R26-1</f>
        <v>0.17619257478796424</v>
      </c>
      <c r="Y26" s="372">
        <f>S26/'2018'!S26-1</f>
        <v>5.1472088894547019E-2</v>
      </c>
      <c r="Z26" s="373"/>
      <c r="AA26" s="374">
        <f t="shared" si="1"/>
        <v>152.79016100000001</v>
      </c>
      <c r="AB26" s="458"/>
      <c r="AC26" s="365"/>
      <c r="AD26" s="375">
        <f t="shared" si="5"/>
        <v>1635392.1500000004</v>
      </c>
      <c r="AE26" s="348">
        <f t="shared" si="12"/>
        <v>10228.630000000001</v>
      </c>
      <c r="AF26" s="348">
        <f t="shared" si="12"/>
        <v>84569.39</v>
      </c>
      <c r="AG26" s="365">
        <f t="shared" si="8"/>
        <v>12692.520000000266</v>
      </c>
      <c r="AH26" s="357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8"/>
      <c r="AV26" s="358"/>
      <c r="AW26" s="358"/>
      <c r="AX26" s="358"/>
      <c r="AY26" s="358"/>
      <c r="AZ26" s="358"/>
      <c r="BA26" s="358"/>
      <c r="BB26" s="358"/>
      <c r="BC26" s="358"/>
    </row>
    <row r="27" spans="1:55" s="376" customFormat="1" x14ac:dyDescent="0.15">
      <c r="A27" s="448">
        <v>42758</v>
      </c>
      <c r="B27" s="360" t="s">
        <v>36</v>
      </c>
      <c r="C27" s="452">
        <v>51562.17</v>
      </c>
      <c r="D27" s="412">
        <v>37636</v>
      </c>
      <c r="E27" s="412">
        <v>94761.43</v>
      </c>
      <c r="F27" s="412">
        <v>4634.3999999999996</v>
      </c>
      <c r="G27" s="412">
        <v>3151.3</v>
      </c>
      <c r="H27" s="363"/>
      <c r="I27" s="363"/>
      <c r="J27" s="412">
        <f t="shared" si="0"/>
        <v>57125.429999999993</v>
      </c>
      <c r="K27" s="348">
        <v>641.45000000000005</v>
      </c>
      <c r="L27" s="348">
        <v>3849.8</v>
      </c>
      <c r="M27" s="365">
        <f t="shared" si="2"/>
        <v>1072.0099999999948</v>
      </c>
      <c r="N27" s="366">
        <f t="shared" si="11"/>
        <v>1579463.78</v>
      </c>
      <c r="O27" s="349">
        <f t="shared" si="11"/>
        <v>995766</v>
      </c>
      <c r="P27" s="456">
        <f t="shared" si="11"/>
        <v>2688283.5800000005</v>
      </c>
      <c r="Q27" s="368">
        <f t="shared" si="4"/>
        <v>1579463.78</v>
      </c>
      <c r="R27" s="367">
        <f t="shared" si="4"/>
        <v>995766</v>
      </c>
      <c r="S27" s="369">
        <f t="shared" si="4"/>
        <v>2688283.5800000005</v>
      </c>
      <c r="T27" s="370">
        <f>N27/'2018'!N27-1</f>
        <v>-6.6419175876593073E-2</v>
      </c>
      <c r="U27" s="371">
        <f>O27/'2018'!O27-1</f>
        <v>0.16562290027368132</v>
      </c>
      <c r="V27" s="371">
        <f>P27/'2018'!P27-1</f>
        <v>4.1401645380488183E-2</v>
      </c>
      <c r="W27" s="371">
        <f>Q27/'2018'!Q27-1</f>
        <v>-6.6419175876593073E-2</v>
      </c>
      <c r="X27" s="371">
        <f>R27/'2018'!R27-1</f>
        <v>0.16562290027368132</v>
      </c>
      <c r="Y27" s="372">
        <f>S27/'2018'!S27-1</f>
        <v>4.1401645380488183E-2</v>
      </c>
      <c r="Z27" s="373"/>
      <c r="AA27" s="374">
        <f t="shared" si="1"/>
        <v>157.94637800000001</v>
      </c>
      <c r="AB27" s="458"/>
      <c r="AC27" s="365"/>
      <c r="AD27" s="375">
        <f t="shared" si="5"/>
        <v>1692517.5800000005</v>
      </c>
      <c r="AE27" s="348">
        <f t="shared" si="12"/>
        <v>10870.080000000002</v>
      </c>
      <c r="AF27" s="348">
        <f t="shared" si="12"/>
        <v>88419.19</v>
      </c>
      <c r="AG27" s="365">
        <f t="shared" si="8"/>
        <v>13764.530000000508</v>
      </c>
      <c r="AH27" s="357"/>
      <c r="AI27" s="358"/>
      <c r="AJ27" s="358"/>
      <c r="AK27" s="358"/>
      <c r="AL27" s="358"/>
      <c r="AM27" s="358"/>
      <c r="AN27" s="358"/>
      <c r="AO27" s="358"/>
      <c r="AP27" s="358"/>
      <c r="AQ27" s="358"/>
      <c r="AR27" s="358"/>
      <c r="AS27" s="358"/>
      <c r="AT27" s="358"/>
      <c r="AU27" s="358"/>
      <c r="AV27" s="358"/>
      <c r="AW27" s="358"/>
      <c r="AX27" s="358"/>
      <c r="AY27" s="358"/>
      <c r="AZ27" s="358"/>
      <c r="BA27" s="358"/>
      <c r="BB27" s="358"/>
      <c r="BC27" s="358"/>
    </row>
    <row r="28" spans="1:55" s="157" customFormat="1" x14ac:dyDescent="0.15">
      <c r="A28" s="449">
        <v>42759</v>
      </c>
      <c r="B28" s="182" t="s">
        <v>37</v>
      </c>
      <c r="C28" s="453">
        <v>47480.02</v>
      </c>
      <c r="D28" s="454">
        <v>36769</v>
      </c>
      <c r="E28" s="454">
        <v>89535.86</v>
      </c>
      <c r="F28" s="454">
        <v>4354.3999999999996</v>
      </c>
      <c r="G28" s="454">
        <v>2989.6</v>
      </c>
      <c r="H28" s="186"/>
      <c r="I28" s="186"/>
      <c r="J28" s="454">
        <f t="shared" si="0"/>
        <v>52766.86</v>
      </c>
      <c r="K28" s="184">
        <v>408.42</v>
      </c>
      <c r="L28" s="184">
        <v>3845.54</v>
      </c>
      <c r="M28" s="211">
        <f t="shared" si="2"/>
        <v>1032.8800000000047</v>
      </c>
      <c r="N28" s="212">
        <f t="shared" si="11"/>
        <v>1626943.8</v>
      </c>
      <c r="O28" s="215">
        <f t="shared" si="11"/>
        <v>1032535</v>
      </c>
      <c r="P28" s="455">
        <f t="shared" si="11"/>
        <v>2777819.4400000004</v>
      </c>
      <c r="Q28" s="229">
        <f t="shared" si="4"/>
        <v>1626943.8</v>
      </c>
      <c r="R28" s="213">
        <f t="shared" si="4"/>
        <v>1032535</v>
      </c>
      <c r="S28" s="230">
        <f t="shared" si="4"/>
        <v>2777819.4400000004</v>
      </c>
      <c r="T28" s="231">
        <f>N28/'2018'!N28-1</f>
        <v>-8.162227123165644E-2</v>
      </c>
      <c r="U28" s="232">
        <f>O28/'2018'!O28-1</f>
        <v>0.15548560084333607</v>
      </c>
      <c r="V28" s="232">
        <f>P28/'2018'!P28-1</f>
        <v>2.8090166925618387E-2</v>
      </c>
      <c r="W28" s="232">
        <f>Q28/'2018'!Q28-1</f>
        <v>-8.162227123165644E-2</v>
      </c>
      <c r="X28" s="232">
        <f>R28/'2018'!R28-1</f>
        <v>0.15548560084333607</v>
      </c>
      <c r="Y28" s="249">
        <f>S28/'2018'!S28-1</f>
        <v>2.8090166925618387E-2</v>
      </c>
      <c r="Z28" s="250">
        <v>7.52</v>
      </c>
      <c r="AA28" s="251">
        <f t="shared" si="1"/>
        <v>155.17437999999999</v>
      </c>
      <c r="AB28" s="459">
        <v>4259.88</v>
      </c>
      <c r="AC28" s="211">
        <f t="shared" ref="AC28" si="13">AA28*10000/AB28</f>
        <v>364.26936909020907</v>
      </c>
      <c r="AD28" s="252">
        <f t="shared" si="5"/>
        <v>1745284.4400000004</v>
      </c>
      <c r="AE28" s="184">
        <f t="shared" si="12"/>
        <v>11278.500000000002</v>
      </c>
      <c r="AF28" s="184">
        <f t="shared" si="12"/>
        <v>92264.73</v>
      </c>
      <c r="AG28" s="211">
        <f t="shared" si="8"/>
        <v>14797.410000000367</v>
      </c>
      <c r="AH28" s="288"/>
      <c r="AI28" s="289"/>
      <c r="AJ28" s="289"/>
      <c r="AK28" s="289"/>
      <c r="AL28" s="289"/>
      <c r="AM28" s="289"/>
      <c r="AN28" s="289"/>
      <c r="AO28" s="289"/>
      <c r="AP28" s="289"/>
      <c r="AQ28" s="289"/>
      <c r="AR28" s="289"/>
      <c r="AS28" s="289"/>
      <c r="AT28" s="289"/>
      <c r="AU28" s="289"/>
      <c r="AV28" s="289"/>
      <c r="AW28" s="289"/>
      <c r="AX28" s="289"/>
      <c r="AY28" s="289"/>
      <c r="AZ28" s="289"/>
      <c r="BA28" s="289"/>
      <c r="BB28" s="289"/>
      <c r="BC28" s="289"/>
    </row>
    <row r="29" spans="1:55" s="376" customFormat="1" x14ac:dyDescent="0.15">
      <c r="A29" s="448">
        <v>42760</v>
      </c>
      <c r="B29" s="360" t="s">
        <v>38</v>
      </c>
      <c r="C29" s="361">
        <v>43177</v>
      </c>
      <c r="D29" s="348">
        <f>25206+11554</f>
        <v>36760</v>
      </c>
      <c r="E29" s="348">
        <v>85209</v>
      </c>
      <c r="F29" s="362">
        <v>4206.7</v>
      </c>
      <c r="G29" s="348">
        <v>2811.3</v>
      </c>
      <c r="H29" s="363"/>
      <c r="I29" s="363"/>
      <c r="J29" s="364">
        <f t="shared" si="0"/>
        <v>48449</v>
      </c>
      <c r="K29" s="348">
        <v>707</v>
      </c>
      <c r="L29" s="348">
        <v>3848</v>
      </c>
      <c r="M29" s="365">
        <f t="shared" si="2"/>
        <v>717</v>
      </c>
      <c r="N29" s="366">
        <f t="shared" si="11"/>
        <v>1670120.8</v>
      </c>
      <c r="O29" s="349">
        <f t="shared" si="11"/>
        <v>1069295</v>
      </c>
      <c r="P29" s="456">
        <f t="shared" si="11"/>
        <v>2863028.4400000004</v>
      </c>
      <c r="Q29" s="368">
        <f t="shared" si="4"/>
        <v>1670120.8</v>
      </c>
      <c r="R29" s="367">
        <f t="shared" si="4"/>
        <v>1069295</v>
      </c>
      <c r="S29" s="369">
        <f t="shared" si="4"/>
        <v>2863028.4400000004</v>
      </c>
      <c r="T29" s="370">
        <f>N29/'2018'!N29-1</f>
        <v>-9.8455663691065731E-2</v>
      </c>
      <c r="U29" s="371">
        <f>O29/'2018'!O29-1</f>
        <v>0.14384755188950216</v>
      </c>
      <c r="V29" s="371">
        <f>P29/'2018'!P29-1</f>
        <v>1.3256591322603706E-2</v>
      </c>
      <c r="W29" s="371">
        <f>Q29/'2018'!Q29-1</f>
        <v>-9.8455663691065731E-2</v>
      </c>
      <c r="X29" s="371">
        <f>R29/'2018'!R29-1</f>
        <v>0.14384755188950216</v>
      </c>
      <c r="Y29" s="372">
        <f>S29/'2018'!S29-1</f>
        <v>1.3256591322603706E-2</v>
      </c>
      <c r="Z29" s="373"/>
      <c r="AA29" s="374">
        <f t="shared" si="1"/>
        <v>167.01208</v>
      </c>
      <c r="AB29" s="375"/>
      <c r="AC29" s="365"/>
      <c r="AD29" s="375">
        <f t="shared" si="5"/>
        <v>1793733.4400000004</v>
      </c>
      <c r="AE29" s="348">
        <f t="shared" si="12"/>
        <v>11985.500000000002</v>
      </c>
      <c r="AF29" s="348">
        <f t="shared" si="12"/>
        <v>96112.73</v>
      </c>
      <c r="AG29" s="365">
        <f t="shared" si="8"/>
        <v>15514.410000000367</v>
      </c>
      <c r="AH29" s="379">
        <f>(AD29-AD22)/('2017'!AD29-'2017'!AD22)-1</f>
        <v>0.62861350921618286</v>
      </c>
      <c r="AI29" s="358"/>
      <c r="AJ29" s="358"/>
      <c r="AK29" s="358"/>
      <c r="AL29" s="358"/>
      <c r="AM29" s="358"/>
      <c r="AN29" s="358"/>
      <c r="AO29" s="358"/>
      <c r="AP29" s="358"/>
      <c r="AQ29" s="358"/>
      <c r="AR29" s="358"/>
      <c r="AS29" s="358"/>
      <c r="AT29" s="358"/>
      <c r="AU29" s="358"/>
      <c r="AV29" s="358"/>
      <c r="AW29" s="358"/>
      <c r="AX29" s="358"/>
      <c r="AY29" s="358"/>
      <c r="AZ29" s="358"/>
      <c r="BA29" s="358"/>
      <c r="BB29" s="358"/>
      <c r="BC29" s="358"/>
    </row>
    <row r="30" spans="1:55" s="376" customFormat="1" x14ac:dyDescent="0.15">
      <c r="A30" s="448">
        <v>42761</v>
      </c>
      <c r="B30" s="360" t="s">
        <v>39</v>
      </c>
      <c r="C30" s="361">
        <v>35642</v>
      </c>
      <c r="D30" s="348">
        <f>27015+10398</f>
        <v>37413</v>
      </c>
      <c r="E30" s="348">
        <v>78284</v>
      </c>
      <c r="F30" s="362">
        <v>3868.2</v>
      </c>
      <c r="G30" s="348">
        <v>2553.1</v>
      </c>
      <c r="H30" s="363"/>
      <c r="I30" s="363"/>
      <c r="J30" s="364">
        <f t="shared" si="0"/>
        <v>40871</v>
      </c>
      <c r="K30" s="348">
        <v>238</v>
      </c>
      <c r="L30" s="348">
        <v>3844</v>
      </c>
      <c r="M30" s="365">
        <f t="shared" si="2"/>
        <v>1147</v>
      </c>
      <c r="N30" s="366">
        <f t="shared" si="11"/>
        <v>1705762.8</v>
      </c>
      <c r="O30" s="349">
        <f t="shared" si="11"/>
        <v>1106708</v>
      </c>
      <c r="P30" s="456">
        <f t="shared" si="11"/>
        <v>2941312.4400000004</v>
      </c>
      <c r="Q30" s="368">
        <f t="shared" si="4"/>
        <v>1705762.8</v>
      </c>
      <c r="R30" s="367">
        <f t="shared" si="4"/>
        <v>1106708</v>
      </c>
      <c r="S30" s="369">
        <f t="shared" si="4"/>
        <v>2941312.4400000004</v>
      </c>
      <c r="T30" s="370">
        <f>N30/'2018'!N30-1</f>
        <v>-0.1186036657958266</v>
      </c>
      <c r="U30" s="371">
        <f>O30/'2018'!O30-1</f>
        <v>0.13512704058816527</v>
      </c>
      <c r="V30" s="371">
        <f>P30/'2018'!P30-1</f>
        <v>-2.9131640126836E-3</v>
      </c>
      <c r="W30" s="371">
        <f>Q30/'2018'!Q30-1</f>
        <v>-0.1186036657958266</v>
      </c>
      <c r="X30" s="371">
        <f>R30/'2018'!R30-1</f>
        <v>0.13512704058816527</v>
      </c>
      <c r="Y30" s="372">
        <f>S30/'2018'!S30-1</f>
        <v>-2.9131640126836E-3</v>
      </c>
      <c r="Z30" s="373"/>
      <c r="AA30" s="374">
        <f t="shared" si="1"/>
        <v>170.57628</v>
      </c>
      <c r="AB30" s="375"/>
      <c r="AC30" s="365"/>
      <c r="AD30" s="375">
        <f t="shared" si="5"/>
        <v>1834604.4400000004</v>
      </c>
      <c r="AE30" s="348">
        <f t="shared" si="12"/>
        <v>12223.500000000002</v>
      </c>
      <c r="AF30" s="348">
        <f t="shared" si="12"/>
        <v>99956.73</v>
      </c>
      <c r="AG30" s="365">
        <f t="shared" si="8"/>
        <v>16661.410000000367</v>
      </c>
      <c r="AH30" s="357"/>
      <c r="AI30" s="358"/>
      <c r="AJ30" s="358"/>
      <c r="AK30" s="358"/>
      <c r="AL30" s="358"/>
      <c r="AM30" s="358"/>
      <c r="AN30" s="358"/>
      <c r="AO30" s="358"/>
      <c r="AP30" s="358"/>
      <c r="AQ30" s="358"/>
      <c r="AR30" s="358"/>
      <c r="AS30" s="358"/>
      <c r="AT30" s="358"/>
      <c r="AU30" s="358"/>
      <c r="AV30" s="358"/>
      <c r="AW30" s="358"/>
      <c r="AX30" s="358"/>
      <c r="AY30" s="358"/>
      <c r="AZ30" s="358"/>
      <c r="BA30" s="358"/>
      <c r="BB30" s="358"/>
      <c r="BC30" s="358"/>
    </row>
    <row r="31" spans="1:55" s="376" customFormat="1" x14ac:dyDescent="0.15">
      <c r="A31" s="448">
        <v>42762</v>
      </c>
      <c r="B31" s="360" t="s">
        <v>1</v>
      </c>
      <c r="C31" s="361">
        <v>28810</v>
      </c>
      <c r="D31" s="348">
        <f>26970+10460</f>
        <v>37430</v>
      </c>
      <c r="E31" s="348">
        <v>71622</v>
      </c>
      <c r="F31" s="362">
        <v>3549.5</v>
      </c>
      <c r="G31" s="348">
        <v>2492.3000000000002</v>
      </c>
      <c r="H31" s="363"/>
      <c r="I31" s="363"/>
      <c r="J31" s="364">
        <f t="shared" si="0"/>
        <v>34192</v>
      </c>
      <c r="K31" s="348">
        <v>379</v>
      </c>
      <c r="L31" s="348">
        <v>3850</v>
      </c>
      <c r="M31" s="365">
        <f t="shared" si="2"/>
        <v>1153</v>
      </c>
      <c r="N31" s="366">
        <f t="shared" si="11"/>
        <v>1734572.8</v>
      </c>
      <c r="O31" s="349">
        <f t="shared" si="11"/>
        <v>1144138</v>
      </c>
      <c r="P31" s="456">
        <f t="shared" si="11"/>
        <v>3012934.4400000004</v>
      </c>
      <c r="Q31" s="368">
        <f t="shared" si="4"/>
        <v>1734572.8</v>
      </c>
      <c r="R31" s="367">
        <f t="shared" si="4"/>
        <v>1144138</v>
      </c>
      <c r="S31" s="369">
        <f t="shared" si="4"/>
        <v>3012934.4400000004</v>
      </c>
      <c r="T31" s="370">
        <f>N31/'2018'!N31-1</f>
        <v>-0.14114285346467093</v>
      </c>
      <c r="U31" s="371">
        <f>O31/'2018'!O31-1</f>
        <v>0.12880320841369985</v>
      </c>
      <c r="V31" s="371">
        <f>P31/'2018'!P31-1</f>
        <v>-1.9820857221585331E-2</v>
      </c>
      <c r="W31" s="371">
        <f>Q31/'2018'!Q31-1</f>
        <v>-0.14114285346467093</v>
      </c>
      <c r="X31" s="371">
        <f>R31/'2018'!R31-1</f>
        <v>0.12880320841369985</v>
      </c>
      <c r="Y31" s="372">
        <f>S31/'2018'!S31-1</f>
        <v>-1.9820857221585331E-2</v>
      </c>
      <c r="Z31" s="373"/>
      <c r="AA31" s="374">
        <f t="shared" si="1"/>
        <v>173.45728</v>
      </c>
      <c r="AB31" s="375"/>
      <c r="AC31" s="365"/>
      <c r="AD31" s="375">
        <f t="shared" si="5"/>
        <v>1868796.4400000004</v>
      </c>
      <c r="AE31" s="348">
        <f t="shared" si="12"/>
        <v>12602.500000000002</v>
      </c>
      <c r="AF31" s="348">
        <f t="shared" si="12"/>
        <v>103806.73</v>
      </c>
      <c r="AG31" s="365">
        <f t="shared" si="8"/>
        <v>17814.410000000367</v>
      </c>
      <c r="AH31" s="357"/>
      <c r="AI31" s="358"/>
      <c r="AJ31" s="358"/>
      <c r="AK31" s="358"/>
      <c r="AL31" s="358"/>
      <c r="AM31" s="358"/>
      <c r="AN31" s="358"/>
      <c r="AO31" s="358"/>
      <c r="AP31" s="358"/>
      <c r="AQ31" s="358"/>
      <c r="AR31" s="358"/>
      <c r="AS31" s="358"/>
      <c r="AT31" s="358"/>
      <c r="AU31" s="358"/>
      <c r="AV31" s="358"/>
      <c r="AW31" s="358"/>
      <c r="AX31" s="358"/>
      <c r="AY31" s="358"/>
      <c r="AZ31" s="358"/>
      <c r="BA31" s="358"/>
      <c r="BB31" s="358"/>
      <c r="BC31" s="358"/>
    </row>
    <row r="32" spans="1:55" s="376" customFormat="1" x14ac:dyDescent="0.15">
      <c r="A32" s="448">
        <v>42763</v>
      </c>
      <c r="B32" s="360" t="s">
        <v>34</v>
      </c>
      <c r="C32" s="361">
        <v>29712</v>
      </c>
      <c r="D32" s="348">
        <f>27014+10492</f>
        <v>37506</v>
      </c>
      <c r="E32" s="348">
        <v>71837</v>
      </c>
      <c r="F32" s="362">
        <v>3431.7</v>
      </c>
      <c r="G32" s="348">
        <v>2261.3000000000002</v>
      </c>
      <c r="H32" s="363"/>
      <c r="I32" s="363"/>
      <c r="J32" s="364">
        <f t="shared" si="0"/>
        <v>34331</v>
      </c>
      <c r="K32" s="348">
        <v>706</v>
      </c>
      <c r="L32" s="348">
        <v>3849</v>
      </c>
      <c r="M32" s="365">
        <f t="shared" si="2"/>
        <v>64</v>
      </c>
      <c r="N32" s="366">
        <f t="shared" si="11"/>
        <v>1764284.8</v>
      </c>
      <c r="O32" s="349">
        <f t="shared" si="11"/>
        <v>1181644</v>
      </c>
      <c r="P32" s="456">
        <f t="shared" si="11"/>
        <v>3084771.4400000004</v>
      </c>
      <c r="Q32" s="368">
        <f t="shared" si="4"/>
        <v>1764284.8</v>
      </c>
      <c r="R32" s="367">
        <f t="shared" si="4"/>
        <v>1181644</v>
      </c>
      <c r="S32" s="369">
        <f t="shared" si="4"/>
        <v>3084771.4400000004</v>
      </c>
      <c r="T32" s="370">
        <f>N32/'2018'!N32-1</f>
        <v>-0.1581666837646396</v>
      </c>
      <c r="U32" s="371">
        <f>O32/'2018'!O32-1</f>
        <v>0.12270640458491044</v>
      </c>
      <c r="V32" s="371">
        <f>P32/'2018'!P32-1</f>
        <v>-3.2971852223388942E-2</v>
      </c>
      <c r="W32" s="371">
        <f>Q32/'2018'!Q32-1</f>
        <v>-0.1581666837646396</v>
      </c>
      <c r="X32" s="371">
        <f>R32/'2018'!R32-1</f>
        <v>0.12270640458491044</v>
      </c>
      <c r="Y32" s="372">
        <f>S32/'2018'!S32-1</f>
        <v>-3.2971852223388942E-2</v>
      </c>
      <c r="Z32" s="373"/>
      <c r="AA32" s="374">
        <f t="shared" si="1"/>
        <v>176.42848000000001</v>
      </c>
      <c r="AB32" s="375"/>
      <c r="AC32" s="365"/>
      <c r="AD32" s="375">
        <f t="shared" si="5"/>
        <v>1903127.4400000004</v>
      </c>
      <c r="AE32" s="348">
        <f t="shared" si="12"/>
        <v>13308.500000000002</v>
      </c>
      <c r="AF32" s="348">
        <f t="shared" si="12"/>
        <v>107655.73</v>
      </c>
      <c r="AG32" s="365">
        <f t="shared" si="8"/>
        <v>17878.410000000367</v>
      </c>
      <c r="AH32" s="357"/>
      <c r="AI32" s="358"/>
      <c r="AJ32" s="358"/>
      <c r="AK32" s="358"/>
      <c r="AL32" s="358"/>
      <c r="AM32" s="358"/>
      <c r="AN32" s="358"/>
      <c r="AO32" s="358"/>
      <c r="AP32" s="358"/>
      <c r="AQ32" s="358"/>
      <c r="AR32" s="358"/>
      <c r="AS32" s="358"/>
      <c r="AT32" s="358"/>
      <c r="AU32" s="358"/>
      <c r="AV32" s="358"/>
      <c r="AW32" s="358"/>
      <c r="AX32" s="358"/>
      <c r="AY32" s="358"/>
      <c r="AZ32" s="358"/>
      <c r="BA32" s="358"/>
      <c r="BB32" s="358"/>
      <c r="BC32" s="358"/>
    </row>
    <row r="33" spans="1:55" s="376" customFormat="1" x14ac:dyDescent="0.15">
      <c r="A33" s="448">
        <v>42764</v>
      </c>
      <c r="B33" s="360" t="s">
        <v>35</v>
      </c>
      <c r="C33" s="361">
        <v>25960</v>
      </c>
      <c r="D33" s="348">
        <f>24373+10362</f>
        <v>34735</v>
      </c>
      <c r="E33" s="348">
        <v>66344</v>
      </c>
      <c r="F33" s="362">
        <v>3183.7</v>
      </c>
      <c r="G33" s="348">
        <v>2172.6</v>
      </c>
      <c r="H33" s="363"/>
      <c r="I33" s="363"/>
      <c r="J33" s="364">
        <f t="shared" si="0"/>
        <v>31609</v>
      </c>
      <c r="K33" s="348">
        <v>886</v>
      </c>
      <c r="L33" s="348">
        <v>3844</v>
      </c>
      <c r="M33" s="365">
        <f t="shared" si="2"/>
        <v>919</v>
      </c>
      <c r="N33" s="366">
        <f t="shared" si="11"/>
        <v>1790244.8</v>
      </c>
      <c r="O33" s="349">
        <f t="shared" si="11"/>
        <v>1216379</v>
      </c>
      <c r="P33" s="456">
        <f t="shared" si="11"/>
        <v>3151115.4400000004</v>
      </c>
      <c r="Q33" s="368">
        <f t="shared" si="4"/>
        <v>1790244.8</v>
      </c>
      <c r="R33" s="367">
        <f t="shared" si="4"/>
        <v>1216379</v>
      </c>
      <c r="S33" s="369">
        <f t="shared" si="4"/>
        <v>3151115.4400000004</v>
      </c>
      <c r="T33" s="370">
        <f>N33/'2018'!N33-1</f>
        <v>-0.17618193673850391</v>
      </c>
      <c r="U33" s="371">
        <f>O33/'2018'!O33-1</f>
        <v>0.11287902492401658</v>
      </c>
      <c r="V33" s="371">
        <f>P33/'2018'!P33-1</f>
        <v>-4.7864166527925467E-2</v>
      </c>
      <c r="W33" s="371">
        <f>Q33/'2018'!Q33-1</f>
        <v>-0.17618193673850391</v>
      </c>
      <c r="X33" s="371">
        <f>R33/'2018'!R33-1</f>
        <v>0.11287902492401658</v>
      </c>
      <c r="Y33" s="372">
        <f>S33/'2018'!S33-1</f>
        <v>-4.7864166527925467E-2</v>
      </c>
      <c r="Z33" s="373"/>
      <c r="AA33" s="374">
        <f t="shared" si="1"/>
        <v>179.02448000000001</v>
      </c>
      <c r="AB33" s="375"/>
      <c r="AC33" s="365"/>
      <c r="AD33" s="375">
        <f t="shared" si="5"/>
        <v>1934736.4400000004</v>
      </c>
      <c r="AE33" s="348">
        <f t="shared" si="12"/>
        <v>14194.500000000002</v>
      </c>
      <c r="AF33" s="348">
        <f t="shared" si="12"/>
        <v>111499.73</v>
      </c>
      <c r="AG33" s="365">
        <f t="shared" si="8"/>
        <v>18797.410000000367</v>
      </c>
      <c r="AH33" s="357"/>
      <c r="AI33" s="358"/>
      <c r="AJ33" s="358"/>
      <c r="AK33" s="358"/>
      <c r="AL33" s="358"/>
      <c r="AM33" s="358"/>
      <c r="AN33" s="358"/>
      <c r="AO33" s="358"/>
      <c r="AP33" s="358"/>
      <c r="AQ33" s="358"/>
      <c r="AR33" s="358"/>
      <c r="AS33" s="358"/>
      <c r="AT33" s="358"/>
      <c r="AU33" s="358"/>
      <c r="AV33" s="358"/>
      <c r="AW33" s="358"/>
      <c r="AX33" s="358"/>
      <c r="AY33" s="358"/>
      <c r="AZ33" s="358"/>
      <c r="BA33" s="358"/>
      <c r="BB33" s="358"/>
      <c r="BC33" s="358"/>
    </row>
    <row r="34" spans="1:55" s="376" customFormat="1" x14ac:dyDescent="0.15">
      <c r="A34" s="448">
        <v>42765</v>
      </c>
      <c r="B34" s="360" t="s">
        <v>36</v>
      </c>
      <c r="C34" s="361">
        <v>21593</v>
      </c>
      <c r="D34" s="348">
        <f>22315+9795</f>
        <v>32110</v>
      </c>
      <c r="E34" s="348">
        <v>58867</v>
      </c>
      <c r="F34" s="362">
        <v>2865.8</v>
      </c>
      <c r="G34" s="348">
        <v>1994.3</v>
      </c>
      <c r="H34" s="363"/>
      <c r="I34" s="363"/>
      <c r="J34" s="364">
        <f t="shared" si="0"/>
        <v>26757</v>
      </c>
      <c r="K34" s="348">
        <v>649</v>
      </c>
      <c r="L34" s="348">
        <v>3849</v>
      </c>
      <c r="M34" s="365">
        <f t="shared" si="2"/>
        <v>666</v>
      </c>
      <c r="N34" s="366">
        <f t="shared" si="11"/>
        <v>1811837.8</v>
      </c>
      <c r="O34" s="349">
        <f t="shared" si="11"/>
        <v>1248489</v>
      </c>
      <c r="P34" s="456">
        <f t="shared" si="11"/>
        <v>3209982.4400000004</v>
      </c>
      <c r="Q34" s="368">
        <f t="shared" si="4"/>
        <v>1811837.8</v>
      </c>
      <c r="R34" s="367">
        <f t="shared" si="4"/>
        <v>1248489</v>
      </c>
      <c r="S34" s="369">
        <f t="shared" si="4"/>
        <v>3209982.4400000004</v>
      </c>
      <c r="T34" s="370">
        <f>N34/'2018'!N34-1</f>
        <v>-0.19557714293325401</v>
      </c>
      <c r="U34" s="371">
        <f>O34/'2018'!O34-1</f>
        <v>0.10298342639055758</v>
      </c>
      <c r="V34" s="371">
        <f>P34/'2018'!P34-1</f>
        <v>-6.393383229918348E-2</v>
      </c>
      <c r="W34" s="371">
        <f>Q34/'2018'!Q34-1</f>
        <v>-0.19557714293325401</v>
      </c>
      <c r="X34" s="371">
        <f>R34/'2018'!R34-1</f>
        <v>0.10298342639055758</v>
      </c>
      <c r="Y34" s="372">
        <f>S34/'2018'!S34-1</f>
        <v>-6.393383229918348E-2</v>
      </c>
      <c r="Z34" s="373"/>
      <c r="AA34" s="374">
        <f t="shared" si="1"/>
        <v>181.18378000000001</v>
      </c>
      <c r="AB34" s="375"/>
      <c r="AC34" s="365"/>
      <c r="AD34" s="375">
        <f t="shared" si="5"/>
        <v>1961493.4400000004</v>
      </c>
      <c r="AE34" s="348">
        <f t="shared" si="12"/>
        <v>14843.500000000002</v>
      </c>
      <c r="AF34" s="348">
        <f t="shared" si="12"/>
        <v>115348.73</v>
      </c>
      <c r="AG34" s="365">
        <f t="shared" si="8"/>
        <v>19463.410000000367</v>
      </c>
      <c r="AH34" s="357"/>
      <c r="AI34" s="358"/>
      <c r="AJ34" s="358"/>
      <c r="AK34" s="358"/>
      <c r="AL34" s="358"/>
      <c r="AM34" s="358"/>
      <c r="AN34" s="358"/>
      <c r="AO34" s="358"/>
      <c r="AP34" s="358"/>
      <c r="AQ34" s="358"/>
      <c r="AR34" s="358"/>
      <c r="AS34" s="358"/>
      <c r="AT34" s="358"/>
      <c r="AU34" s="358"/>
      <c r="AV34" s="358"/>
      <c r="AW34" s="358"/>
      <c r="AX34" s="358"/>
      <c r="AY34" s="358"/>
      <c r="AZ34" s="358"/>
      <c r="BA34" s="358"/>
      <c r="BB34" s="358"/>
      <c r="BC34" s="358"/>
    </row>
    <row r="35" spans="1:55" s="376" customFormat="1" x14ac:dyDescent="0.15">
      <c r="A35" s="403">
        <v>42766</v>
      </c>
      <c r="B35" s="380" t="s">
        <v>37</v>
      </c>
      <c r="C35" s="460">
        <v>23294.35</v>
      </c>
      <c r="D35" s="461">
        <v>30048</v>
      </c>
      <c r="E35" s="461">
        <v>58967.32</v>
      </c>
      <c r="F35" s="461">
        <v>2944.2</v>
      </c>
      <c r="G35" s="461">
        <v>1800.8</v>
      </c>
      <c r="H35" s="384"/>
      <c r="I35" s="384"/>
      <c r="J35" s="385">
        <f t="shared" si="0"/>
        <v>28919.32</v>
      </c>
      <c r="K35" s="382">
        <v>961.66</v>
      </c>
      <c r="L35" s="382">
        <v>3846.43</v>
      </c>
      <c r="M35" s="386">
        <f t="shared" si="2"/>
        <v>816.88000000000102</v>
      </c>
      <c r="N35" s="387">
        <f>[1]表2、统调口径电量!$D$10</f>
        <v>1835074.72</v>
      </c>
      <c r="O35" s="388">
        <f>[1]表2、统调口径电量!$D$14</f>
        <v>1278537</v>
      </c>
      <c r="P35" s="410">
        <f>[1]表2、统调口径电量!$D$3</f>
        <v>3269642.36</v>
      </c>
      <c r="Q35" s="390">
        <f t="shared" si="4"/>
        <v>1835074.72</v>
      </c>
      <c r="R35" s="388">
        <f t="shared" si="4"/>
        <v>1278537</v>
      </c>
      <c r="S35" s="391">
        <f>P35</f>
        <v>3269642.36</v>
      </c>
      <c r="T35" s="392">
        <f>N35/'2018'!N35-1</f>
        <v>-0.21569424320448316</v>
      </c>
      <c r="U35" s="393">
        <f>O35/'2018'!O35-1</f>
        <v>9.1596698922693065E-2</v>
      </c>
      <c r="V35" s="393">
        <f>P35/'2018'!P35-1</f>
        <v>-8.1065818982789306E-2</v>
      </c>
      <c r="W35" s="393">
        <f>Q35/'2018'!Q35-1</f>
        <v>-0.21569424320448316</v>
      </c>
      <c r="X35" s="393">
        <f>R35/'2018'!R35-1</f>
        <v>9.1596698922693065E-2</v>
      </c>
      <c r="Y35" s="394">
        <f>S35/'2018'!S35-1</f>
        <v>-8.1065818982789306E-2</v>
      </c>
      <c r="Z35" s="395">
        <f>[1]表2、统调口径电量!$D$12/10000</f>
        <v>9.2071960000000015</v>
      </c>
      <c r="AA35" s="396">
        <f>[1]表2、统调口径电量!$D$11/10000</f>
        <v>174.300276</v>
      </c>
      <c r="AB35" s="462">
        <v>4259.88</v>
      </c>
      <c r="AC35" s="386">
        <f t="shared" ref="AC35" si="14">AA35*10000/AB35</f>
        <v>409.16710329868448</v>
      </c>
      <c r="AD35" s="397">
        <f>[1]表2、统调口径电量!$D$4</f>
        <v>1991105.36</v>
      </c>
      <c r="AE35" s="382">
        <f>[1]表2、统调口径电量!$D$13</f>
        <v>15803.72</v>
      </c>
      <c r="AF35" s="382">
        <f>[1]表2、统调口径电量!$D$17</f>
        <v>119197.75999999999</v>
      </c>
      <c r="AG35" s="386">
        <f t="shared" ref="AG35" si="15">AD35-Q35-AE35-AF35</f>
        <v>21029.160000000134</v>
      </c>
      <c r="AH35" s="357"/>
      <c r="AI35" s="358"/>
      <c r="AJ35" s="358"/>
      <c r="AK35" s="358"/>
      <c r="AL35" s="358"/>
      <c r="AM35" s="358"/>
      <c r="AN35" s="358"/>
      <c r="AO35" s="358"/>
      <c r="AP35" s="358"/>
      <c r="AQ35" s="358"/>
      <c r="AR35" s="358"/>
      <c r="AS35" s="358"/>
      <c r="AT35" s="358"/>
      <c r="AU35" s="358"/>
      <c r="AV35" s="358"/>
      <c r="AW35" s="358"/>
      <c r="AX35" s="358"/>
      <c r="AY35" s="358"/>
      <c r="AZ35" s="358"/>
      <c r="BA35" s="358"/>
      <c r="BB35" s="358"/>
      <c r="BC35" s="358"/>
    </row>
    <row r="36" spans="1:55" s="376" customFormat="1" x14ac:dyDescent="0.15">
      <c r="A36" s="448">
        <v>42767</v>
      </c>
      <c r="B36" s="360" t="s">
        <v>38</v>
      </c>
      <c r="C36" s="361">
        <v>25002</v>
      </c>
      <c r="D36" s="348">
        <v>26132</v>
      </c>
      <c r="E36" s="348">
        <v>56273</v>
      </c>
      <c r="F36" s="362">
        <v>2890</v>
      </c>
      <c r="G36" s="348">
        <v>1794</v>
      </c>
      <c r="H36" s="363"/>
      <c r="I36" s="363"/>
      <c r="J36" s="364">
        <f t="shared" si="0"/>
        <v>30141</v>
      </c>
      <c r="K36" s="348">
        <v>682</v>
      </c>
      <c r="L36" s="348">
        <v>3849</v>
      </c>
      <c r="M36" s="365">
        <f t="shared" si="2"/>
        <v>608</v>
      </c>
      <c r="N36" s="366">
        <f>C36</f>
        <v>25002</v>
      </c>
      <c r="O36" s="398">
        <f>D36</f>
        <v>26132</v>
      </c>
      <c r="P36" s="353">
        <f>E36</f>
        <v>56273</v>
      </c>
      <c r="Q36" s="368">
        <f>N36+Q$35</f>
        <v>1860076.72</v>
      </c>
      <c r="R36" s="367">
        <f>O36+R$35</f>
        <v>1304669</v>
      </c>
      <c r="S36" s="369">
        <f>P36+S$35</f>
        <v>3325915.36</v>
      </c>
      <c r="T36" s="370">
        <f>N36/'2018'!N36-1</f>
        <v>-0.66703068399744292</v>
      </c>
      <c r="U36" s="371">
        <f>O36/'2018'!O36-1</f>
        <v>-0.23868900218499634</v>
      </c>
      <c r="V36" s="371">
        <f>P36/'2018'!P36-1</f>
        <v>-0.49451605659106224</v>
      </c>
      <c r="W36" s="371">
        <f>Q36/'2018'!Q36-1</f>
        <v>-0.22972832512194097</v>
      </c>
      <c r="X36" s="371">
        <f>R36/'2018'!R36-1</f>
        <v>8.2192871640929477E-2</v>
      </c>
      <c r="Y36" s="372">
        <f>S36/'2018'!S36-1</f>
        <v>-9.3609360416066489E-2</v>
      </c>
      <c r="Z36" s="373"/>
      <c r="AA36" s="374">
        <f t="shared" si="1"/>
        <v>186.00767199999999</v>
      </c>
      <c r="AB36" s="375"/>
      <c r="AC36" s="365"/>
      <c r="AD36" s="375">
        <f t="shared" si="5"/>
        <v>2021246.3599999999</v>
      </c>
      <c r="AE36" s="348">
        <f t="shared" si="12"/>
        <v>16485.72</v>
      </c>
      <c r="AF36" s="348">
        <f t="shared" si="12"/>
        <v>123046.76</v>
      </c>
      <c r="AG36" s="365">
        <f t="shared" si="8"/>
        <v>21637.159999999902</v>
      </c>
      <c r="AH36" s="379">
        <f>(AD36-AD29)/('2017'!AD36-'2017'!AD29)-1</f>
        <v>0.38182774854772239</v>
      </c>
      <c r="AI36" s="358"/>
      <c r="AJ36" s="358"/>
      <c r="AK36" s="358"/>
      <c r="AL36" s="358"/>
      <c r="AM36" s="358"/>
      <c r="AN36" s="358"/>
      <c r="AO36" s="358"/>
      <c r="AP36" s="358"/>
      <c r="AQ36" s="358"/>
      <c r="AR36" s="358"/>
      <c r="AS36" s="358"/>
      <c r="AT36" s="358"/>
      <c r="AU36" s="358"/>
      <c r="AV36" s="358"/>
      <c r="AW36" s="358"/>
      <c r="AX36" s="358"/>
      <c r="AY36" s="358"/>
      <c r="AZ36" s="358"/>
      <c r="BA36" s="358"/>
      <c r="BB36" s="358"/>
      <c r="BC36" s="358"/>
    </row>
    <row r="37" spans="1:55" s="376" customFormat="1" x14ac:dyDescent="0.15">
      <c r="A37" s="448">
        <v>42768</v>
      </c>
      <c r="B37" s="360" t="s">
        <v>39</v>
      </c>
      <c r="C37" s="361">
        <v>20314</v>
      </c>
      <c r="D37" s="348">
        <f>14540+8965</f>
        <v>23505</v>
      </c>
      <c r="E37" s="348">
        <v>49369</v>
      </c>
      <c r="F37" s="362">
        <v>2467.5</v>
      </c>
      <c r="G37" s="348">
        <v>1702.5</v>
      </c>
      <c r="H37" s="363"/>
      <c r="I37" s="363"/>
      <c r="J37" s="364">
        <f t="shared" si="0"/>
        <v>25864</v>
      </c>
      <c r="K37" s="348">
        <v>698</v>
      </c>
      <c r="L37" s="348">
        <v>3848</v>
      </c>
      <c r="M37" s="365">
        <f t="shared" si="2"/>
        <v>1004</v>
      </c>
      <c r="N37" s="366">
        <f t="shared" ref="N37:P52" si="16">N36+C37</f>
        <v>45316</v>
      </c>
      <c r="O37" s="349">
        <f t="shared" si="16"/>
        <v>49637</v>
      </c>
      <c r="P37" s="353">
        <f t="shared" si="16"/>
        <v>105642</v>
      </c>
      <c r="Q37" s="368">
        <f t="shared" ref="Q37:S62" si="17">N37+Q$35</f>
        <v>1880390.72</v>
      </c>
      <c r="R37" s="367">
        <f t="shared" si="17"/>
        <v>1328174</v>
      </c>
      <c r="S37" s="369">
        <f t="shared" si="17"/>
        <v>3375284.36</v>
      </c>
      <c r="T37" s="370">
        <f>N37/'2018'!N37-1</f>
        <v>-0.68960155623899777</v>
      </c>
      <c r="U37" s="371">
        <f>O37/'2018'!O37-1</f>
        <v>-0.27083761788641769</v>
      </c>
      <c r="V37" s="371">
        <f>P37/'2018'!P37-1</f>
        <v>-0.51470912498621879</v>
      </c>
      <c r="W37" s="371">
        <f>Q37/'2018'!Q37-1</f>
        <v>-0.24352789947564202</v>
      </c>
      <c r="X37" s="371">
        <f>R37/'2018'!R37-1</f>
        <v>7.1688850732009701E-2</v>
      </c>
      <c r="Y37" s="372">
        <f>S37/'2018'!S37-1</f>
        <v>-0.10606706799911547</v>
      </c>
      <c r="Z37" s="373"/>
      <c r="AA37" s="374">
        <f t="shared" si="1"/>
        <v>188.039072</v>
      </c>
      <c r="AB37" s="375"/>
      <c r="AC37" s="365"/>
      <c r="AD37" s="375">
        <f t="shared" si="5"/>
        <v>2047110.3599999999</v>
      </c>
      <c r="AE37" s="348">
        <f t="shared" si="12"/>
        <v>17183.72</v>
      </c>
      <c r="AF37" s="348">
        <f t="shared" si="12"/>
        <v>126894.76</v>
      </c>
      <c r="AG37" s="365">
        <f t="shared" si="8"/>
        <v>22641.159999999902</v>
      </c>
      <c r="AH37" s="357"/>
      <c r="AI37" s="358"/>
      <c r="AJ37" s="358"/>
      <c r="AK37" s="358"/>
      <c r="AL37" s="358"/>
      <c r="AM37" s="358"/>
      <c r="AN37" s="358"/>
      <c r="AO37" s="358"/>
      <c r="AP37" s="358"/>
      <c r="AQ37" s="358"/>
      <c r="AR37" s="358"/>
      <c r="AS37" s="358"/>
      <c r="AT37" s="358"/>
      <c r="AU37" s="358"/>
      <c r="AV37" s="358"/>
      <c r="AW37" s="358"/>
      <c r="AX37" s="358"/>
      <c r="AY37" s="358"/>
      <c r="AZ37" s="358"/>
      <c r="BA37" s="358"/>
      <c r="BB37" s="358"/>
      <c r="BC37" s="358"/>
    </row>
    <row r="38" spans="1:55" s="376" customFormat="1" x14ac:dyDescent="0.15">
      <c r="A38" s="448">
        <v>42769</v>
      </c>
      <c r="B38" s="360" t="s">
        <v>1</v>
      </c>
      <c r="C38" s="361">
        <v>18720</v>
      </c>
      <c r="D38" s="348">
        <f>13427+8670</f>
        <v>22097</v>
      </c>
      <c r="E38" s="348">
        <v>45902</v>
      </c>
      <c r="F38" s="362">
        <v>2449.1</v>
      </c>
      <c r="G38" s="348">
        <v>1470</v>
      </c>
      <c r="H38" s="363"/>
      <c r="I38" s="363"/>
      <c r="J38" s="364">
        <f t="shared" si="0"/>
        <v>23805</v>
      </c>
      <c r="K38" s="348">
        <v>608</v>
      </c>
      <c r="L38" s="348">
        <v>3508</v>
      </c>
      <c r="M38" s="365">
        <f t="shared" si="2"/>
        <v>969</v>
      </c>
      <c r="N38" s="366">
        <f t="shared" si="16"/>
        <v>64036</v>
      </c>
      <c r="O38" s="349">
        <f t="shared" si="16"/>
        <v>71734</v>
      </c>
      <c r="P38" s="353">
        <f t="shared" si="16"/>
        <v>151544</v>
      </c>
      <c r="Q38" s="368">
        <f t="shared" si="17"/>
        <v>1899110.72</v>
      </c>
      <c r="R38" s="367">
        <f t="shared" si="17"/>
        <v>1350271</v>
      </c>
      <c r="S38" s="369">
        <f t="shared" si="17"/>
        <v>3421186.36</v>
      </c>
      <c r="T38" s="370">
        <f>N38/'2018'!N38-1</f>
        <v>-0.69945039730032899</v>
      </c>
      <c r="U38" s="371">
        <f>O38/'2018'!O38-1</f>
        <v>-0.28332650634909529</v>
      </c>
      <c r="V38" s="371">
        <f>P38/'2018'!P38-1</f>
        <v>-0.52455740204490764</v>
      </c>
      <c r="W38" s="371">
        <f>Q38/'2018'!Q38-1</f>
        <v>-0.25606961660525662</v>
      </c>
      <c r="X38" s="371">
        <f>R38/'2018'!R38-1</f>
        <v>6.2079039003513525E-2</v>
      </c>
      <c r="Y38" s="372">
        <f>S38/'2018'!S38-1</f>
        <v>-0.11752861256961022</v>
      </c>
      <c r="Z38" s="373"/>
      <c r="AA38" s="374">
        <f t="shared" si="1"/>
        <v>189.91107199999999</v>
      </c>
      <c r="AB38" s="375"/>
      <c r="AC38" s="365"/>
      <c r="AD38" s="375">
        <f t="shared" si="5"/>
        <v>2070915.3599999999</v>
      </c>
      <c r="AE38" s="348">
        <f t="shared" si="12"/>
        <v>17791.72</v>
      </c>
      <c r="AF38" s="348">
        <f t="shared" si="12"/>
        <v>130402.76</v>
      </c>
      <c r="AG38" s="365">
        <f t="shared" si="8"/>
        <v>23610.159999999902</v>
      </c>
      <c r="AH38" s="357"/>
      <c r="AI38" s="358"/>
      <c r="AJ38" s="358"/>
      <c r="AK38" s="358"/>
      <c r="AL38" s="358"/>
      <c r="AM38" s="358"/>
      <c r="AN38" s="358"/>
      <c r="AO38" s="358"/>
      <c r="AP38" s="358"/>
      <c r="AQ38" s="358"/>
      <c r="AR38" s="358"/>
      <c r="AS38" s="358"/>
      <c r="AT38" s="358"/>
      <c r="AU38" s="358"/>
      <c r="AV38" s="358"/>
      <c r="AW38" s="358"/>
      <c r="AX38" s="358"/>
      <c r="AY38" s="358"/>
      <c r="AZ38" s="358"/>
      <c r="BA38" s="358"/>
      <c r="BB38" s="358"/>
      <c r="BC38" s="358"/>
    </row>
    <row r="39" spans="1:55" s="376" customFormat="1" x14ac:dyDescent="0.15">
      <c r="A39" s="400">
        <v>42770</v>
      </c>
      <c r="B39" s="360" t="s">
        <v>34</v>
      </c>
      <c r="C39" s="361">
        <v>20645</v>
      </c>
      <c r="D39" s="348">
        <f>12758+7925</f>
        <v>20683</v>
      </c>
      <c r="E39" s="348">
        <v>45529</v>
      </c>
      <c r="F39" s="362">
        <v>2496</v>
      </c>
      <c r="G39" s="348">
        <v>1432.2</v>
      </c>
      <c r="H39" s="363"/>
      <c r="I39" s="363"/>
      <c r="J39" s="364">
        <f t="shared" si="0"/>
        <v>24846</v>
      </c>
      <c r="K39" s="348">
        <v>387</v>
      </c>
      <c r="L39" s="348">
        <v>3484</v>
      </c>
      <c r="M39" s="365">
        <f t="shared" si="2"/>
        <v>330</v>
      </c>
      <c r="N39" s="366">
        <f t="shared" si="16"/>
        <v>84681</v>
      </c>
      <c r="O39" s="349">
        <f t="shared" si="16"/>
        <v>92417</v>
      </c>
      <c r="P39" s="353">
        <f t="shared" si="16"/>
        <v>197073</v>
      </c>
      <c r="Q39" s="368">
        <f t="shared" si="17"/>
        <v>1919755.72</v>
      </c>
      <c r="R39" s="367">
        <f t="shared" si="17"/>
        <v>1370954</v>
      </c>
      <c r="S39" s="369">
        <f t="shared" si="17"/>
        <v>3466715.36</v>
      </c>
      <c r="T39" s="370">
        <f>N39/'2018'!N39-1</f>
        <v>-0.69226044895719396</v>
      </c>
      <c r="U39" s="371">
        <f>O39/'2018'!O39-1</f>
        <v>-0.29920226883237033</v>
      </c>
      <c r="V39" s="371">
        <f>P39/'2018'!P39-1</f>
        <v>-0.52477145633736932</v>
      </c>
      <c r="W39" s="371">
        <f>Q39/'2018'!Q39-1</f>
        <v>-0.26584394114770171</v>
      </c>
      <c r="X39" s="371">
        <f>R39/'2018'!R39-1</f>
        <v>5.2048609192650197E-2</v>
      </c>
      <c r="Y39" s="372">
        <f>S39/'2018'!S39-1</f>
        <v>-0.1273812704867654</v>
      </c>
      <c r="Z39" s="373"/>
      <c r="AA39" s="374">
        <f t="shared" si="1"/>
        <v>191.975572</v>
      </c>
      <c r="AB39" s="375"/>
      <c r="AC39" s="365"/>
      <c r="AD39" s="375">
        <f t="shared" si="5"/>
        <v>2095761.3599999999</v>
      </c>
      <c r="AE39" s="348">
        <f t="shared" ref="AE39:AF54" si="18">AE38+K39</f>
        <v>18178.72</v>
      </c>
      <c r="AF39" s="348">
        <f t="shared" si="18"/>
        <v>133886.76</v>
      </c>
      <c r="AG39" s="365">
        <f t="shared" si="8"/>
        <v>23940.159999999887</v>
      </c>
      <c r="AH39" s="357"/>
      <c r="AI39" s="358"/>
      <c r="AJ39" s="358"/>
      <c r="AK39" s="358"/>
      <c r="AL39" s="358"/>
      <c r="AM39" s="358"/>
      <c r="AN39" s="358"/>
      <c r="AO39" s="358"/>
      <c r="AP39" s="358"/>
      <c r="AQ39" s="358"/>
      <c r="AR39" s="358"/>
      <c r="AS39" s="358"/>
      <c r="AT39" s="358"/>
      <c r="AU39" s="358"/>
      <c r="AV39" s="358"/>
      <c r="AW39" s="358"/>
      <c r="AX39" s="358"/>
      <c r="AY39" s="358"/>
      <c r="AZ39" s="358"/>
      <c r="BA39" s="358"/>
      <c r="BB39" s="358"/>
      <c r="BC39" s="358"/>
    </row>
    <row r="40" spans="1:55" s="376" customFormat="1" x14ac:dyDescent="0.15">
      <c r="A40" s="400">
        <v>42771</v>
      </c>
      <c r="B40" s="360" t="s">
        <v>35</v>
      </c>
      <c r="C40" s="361">
        <v>23820</v>
      </c>
      <c r="D40" s="348">
        <f>12458+5344</f>
        <v>17802</v>
      </c>
      <c r="E40" s="348">
        <v>43066</v>
      </c>
      <c r="F40" s="362">
        <v>2198.3000000000002</v>
      </c>
      <c r="G40" s="348">
        <v>1490.8</v>
      </c>
      <c r="H40" s="363"/>
      <c r="I40" s="363"/>
      <c r="J40" s="364">
        <f t="shared" si="0"/>
        <v>25264</v>
      </c>
      <c r="K40" s="348">
        <v>205</v>
      </c>
      <c r="L40" s="348">
        <v>830</v>
      </c>
      <c r="M40" s="365">
        <f t="shared" si="2"/>
        <v>409</v>
      </c>
      <c r="N40" s="366">
        <f t="shared" si="16"/>
        <v>108501</v>
      </c>
      <c r="O40" s="349">
        <f t="shared" si="16"/>
        <v>110219</v>
      </c>
      <c r="P40" s="353">
        <f t="shared" si="16"/>
        <v>240139</v>
      </c>
      <c r="Q40" s="368">
        <f t="shared" si="17"/>
        <v>1943575.72</v>
      </c>
      <c r="R40" s="367">
        <f t="shared" si="17"/>
        <v>1388756</v>
      </c>
      <c r="S40" s="369">
        <f t="shared" si="17"/>
        <v>3509781.36</v>
      </c>
      <c r="T40" s="370">
        <f>N40/'2018'!N40-1</f>
        <v>-0.6759055146334032</v>
      </c>
      <c r="U40" s="371">
        <f>O40/'2018'!O40-1</f>
        <v>-0.32707124977104829</v>
      </c>
      <c r="V40" s="371">
        <f>P40/'2018'!P40-1</f>
        <v>-0.52746495917889469</v>
      </c>
      <c r="W40" s="371">
        <f>Q40/'2018'!Q40-1</f>
        <v>-0.27330087988225382</v>
      </c>
      <c r="X40" s="371">
        <f>R40/'2018'!R40-1</f>
        <v>4.0232381854081289E-2</v>
      </c>
      <c r="Y40" s="372">
        <f>S40/'2018'!S40-1</f>
        <v>-0.13685569235553663</v>
      </c>
      <c r="Z40" s="373"/>
      <c r="AA40" s="374">
        <f t="shared" si="1"/>
        <v>194.357572</v>
      </c>
      <c r="AB40" s="375"/>
      <c r="AC40" s="365"/>
      <c r="AD40" s="375">
        <f t="shared" si="5"/>
        <v>2121025.36</v>
      </c>
      <c r="AE40" s="348">
        <f t="shared" si="18"/>
        <v>18383.72</v>
      </c>
      <c r="AF40" s="348">
        <f t="shared" si="18"/>
        <v>134716.76</v>
      </c>
      <c r="AG40" s="365">
        <f t="shared" si="8"/>
        <v>24349.159999999887</v>
      </c>
      <c r="AH40" s="357"/>
      <c r="AI40" s="358"/>
      <c r="AJ40" s="358"/>
      <c r="AK40" s="358"/>
      <c r="AL40" s="358"/>
      <c r="AM40" s="358"/>
      <c r="AN40" s="358"/>
      <c r="AO40" s="358"/>
      <c r="AP40" s="358"/>
      <c r="AQ40" s="358"/>
      <c r="AR40" s="358"/>
      <c r="AS40" s="358"/>
      <c r="AT40" s="358"/>
      <c r="AU40" s="358"/>
      <c r="AV40" s="358"/>
      <c r="AW40" s="358"/>
      <c r="AX40" s="358"/>
      <c r="AY40" s="358"/>
      <c r="AZ40" s="358"/>
      <c r="BA40" s="358"/>
      <c r="BB40" s="358"/>
      <c r="BC40" s="358"/>
    </row>
    <row r="41" spans="1:55" s="376" customFormat="1" x14ac:dyDescent="0.15">
      <c r="A41" s="400">
        <v>42772</v>
      </c>
      <c r="B41" s="360" t="s">
        <v>36</v>
      </c>
      <c r="C41" s="361">
        <v>19102</v>
      </c>
      <c r="D41" s="348">
        <f>12421+4903</f>
        <v>17324</v>
      </c>
      <c r="E41" s="348">
        <v>38324</v>
      </c>
      <c r="F41" s="362">
        <v>2079.1999999999998</v>
      </c>
      <c r="G41" s="348">
        <v>1096.9000000000001</v>
      </c>
      <c r="H41" s="363"/>
      <c r="I41" s="363"/>
      <c r="J41" s="364">
        <f t="shared" si="0"/>
        <v>21000</v>
      </c>
      <c r="K41" s="348">
        <v>486</v>
      </c>
      <c r="L41" s="348">
        <v>492</v>
      </c>
      <c r="M41" s="365">
        <f t="shared" si="2"/>
        <v>920</v>
      </c>
      <c r="N41" s="366">
        <f t="shared" si="16"/>
        <v>127603</v>
      </c>
      <c r="O41" s="349">
        <f t="shared" si="16"/>
        <v>127543</v>
      </c>
      <c r="P41" s="353">
        <f t="shared" si="16"/>
        <v>278463</v>
      </c>
      <c r="Q41" s="368">
        <f t="shared" si="17"/>
        <v>1962677.72</v>
      </c>
      <c r="R41" s="367">
        <f t="shared" si="17"/>
        <v>1406080</v>
      </c>
      <c r="S41" s="369">
        <f t="shared" si="17"/>
        <v>3548105.36</v>
      </c>
      <c r="T41" s="370">
        <f>N41/'2018'!N41-1</f>
        <v>-0.671766682014729</v>
      </c>
      <c r="U41" s="371">
        <f>O41/'2018'!O41-1</f>
        <v>-0.35101207982658789</v>
      </c>
      <c r="V41" s="371">
        <f>P41/'2018'!P41-1</f>
        <v>-0.5334643492596427</v>
      </c>
      <c r="W41" s="371">
        <f>Q41/'2018'!Q41-1</f>
        <v>-0.28067547300623352</v>
      </c>
      <c r="X41" s="371">
        <f>R41/'2018'!R41-1</f>
        <v>2.8001579201333504E-2</v>
      </c>
      <c r="Y41" s="372">
        <f>S41/'2018'!S41-1</f>
        <v>-0.14605446809254585</v>
      </c>
      <c r="Z41" s="373"/>
      <c r="AA41" s="374">
        <f t="shared" si="1"/>
        <v>196.26777200000001</v>
      </c>
      <c r="AB41" s="375"/>
      <c r="AC41" s="365"/>
      <c r="AD41" s="375">
        <f t="shared" si="5"/>
        <v>2142025.36</v>
      </c>
      <c r="AE41" s="348">
        <f t="shared" si="18"/>
        <v>18869.72</v>
      </c>
      <c r="AF41" s="348">
        <f t="shared" si="18"/>
        <v>135208.76</v>
      </c>
      <c r="AG41" s="365">
        <f t="shared" si="8"/>
        <v>25269.159999999887</v>
      </c>
      <c r="AH41" s="357"/>
      <c r="AI41" s="358"/>
      <c r="AJ41" s="358"/>
      <c r="AK41" s="358"/>
      <c r="AL41" s="358"/>
      <c r="AM41" s="358"/>
      <c r="AN41" s="358"/>
      <c r="AO41" s="358"/>
      <c r="AP41" s="358"/>
      <c r="AQ41" s="358"/>
      <c r="AR41" s="358"/>
      <c r="AS41" s="358"/>
      <c r="AT41" s="358"/>
      <c r="AU41" s="358"/>
      <c r="AV41" s="358"/>
      <c r="AW41" s="358"/>
      <c r="AX41" s="358"/>
      <c r="AY41" s="358"/>
      <c r="AZ41" s="358"/>
      <c r="BA41" s="358"/>
      <c r="BB41" s="358"/>
      <c r="BC41" s="358"/>
    </row>
    <row r="42" spans="1:55" s="157" customFormat="1" x14ac:dyDescent="0.15">
      <c r="A42" s="400">
        <v>42773</v>
      </c>
      <c r="B42" s="182" t="s">
        <v>37</v>
      </c>
      <c r="C42" s="183">
        <v>24013</v>
      </c>
      <c r="D42" s="184">
        <f>12554+4926</f>
        <v>17480</v>
      </c>
      <c r="E42" s="184">
        <v>42978</v>
      </c>
      <c r="F42" s="185">
        <v>2302.6</v>
      </c>
      <c r="G42" s="184">
        <v>1327.3</v>
      </c>
      <c r="H42" s="186"/>
      <c r="I42" s="186"/>
      <c r="J42" s="210">
        <f t="shared" si="0"/>
        <v>25498</v>
      </c>
      <c r="K42" s="184">
        <v>364</v>
      </c>
      <c r="L42" s="184">
        <v>480</v>
      </c>
      <c r="M42" s="211">
        <f t="shared" si="2"/>
        <v>641</v>
      </c>
      <c r="N42" s="212">
        <f t="shared" si="16"/>
        <v>151616</v>
      </c>
      <c r="O42" s="215">
        <f t="shared" si="16"/>
        <v>145023</v>
      </c>
      <c r="P42" s="214">
        <f t="shared" si="16"/>
        <v>321441</v>
      </c>
      <c r="Q42" s="229">
        <f t="shared" si="17"/>
        <v>1986690.72</v>
      </c>
      <c r="R42" s="213">
        <f t="shared" si="17"/>
        <v>1423560</v>
      </c>
      <c r="S42" s="230">
        <f t="shared" si="17"/>
        <v>3591083.36</v>
      </c>
      <c r="T42" s="231">
        <f>N42/'2018'!N42-1</f>
        <v>-0.65703246763528933</v>
      </c>
      <c r="U42" s="232">
        <f>O42/'2018'!O42-1</f>
        <v>-0.35992814677830098</v>
      </c>
      <c r="V42" s="232">
        <f>P42/'2018'!P42-1</f>
        <v>-0.5287210381476144</v>
      </c>
      <c r="W42" s="232">
        <f>Q42/'2018'!Q42-1</f>
        <v>-0.28582932674057293</v>
      </c>
      <c r="X42" s="232">
        <f>R42/'2018'!R42-1</f>
        <v>1.8409288130791568E-2</v>
      </c>
      <c r="Y42" s="249">
        <f>S42/'2018'!S42-1</f>
        <v>-0.15307476533357334</v>
      </c>
      <c r="Z42" s="250">
        <v>11.648667</v>
      </c>
      <c r="AA42" s="251">
        <f t="shared" si="1"/>
        <v>187.02040500000001</v>
      </c>
      <c r="AB42" s="463">
        <v>4259.88</v>
      </c>
      <c r="AC42" s="211">
        <f t="shared" ref="AC42" si="19">AA42*10000/AB42</f>
        <v>439.02740218034313</v>
      </c>
      <c r="AD42" s="252">
        <f t="shared" si="5"/>
        <v>2167523.36</v>
      </c>
      <c r="AE42" s="184">
        <f t="shared" si="18"/>
        <v>19233.72</v>
      </c>
      <c r="AF42" s="184">
        <f t="shared" si="18"/>
        <v>135688.76</v>
      </c>
      <c r="AG42" s="211">
        <f t="shared" si="8"/>
        <v>25910.159999999887</v>
      </c>
      <c r="AH42" s="288"/>
      <c r="AI42" s="289"/>
      <c r="AJ42" s="289"/>
      <c r="AK42" s="289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289"/>
      <c r="AW42" s="289"/>
      <c r="AX42" s="289"/>
      <c r="AY42" s="289"/>
      <c r="AZ42" s="289"/>
      <c r="BA42" s="289"/>
      <c r="BB42" s="289"/>
      <c r="BC42" s="289"/>
    </row>
    <row r="43" spans="1:55" s="376" customFormat="1" x14ac:dyDescent="0.15">
      <c r="A43" s="400">
        <v>42774</v>
      </c>
      <c r="B43" s="360" t="s">
        <v>38</v>
      </c>
      <c r="C43" s="361">
        <v>28974</v>
      </c>
      <c r="D43" s="348">
        <f>12419+5621</f>
        <v>18040</v>
      </c>
      <c r="E43" s="348">
        <v>48872</v>
      </c>
      <c r="F43" s="362">
        <v>2594.8000000000002</v>
      </c>
      <c r="G43" s="348">
        <v>1473.4</v>
      </c>
      <c r="H43" s="363"/>
      <c r="I43" s="363"/>
      <c r="J43" s="364">
        <f t="shared" si="0"/>
        <v>30832</v>
      </c>
      <c r="K43" s="348">
        <v>866</v>
      </c>
      <c r="L43" s="348">
        <v>639</v>
      </c>
      <c r="M43" s="365">
        <f t="shared" si="2"/>
        <v>353</v>
      </c>
      <c r="N43" s="366">
        <f t="shared" si="16"/>
        <v>180590</v>
      </c>
      <c r="O43" s="349">
        <f t="shared" si="16"/>
        <v>163063</v>
      </c>
      <c r="P43" s="353">
        <f t="shared" si="16"/>
        <v>370313</v>
      </c>
      <c r="Q43" s="368">
        <f t="shared" si="17"/>
        <v>2015664.72</v>
      </c>
      <c r="R43" s="367">
        <f t="shared" si="17"/>
        <v>1441600</v>
      </c>
      <c r="S43" s="369">
        <f t="shared" si="17"/>
        <v>3639955.36</v>
      </c>
      <c r="T43" s="370">
        <f>N43/'2018'!N43-1</f>
        <v>-0.63154071843336967</v>
      </c>
      <c r="U43" s="371">
        <f>O43/'2018'!O43-1</f>
        <v>-0.35578013329804004</v>
      </c>
      <c r="V43" s="371">
        <f>P43/'2018'!P43-1</f>
        <v>-0.51219020620865352</v>
      </c>
      <c r="W43" s="371">
        <f>Q43/'2018'!Q43-1</f>
        <v>-0.28771726593814317</v>
      </c>
      <c r="X43" s="371">
        <f>R43/'2018'!R43-1</f>
        <v>1.2095865473251033E-2</v>
      </c>
      <c r="Y43" s="372">
        <f>S43/'2018'!S43-1</f>
        <v>-0.15687422126882578</v>
      </c>
      <c r="Z43" s="373"/>
      <c r="AA43" s="374">
        <f t="shared" si="1"/>
        <v>201.566472</v>
      </c>
      <c r="AB43" s="375"/>
      <c r="AC43" s="365"/>
      <c r="AD43" s="375">
        <f t="shared" si="5"/>
        <v>2198355.36</v>
      </c>
      <c r="AE43" s="348">
        <f t="shared" si="18"/>
        <v>20099.72</v>
      </c>
      <c r="AF43" s="348">
        <f t="shared" si="18"/>
        <v>136327.76</v>
      </c>
      <c r="AG43" s="365">
        <f t="shared" si="8"/>
        <v>26263.159999999887</v>
      </c>
      <c r="AH43" s="379">
        <f>(AD43-AD36)/('2017'!AD43-'2017'!AD36)-1</f>
        <v>-0.25278661412672032</v>
      </c>
      <c r="AI43" s="399">
        <f>AA43-AA36</f>
        <v>15.558800000000019</v>
      </c>
      <c r="AJ43" s="399">
        <f>'2017'!AA43-'2017'!AA36</f>
        <v>20.366793488095226</v>
      </c>
      <c r="AK43" s="358"/>
      <c r="AL43" s="358"/>
      <c r="AM43" s="358"/>
      <c r="AN43" s="358"/>
      <c r="AO43" s="358"/>
      <c r="AP43" s="358"/>
      <c r="AQ43" s="358"/>
      <c r="AR43" s="358"/>
      <c r="AS43" s="358"/>
      <c r="AT43" s="358"/>
      <c r="AU43" s="358"/>
      <c r="AV43" s="358"/>
      <c r="AW43" s="358"/>
      <c r="AX43" s="358"/>
      <c r="AY43" s="358"/>
      <c r="AZ43" s="358"/>
      <c r="BA43" s="358"/>
      <c r="BB43" s="358"/>
      <c r="BC43" s="358"/>
    </row>
    <row r="44" spans="1:55" s="376" customFormat="1" x14ac:dyDescent="0.15">
      <c r="A44" s="400">
        <v>42775</v>
      </c>
      <c r="B44" s="360" t="s">
        <v>39</v>
      </c>
      <c r="C44" s="361">
        <v>31109</v>
      </c>
      <c r="D44" s="348">
        <f>12408+7480</f>
        <v>19888</v>
      </c>
      <c r="E44" s="348">
        <v>52290</v>
      </c>
      <c r="F44" s="362">
        <v>2772.6</v>
      </c>
      <c r="G44" s="348">
        <v>1594.5</v>
      </c>
      <c r="H44" s="363"/>
      <c r="I44" s="363"/>
      <c r="J44" s="364">
        <f t="shared" si="0"/>
        <v>32402</v>
      </c>
      <c r="K44" s="348">
        <v>143</v>
      </c>
      <c r="L44" s="348">
        <v>838</v>
      </c>
      <c r="M44" s="365">
        <f t="shared" si="2"/>
        <v>312</v>
      </c>
      <c r="N44" s="366">
        <f t="shared" si="16"/>
        <v>211699</v>
      </c>
      <c r="O44" s="349">
        <f t="shared" si="16"/>
        <v>182951</v>
      </c>
      <c r="P44" s="353">
        <f t="shared" si="16"/>
        <v>422603</v>
      </c>
      <c r="Q44" s="368">
        <f t="shared" si="17"/>
        <v>2046773.72</v>
      </c>
      <c r="R44" s="367">
        <f t="shared" si="17"/>
        <v>1461488</v>
      </c>
      <c r="S44" s="369">
        <f t="shared" si="17"/>
        <v>3692245.36</v>
      </c>
      <c r="T44" s="370">
        <f>N44/'2018'!N44-1</f>
        <v>-0.60722581746396931</v>
      </c>
      <c r="U44" s="371">
        <f>O44/'2018'!O44-1</f>
        <v>-0.34068385432057835</v>
      </c>
      <c r="V44" s="371">
        <f>P44/'2018'!P44-1</f>
        <v>-0.49306295283335733</v>
      </c>
      <c r="W44" s="371">
        <f>Q44/'2018'!Q44-1</f>
        <v>-0.28900066572457472</v>
      </c>
      <c r="X44" s="371">
        <f>R44/'2018'!R44-1</f>
        <v>8.799370487458047E-3</v>
      </c>
      <c r="Y44" s="372">
        <f>S44/'2018'!S44-1</f>
        <v>-0.15927144299180829</v>
      </c>
      <c r="Z44" s="373"/>
      <c r="AA44" s="374">
        <f t="shared" si="1"/>
        <v>204.67737199999999</v>
      </c>
      <c r="AB44" s="375"/>
      <c r="AC44" s="365"/>
      <c r="AD44" s="375">
        <f t="shared" si="5"/>
        <v>2230757.36</v>
      </c>
      <c r="AE44" s="348">
        <f t="shared" si="18"/>
        <v>20242.72</v>
      </c>
      <c r="AF44" s="348">
        <f t="shared" si="18"/>
        <v>137165.76000000001</v>
      </c>
      <c r="AG44" s="365">
        <f t="shared" si="8"/>
        <v>26575.159999999887</v>
      </c>
      <c r="AH44" s="357"/>
      <c r="AI44" s="358"/>
      <c r="AJ44" s="358"/>
      <c r="AK44" s="358"/>
      <c r="AL44" s="358"/>
      <c r="AM44" s="358"/>
      <c r="AN44" s="358"/>
      <c r="AO44" s="358"/>
      <c r="AP44" s="358"/>
      <c r="AQ44" s="358"/>
      <c r="AR44" s="358"/>
      <c r="AS44" s="358"/>
      <c r="AT44" s="358"/>
      <c r="AU44" s="358"/>
      <c r="AV44" s="358"/>
      <c r="AW44" s="358"/>
      <c r="AX44" s="358"/>
      <c r="AY44" s="358"/>
      <c r="AZ44" s="358"/>
      <c r="BA44" s="358"/>
      <c r="BB44" s="358"/>
      <c r="BC44" s="358"/>
    </row>
    <row r="45" spans="1:55" s="376" customFormat="1" x14ac:dyDescent="0.15">
      <c r="A45" s="400">
        <v>42776</v>
      </c>
      <c r="B45" s="360" t="s">
        <v>1</v>
      </c>
      <c r="C45" s="361">
        <v>32345</v>
      </c>
      <c r="D45" s="348">
        <f>12427+9695</f>
        <v>22122</v>
      </c>
      <c r="E45" s="348">
        <v>56749</v>
      </c>
      <c r="F45" s="362">
        <v>2989.7</v>
      </c>
      <c r="G45" s="348">
        <v>1685.8</v>
      </c>
      <c r="H45" s="363"/>
      <c r="I45" s="363"/>
      <c r="J45" s="364">
        <f t="shared" si="0"/>
        <v>34627</v>
      </c>
      <c r="K45" s="348">
        <v>317</v>
      </c>
      <c r="L45" s="348">
        <v>1904</v>
      </c>
      <c r="M45" s="365">
        <f t="shared" si="2"/>
        <v>61</v>
      </c>
      <c r="N45" s="366">
        <f t="shared" si="16"/>
        <v>244044</v>
      </c>
      <c r="O45" s="349">
        <f t="shared" si="16"/>
        <v>205073</v>
      </c>
      <c r="P45" s="353">
        <f t="shared" si="16"/>
        <v>479352</v>
      </c>
      <c r="Q45" s="368">
        <f t="shared" si="17"/>
        <v>2079118.72</v>
      </c>
      <c r="R45" s="367">
        <f t="shared" si="17"/>
        <v>1483610</v>
      </c>
      <c r="S45" s="369">
        <f t="shared" si="17"/>
        <v>3748994.36</v>
      </c>
      <c r="T45" s="370">
        <f>N45/'2018'!N45-1</f>
        <v>-0.57948244311113095</v>
      </c>
      <c r="U45" s="371">
        <f>O45/'2018'!O45-1</f>
        <v>-0.32097956048249576</v>
      </c>
      <c r="V45" s="371">
        <f>P45/'2018'!P45-1</f>
        <v>-0.4679181573073119</v>
      </c>
      <c r="W45" s="371">
        <f>Q45/'2018'!Q45-1</f>
        <v>-0.28799402088850778</v>
      </c>
      <c r="X45" s="371">
        <f>R45/'2018'!R45-1</f>
        <v>7.020451825772156E-3</v>
      </c>
      <c r="Y45" s="372">
        <f>S45/'2018'!S45-1</f>
        <v>-0.15922604292750253</v>
      </c>
      <c r="Z45" s="373"/>
      <c r="AA45" s="374">
        <f t="shared" si="1"/>
        <v>207.91187199999999</v>
      </c>
      <c r="AB45" s="375"/>
      <c r="AC45" s="365"/>
      <c r="AD45" s="375">
        <f t="shared" si="5"/>
        <v>2265384.36</v>
      </c>
      <c r="AE45" s="348">
        <f t="shared" si="18"/>
        <v>20559.72</v>
      </c>
      <c r="AF45" s="348">
        <f t="shared" si="18"/>
        <v>139069.76000000001</v>
      </c>
      <c r="AG45" s="365">
        <f t="shared" si="8"/>
        <v>26636.159999999887</v>
      </c>
      <c r="AH45" s="357"/>
      <c r="AI45" s="358"/>
      <c r="AJ45" s="358"/>
      <c r="AK45" s="358"/>
      <c r="AL45" s="358"/>
      <c r="AM45" s="358"/>
      <c r="AN45" s="358"/>
      <c r="AO45" s="358"/>
      <c r="AP45" s="358"/>
      <c r="AQ45" s="358"/>
      <c r="AR45" s="358"/>
      <c r="AS45" s="358"/>
      <c r="AT45" s="358"/>
      <c r="AU45" s="358"/>
      <c r="AV45" s="358"/>
      <c r="AW45" s="358"/>
      <c r="AX45" s="358"/>
      <c r="AY45" s="358"/>
      <c r="AZ45" s="358"/>
      <c r="BA45" s="358"/>
      <c r="BB45" s="358"/>
      <c r="BC45" s="358"/>
    </row>
    <row r="46" spans="1:55" s="376" customFormat="1" x14ac:dyDescent="0.15">
      <c r="A46" s="448">
        <v>42777</v>
      </c>
      <c r="B46" s="360" t="s">
        <v>34</v>
      </c>
      <c r="C46" s="361">
        <v>33214</v>
      </c>
      <c r="D46" s="348">
        <f>14337+10432</f>
        <v>24769</v>
      </c>
      <c r="E46" s="348">
        <v>62147</v>
      </c>
      <c r="F46" s="362">
        <v>3277.5</v>
      </c>
      <c r="G46" s="348">
        <v>1757.1</v>
      </c>
      <c r="H46" s="363"/>
      <c r="I46" s="363"/>
      <c r="J46" s="364">
        <f t="shared" si="0"/>
        <v>37378</v>
      </c>
      <c r="K46" s="348">
        <v>156</v>
      </c>
      <c r="L46" s="348">
        <v>1845</v>
      </c>
      <c r="M46" s="365">
        <f>J46-K46-L46-C46</f>
        <v>2163</v>
      </c>
      <c r="N46" s="366">
        <f t="shared" si="16"/>
        <v>277258</v>
      </c>
      <c r="O46" s="349">
        <f t="shared" si="16"/>
        <v>229842</v>
      </c>
      <c r="P46" s="353">
        <f t="shared" si="16"/>
        <v>541499</v>
      </c>
      <c r="Q46" s="368">
        <f t="shared" si="17"/>
        <v>2112332.7199999997</v>
      </c>
      <c r="R46" s="367">
        <f t="shared" si="17"/>
        <v>1508379</v>
      </c>
      <c r="S46" s="369">
        <f t="shared" si="17"/>
        <v>3811141.36</v>
      </c>
      <c r="T46" s="370">
        <f>N46/'2018'!N46-1</f>
        <v>-0.54905813200789799</v>
      </c>
      <c r="U46" s="371">
        <f>O46/'2018'!O46-1</f>
        <v>-0.29337219383519952</v>
      </c>
      <c r="V46" s="371">
        <f>P46/'2018'!P46-1</f>
        <v>-0.43648679305758775</v>
      </c>
      <c r="W46" s="371">
        <f>Q46/'2018'!Q46-1</f>
        <v>-0.28506643861351222</v>
      </c>
      <c r="X46" s="371">
        <f>R46/'2018'!R46-1</f>
        <v>7.9243845722074546E-3</v>
      </c>
      <c r="Y46" s="372">
        <f>S46/'2018'!S46-1</f>
        <v>-0.15664337055814059</v>
      </c>
      <c r="Z46" s="373"/>
      <c r="AA46" s="374">
        <f t="shared" si="1"/>
        <v>211.23327199999997</v>
      </c>
      <c r="AB46" s="375"/>
      <c r="AC46" s="365"/>
      <c r="AD46" s="375">
        <f t="shared" si="5"/>
        <v>2302762.36</v>
      </c>
      <c r="AE46" s="348">
        <f t="shared" si="18"/>
        <v>20715.72</v>
      </c>
      <c r="AF46" s="348">
        <f t="shared" si="18"/>
        <v>140914.76</v>
      </c>
      <c r="AG46" s="365">
        <f t="shared" si="8"/>
        <v>28799.16000000012</v>
      </c>
      <c r="AH46" s="357"/>
      <c r="AI46" s="358"/>
      <c r="AJ46" s="358"/>
      <c r="AK46" s="358"/>
      <c r="AL46" s="358"/>
      <c r="AM46" s="358"/>
      <c r="AN46" s="358"/>
      <c r="AO46" s="358"/>
      <c r="AP46" s="358"/>
      <c r="AQ46" s="358"/>
      <c r="AR46" s="358"/>
      <c r="AS46" s="358"/>
      <c r="AT46" s="358"/>
      <c r="AU46" s="358"/>
      <c r="AV46" s="358"/>
      <c r="AW46" s="358"/>
      <c r="AX46" s="358"/>
      <c r="AY46" s="358"/>
      <c r="AZ46" s="358"/>
      <c r="BA46" s="358"/>
      <c r="BB46" s="358"/>
      <c r="BC46" s="358"/>
    </row>
    <row r="47" spans="1:55" s="376" customFormat="1" x14ac:dyDescent="0.15">
      <c r="A47" s="448">
        <v>42778</v>
      </c>
      <c r="B47" s="360" t="s">
        <v>35</v>
      </c>
      <c r="C47" s="361">
        <v>39212</v>
      </c>
      <c r="D47" s="348">
        <f>12745+10635</f>
        <v>23380</v>
      </c>
      <c r="E47" s="348">
        <v>66794</v>
      </c>
      <c r="F47" s="362">
        <v>3366.3</v>
      </c>
      <c r="G47" s="348">
        <v>1915.3</v>
      </c>
      <c r="H47" s="363"/>
      <c r="I47" s="363"/>
      <c r="J47" s="364">
        <f t="shared" si="0"/>
        <v>43414</v>
      </c>
      <c r="K47" s="348">
        <v>207</v>
      </c>
      <c r="L47" s="348">
        <v>3843</v>
      </c>
      <c r="M47" s="365">
        <f t="shared" si="2"/>
        <v>152</v>
      </c>
      <c r="N47" s="366">
        <f t="shared" si="16"/>
        <v>316470</v>
      </c>
      <c r="O47" s="349">
        <f t="shared" si="16"/>
        <v>253222</v>
      </c>
      <c r="P47" s="353">
        <f t="shared" si="16"/>
        <v>608293</v>
      </c>
      <c r="Q47" s="368">
        <f t="shared" si="17"/>
        <v>2151544.7199999997</v>
      </c>
      <c r="R47" s="367">
        <f t="shared" si="17"/>
        <v>1531759</v>
      </c>
      <c r="S47" s="369">
        <f t="shared" si="17"/>
        <v>3877935.36</v>
      </c>
      <c r="T47" s="370">
        <f>N47/'2018'!N47-1</f>
        <v>-0.50863273608048942</v>
      </c>
      <c r="U47" s="371">
        <f>O47/'2018'!O47-1</f>
        <v>-0.27393623121917654</v>
      </c>
      <c r="V47" s="371">
        <f>P47/'2018'!P47-1</f>
        <v>-0.40123514513545944</v>
      </c>
      <c r="W47" s="371">
        <f>Q47/'2018'!Q47-1</f>
        <v>-0.2789255959315613</v>
      </c>
      <c r="X47" s="371">
        <f>R47/'2018'!R47-1</f>
        <v>7.7269025153716697E-3</v>
      </c>
      <c r="Y47" s="372">
        <f>S47/'2018'!S47-1</f>
        <v>-0.15217744967280378</v>
      </c>
      <c r="Z47" s="373"/>
      <c r="AA47" s="374">
        <f t="shared" si="1"/>
        <v>215.15447199999997</v>
      </c>
      <c r="AB47" s="375"/>
      <c r="AC47" s="365"/>
      <c r="AD47" s="375">
        <f t="shared" si="5"/>
        <v>2346176.36</v>
      </c>
      <c r="AE47" s="348">
        <f t="shared" si="18"/>
        <v>20922.72</v>
      </c>
      <c r="AF47" s="348">
        <f t="shared" si="18"/>
        <v>144757.76000000001</v>
      </c>
      <c r="AG47" s="365">
        <f t="shared" si="8"/>
        <v>28951.16000000012</v>
      </c>
      <c r="AH47" s="357"/>
      <c r="AI47" s="358"/>
      <c r="AJ47" s="358"/>
      <c r="AK47" s="358"/>
      <c r="AL47" s="358"/>
      <c r="AM47" s="358"/>
      <c r="AN47" s="358"/>
      <c r="AO47" s="358"/>
      <c r="AP47" s="358"/>
      <c r="AQ47" s="358"/>
      <c r="AR47" s="358"/>
      <c r="AS47" s="358"/>
      <c r="AT47" s="358"/>
      <c r="AU47" s="358"/>
      <c r="AV47" s="358"/>
      <c r="AW47" s="358"/>
      <c r="AX47" s="358"/>
      <c r="AY47" s="358"/>
      <c r="AZ47" s="358"/>
      <c r="BA47" s="358"/>
      <c r="BB47" s="358"/>
      <c r="BC47" s="358"/>
    </row>
    <row r="48" spans="1:55" s="376" customFormat="1" x14ac:dyDescent="0.15">
      <c r="A48" s="448">
        <v>42779</v>
      </c>
      <c r="B48" s="360" t="s">
        <v>36</v>
      </c>
      <c r="C48" s="452">
        <v>40463.26</v>
      </c>
      <c r="D48" s="412">
        <v>25545</v>
      </c>
      <c r="E48" s="412">
        <v>70467.429999999993</v>
      </c>
      <c r="F48" s="412">
        <v>3483.2</v>
      </c>
      <c r="G48" s="412">
        <v>2011.6</v>
      </c>
      <c r="H48" s="363"/>
      <c r="I48" s="363"/>
      <c r="J48" s="412">
        <f t="shared" si="0"/>
        <v>44922.429999999993</v>
      </c>
      <c r="K48" s="348">
        <v>95.63</v>
      </c>
      <c r="L48" s="348">
        <v>3848.85</v>
      </c>
      <c r="M48" s="365">
        <f t="shared" si="2"/>
        <v>514.68999999999505</v>
      </c>
      <c r="N48" s="366">
        <f t="shared" si="16"/>
        <v>356933.26</v>
      </c>
      <c r="O48" s="349">
        <f t="shared" si="16"/>
        <v>278767</v>
      </c>
      <c r="P48" s="456">
        <f t="shared" si="16"/>
        <v>678760.42999999993</v>
      </c>
      <c r="Q48" s="368">
        <f t="shared" si="17"/>
        <v>2192007.98</v>
      </c>
      <c r="R48" s="367">
        <f t="shared" si="17"/>
        <v>1557304</v>
      </c>
      <c r="S48" s="369">
        <f t="shared" si="17"/>
        <v>3948402.79</v>
      </c>
      <c r="T48" s="370">
        <f>N48/'2018'!N48-1</f>
        <v>-0.4665137252674656</v>
      </c>
      <c r="U48" s="371">
        <f>O48/'2018'!O48-1</f>
        <v>-0.24955716477777479</v>
      </c>
      <c r="V48" s="371">
        <f>P48/'2018'!P48-1</f>
        <v>-0.36326174769886577</v>
      </c>
      <c r="W48" s="371">
        <f>Q48/'2018'!Q48-1</f>
        <v>-0.27146819536189892</v>
      </c>
      <c r="X48" s="371">
        <f>R48/'2018'!R48-1</f>
        <v>9.4508155703807439E-3</v>
      </c>
      <c r="Y48" s="372">
        <f>S48/'2018'!S48-1</f>
        <v>-0.14612090422920976</v>
      </c>
      <c r="Z48" s="373">
        <v>14</v>
      </c>
      <c r="AA48" s="374">
        <f t="shared" si="1"/>
        <v>205.20079799999999</v>
      </c>
      <c r="AB48" s="375"/>
      <c r="AC48" s="365"/>
      <c r="AD48" s="375">
        <f t="shared" si="5"/>
        <v>2391098.79</v>
      </c>
      <c r="AE48" s="348">
        <f t="shared" si="18"/>
        <v>21018.350000000002</v>
      </c>
      <c r="AF48" s="348">
        <f t="shared" si="18"/>
        <v>148606.61000000002</v>
      </c>
      <c r="AG48" s="365">
        <f t="shared" si="8"/>
        <v>29465.850000000035</v>
      </c>
      <c r="AH48" s="357"/>
      <c r="AI48" s="358"/>
      <c r="AJ48" s="358"/>
      <c r="AK48" s="358"/>
      <c r="AL48" s="358"/>
      <c r="AM48" s="358"/>
      <c r="AN48" s="358"/>
      <c r="AO48" s="358"/>
      <c r="AP48" s="358"/>
      <c r="AQ48" s="358"/>
      <c r="AR48" s="358"/>
      <c r="AS48" s="358"/>
      <c r="AT48" s="358"/>
      <c r="AU48" s="358"/>
      <c r="AV48" s="358"/>
      <c r="AW48" s="358"/>
      <c r="AX48" s="358"/>
      <c r="AY48" s="358"/>
      <c r="AZ48" s="358"/>
      <c r="BA48" s="358"/>
      <c r="BB48" s="358"/>
      <c r="BC48" s="358"/>
    </row>
    <row r="49" spans="1:55" s="157" customFormat="1" x14ac:dyDescent="0.15">
      <c r="A49" s="449">
        <v>42780</v>
      </c>
      <c r="B49" s="182" t="s">
        <v>37</v>
      </c>
      <c r="C49" s="453">
        <v>43688.74</v>
      </c>
      <c r="D49" s="454">
        <v>26114</v>
      </c>
      <c r="E49" s="454">
        <v>74239.17</v>
      </c>
      <c r="F49" s="454">
        <v>3719.7</v>
      </c>
      <c r="G49" s="454">
        <v>2141.4</v>
      </c>
      <c r="H49" s="186"/>
      <c r="I49" s="186"/>
      <c r="J49" s="454">
        <f t="shared" si="0"/>
        <v>48125.17</v>
      </c>
      <c r="K49" s="184">
        <v>143.30000000000001</v>
      </c>
      <c r="L49" s="184">
        <v>3844.59</v>
      </c>
      <c r="M49" s="211">
        <f t="shared" si="2"/>
        <v>448.54000000000087</v>
      </c>
      <c r="N49" s="212">
        <f t="shared" si="16"/>
        <v>400622</v>
      </c>
      <c r="O49" s="215">
        <f t="shared" si="16"/>
        <v>304881</v>
      </c>
      <c r="P49" s="455">
        <f t="shared" si="16"/>
        <v>752999.6</v>
      </c>
      <c r="Q49" s="229">
        <f t="shared" si="17"/>
        <v>2235696.7199999997</v>
      </c>
      <c r="R49" s="213">
        <f t="shared" si="17"/>
        <v>1583418</v>
      </c>
      <c r="S49" s="230">
        <f t="shared" si="17"/>
        <v>4022641.96</v>
      </c>
      <c r="T49" s="231">
        <f>N49/'2018'!N49-1</f>
        <v>-0.42064535348671073</v>
      </c>
      <c r="U49" s="232">
        <f>O49/'2018'!O49-1</f>
        <v>-0.22357731858997543</v>
      </c>
      <c r="V49" s="232">
        <f>P49/'2018'!P49-1</f>
        <v>-0.3224838313784627</v>
      </c>
      <c r="W49" s="232">
        <f>Q49/'2018'!Q49-1</f>
        <v>-0.26244838648661217</v>
      </c>
      <c r="X49" s="232">
        <f>R49/'2018'!R49-1</f>
        <v>1.2462210536546392E-2</v>
      </c>
      <c r="Y49" s="249">
        <f>S49/'2018'!S49-1</f>
        <v>-0.13852706136977888</v>
      </c>
      <c r="Z49" s="250">
        <v>15.04</v>
      </c>
      <c r="AA49" s="251">
        <f t="shared" si="1"/>
        <v>208.52967199999998</v>
      </c>
      <c r="AB49" s="463">
        <v>4259.88</v>
      </c>
      <c r="AC49" s="211">
        <f t="shared" ref="AC49" si="20">AA49*10000/AB49</f>
        <v>489.52006159797924</v>
      </c>
      <c r="AD49" s="252">
        <f t="shared" si="5"/>
        <v>2439223.96</v>
      </c>
      <c r="AE49" s="184">
        <f t="shared" si="18"/>
        <v>21161.65</v>
      </c>
      <c r="AF49" s="184">
        <f t="shared" si="18"/>
        <v>152451.20000000001</v>
      </c>
      <c r="AG49" s="211">
        <f t="shared" si="8"/>
        <v>29914.390000000218</v>
      </c>
      <c r="AH49" s="288"/>
      <c r="AI49" s="289"/>
      <c r="AJ49" s="289"/>
      <c r="AK49" s="289"/>
      <c r="AL49" s="289"/>
      <c r="AM49" s="289"/>
      <c r="AN49" s="289"/>
      <c r="AO49" s="289"/>
      <c r="AP49" s="289"/>
      <c r="AQ49" s="289"/>
      <c r="AR49" s="289"/>
      <c r="AS49" s="289"/>
      <c r="AT49" s="289"/>
      <c r="AU49" s="289"/>
      <c r="AV49" s="289"/>
      <c r="AW49" s="289"/>
      <c r="AX49" s="289"/>
      <c r="AY49" s="289"/>
      <c r="AZ49" s="289"/>
      <c r="BA49" s="289"/>
      <c r="BB49" s="289"/>
      <c r="BC49" s="289"/>
    </row>
    <row r="50" spans="1:55" s="376" customFormat="1" x14ac:dyDescent="0.15">
      <c r="A50" s="448">
        <v>42781</v>
      </c>
      <c r="B50" s="360" t="s">
        <v>38</v>
      </c>
      <c r="C50" s="361">
        <v>48746</v>
      </c>
      <c r="D50" s="348">
        <f>13826+11014</f>
        <v>24840</v>
      </c>
      <c r="E50" s="348">
        <v>78327</v>
      </c>
      <c r="F50" s="362">
        <v>3987</v>
      </c>
      <c r="G50" s="348">
        <v>2239.6999999999998</v>
      </c>
      <c r="H50" s="363"/>
      <c r="I50" s="363"/>
      <c r="J50" s="364">
        <f t="shared" si="0"/>
        <v>53487</v>
      </c>
      <c r="K50" s="348">
        <v>724</v>
      </c>
      <c r="L50" s="348">
        <v>3852</v>
      </c>
      <c r="M50" s="365">
        <f t="shared" si="2"/>
        <v>165</v>
      </c>
      <c r="N50" s="366">
        <f t="shared" si="16"/>
        <v>449368</v>
      </c>
      <c r="O50" s="349">
        <f t="shared" si="16"/>
        <v>329721</v>
      </c>
      <c r="P50" s="456">
        <f t="shared" si="16"/>
        <v>831326.6</v>
      </c>
      <c r="Q50" s="368">
        <f t="shared" si="17"/>
        <v>2284442.7199999997</v>
      </c>
      <c r="R50" s="367">
        <f t="shared" si="17"/>
        <v>1608258</v>
      </c>
      <c r="S50" s="369">
        <f t="shared" si="17"/>
        <v>4100968.96</v>
      </c>
      <c r="T50" s="370">
        <f>N50/'2018'!N50-1</f>
        <v>-0.37379564830840317</v>
      </c>
      <c r="U50" s="371">
        <f>O50/'2018'!O50-1</f>
        <v>-0.19534319587276638</v>
      </c>
      <c r="V50" s="371">
        <f>P50/'2018'!P50-1</f>
        <v>-0.28147344656988671</v>
      </c>
      <c r="W50" s="371">
        <f>Q50/'2018'!Q50-1</f>
        <v>-0.25280301891765078</v>
      </c>
      <c r="X50" s="371">
        <f>R50/'2018'!R50-1</f>
        <v>1.7228118556374961E-2</v>
      </c>
      <c r="Y50" s="372">
        <f>S50/'2018'!S50-1</f>
        <v>-0.13024202707764343</v>
      </c>
      <c r="Z50" s="373"/>
      <c r="AA50" s="401">
        <f t="shared" si="1"/>
        <v>228.44427199999998</v>
      </c>
      <c r="AB50" s="375"/>
      <c r="AC50" s="365"/>
      <c r="AD50" s="375">
        <f t="shared" si="5"/>
        <v>2492710.96</v>
      </c>
      <c r="AE50" s="348">
        <f t="shared" si="18"/>
        <v>21885.65</v>
      </c>
      <c r="AF50" s="348">
        <f t="shared" si="18"/>
        <v>156303.20000000001</v>
      </c>
      <c r="AG50" s="365">
        <f t="shared" si="8"/>
        <v>30079.390000000218</v>
      </c>
      <c r="AH50" s="379">
        <f>(AD50-AD43)/('2017'!AD50-'2017'!AD43)-1</f>
        <v>-0.19824262266504666</v>
      </c>
      <c r="AI50" s="402">
        <f>AA50-AA43</f>
        <v>26.877799999999979</v>
      </c>
      <c r="AJ50" s="402">
        <f>'2017'!AA50-'2017'!AA43</f>
        <v>32.757100000000008</v>
      </c>
      <c r="AK50" s="358"/>
      <c r="AL50" s="358"/>
      <c r="AM50" s="358"/>
      <c r="AN50" s="358"/>
      <c r="AO50" s="358"/>
      <c r="AP50" s="358"/>
      <c r="AQ50" s="358"/>
      <c r="AR50" s="358"/>
      <c r="AS50" s="358"/>
      <c r="AT50" s="358"/>
      <c r="AU50" s="358"/>
      <c r="AV50" s="358"/>
      <c r="AW50" s="358"/>
      <c r="AX50" s="358"/>
      <c r="AY50" s="358"/>
      <c r="AZ50" s="358"/>
      <c r="BA50" s="358"/>
      <c r="BB50" s="358"/>
      <c r="BC50" s="358"/>
    </row>
    <row r="51" spans="1:55" s="376" customFormat="1" x14ac:dyDescent="0.15">
      <c r="A51" s="448">
        <v>42782</v>
      </c>
      <c r="B51" s="360" t="s">
        <v>39</v>
      </c>
      <c r="C51" s="361">
        <v>51564</v>
      </c>
      <c r="D51" s="348">
        <f>16303+11070</f>
        <v>27373</v>
      </c>
      <c r="E51" s="348">
        <v>83481</v>
      </c>
      <c r="F51" s="362">
        <v>4230.2</v>
      </c>
      <c r="G51" s="348">
        <v>2348.6</v>
      </c>
      <c r="H51" s="363"/>
      <c r="I51" s="363"/>
      <c r="J51" s="364">
        <f t="shared" si="0"/>
        <v>56108</v>
      </c>
      <c r="K51" s="348">
        <v>507</v>
      </c>
      <c r="L51" s="348">
        <v>3845</v>
      </c>
      <c r="M51" s="365">
        <f t="shared" si="2"/>
        <v>192</v>
      </c>
      <c r="N51" s="366">
        <f t="shared" si="16"/>
        <v>500932</v>
      </c>
      <c r="O51" s="349">
        <f t="shared" si="16"/>
        <v>357094</v>
      </c>
      <c r="P51" s="456">
        <f t="shared" si="16"/>
        <v>914807.6</v>
      </c>
      <c r="Q51" s="368">
        <f t="shared" si="17"/>
        <v>2336006.7199999997</v>
      </c>
      <c r="R51" s="367">
        <f t="shared" si="17"/>
        <v>1635631</v>
      </c>
      <c r="S51" s="369">
        <f t="shared" si="17"/>
        <v>4184449.96</v>
      </c>
      <c r="T51" s="370">
        <f>N51/'2018'!N51-1</f>
        <v>-0.32741304861543752</v>
      </c>
      <c r="U51" s="371">
        <f>O51/'2018'!O51-1</f>
        <v>-0.16007724314420058</v>
      </c>
      <c r="V51" s="371">
        <f>P51/'2018'!P51-1</f>
        <v>-0.23828620816562396</v>
      </c>
      <c r="W51" s="371">
        <f>Q51/'2018'!Q51-1</f>
        <v>-0.242669643554286</v>
      </c>
      <c r="X51" s="371">
        <f>R51/'2018'!R51-1</f>
        <v>2.4571458996933693E-2</v>
      </c>
      <c r="Y51" s="372">
        <f>S51/'2018'!S51-1</f>
        <v>-0.12074155407163079</v>
      </c>
      <c r="Z51" s="373"/>
      <c r="AA51" s="401">
        <f t="shared" si="1"/>
        <v>233.60067199999997</v>
      </c>
      <c r="AB51" s="375"/>
      <c r="AC51" s="365"/>
      <c r="AD51" s="375">
        <f t="shared" si="5"/>
        <v>2548818.96</v>
      </c>
      <c r="AE51" s="348">
        <f t="shared" si="18"/>
        <v>22392.65</v>
      </c>
      <c r="AF51" s="348">
        <f t="shared" si="18"/>
        <v>160148.20000000001</v>
      </c>
      <c r="AG51" s="365">
        <f t="shared" si="8"/>
        <v>30271.390000000218</v>
      </c>
      <c r="AH51" s="379"/>
      <c r="AI51" s="402"/>
      <c r="AJ51" s="402"/>
      <c r="AK51" s="358"/>
      <c r="AL51" s="358"/>
      <c r="AM51" s="358"/>
      <c r="AN51" s="358"/>
      <c r="AO51" s="358"/>
      <c r="AP51" s="358"/>
      <c r="AQ51" s="358"/>
      <c r="AR51" s="358"/>
      <c r="AS51" s="358"/>
      <c r="AT51" s="358"/>
      <c r="AU51" s="358"/>
      <c r="AV51" s="358"/>
      <c r="AW51" s="358"/>
      <c r="AX51" s="358"/>
      <c r="AY51" s="358"/>
      <c r="AZ51" s="358"/>
      <c r="BA51" s="358"/>
      <c r="BB51" s="358"/>
      <c r="BC51" s="358"/>
    </row>
    <row r="52" spans="1:55" s="376" customFormat="1" x14ac:dyDescent="0.15">
      <c r="A52" s="448">
        <v>42783</v>
      </c>
      <c r="B52" s="360" t="s">
        <v>1</v>
      </c>
      <c r="C52" s="361">
        <v>52877</v>
      </c>
      <c r="D52" s="348">
        <f>15070+11088</f>
        <v>26158</v>
      </c>
      <c r="E52" s="348">
        <v>84051</v>
      </c>
      <c r="F52" s="362">
        <v>4160.5</v>
      </c>
      <c r="G52" s="348">
        <v>2496.9</v>
      </c>
      <c r="H52" s="363"/>
      <c r="I52" s="363"/>
      <c r="J52" s="364">
        <f t="shared" si="0"/>
        <v>57893</v>
      </c>
      <c r="K52" s="348">
        <v>676</v>
      </c>
      <c r="L52" s="348">
        <v>3848</v>
      </c>
      <c r="M52" s="365">
        <f t="shared" si="2"/>
        <v>492</v>
      </c>
      <c r="N52" s="366">
        <f t="shared" si="16"/>
        <v>553809</v>
      </c>
      <c r="O52" s="349">
        <f t="shared" si="16"/>
        <v>383252</v>
      </c>
      <c r="P52" s="456">
        <f t="shared" si="16"/>
        <v>998858.6</v>
      </c>
      <c r="Q52" s="368">
        <f t="shared" si="17"/>
        <v>2388883.7199999997</v>
      </c>
      <c r="R52" s="367">
        <f t="shared" si="17"/>
        <v>1661789</v>
      </c>
      <c r="S52" s="369">
        <f t="shared" si="17"/>
        <v>4268500.96</v>
      </c>
      <c r="T52" s="370">
        <f>N52/'2018'!N52-1</f>
        <v>-0.27840125085507672</v>
      </c>
      <c r="U52" s="371">
        <f>O52/'2018'!O52-1</f>
        <v>-0.12858058853756915</v>
      </c>
      <c r="V52" s="371">
        <f>P52/'2018'!P52-1</f>
        <v>-0.19458643536709563</v>
      </c>
      <c r="W52" s="371">
        <f>Q52/'2018'!Q52-1</f>
        <v>-0.23118271056938433</v>
      </c>
      <c r="X52" s="371">
        <f>R52/'2018'!R52-1</f>
        <v>3.1490525469009212E-2</v>
      </c>
      <c r="Y52" s="372">
        <f>S52/'2018'!S52-1</f>
        <v>-0.11040688206504234</v>
      </c>
      <c r="Z52" s="373">
        <v>16.649999999999999</v>
      </c>
      <c r="AA52" s="401">
        <f t="shared" si="1"/>
        <v>222.23837199999997</v>
      </c>
      <c r="AB52" s="375"/>
      <c r="AC52" s="365"/>
      <c r="AD52" s="375">
        <f t="shared" si="5"/>
        <v>2606711.96</v>
      </c>
      <c r="AE52" s="348">
        <f t="shared" si="18"/>
        <v>23068.65</v>
      </c>
      <c r="AF52" s="348">
        <f t="shared" si="18"/>
        <v>163996.20000000001</v>
      </c>
      <c r="AG52" s="365">
        <f t="shared" si="8"/>
        <v>30763.390000000218</v>
      </c>
      <c r="AH52" s="379"/>
      <c r="AI52" s="402"/>
      <c r="AJ52" s="402"/>
      <c r="AK52" s="358"/>
      <c r="AL52" s="358"/>
      <c r="AM52" s="358"/>
      <c r="AN52" s="358"/>
      <c r="AO52" s="358"/>
      <c r="AP52" s="358"/>
      <c r="AQ52" s="358"/>
      <c r="AR52" s="358"/>
      <c r="AS52" s="358"/>
      <c r="AT52" s="358"/>
      <c r="AU52" s="358"/>
      <c r="AV52" s="358"/>
      <c r="AW52" s="358"/>
      <c r="AX52" s="358"/>
      <c r="AY52" s="358"/>
      <c r="AZ52" s="358"/>
      <c r="BA52" s="358"/>
      <c r="BB52" s="358"/>
      <c r="BC52" s="358"/>
    </row>
    <row r="53" spans="1:55" s="376" customFormat="1" x14ac:dyDescent="0.15">
      <c r="A53" s="448">
        <v>42784</v>
      </c>
      <c r="B53" s="360" t="s">
        <v>34</v>
      </c>
      <c r="C53" s="361">
        <v>61275</v>
      </c>
      <c r="D53" s="348">
        <f>13168+10738</f>
        <v>23906</v>
      </c>
      <c r="E53" s="348">
        <v>90838</v>
      </c>
      <c r="F53" s="362">
        <v>4748.7</v>
      </c>
      <c r="G53" s="348">
        <v>2512.6999999999998</v>
      </c>
      <c r="H53" s="363"/>
      <c r="I53" s="363"/>
      <c r="J53" s="364">
        <f t="shared" si="0"/>
        <v>66932</v>
      </c>
      <c r="K53" s="348">
        <v>1586</v>
      </c>
      <c r="L53" s="348">
        <v>3844</v>
      </c>
      <c r="M53" s="365">
        <f t="shared" si="2"/>
        <v>227</v>
      </c>
      <c r="N53" s="366">
        <f t="shared" ref="N53:P62" si="21">N52+C53</f>
        <v>615084</v>
      </c>
      <c r="O53" s="349">
        <f t="shared" si="21"/>
        <v>407158</v>
      </c>
      <c r="P53" s="456">
        <f t="shared" si="21"/>
        <v>1089696.6000000001</v>
      </c>
      <c r="Q53" s="368">
        <f t="shared" si="17"/>
        <v>2450158.7199999997</v>
      </c>
      <c r="R53" s="367">
        <f t="shared" si="17"/>
        <v>1685695</v>
      </c>
      <c r="S53" s="369">
        <f t="shared" si="17"/>
        <v>4359338.96</v>
      </c>
      <c r="T53" s="370">
        <f>N53/'2018'!N53-1</f>
        <v>-0.22342389204667401</v>
      </c>
      <c r="U53" s="371">
        <f>O53/'2018'!O53-1</f>
        <v>-0.10641790684455288</v>
      </c>
      <c r="V53" s="371">
        <f>P53/'2018'!P53-1</f>
        <v>-0.14988329094568653</v>
      </c>
      <c r="W53" s="371">
        <f>Q53/'2018'!Q53-1</f>
        <v>-0.21764911162435407</v>
      </c>
      <c r="X53" s="371">
        <f>R53/'2018'!R53-1</f>
        <v>3.6138646420402987E-2</v>
      </c>
      <c r="Y53" s="372">
        <f>S53/'2018'!S53-1</f>
        <v>-9.9291730984785054E-2</v>
      </c>
      <c r="Z53" s="373"/>
      <c r="AA53" s="401">
        <f t="shared" si="1"/>
        <v>245.01587199999997</v>
      </c>
      <c r="AB53" s="375"/>
      <c r="AC53" s="365"/>
      <c r="AD53" s="375">
        <f t="shared" si="5"/>
        <v>2673643.96</v>
      </c>
      <c r="AE53" s="348">
        <f t="shared" si="18"/>
        <v>24654.65</v>
      </c>
      <c r="AF53" s="348">
        <f t="shared" si="18"/>
        <v>167840.2</v>
      </c>
      <c r="AG53" s="365">
        <f t="shared" si="8"/>
        <v>30990.390000000218</v>
      </c>
      <c r="AH53" s="379"/>
      <c r="AI53" s="402"/>
      <c r="AJ53" s="402"/>
      <c r="AK53" s="358"/>
      <c r="AL53" s="358"/>
      <c r="AM53" s="358"/>
      <c r="AN53" s="358"/>
      <c r="AO53" s="358"/>
      <c r="AP53" s="358"/>
      <c r="AQ53" s="358"/>
      <c r="AR53" s="358"/>
      <c r="AS53" s="358"/>
      <c r="AT53" s="358"/>
      <c r="AU53" s="358"/>
      <c r="AV53" s="358"/>
      <c r="AW53" s="358"/>
      <c r="AX53" s="358"/>
      <c r="AY53" s="358"/>
      <c r="AZ53" s="358"/>
      <c r="BA53" s="358"/>
      <c r="BB53" s="358"/>
      <c r="BC53" s="358"/>
    </row>
    <row r="54" spans="1:55" s="376" customFormat="1" x14ac:dyDescent="0.15">
      <c r="A54" s="448">
        <v>42785</v>
      </c>
      <c r="B54" s="360" t="s">
        <v>35</v>
      </c>
      <c r="C54" s="361">
        <v>50255</v>
      </c>
      <c r="D54" s="348">
        <f>20007+10892</f>
        <v>30899</v>
      </c>
      <c r="E54" s="348">
        <v>87236</v>
      </c>
      <c r="F54" s="362">
        <v>4360.7</v>
      </c>
      <c r="G54" s="348">
        <v>2612.4</v>
      </c>
      <c r="H54" s="363"/>
      <c r="I54" s="363"/>
      <c r="J54" s="364">
        <f t="shared" si="0"/>
        <v>56337</v>
      </c>
      <c r="K54" s="348">
        <v>1413</v>
      </c>
      <c r="L54" s="348">
        <v>3850</v>
      </c>
      <c r="M54" s="365">
        <f t="shared" si="2"/>
        <v>819</v>
      </c>
      <c r="N54" s="366">
        <f t="shared" si="21"/>
        <v>665339</v>
      </c>
      <c r="O54" s="349">
        <f t="shared" si="21"/>
        <v>438057</v>
      </c>
      <c r="P54" s="456">
        <f t="shared" si="21"/>
        <v>1176932.6000000001</v>
      </c>
      <c r="Q54" s="368">
        <f t="shared" si="17"/>
        <v>2500413.7199999997</v>
      </c>
      <c r="R54" s="367">
        <f t="shared" si="17"/>
        <v>1716594</v>
      </c>
      <c r="S54" s="369">
        <f t="shared" si="17"/>
        <v>4446574.96</v>
      </c>
      <c r="T54" s="370">
        <f>N54/'2018'!N54-1</f>
        <v>-0.18774126442703287</v>
      </c>
      <c r="U54" s="371">
        <f>O54/'2018'!O54-1</f>
        <v>-7.1053072442070264E-2</v>
      </c>
      <c r="V54" s="371">
        <f>P54/'2018'!P54-1</f>
        <v>-0.11218853156474973</v>
      </c>
      <c r="W54" s="371">
        <f>Q54/'2018'!Q54-1</f>
        <v>-0.20844578771691136</v>
      </c>
      <c r="X54" s="371">
        <f>R54/'2018'!R54-1</f>
        <v>4.4908836468091184E-2</v>
      </c>
      <c r="Y54" s="372">
        <f>S54/'2018'!S54-1</f>
        <v>-8.9513859828720732E-2</v>
      </c>
      <c r="Z54" s="373"/>
      <c r="AA54" s="401">
        <f t="shared" si="1"/>
        <v>250.04137199999997</v>
      </c>
      <c r="AB54" s="375"/>
      <c r="AC54" s="365"/>
      <c r="AD54" s="375">
        <f t="shared" si="5"/>
        <v>2729980.96</v>
      </c>
      <c r="AE54" s="348">
        <f t="shared" si="18"/>
        <v>26067.65</v>
      </c>
      <c r="AF54" s="348">
        <f t="shared" si="18"/>
        <v>171690.2</v>
      </c>
      <c r="AG54" s="365">
        <f t="shared" si="8"/>
        <v>31809.390000000218</v>
      </c>
      <c r="AH54" s="379"/>
      <c r="AI54" s="402"/>
      <c r="AJ54" s="402"/>
      <c r="AK54" s="358"/>
      <c r="AL54" s="358"/>
      <c r="AM54" s="358"/>
      <c r="AN54" s="358"/>
      <c r="AO54" s="358"/>
      <c r="AP54" s="358"/>
      <c r="AQ54" s="358"/>
      <c r="AR54" s="358"/>
      <c r="AS54" s="358"/>
      <c r="AT54" s="358"/>
      <c r="AU54" s="358"/>
      <c r="AV54" s="358"/>
      <c r="AW54" s="358"/>
      <c r="AX54" s="358"/>
      <c r="AY54" s="358"/>
      <c r="AZ54" s="358"/>
      <c r="BA54" s="358"/>
      <c r="BB54" s="358"/>
      <c r="BC54" s="358"/>
    </row>
    <row r="55" spans="1:55" s="376" customFormat="1" x14ac:dyDescent="0.15">
      <c r="A55" s="448">
        <v>42786</v>
      </c>
      <c r="B55" s="360" t="s">
        <v>36</v>
      </c>
      <c r="C55" s="361">
        <v>60018</v>
      </c>
      <c r="D55" s="348">
        <f>19448+10677</f>
        <v>30125</v>
      </c>
      <c r="E55" s="348">
        <v>95972</v>
      </c>
      <c r="F55" s="362">
        <v>5000.5</v>
      </c>
      <c r="G55" s="348">
        <v>2666.3</v>
      </c>
      <c r="H55" s="363"/>
      <c r="I55" s="363"/>
      <c r="J55" s="364">
        <f t="shared" si="0"/>
        <v>65847</v>
      </c>
      <c r="K55" s="348">
        <v>1779</v>
      </c>
      <c r="L55" s="348">
        <v>3848</v>
      </c>
      <c r="M55" s="365">
        <f t="shared" si="2"/>
        <v>202</v>
      </c>
      <c r="N55" s="366">
        <f t="shared" si="21"/>
        <v>725357</v>
      </c>
      <c r="O55" s="349">
        <f t="shared" si="21"/>
        <v>468182</v>
      </c>
      <c r="P55" s="456">
        <f t="shared" si="21"/>
        <v>1272904.6000000001</v>
      </c>
      <c r="Q55" s="368">
        <f t="shared" si="17"/>
        <v>2560431.7199999997</v>
      </c>
      <c r="R55" s="367">
        <f t="shared" si="17"/>
        <v>1746719</v>
      </c>
      <c r="S55" s="369">
        <f t="shared" si="17"/>
        <v>4542546.96</v>
      </c>
      <c r="T55" s="370">
        <f>N55/'2018'!N55-1</f>
        <v>-0.14438402378031523</v>
      </c>
      <c r="U55" s="371">
        <f>O55/'2018'!O55-1</f>
        <v>-4.175544380381635E-2</v>
      </c>
      <c r="V55" s="371">
        <f>P55/'2018'!P55-1</f>
        <v>-7.2449390780199185E-2</v>
      </c>
      <c r="W55" s="371">
        <f>Q55/'2018'!Q55-1</f>
        <v>-0.19672832163688814</v>
      </c>
      <c r="X55" s="371">
        <f>R55/'2018'!R55-1</f>
        <v>5.2343693989229001E-2</v>
      </c>
      <c r="Y55" s="372">
        <f>S55/'2018'!S55-1</f>
        <v>-7.8667524721046989E-2</v>
      </c>
      <c r="Z55" s="373"/>
      <c r="AA55" s="401">
        <f t="shared" si="1"/>
        <v>256.04317199999997</v>
      </c>
      <c r="AB55" s="375"/>
      <c r="AC55" s="365"/>
      <c r="AD55" s="375">
        <f t="shared" si="5"/>
        <v>2795827.96</v>
      </c>
      <c r="AE55" s="348">
        <f t="shared" ref="AE55:AF70" si="22">AE54+K55</f>
        <v>27846.65</v>
      </c>
      <c r="AF55" s="348">
        <f t="shared" si="22"/>
        <v>175538.2</v>
      </c>
      <c r="AG55" s="365">
        <f t="shared" si="8"/>
        <v>32011.390000000218</v>
      </c>
      <c r="AH55" s="379"/>
      <c r="AI55" s="402"/>
      <c r="AJ55" s="402"/>
      <c r="AK55" s="358"/>
      <c r="AL55" s="358"/>
      <c r="AM55" s="358"/>
      <c r="AN55" s="358"/>
      <c r="AO55" s="358"/>
      <c r="AP55" s="358"/>
      <c r="AQ55" s="358"/>
      <c r="AR55" s="358"/>
      <c r="AS55" s="358"/>
      <c r="AT55" s="358"/>
      <c r="AU55" s="358"/>
      <c r="AV55" s="358"/>
      <c r="AW55" s="358"/>
      <c r="AX55" s="358"/>
      <c r="AY55" s="358"/>
      <c r="AZ55" s="358"/>
      <c r="BA55" s="358"/>
      <c r="BB55" s="358"/>
      <c r="BC55" s="358"/>
    </row>
    <row r="56" spans="1:55" s="157" customFormat="1" x14ac:dyDescent="0.15">
      <c r="A56" s="449">
        <v>42787</v>
      </c>
      <c r="B56" s="182" t="s">
        <v>37</v>
      </c>
      <c r="C56" s="453">
        <v>60333.83</v>
      </c>
      <c r="D56" s="454">
        <v>33402</v>
      </c>
      <c r="E56" s="454">
        <v>99201.97</v>
      </c>
      <c r="F56" s="454">
        <v>5124.8999999999996</v>
      </c>
      <c r="G56" s="454">
        <v>2820.9</v>
      </c>
      <c r="H56" s="186"/>
      <c r="I56" s="186"/>
      <c r="J56" s="454">
        <f t="shared" si="0"/>
        <v>65799.97</v>
      </c>
      <c r="K56" s="184">
        <v>1217.6600000000001</v>
      </c>
      <c r="L56" s="184">
        <v>3844.79</v>
      </c>
      <c r="M56" s="211">
        <f t="shared" si="2"/>
        <v>403.68999999999505</v>
      </c>
      <c r="N56" s="212">
        <f t="shared" si="21"/>
        <v>785690.83</v>
      </c>
      <c r="O56" s="215">
        <f t="shared" si="21"/>
        <v>501584</v>
      </c>
      <c r="P56" s="455">
        <f t="shared" si="21"/>
        <v>1372106.57</v>
      </c>
      <c r="Q56" s="229">
        <f t="shared" si="17"/>
        <v>2620765.5499999998</v>
      </c>
      <c r="R56" s="213">
        <f t="shared" si="17"/>
        <v>1780121</v>
      </c>
      <c r="S56" s="230">
        <f t="shared" si="17"/>
        <v>4641748.93</v>
      </c>
      <c r="T56" s="231">
        <f>N56/'2018'!N56-1</f>
        <v>-0.10427469002093137</v>
      </c>
      <c r="U56" s="232">
        <f>O56/'2018'!O56-1</f>
        <v>-9.3772465496946289E-3</v>
      </c>
      <c r="V56" s="232">
        <f>P56/'2018'!P56-1</f>
        <v>-3.4238533001208493E-2</v>
      </c>
      <c r="W56" s="232">
        <f>Q56/'2018'!Q56-1</f>
        <v>-0.18531333973311781</v>
      </c>
      <c r="X56" s="232">
        <f>R56/'2018'!R56-1</f>
        <v>6.1120562522577027E-2</v>
      </c>
      <c r="Y56" s="249">
        <f>S56/'2018'!S56-1</f>
        <v>-6.7703264917476358E-2</v>
      </c>
      <c r="Z56" s="250">
        <v>18.32</v>
      </c>
      <c r="AA56" s="260">
        <f t="shared" si="1"/>
        <v>243.75655499999999</v>
      </c>
      <c r="AB56" s="463">
        <v>4259.88</v>
      </c>
      <c r="AC56" s="211">
        <f t="shared" ref="AC56" si="23">AA56*10000/AB56</f>
        <v>572.21460463675032</v>
      </c>
      <c r="AD56" s="252">
        <f t="shared" si="5"/>
        <v>2861627.9299999997</v>
      </c>
      <c r="AE56" s="184">
        <f t="shared" si="22"/>
        <v>29064.31</v>
      </c>
      <c r="AF56" s="184">
        <f t="shared" si="22"/>
        <v>179382.99000000002</v>
      </c>
      <c r="AG56" s="211">
        <f t="shared" si="8"/>
        <v>32415.079999999871</v>
      </c>
      <c r="AH56" s="464"/>
      <c r="AI56" s="465"/>
      <c r="AJ56" s="465"/>
      <c r="AK56" s="289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89"/>
      <c r="AW56" s="289"/>
      <c r="AX56" s="289"/>
      <c r="AY56" s="289"/>
      <c r="AZ56" s="289"/>
      <c r="BA56" s="289"/>
      <c r="BB56" s="289"/>
      <c r="BC56" s="289"/>
    </row>
    <row r="57" spans="1:55" s="376" customFormat="1" x14ac:dyDescent="0.15">
      <c r="A57" s="448">
        <v>42788</v>
      </c>
      <c r="B57" s="360" t="s">
        <v>38</v>
      </c>
      <c r="C57" s="361">
        <v>59689</v>
      </c>
      <c r="D57" s="348">
        <f>23536+11073</f>
        <v>34609</v>
      </c>
      <c r="E57" s="348">
        <v>99954</v>
      </c>
      <c r="F57" s="362">
        <v>5170.1000000000004</v>
      </c>
      <c r="G57" s="348">
        <v>2891</v>
      </c>
      <c r="H57" s="363"/>
      <c r="I57" s="363"/>
      <c r="J57" s="364">
        <f t="shared" si="0"/>
        <v>65345</v>
      </c>
      <c r="K57" s="348">
        <v>1322</v>
      </c>
      <c r="L57" s="348">
        <v>3849</v>
      </c>
      <c r="M57" s="365">
        <f t="shared" si="2"/>
        <v>485</v>
      </c>
      <c r="N57" s="366">
        <f t="shared" si="21"/>
        <v>845379.83</v>
      </c>
      <c r="O57" s="349">
        <f t="shared" si="21"/>
        <v>536193</v>
      </c>
      <c r="P57" s="456">
        <f t="shared" si="21"/>
        <v>1472060.57</v>
      </c>
      <c r="Q57" s="368">
        <f>N57+Q$35</f>
        <v>2680454.5499999998</v>
      </c>
      <c r="R57" s="367">
        <f t="shared" si="17"/>
        <v>1814730</v>
      </c>
      <c r="S57" s="369">
        <f t="shared" si="17"/>
        <v>4741702.93</v>
      </c>
      <c r="T57" s="370">
        <f>N57/'2018'!N57-1</f>
        <v>-6.6742806108818664E-2</v>
      </c>
      <c r="U57" s="371">
        <f>O57/'2018'!O57-1</f>
        <v>1.4136053366722301E-2</v>
      </c>
      <c r="V57" s="371">
        <f>P57/'2018'!P57-1</f>
        <v>-6.5947650831754689E-4</v>
      </c>
      <c r="W57" s="371">
        <f>Q57/'2018'!Q57-1</f>
        <v>-0.1741220782698194</v>
      </c>
      <c r="X57" s="371">
        <f>R57/'2018'!R57-1</f>
        <v>6.7505189788308329E-2</v>
      </c>
      <c r="Y57" s="372">
        <f>S57/'2018'!S57-1</f>
        <v>-5.752408723419844E-2</v>
      </c>
      <c r="Z57" s="373"/>
      <c r="AA57" s="401">
        <f t="shared" si="1"/>
        <v>268.045455</v>
      </c>
      <c r="AB57" s="375"/>
      <c r="AC57" s="365"/>
      <c r="AD57" s="375">
        <f t="shared" si="5"/>
        <v>2926972.9299999997</v>
      </c>
      <c r="AE57" s="348">
        <f t="shared" si="22"/>
        <v>30386.31</v>
      </c>
      <c r="AF57" s="348">
        <f t="shared" si="22"/>
        <v>183231.99000000002</v>
      </c>
      <c r="AG57" s="365">
        <f t="shared" si="8"/>
        <v>32900.079999999871</v>
      </c>
      <c r="AH57" s="379">
        <f>(AD57-AD50)/('2017'!AD57-'2017'!AD50)-1</f>
        <v>2.1877025166777919E-2</v>
      </c>
      <c r="AI57" s="402">
        <f t="shared" ref="AI57" si="24">AA57-AA50</f>
        <v>39.60118300000002</v>
      </c>
      <c r="AJ57" s="402">
        <f>'2017'!AA57-'2017'!AA50</f>
        <v>38.348628571428577</v>
      </c>
      <c r="AK57" s="358"/>
      <c r="AL57" s="358"/>
      <c r="AM57" s="358"/>
      <c r="AN57" s="358"/>
      <c r="AO57" s="358"/>
      <c r="AP57" s="358"/>
      <c r="AQ57" s="358"/>
      <c r="AR57" s="358"/>
      <c r="AS57" s="358"/>
      <c r="AT57" s="358"/>
      <c r="AU57" s="358"/>
      <c r="AV57" s="358"/>
      <c r="AW57" s="358"/>
      <c r="AX57" s="358"/>
      <c r="AY57" s="358"/>
      <c r="AZ57" s="358"/>
      <c r="BA57" s="358"/>
      <c r="BB57" s="358"/>
      <c r="BC57" s="358"/>
    </row>
    <row r="58" spans="1:55" s="376" customFormat="1" x14ac:dyDescent="0.15">
      <c r="A58" s="448">
        <v>42789</v>
      </c>
      <c r="B58" s="360" t="s">
        <v>39</v>
      </c>
      <c r="C58" s="361">
        <v>58317</v>
      </c>
      <c r="D58" s="348">
        <f>24580+10938</f>
        <v>35518</v>
      </c>
      <c r="E58" s="348">
        <v>100593</v>
      </c>
      <c r="F58" s="362">
        <v>5072.1000000000004</v>
      </c>
      <c r="G58" s="348">
        <v>2960.8</v>
      </c>
      <c r="H58" s="363"/>
      <c r="I58" s="363"/>
      <c r="J58" s="364">
        <f t="shared" si="0"/>
        <v>65075</v>
      </c>
      <c r="K58" s="348">
        <v>2410</v>
      </c>
      <c r="L58" s="348">
        <v>3845</v>
      </c>
      <c r="M58" s="365">
        <f t="shared" si="2"/>
        <v>503</v>
      </c>
      <c r="N58" s="366">
        <f t="shared" si="21"/>
        <v>903696.83</v>
      </c>
      <c r="O58" s="349">
        <f t="shared" si="21"/>
        <v>571711</v>
      </c>
      <c r="P58" s="456">
        <f t="shared" si="21"/>
        <v>1572653.57</v>
      </c>
      <c r="Q58" s="368">
        <f t="shared" si="17"/>
        <v>2738771.55</v>
      </c>
      <c r="R58" s="367">
        <f t="shared" si="17"/>
        <v>1850248</v>
      </c>
      <c r="S58" s="369">
        <f t="shared" si="17"/>
        <v>4842295.93</v>
      </c>
      <c r="T58" s="370">
        <f>N58/'2018'!N58-1</f>
        <v>-3.0600156829428182E-2</v>
      </c>
      <c r="U58" s="371">
        <f>O58/'2018'!O58-1</f>
        <v>3.4445260678085177E-2</v>
      </c>
      <c r="V58" s="371">
        <f>P58/'2018'!P58-1</f>
        <v>3.0879154086471461E-2</v>
      </c>
      <c r="W58" s="371">
        <f>Q58/'2018'!Q58-1</f>
        <v>-0.16295869838591048</v>
      </c>
      <c r="X58" s="371">
        <f>R58/'2018'!R58-1</f>
        <v>7.3274521905787315E-2</v>
      </c>
      <c r="Y58" s="372">
        <f>S58/'2018'!S58-1</f>
        <v>-4.7472244581148626E-2</v>
      </c>
      <c r="Z58" s="373"/>
      <c r="AA58" s="401">
        <f t="shared" si="1"/>
        <v>273.87715499999996</v>
      </c>
      <c r="AB58" s="375"/>
      <c r="AC58" s="365"/>
      <c r="AD58" s="375">
        <f t="shared" si="5"/>
        <v>2992047.9299999997</v>
      </c>
      <c r="AE58" s="348">
        <f t="shared" si="22"/>
        <v>32796.31</v>
      </c>
      <c r="AF58" s="348">
        <f t="shared" si="22"/>
        <v>187076.99000000002</v>
      </c>
      <c r="AG58" s="365">
        <f t="shared" si="8"/>
        <v>33403.079999999871</v>
      </c>
      <c r="AH58" s="357"/>
      <c r="AI58" s="402"/>
      <c r="AJ58" s="402"/>
      <c r="AK58" s="358"/>
      <c r="AL58" s="358"/>
      <c r="AM58" s="358"/>
      <c r="AN58" s="358"/>
      <c r="AO58" s="358"/>
      <c r="AP58" s="358"/>
      <c r="AQ58" s="358"/>
      <c r="AR58" s="358"/>
      <c r="AS58" s="358"/>
      <c r="AT58" s="358"/>
      <c r="AU58" s="358"/>
      <c r="AV58" s="358"/>
      <c r="AW58" s="358"/>
      <c r="AX58" s="358"/>
      <c r="AY58" s="358"/>
      <c r="AZ58" s="358"/>
      <c r="BA58" s="358"/>
      <c r="BB58" s="358"/>
      <c r="BC58" s="358"/>
    </row>
    <row r="59" spans="1:55" s="376" customFormat="1" x14ac:dyDescent="0.15">
      <c r="A59" s="448">
        <v>42790</v>
      </c>
      <c r="B59" s="360" t="s">
        <v>1</v>
      </c>
      <c r="C59" s="361">
        <v>54229</v>
      </c>
      <c r="D59" s="348">
        <f>24317+10982</f>
        <v>35299</v>
      </c>
      <c r="E59" s="348">
        <v>95727</v>
      </c>
      <c r="F59" s="362">
        <v>4601.8</v>
      </c>
      <c r="G59" s="348">
        <v>3035</v>
      </c>
      <c r="H59" s="363"/>
      <c r="I59" s="363"/>
      <c r="J59" s="364">
        <f t="shared" si="0"/>
        <v>60428</v>
      </c>
      <c r="K59" s="348">
        <v>1770</v>
      </c>
      <c r="L59" s="348">
        <v>3844</v>
      </c>
      <c r="M59" s="365">
        <f t="shared" si="2"/>
        <v>585</v>
      </c>
      <c r="N59" s="366">
        <f t="shared" si="21"/>
        <v>957925.83</v>
      </c>
      <c r="O59" s="349">
        <f t="shared" si="21"/>
        <v>607010</v>
      </c>
      <c r="P59" s="456">
        <f t="shared" si="21"/>
        <v>1668380.57</v>
      </c>
      <c r="Q59" s="368">
        <f t="shared" si="17"/>
        <v>2793000.55</v>
      </c>
      <c r="R59" s="367">
        <f t="shared" si="17"/>
        <v>1885547</v>
      </c>
      <c r="S59" s="369">
        <f t="shared" si="17"/>
        <v>4938022.93</v>
      </c>
      <c r="T59" s="370">
        <f>N59/'2018'!N59-1</f>
        <v>-7.9126336262875796E-3</v>
      </c>
      <c r="U59" s="371">
        <f>O59/'2018'!O59-1</f>
        <v>5.0939423949251106E-2</v>
      </c>
      <c r="V59" s="371">
        <f>P59/'2018'!P59-1</f>
        <v>5.2346436935746476E-2</v>
      </c>
      <c r="W59" s="371">
        <f>Q59/'2018'!Q59-1</f>
        <v>-0.15499589563464977</v>
      </c>
      <c r="X59" s="371">
        <f>R59/'2018'!R59-1</f>
        <v>7.8168868314004269E-2</v>
      </c>
      <c r="Y59" s="372">
        <f>S59/'2018'!S59-1</f>
        <v>-3.9943677190574567E-2</v>
      </c>
      <c r="Z59" s="373"/>
      <c r="AA59" s="401">
        <f t="shared" si="1"/>
        <v>279.30005499999999</v>
      </c>
      <c r="AB59" s="375"/>
      <c r="AC59" s="365"/>
      <c r="AD59" s="375">
        <f t="shared" si="5"/>
        <v>3052475.9299999997</v>
      </c>
      <c r="AE59" s="348">
        <f t="shared" si="22"/>
        <v>34566.31</v>
      </c>
      <c r="AF59" s="348">
        <f t="shared" si="22"/>
        <v>190920.99000000002</v>
      </c>
      <c r="AG59" s="365">
        <f t="shared" si="8"/>
        <v>33988.079999999871</v>
      </c>
      <c r="AH59" s="357"/>
      <c r="AI59" s="402"/>
      <c r="AJ59" s="402"/>
      <c r="AK59" s="358"/>
      <c r="AL59" s="358"/>
      <c r="AM59" s="358"/>
      <c r="AN59" s="358"/>
      <c r="AO59" s="358"/>
      <c r="AP59" s="358"/>
      <c r="AQ59" s="358"/>
      <c r="AR59" s="358"/>
      <c r="AS59" s="358"/>
      <c r="AT59" s="358"/>
      <c r="AU59" s="358"/>
      <c r="AV59" s="358"/>
      <c r="AW59" s="358"/>
      <c r="AX59" s="358"/>
      <c r="AY59" s="358"/>
      <c r="AZ59" s="358"/>
      <c r="BA59" s="358"/>
      <c r="BB59" s="358"/>
      <c r="BC59" s="358"/>
    </row>
    <row r="60" spans="1:55" s="376" customFormat="1" x14ac:dyDescent="0.15">
      <c r="A60" s="448">
        <v>42791</v>
      </c>
      <c r="B60" s="360" t="s">
        <v>34</v>
      </c>
      <c r="C60" s="361">
        <v>63833</v>
      </c>
      <c r="D60" s="348">
        <f>23670+10907</f>
        <v>34577</v>
      </c>
      <c r="E60" s="348">
        <v>104796</v>
      </c>
      <c r="F60" s="362">
        <v>5493.8</v>
      </c>
      <c r="G60" s="348">
        <v>3974.2</v>
      </c>
      <c r="H60" s="363"/>
      <c r="I60" s="363"/>
      <c r="J60" s="364">
        <f t="shared" si="0"/>
        <v>70219</v>
      </c>
      <c r="K60" s="348">
        <v>2382</v>
      </c>
      <c r="L60" s="348">
        <v>3852</v>
      </c>
      <c r="M60" s="365">
        <f t="shared" si="2"/>
        <v>152</v>
      </c>
      <c r="N60" s="366">
        <f t="shared" si="21"/>
        <v>1021758.83</v>
      </c>
      <c r="O60" s="349">
        <f t="shared" si="21"/>
        <v>641587</v>
      </c>
      <c r="P60" s="456">
        <f t="shared" si="21"/>
        <v>1773176.57</v>
      </c>
      <c r="Q60" s="368">
        <f t="shared" si="17"/>
        <v>2856833.55</v>
      </c>
      <c r="R60" s="367">
        <f t="shared" si="17"/>
        <v>1920124</v>
      </c>
      <c r="S60" s="369">
        <f t="shared" si="17"/>
        <v>5042818.93</v>
      </c>
      <c r="T60" s="370">
        <f>N60/'2018'!N60-1</f>
        <v>1.8974990326428243E-2</v>
      </c>
      <c r="U60" s="371">
        <f>O60/'2018'!O60-1</f>
        <v>6.561398613477909E-2</v>
      </c>
      <c r="V60" s="371">
        <f>P60/'2018'!P60-1</f>
        <v>7.5653150051714801E-2</v>
      </c>
      <c r="W60" s="371">
        <f>Q60/'2018'!Q60-1</f>
        <v>-0.14529423223629157</v>
      </c>
      <c r="X60" s="371">
        <f>R60/'2018'!R60-1</f>
        <v>8.2775063496145052E-2</v>
      </c>
      <c r="Y60" s="372">
        <f>S60/'2018'!S60-1</f>
        <v>-3.144641115749891E-2</v>
      </c>
      <c r="Z60" s="373"/>
      <c r="AA60" s="401">
        <f t="shared" si="1"/>
        <v>285.68335500000001</v>
      </c>
      <c r="AB60" s="375"/>
      <c r="AC60" s="365"/>
      <c r="AD60" s="375">
        <f t="shared" si="5"/>
        <v>3122694.9299999997</v>
      </c>
      <c r="AE60" s="348">
        <f t="shared" si="22"/>
        <v>36948.31</v>
      </c>
      <c r="AF60" s="348">
        <f t="shared" si="22"/>
        <v>194772.99000000002</v>
      </c>
      <c r="AG60" s="365">
        <f t="shared" si="8"/>
        <v>34140.079999999871</v>
      </c>
      <c r="AH60" s="357"/>
      <c r="AI60" s="402"/>
      <c r="AJ60" s="402"/>
      <c r="AK60" s="358"/>
      <c r="AL60" s="358"/>
      <c r="AM60" s="358"/>
      <c r="AN60" s="358"/>
      <c r="AO60" s="358"/>
      <c r="AP60" s="358"/>
      <c r="AQ60" s="358"/>
      <c r="AR60" s="358"/>
      <c r="AS60" s="358"/>
      <c r="AT60" s="358"/>
      <c r="AU60" s="358"/>
      <c r="AV60" s="358"/>
      <c r="AW60" s="358"/>
      <c r="AX60" s="358"/>
      <c r="AY60" s="358"/>
      <c r="AZ60" s="358"/>
      <c r="BA60" s="358"/>
      <c r="BB60" s="358"/>
      <c r="BC60" s="358"/>
    </row>
    <row r="61" spans="1:55" s="376" customFormat="1" x14ac:dyDescent="0.15">
      <c r="A61" s="448">
        <v>42792</v>
      </c>
      <c r="B61" s="360" t="s">
        <v>35</v>
      </c>
      <c r="C61" s="361">
        <v>63361</v>
      </c>
      <c r="D61" s="348">
        <f>24257+10827</f>
        <v>35084</v>
      </c>
      <c r="E61" s="348">
        <v>105355</v>
      </c>
      <c r="F61" s="362">
        <v>5364.9</v>
      </c>
      <c r="G61" s="348">
        <v>3220.4</v>
      </c>
      <c r="H61" s="363"/>
      <c r="I61" s="363"/>
      <c r="J61" s="364">
        <f t="shared" si="0"/>
        <v>70271</v>
      </c>
      <c r="K61" s="348">
        <v>2425</v>
      </c>
      <c r="L61" s="348">
        <v>3848</v>
      </c>
      <c r="M61" s="365">
        <f t="shared" si="2"/>
        <v>637</v>
      </c>
      <c r="N61" s="366">
        <f t="shared" si="21"/>
        <v>1085119.83</v>
      </c>
      <c r="O61" s="349">
        <f t="shared" si="21"/>
        <v>676671</v>
      </c>
      <c r="P61" s="456">
        <f t="shared" si="21"/>
        <v>1878531.57</v>
      </c>
      <c r="Q61" s="368">
        <f t="shared" si="17"/>
        <v>2920194.55</v>
      </c>
      <c r="R61" s="367">
        <f t="shared" si="17"/>
        <v>1955208</v>
      </c>
      <c r="S61" s="369">
        <f t="shared" si="17"/>
        <v>5148173.93</v>
      </c>
      <c r="T61" s="370">
        <f>N61/'2018'!N61-1</f>
        <v>4.1029123531088008E-2</v>
      </c>
      <c r="U61" s="371">
        <f>O61/'2018'!O61-1</f>
        <v>7.9488676608534092E-2</v>
      </c>
      <c r="V61" s="371">
        <f>P61/'2018'!P61-1</f>
        <v>9.5890447799505285E-2</v>
      </c>
      <c r="W61" s="371">
        <f>Q61/'2018'!Q61-1</f>
        <v>-0.136572808094235</v>
      </c>
      <c r="X61" s="371">
        <f>R61/'2018'!R61-1</f>
        <v>8.7375660281030276E-2</v>
      </c>
      <c r="Y61" s="372">
        <f>S61/'2018'!S61-1</f>
        <v>-2.3532154007402495E-2</v>
      </c>
      <c r="Z61" s="373"/>
      <c r="AA61" s="401">
        <f t="shared" si="1"/>
        <v>292.01945499999999</v>
      </c>
      <c r="AB61" s="375"/>
      <c r="AC61" s="365"/>
      <c r="AD61" s="375">
        <f t="shared" si="5"/>
        <v>3192965.9299999997</v>
      </c>
      <c r="AE61" s="348">
        <f t="shared" si="22"/>
        <v>39373.31</v>
      </c>
      <c r="AF61" s="348">
        <f t="shared" si="22"/>
        <v>198620.99000000002</v>
      </c>
      <c r="AG61" s="365">
        <f t="shared" si="8"/>
        <v>34777.079999999871</v>
      </c>
      <c r="AH61" s="357"/>
      <c r="AI61" s="402"/>
      <c r="AJ61" s="402"/>
      <c r="AK61" s="358"/>
      <c r="AL61" s="358"/>
      <c r="AM61" s="358"/>
      <c r="AN61" s="358"/>
      <c r="AO61" s="358"/>
      <c r="AP61" s="358"/>
      <c r="AQ61" s="358"/>
      <c r="AR61" s="358"/>
      <c r="AS61" s="358"/>
      <c r="AT61" s="358"/>
      <c r="AU61" s="358"/>
      <c r="AV61" s="358"/>
      <c r="AW61" s="358"/>
      <c r="AX61" s="358"/>
      <c r="AY61" s="358"/>
      <c r="AZ61" s="358"/>
      <c r="BA61" s="358"/>
      <c r="BB61" s="358"/>
      <c r="BC61" s="358"/>
    </row>
    <row r="62" spans="1:55" s="376" customFormat="1" x14ac:dyDescent="0.15">
      <c r="A62" s="448">
        <v>42793</v>
      </c>
      <c r="B62" s="360" t="s">
        <v>36</v>
      </c>
      <c r="C62" s="361">
        <v>67498</v>
      </c>
      <c r="D62" s="348">
        <f>24843+10864</f>
        <v>35707</v>
      </c>
      <c r="E62" s="348">
        <v>109409</v>
      </c>
      <c r="F62" s="362">
        <v>5673.5</v>
      </c>
      <c r="G62" s="348">
        <v>3265.5</v>
      </c>
      <c r="H62" s="363"/>
      <c r="I62" s="363"/>
      <c r="J62" s="364">
        <f t="shared" si="0"/>
        <v>73702</v>
      </c>
      <c r="K62" s="348">
        <v>2259</v>
      </c>
      <c r="L62" s="348">
        <v>3849</v>
      </c>
      <c r="M62" s="365">
        <f t="shared" si="2"/>
        <v>96</v>
      </c>
      <c r="N62" s="366">
        <f t="shared" si="21"/>
        <v>1152617.83</v>
      </c>
      <c r="O62" s="349">
        <f t="shared" si="21"/>
        <v>712378</v>
      </c>
      <c r="P62" s="456">
        <f>P61+E62</f>
        <v>1987940.57</v>
      </c>
      <c r="Q62" s="368">
        <f t="shared" si="17"/>
        <v>2987692.55</v>
      </c>
      <c r="R62" s="367">
        <f t="shared" si="17"/>
        <v>1990915</v>
      </c>
      <c r="S62" s="369">
        <f>P62+S$35</f>
        <v>5257582.93</v>
      </c>
      <c r="T62" s="370">
        <f>N62/'2018'!N62-1</f>
        <v>6.4159566070398188E-2</v>
      </c>
      <c r="U62" s="371">
        <f>O62/'2018'!O62-1</f>
        <v>9.2485327518015747E-2</v>
      </c>
      <c r="V62" s="371">
        <f>P62/'2018'!P62-1</f>
        <v>0.11599358116092628</v>
      </c>
      <c r="W62" s="371">
        <f>Q62/'2018'!Q62-1</f>
        <v>-0.12713793163410081</v>
      </c>
      <c r="X62" s="371">
        <f>R62/'2018'!R62-1</f>
        <v>9.1914496866987605E-2</v>
      </c>
      <c r="Y62" s="372">
        <f>S62/'2018'!S62-1</f>
        <v>-1.5323292534967448E-2</v>
      </c>
      <c r="Z62" s="373"/>
      <c r="AA62" s="401">
        <f t="shared" si="1"/>
        <v>298.76925499999999</v>
      </c>
      <c r="AB62" s="375"/>
      <c r="AC62" s="365"/>
      <c r="AD62" s="375">
        <f t="shared" si="5"/>
        <v>3266667.9299999997</v>
      </c>
      <c r="AE62" s="348">
        <f t="shared" si="22"/>
        <v>41632.31</v>
      </c>
      <c r="AF62" s="348">
        <f t="shared" si="22"/>
        <v>202469.99000000002</v>
      </c>
      <c r="AG62" s="365">
        <f t="shared" si="8"/>
        <v>34873.079999999871</v>
      </c>
      <c r="AH62" s="357"/>
      <c r="AI62" s="402"/>
      <c r="AJ62" s="402"/>
      <c r="AK62" s="358"/>
      <c r="AL62" s="358"/>
      <c r="AM62" s="358"/>
      <c r="AN62" s="358"/>
      <c r="AO62" s="358"/>
      <c r="AP62" s="358"/>
      <c r="AQ62" s="358"/>
      <c r="AR62" s="358"/>
      <c r="AS62" s="358"/>
      <c r="AT62" s="358"/>
      <c r="AU62" s="358"/>
      <c r="AV62" s="358"/>
      <c r="AW62" s="358"/>
      <c r="AX62" s="358"/>
      <c r="AY62" s="358"/>
      <c r="AZ62" s="358"/>
      <c r="BA62" s="358"/>
      <c r="BB62" s="358"/>
      <c r="BC62" s="358"/>
    </row>
    <row r="63" spans="1:55" s="376" customFormat="1" x14ac:dyDescent="0.15">
      <c r="A63" s="403">
        <v>42794</v>
      </c>
      <c r="B63" s="275" t="s">
        <v>69</v>
      </c>
      <c r="C63" s="460">
        <v>64423.39</v>
      </c>
      <c r="D63" s="461">
        <v>36520</v>
      </c>
      <c r="E63" s="461">
        <v>107196.33</v>
      </c>
      <c r="F63" s="461">
        <v>5482.9</v>
      </c>
      <c r="G63" s="461">
        <v>3247.4</v>
      </c>
      <c r="H63" s="461"/>
      <c r="I63" s="461"/>
      <c r="J63" s="461">
        <f t="shared" si="0"/>
        <v>70676.33</v>
      </c>
      <c r="K63" s="461">
        <v>1946.77</v>
      </c>
      <c r="L63" s="461">
        <v>3845.33</v>
      </c>
      <c r="M63" s="386">
        <f t="shared" si="2"/>
        <v>460.83999999999651</v>
      </c>
      <c r="N63" s="387">
        <f>[2]表2、统调口径电量!$D$10</f>
        <v>1217041.58</v>
      </c>
      <c r="O63" s="404">
        <f>[2]表2、统调口径电量!$D$14</f>
        <v>748897</v>
      </c>
      <c r="P63" s="410">
        <f>[2]表2、统调口径电量!$D$3</f>
        <v>2098093.06</v>
      </c>
      <c r="Q63" s="390">
        <f>[2]表2、统调口径电量!$I$10</f>
        <v>3052116.3</v>
      </c>
      <c r="R63" s="388">
        <f>[2]表2、统调口径电量!$I$14</f>
        <v>2027434</v>
      </c>
      <c r="S63" s="391">
        <f>[2]表2、统调口径电量!$I$3</f>
        <v>5367735.42</v>
      </c>
      <c r="T63" s="392">
        <f>N63/'2018'!N63-1</f>
        <v>7.9867846437142731E-2</v>
      </c>
      <c r="U63" s="393">
        <f>O63/'2018'!O63-1</f>
        <v>0.10562944656299789</v>
      </c>
      <c r="V63" s="393">
        <f>P63/'2018'!P63-1</f>
        <v>0.13322390303944109</v>
      </c>
      <c r="W63" s="393">
        <f>Q63/'2018'!Q63-1</f>
        <v>-0.11960866307833373</v>
      </c>
      <c r="X63" s="393">
        <f>R63/'2018'!R63-1</f>
        <v>9.6738456012459118E-2</v>
      </c>
      <c r="Y63" s="394">
        <f>S63/'2018'!S63-1</f>
        <v>-7.723986937417715E-3</v>
      </c>
      <c r="Z63" s="395">
        <f>[2]表2、统调口径电量!$I$12/10000</f>
        <v>20.403339000000003</v>
      </c>
      <c r="AA63" s="396">
        <f t="shared" si="1"/>
        <v>284.80829099999994</v>
      </c>
      <c r="AB63" s="462">
        <v>4259.88</v>
      </c>
      <c r="AC63" s="386">
        <f t="shared" ref="AC63" si="25">AA63*10000/AB63</f>
        <v>668.58289670131535</v>
      </c>
      <c r="AD63" s="397">
        <f>[2]表2、统调口径电量!$I$4</f>
        <v>3340301.42</v>
      </c>
      <c r="AE63" s="382">
        <f>[2]表2、统调口径电量!$I$13</f>
        <v>43576.77</v>
      </c>
      <c r="AF63" s="382">
        <f>[2]表2、统调口径电量!$I$17</f>
        <v>208314.07</v>
      </c>
      <c r="AG63" s="386">
        <f t="shared" si="8"/>
        <v>36294.280000000115</v>
      </c>
      <c r="AH63" s="357"/>
      <c r="AI63" s="402"/>
      <c r="AJ63" s="402"/>
      <c r="AK63" s="358"/>
      <c r="AL63" s="358"/>
      <c r="AM63" s="358"/>
      <c r="AN63" s="358"/>
      <c r="AO63" s="358"/>
      <c r="AP63" s="358"/>
      <c r="AQ63" s="358"/>
      <c r="AR63" s="358"/>
      <c r="AS63" s="358"/>
      <c r="AT63" s="358"/>
      <c r="AU63" s="358"/>
      <c r="AV63" s="358"/>
      <c r="AW63" s="358"/>
      <c r="AX63" s="358"/>
      <c r="AY63" s="358"/>
      <c r="AZ63" s="358"/>
      <c r="BA63" s="358"/>
      <c r="BB63" s="358"/>
      <c r="BC63" s="358"/>
    </row>
    <row r="64" spans="1:55" s="376" customFormat="1" x14ac:dyDescent="0.15">
      <c r="A64" s="377"/>
      <c r="C64" s="366"/>
      <c r="D64" s="349"/>
      <c r="E64" s="349"/>
      <c r="F64" s="362"/>
      <c r="G64" s="405"/>
      <c r="H64" s="363"/>
      <c r="I64" s="363"/>
      <c r="J64" s="364"/>
      <c r="K64" s="348"/>
      <c r="L64" s="348"/>
      <c r="M64" s="365"/>
      <c r="N64" s="366"/>
      <c r="O64" s="349"/>
      <c r="P64" s="353"/>
      <c r="Q64" s="368"/>
      <c r="R64" s="367"/>
      <c r="S64" s="369"/>
      <c r="T64" s="370"/>
      <c r="U64" s="371"/>
      <c r="V64" s="371"/>
      <c r="W64" s="371"/>
      <c r="X64" s="371"/>
      <c r="Y64" s="372"/>
      <c r="Z64" s="373"/>
      <c r="AA64" s="374"/>
      <c r="AB64" s="406"/>
      <c r="AC64" s="365"/>
      <c r="AD64" s="375"/>
      <c r="AE64" s="348"/>
      <c r="AF64" s="348"/>
      <c r="AG64" s="365"/>
      <c r="AH64" s="357"/>
      <c r="AI64" s="402"/>
      <c r="AJ64" s="402"/>
      <c r="AK64" s="358"/>
      <c r="AL64" s="358"/>
      <c r="AM64" s="358"/>
      <c r="AN64" s="358"/>
      <c r="AO64" s="358"/>
      <c r="AP64" s="358"/>
      <c r="AQ64" s="358"/>
      <c r="AR64" s="358"/>
      <c r="AS64" s="358"/>
      <c r="AT64" s="358"/>
      <c r="AU64" s="358"/>
      <c r="AV64" s="358"/>
      <c r="AW64" s="358"/>
      <c r="AX64" s="358"/>
      <c r="AY64" s="358"/>
      <c r="AZ64" s="358"/>
      <c r="BA64" s="358"/>
      <c r="BB64" s="358"/>
      <c r="BC64" s="358"/>
    </row>
    <row r="65" spans="1:55" s="376" customFormat="1" x14ac:dyDescent="0.15">
      <c r="A65" s="377">
        <v>42795</v>
      </c>
      <c r="B65" s="457" t="s">
        <v>38</v>
      </c>
      <c r="C65" s="361">
        <v>65791</v>
      </c>
      <c r="D65" s="348">
        <f>26135+11090</f>
        <v>37225</v>
      </c>
      <c r="E65" s="348">
        <v>109019</v>
      </c>
      <c r="F65" s="362">
        <v>5580.8</v>
      </c>
      <c r="G65" s="348">
        <v>3237.6</v>
      </c>
      <c r="H65" s="363"/>
      <c r="I65" s="363"/>
      <c r="J65" s="364">
        <f t="shared" si="0"/>
        <v>71794</v>
      </c>
      <c r="K65" s="348">
        <v>1830</v>
      </c>
      <c r="L65" s="348">
        <v>3849</v>
      </c>
      <c r="M65" s="365">
        <f>J65-K65-L65-C65</f>
        <v>324</v>
      </c>
      <c r="N65" s="366">
        <f>C65</f>
        <v>65791</v>
      </c>
      <c r="O65" s="349">
        <f>D65</f>
        <v>37225</v>
      </c>
      <c r="P65" s="353">
        <f>E65</f>
        <v>109019</v>
      </c>
      <c r="Q65" s="368">
        <f t="shared" ref="Q65:S95" si="26">Q$63+N65</f>
        <v>3117907.3</v>
      </c>
      <c r="R65" s="367">
        <f t="shared" si="26"/>
        <v>2064659</v>
      </c>
      <c r="S65" s="369">
        <f t="shared" si="26"/>
        <v>5476754.4199999999</v>
      </c>
      <c r="T65" s="370">
        <f>N65/'2018'!N65-1</f>
        <v>0.52449253869682089</v>
      </c>
      <c r="U65" s="371">
        <f>O65/'2018'!O65-1</f>
        <v>0.35015052047441153</v>
      </c>
      <c r="V65" s="371">
        <f>P65/'2018'!P65-1</f>
        <v>0.51518394462898365</v>
      </c>
      <c r="W65" s="371">
        <f>Q65/'2018'!Q65-1</f>
        <v>-0.11168917610083373</v>
      </c>
      <c r="X65" s="371">
        <f>R65/'2018'!R65-1</f>
        <v>0.10046243045687664</v>
      </c>
      <c r="Y65" s="372">
        <f>S65/'2018'!S65-1</f>
        <v>-8.6017992543885313E-4</v>
      </c>
      <c r="Z65" s="373"/>
      <c r="AA65" s="374">
        <f t="shared" si="1"/>
        <v>311.79073</v>
      </c>
      <c r="AB65" s="375"/>
      <c r="AC65" s="365"/>
      <c r="AD65" s="375">
        <f>S65-R65</f>
        <v>3412095.42</v>
      </c>
      <c r="AE65" s="348">
        <f>AE63+K65</f>
        <v>45406.77</v>
      </c>
      <c r="AF65" s="348">
        <f>AF63+L65</f>
        <v>212163.07</v>
      </c>
      <c r="AG65" s="365">
        <f t="shared" si="8"/>
        <v>36618.280000000115</v>
      </c>
      <c r="AH65" s="379">
        <f>(AD65-AD57)/('2017'!AD65-'2017'!AD57)-1</f>
        <v>-2.2130611492583663E-2</v>
      </c>
      <c r="AI65" s="402">
        <f>AA65-AA57</f>
        <v>43.745274999999992</v>
      </c>
      <c r="AJ65" s="402">
        <f>'2017'!AA65-'2017'!AA57</f>
        <v>47.352284285714234</v>
      </c>
      <c r="AK65" s="407"/>
      <c r="AL65" s="358"/>
      <c r="AM65" s="358"/>
      <c r="AN65" s="358"/>
      <c r="AO65" s="358"/>
      <c r="AP65" s="358"/>
      <c r="AQ65" s="358"/>
      <c r="AR65" s="358"/>
      <c r="AS65" s="358"/>
      <c r="AT65" s="358"/>
      <c r="AU65" s="358"/>
      <c r="AV65" s="358"/>
      <c r="AW65" s="358"/>
      <c r="AX65" s="358"/>
      <c r="AY65" s="358"/>
      <c r="AZ65" s="358"/>
      <c r="BA65" s="358"/>
      <c r="BB65" s="358"/>
      <c r="BC65" s="358"/>
    </row>
    <row r="66" spans="1:55" s="376" customFormat="1" x14ac:dyDescent="0.15">
      <c r="A66" s="377">
        <v>42796</v>
      </c>
      <c r="B66" s="457" t="s">
        <v>39</v>
      </c>
      <c r="C66" s="361">
        <v>65223</v>
      </c>
      <c r="D66" s="348">
        <f>27292+11039</f>
        <v>38331</v>
      </c>
      <c r="E66" s="348">
        <v>109751</v>
      </c>
      <c r="F66" s="362">
        <v>5727.8</v>
      </c>
      <c r="G66" s="348">
        <v>3275.3</v>
      </c>
      <c r="H66" s="363"/>
      <c r="I66" s="363"/>
      <c r="J66" s="364">
        <f t="shared" si="0"/>
        <v>71420</v>
      </c>
      <c r="K66" s="348">
        <v>2143</v>
      </c>
      <c r="L66" s="348">
        <v>3850</v>
      </c>
      <c r="M66" s="365">
        <f t="shared" si="2"/>
        <v>204</v>
      </c>
      <c r="N66" s="366">
        <f t="shared" ref="N66:O81" si="27">N65+C66</f>
        <v>131014</v>
      </c>
      <c r="O66" s="367">
        <f>O65+D66</f>
        <v>75556</v>
      </c>
      <c r="P66" s="353">
        <f t="shared" ref="P66:P95" si="28">P65+E66</f>
        <v>218770</v>
      </c>
      <c r="Q66" s="368">
        <f t="shared" si="26"/>
        <v>3183130.3</v>
      </c>
      <c r="R66" s="367">
        <f t="shared" si="26"/>
        <v>2102990</v>
      </c>
      <c r="S66" s="369">
        <f t="shared" si="26"/>
        <v>5586505.4199999999</v>
      </c>
      <c r="T66" s="370">
        <f>N66/'2018'!N66-1</f>
        <v>0.40377156327011687</v>
      </c>
      <c r="U66" s="371">
        <f>O66/'2018'!O66-1</f>
        <v>0.36656477780390317</v>
      </c>
      <c r="V66" s="371">
        <f>P66/'2018'!P66-1</f>
        <v>0.455439352812816</v>
      </c>
      <c r="W66" s="371">
        <f>Q66/'2018'!Q66-1</f>
        <v>-0.1058879684440529</v>
      </c>
      <c r="X66" s="371">
        <f>R66/'2018'!R66-1</f>
        <v>0.10457420904126913</v>
      </c>
      <c r="Y66" s="372">
        <f>S66/'2018'!S66-1</f>
        <v>4.7977991674268416E-3</v>
      </c>
      <c r="Z66" s="373"/>
      <c r="AA66" s="374">
        <f t="shared" si="1"/>
        <v>318.31302999999997</v>
      </c>
      <c r="AB66" s="375"/>
      <c r="AC66" s="365"/>
      <c r="AD66" s="375">
        <f t="shared" si="5"/>
        <v>3483515.42</v>
      </c>
      <c r="AE66" s="348">
        <f t="shared" si="22"/>
        <v>47549.77</v>
      </c>
      <c r="AF66" s="348">
        <f t="shared" si="22"/>
        <v>216013.07</v>
      </c>
      <c r="AG66" s="365">
        <f t="shared" si="8"/>
        <v>36822.280000000115</v>
      </c>
      <c r="AH66" s="357"/>
      <c r="AI66" s="358"/>
      <c r="AJ66" s="358"/>
      <c r="AK66" s="358"/>
      <c r="AL66" s="358"/>
      <c r="AM66" s="358"/>
      <c r="AN66" s="358"/>
      <c r="AO66" s="358"/>
      <c r="AP66" s="358"/>
      <c r="AQ66" s="358"/>
      <c r="AR66" s="358"/>
      <c r="AS66" s="358"/>
      <c r="AT66" s="358"/>
      <c r="AU66" s="358"/>
      <c r="AV66" s="358"/>
      <c r="AW66" s="358"/>
      <c r="AX66" s="358"/>
      <c r="AY66" s="358"/>
      <c r="AZ66" s="358"/>
      <c r="BA66" s="358"/>
      <c r="BB66" s="358"/>
      <c r="BC66" s="358"/>
    </row>
    <row r="67" spans="1:55" s="376" customFormat="1" x14ac:dyDescent="0.15">
      <c r="A67" s="377">
        <v>42797</v>
      </c>
      <c r="B67" s="457" t="s">
        <v>1</v>
      </c>
      <c r="C67" s="361">
        <v>59036</v>
      </c>
      <c r="D67" s="348">
        <f>27015+11005</f>
        <v>38020</v>
      </c>
      <c r="E67" s="348">
        <v>104012</v>
      </c>
      <c r="F67" s="362">
        <v>5352.4</v>
      </c>
      <c r="G67" s="348">
        <v>3278.1</v>
      </c>
      <c r="H67" s="363"/>
      <c r="I67" s="363"/>
      <c r="J67" s="364">
        <f t="shared" si="0"/>
        <v>65992</v>
      </c>
      <c r="K67" s="348">
        <v>2745</v>
      </c>
      <c r="L67" s="348">
        <v>3845</v>
      </c>
      <c r="M67" s="365">
        <f t="shared" si="2"/>
        <v>366</v>
      </c>
      <c r="N67" s="366">
        <f t="shared" si="27"/>
        <v>190050</v>
      </c>
      <c r="O67" s="367">
        <f>O66+D67</f>
        <v>113576</v>
      </c>
      <c r="P67" s="353">
        <f t="shared" si="28"/>
        <v>322782</v>
      </c>
      <c r="Q67" s="368">
        <f t="shared" si="26"/>
        <v>3242166.3</v>
      </c>
      <c r="R67" s="367">
        <f t="shared" si="26"/>
        <v>2141010</v>
      </c>
      <c r="S67" s="369">
        <f t="shared" si="26"/>
        <v>5690517.4199999999</v>
      </c>
      <c r="T67" s="370">
        <f>N67/'2018'!N67-1</f>
        <v>0.34424003225327304</v>
      </c>
      <c r="U67" s="371">
        <f>O67/'2018'!O67-1</f>
        <v>0.37614501042020065</v>
      </c>
      <c r="V67" s="371">
        <f>P67/'2018'!P67-1</f>
        <v>0.42408012000352957</v>
      </c>
      <c r="W67" s="371">
        <f>Q67/'2018'!Q67-1</f>
        <v>-0.1014333287889958</v>
      </c>
      <c r="X67" s="371">
        <f>R67/'2018'!R67-1</f>
        <v>0.10867961069526477</v>
      </c>
      <c r="Y67" s="372">
        <f>S67/'2018'!S67-1</f>
        <v>9.6410981819035069E-3</v>
      </c>
      <c r="Z67" s="373"/>
      <c r="AA67" s="374">
        <f t="shared" si="1"/>
        <v>324.21663000000001</v>
      </c>
      <c r="AB67" s="375"/>
      <c r="AC67" s="365"/>
      <c r="AD67" s="375">
        <f t="shared" si="5"/>
        <v>3549507.42</v>
      </c>
      <c r="AE67" s="348">
        <f t="shared" si="22"/>
        <v>50294.77</v>
      </c>
      <c r="AF67" s="348">
        <f t="shared" si="22"/>
        <v>219858.07</v>
      </c>
      <c r="AG67" s="365">
        <f t="shared" si="8"/>
        <v>37188.280000000115</v>
      </c>
      <c r="AH67" s="357"/>
      <c r="AI67" s="358"/>
      <c r="AJ67" s="358"/>
      <c r="AK67" s="358"/>
      <c r="AL67" s="358"/>
      <c r="AM67" s="358"/>
      <c r="AN67" s="358"/>
      <c r="AO67" s="358"/>
      <c r="AP67" s="358"/>
      <c r="AQ67" s="358"/>
      <c r="AR67" s="358"/>
      <c r="AS67" s="358"/>
      <c r="AT67" s="358"/>
      <c r="AU67" s="358"/>
      <c r="AV67" s="358"/>
      <c r="AW67" s="358"/>
      <c r="AX67" s="358"/>
      <c r="AY67" s="358"/>
      <c r="AZ67" s="358"/>
      <c r="BA67" s="358"/>
      <c r="BB67" s="358"/>
      <c r="BC67" s="358"/>
    </row>
    <row r="68" spans="1:55" s="376" customFormat="1" x14ac:dyDescent="0.15">
      <c r="A68" s="377">
        <v>42798</v>
      </c>
      <c r="B68" s="457" t="s">
        <v>34</v>
      </c>
      <c r="C68" s="361">
        <v>56141</v>
      </c>
      <c r="D68" s="348">
        <f>27608+11146</f>
        <v>38754</v>
      </c>
      <c r="E68" s="348">
        <v>102457</v>
      </c>
      <c r="F68" s="362">
        <v>5124.2</v>
      </c>
      <c r="G68" s="348">
        <v>3149.2</v>
      </c>
      <c r="H68" s="363"/>
      <c r="I68" s="363"/>
      <c r="J68" s="364">
        <f t="shared" si="0"/>
        <v>63703</v>
      </c>
      <c r="K68" s="348">
        <v>2404</v>
      </c>
      <c r="L68" s="348">
        <v>3848</v>
      </c>
      <c r="M68" s="365">
        <f t="shared" si="2"/>
        <v>1310</v>
      </c>
      <c r="N68" s="366">
        <f t="shared" si="27"/>
        <v>246191</v>
      </c>
      <c r="O68" s="367">
        <f t="shared" si="27"/>
        <v>152330</v>
      </c>
      <c r="P68" s="353">
        <f t="shared" si="28"/>
        <v>425239</v>
      </c>
      <c r="Q68" s="368">
        <f t="shared" si="26"/>
        <v>3298307.3</v>
      </c>
      <c r="R68" s="367">
        <f t="shared" si="26"/>
        <v>2179764</v>
      </c>
      <c r="S68" s="369">
        <f t="shared" si="26"/>
        <v>5792974.4199999999</v>
      </c>
      <c r="T68" s="370">
        <f>N68/'2018'!N68-1</f>
        <v>0.32047671917657605</v>
      </c>
      <c r="U68" s="371">
        <f>O68/'2018'!O68-1</f>
        <v>0.38395006768481599</v>
      </c>
      <c r="V68" s="371">
        <f>P68/'2018'!P68-1</f>
        <v>0.41430942331933118</v>
      </c>
      <c r="W68" s="371">
        <f>Q68/'2018'!Q68-1</f>
        <v>-9.714899483148165E-2</v>
      </c>
      <c r="X68" s="371">
        <f>R68/'2018'!R68-1</f>
        <v>0.11287852177393654</v>
      </c>
      <c r="Y68" s="372">
        <f>S68/'2018'!S68-1</f>
        <v>1.4498114192387446E-2</v>
      </c>
      <c r="Z68" s="373"/>
      <c r="AA68" s="374">
        <f t="shared" si="1"/>
        <v>329.83072999999996</v>
      </c>
      <c r="AB68" s="375"/>
      <c r="AC68" s="365"/>
      <c r="AD68" s="375">
        <f t="shared" si="5"/>
        <v>3613210.42</v>
      </c>
      <c r="AE68" s="348">
        <f t="shared" si="22"/>
        <v>52698.77</v>
      </c>
      <c r="AF68" s="348">
        <f t="shared" si="22"/>
        <v>223706.07</v>
      </c>
      <c r="AG68" s="365">
        <f t="shared" si="8"/>
        <v>38498.280000000086</v>
      </c>
      <c r="AH68" s="357"/>
      <c r="AI68" s="358"/>
      <c r="AJ68" s="358"/>
      <c r="AK68" s="358"/>
      <c r="AL68" s="358"/>
      <c r="AM68" s="358"/>
      <c r="AN68" s="358"/>
      <c r="AO68" s="358"/>
      <c r="AP68" s="358"/>
      <c r="AQ68" s="358"/>
      <c r="AR68" s="358"/>
      <c r="AS68" s="358"/>
      <c r="AT68" s="358"/>
      <c r="AU68" s="358"/>
      <c r="AV68" s="358"/>
      <c r="AW68" s="358"/>
      <c r="AX68" s="358"/>
      <c r="AY68" s="358"/>
      <c r="AZ68" s="358"/>
      <c r="BA68" s="358"/>
      <c r="BB68" s="358"/>
      <c r="BC68" s="358"/>
    </row>
    <row r="69" spans="1:55" s="376" customFormat="1" x14ac:dyDescent="0.15">
      <c r="A69" s="377">
        <v>42799</v>
      </c>
      <c r="B69" s="457" t="s">
        <v>35</v>
      </c>
      <c r="C69" s="361">
        <v>65080</v>
      </c>
      <c r="D69" s="348">
        <f>27216+11487</f>
        <v>38703</v>
      </c>
      <c r="E69" s="348">
        <v>110667</v>
      </c>
      <c r="F69" s="362">
        <v>5785.3</v>
      </c>
      <c r="G69" s="348">
        <v>3273.9</v>
      </c>
      <c r="H69" s="363"/>
      <c r="I69" s="363"/>
      <c r="J69" s="364">
        <f t="shared" ref="J69:J132" si="29">E69-D69</f>
        <v>71964</v>
      </c>
      <c r="K69" s="348">
        <v>2539</v>
      </c>
      <c r="L69" s="348">
        <v>3844</v>
      </c>
      <c r="M69" s="365">
        <f t="shared" si="2"/>
        <v>501</v>
      </c>
      <c r="N69" s="366">
        <f t="shared" si="27"/>
        <v>311271</v>
      </c>
      <c r="O69" s="367">
        <f t="shared" si="27"/>
        <v>191033</v>
      </c>
      <c r="P69" s="353">
        <f t="shared" si="28"/>
        <v>535906</v>
      </c>
      <c r="Q69" s="368">
        <f t="shared" si="26"/>
        <v>3363387.3</v>
      </c>
      <c r="R69" s="367">
        <f t="shared" si="26"/>
        <v>2218467</v>
      </c>
      <c r="S69" s="369">
        <f t="shared" si="26"/>
        <v>5903641.4199999999</v>
      </c>
      <c r="T69" s="370">
        <f>N69/'2018'!N69-1</f>
        <v>0.29893796815990981</v>
      </c>
      <c r="U69" s="371">
        <f>O69/'2018'!O69-1</f>
        <v>0.37140785515840258</v>
      </c>
      <c r="V69" s="371">
        <f>P69/'2018'!P69-1</f>
        <v>0.39610117256596822</v>
      </c>
      <c r="W69" s="371">
        <f>Q69/'2018'!Q69-1</f>
        <v>-9.254784275867356E-2</v>
      </c>
      <c r="X69" s="371">
        <f>R69/'2018'!R69-1</f>
        <v>0.11598521052366828</v>
      </c>
      <c r="Y69" s="372">
        <f>S69/'2018'!S69-1</f>
        <v>1.9032757760215402E-2</v>
      </c>
      <c r="Z69" s="373"/>
      <c r="AA69" s="374">
        <f t="shared" ref="AA69:AA132" si="30">Q69/10000-Z69</f>
        <v>336.33873</v>
      </c>
      <c r="AB69" s="375"/>
      <c r="AC69" s="365"/>
      <c r="AD69" s="375">
        <f t="shared" si="5"/>
        <v>3685174.42</v>
      </c>
      <c r="AE69" s="348">
        <f t="shared" si="22"/>
        <v>55237.77</v>
      </c>
      <c r="AF69" s="348">
        <f t="shared" si="22"/>
        <v>227550.07</v>
      </c>
      <c r="AG69" s="365">
        <f t="shared" si="8"/>
        <v>38999.280000000086</v>
      </c>
      <c r="AH69" s="357"/>
      <c r="AI69" s="358"/>
      <c r="AJ69" s="358"/>
      <c r="AK69" s="358"/>
      <c r="AL69" s="358"/>
      <c r="AM69" s="358"/>
      <c r="AN69" s="358"/>
      <c r="AO69" s="358"/>
      <c r="AP69" s="358"/>
      <c r="AQ69" s="358"/>
      <c r="AR69" s="358"/>
      <c r="AS69" s="358"/>
      <c r="AT69" s="358"/>
      <c r="AU69" s="358"/>
      <c r="AV69" s="358"/>
      <c r="AW69" s="358"/>
      <c r="AX69" s="358"/>
      <c r="AY69" s="358"/>
      <c r="AZ69" s="358"/>
      <c r="BA69" s="358"/>
      <c r="BB69" s="358"/>
      <c r="BC69" s="358"/>
    </row>
    <row r="70" spans="1:55" s="376" customFormat="1" x14ac:dyDescent="0.15">
      <c r="A70" s="377">
        <v>42800</v>
      </c>
      <c r="B70" s="457" t="s">
        <v>36</v>
      </c>
      <c r="C70" s="361">
        <v>61810</v>
      </c>
      <c r="D70" s="348">
        <f>27556+11420</f>
        <v>38976</v>
      </c>
      <c r="E70" s="348">
        <v>108027</v>
      </c>
      <c r="F70" s="362">
        <v>5582</v>
      </c>
      <c r="G70" s="348">
        <v>3342.7</v>
      </c>
      <c r="H70" s="363"/>
      <c r="I70" s="363"/>
      <c r="J70" s="364">
        <f t="shared" si="29"/>
        <v>69051</v>
      </c>
      <c r="K70" s="348">
        <v>2617</v>
      </c>
      <c r="L70" s="348">
        <v>3848</v>
      </c>
      <c r="M70" s="365">
        <f t="shared" ref="M70:M133" si="31">J70-K70-L70-C70</f>
        <v>776</v>
      </c>
      <c r="N70" s="366">
        <f t="shared" si="27"/>
        <v>373081</v>
      </c>
      <c r="O70" s="367">
        <f t="shared" si="27"/>
        <v>230009</v>
      </c>
      <c r="P70" s="353">
        <f t="shared" si="28"/>
        <v>643933</v>
      </c>
      <c r="Q70" s="368">
        <f t="shared" si="26"/>
        <v>3425197.3</v>
      </c>
      <c r="R70" s="367">
        <f t="shared" si="26"/>
        <v>2257443</v>
      </c>
      <c r="S70" s="369">
        <f t="shared" si="26"/>
        <v>6011668.4199999999</v>
      </c>
      <c r="T70" s="370">
        <f>N70/'2018'!N70-1</f>
        <v>0.26856445322461631</v>
      </c>
      <c r="U70" s="371">
        <f>O70/'2018'!O70-1</f>
        <v>0.34150452594251579</v>
      </c>
      <c r="V70" s="371">
        <f>P70/'2018'!P70-1</f>
        <v>0.36604184256638939</v>
      </c>
      <c r="W70" s="371">
        <f>Q70/'2018'!Q70-1</f>
        <v>-8.9253832883796291E-2</v>
      </c>
      <c r="X70" s="371">
        <f>R70/'2018'!R70-1</f>
        <v>0.11751339936110772</v>
      </c>
      <c r="Y70" s="372">
        <f>S70/'2018'!S70-1</f>
        <v>2.2235346734003292E-2</v>
      </c>
      <c r="Z70" s="373"/>
      <c r="AA70" s="374">
        <f t="shared" si="30"/>
        <v>342.51972999999998</v>
      </c>
      <c r="AB70" s="375"/>
      <c r="AC70" s="365"/>
      <c r="AD70" s="375">
        <f t="shared" ref="AD70:AD133" si="32">S70-R70</f>
        <v>3754225.42</v>
      </c>
      <c r="AE70" s="348">
        <f t="shared" si="22"/>
        <v>57854.77</v>
      </c>
      <c r="AF70" s="348">
        <f t="shared" si="22"/>
        <v>231398.07</v>
      </c>
      <c r="AG70" s="365">
        <f t="shared" si="8"/>
        <v>39775.280000000086</v>
      </c>
      <c r="AH70" s="357"/>
      <c r="AI70" s="358"/>
      <c r="AJ70" s="358"/>
      <c r="AK70" s="358"/>
      <c r="AL70" s="358"/>
      <c r="AM70" s="358"/>
      <c r="AN70" s="358"/>
      <c r="AO70" s="358"/>
      <c r="AP70" s="358"/>
      <c r="AQ70" s="358"/>
      <c r="AR70" s="358"/>
      <c r="AS70" s="358"/>
      <c r="AT70" s="358"/>
      <c r="AU70" s="358"/>
      <c r="AV70" s="358"/>
      <c r="AW70" s="358"/>
      <c r="AX70" s="358"/>
      <c r="AY70" s="358"/>
      <c r="AZ70" s="358"/>
      <c r="BA70" s="358"/>
      <c r="BB70" s="358"/>
      <c r="BC70" s="358"/>
    </row>
    <row r="71" spans="1:55" s="157" customFormat="1" x14ac:dyDescent="0.15">
      <c r="A71" s="181">
        <v>42801</v>
      </c>
      <c r="B71" s="182" t="s">
        <v>37</v>
      </c>
      <c r="C71" s="453">
        <v>60442.36</v>
      </c>
      <c r="D71" s="454">
        <v>40143</v>
      </c>
      <c r="E71" s="454">
        <v>108365.29</v>
      </c>
      <c r="F71" s="454">
        <v>5408</v>
      </c>
      <c r="G71" s="454">
        <v>3388.2</v>
      </c>
      <c r="H71" s="454"/>
      <c r="I71" s="454"/>
      <c r="J71" s="454">
        <f t="shared" si="29"/>
        <v>68222.289999999994</v>
      </c>
      <c r="K71" s="454">
        <v>2766.15</v>
      </c>
      <c r="L71" s="454">
        <v>3852.71</v>
      </c>
      <c r="M71" s="466">
        <v>1161.0699999999924</v>
      </c>
      <c r="N71" s="212">
        <f t="shared" si="27"/>
        <v>433523.36</v>
      </c>
      <c r="O71" s="213">
        <f t="shared" si="27"/>
        <v>270152</v>
      </c>
      <c r="P71" s="214">
        <f t="shared" si="28"/>
        <v>752298.29</v>
      </c>
      <c r="Q71" s="229">
        <f t="shared" si="26"/>
        <v>3485639.6599999997</v>
      </c>
      <c r="R71" s="213">
        <f t="shared" si="26"/>
        <v>2297586</v>
      </c>
      <c r="S71" s="230">
        <f t="shared" si="26"/>
        <v>6120033.71</v>
      </c>
      <c r="T71" s="231">
        <f>N71/'2018'!N71-1</f>
        <v>0.21576784151840789</v>
      </c>
      <c r="U71" s="232">
        <f>O71/'2018'!O71-1</f>
        <v>0.33777025086410939</v>
      </c>
      <c r="V71" s="232">
        <f>P71/'2018'!P71-1</f>
        <v>0.33047469563310439</v>
      </c>
      <c r="W71" s="232">
        <f>Q71/'2018'!Q71-1</f>
        <v>-8.8329889631264535E-2</v>
      </c>
      <c r="X71" s="232">
        <f>R71/'2018'!R71-1</f>
        <v>0.12047577595224679</v>
      </c>
      <c r="Y71" s="249">
        <f>S71/'2018'!S71-1</f>
        <v>2.4281229376464264E-2</v>
      </c>
      <c r="Z71" s="250">
        <v>22.32</v>
      </c>
      <c r="AA71" s="251">
        <f t="shared" si="30"/>
        <v>326.243966</v>
      </c>
      <c r="AB71" s="252">
        <v>4259.88</v>
      </c>
      <c r="AC71" s="211">
        <f t="shared" ref="AC71" si="33">AA71*10000/AB71</f>
        <v>765.85247941256557</v>
      </c>
      <c r="AD71" s="252">
        <f t="shared" si="32"/>
        <v>3822447.71</v>
      </c>
      <c r="AE71" s="184">
        <f t="shared" ref="AE71:AF86" si="34">AE70+K71</f>
        <v>60620.92</v>
      </c>
      <c r="AF71" s="184">
        <f t="shared" si="34"/>
        <v>235250.78</v>
      </c>
      <c r="AG71" s="211">
        <f t="shared" ref="AG71:AG134" si="35">AD71-Q71-AE71-AF71</f>
        <v>40936.350000000297</v>
      </c>
      <c r="AH71" s="288"/>
      <c r="AI71" s="289"/>
      <c r="AJ71" s="289"/>
      <c r="AK71" s="289"/>
      <c r="AL71" s="289"/>
      <c r="AM71" s="289"/>
      <c r="AN71" s="289"/>
      <c r="AO71" s="289"/>
      <c r="AP71" s="289"/>
      <c r="AQ71" s="289"/>
      <c r="AR71" s="289"/>
      <c r="AS71" s="289"/>
      <c r="AT71" s="289"/>
      <c r="AU71" s="289"/>
      <c r="AV71" s="289"/>
      <c r="AW71" s="289"/>
      <c r="AX71" s="289"/>
      <c r="AY71" s="289"/>
      <c r="AZ71" s="289"/>
      <c r="BA71" s="289"/>
      <c r="BB71" s="289"/>
      <c r="BC71" s="289"/>
    </row>
    <row r="72" spans="1:55" s="376" customFormat="1" x14ac:dyDescent="0.15">
      <c r="A72" s="377">
        <v>42802</v>
      </c>
      <c r="B72" s="457" t="s">
        <v>38</v>
      </c>
      <c r="C72" s="361">
        <v>63210</v>
      </c>
      <c r="D72" s="348">
        <f>28993+11492</f>
        <v>40485</v>
      </c>
      <c r="E72" s="348">
        <v>110024</v>
      </c>
      <c r="F72" s="362">
        <v>5459.3</v>
      </c>
      <c r="G72" s="348">
        <v>3516.3</v>
      </c>
      <c r="H72" s="363"/>
      <c r="I72" s="363"/>
      <c r="J72" s="364">
        <f t="shared" si="29"/>
        <v>69539</v>
      </c>
      <c r="K72" s="348">
        <v>1724</v>
      </c>
      <c r="L72" s="348">
        <v>3838</v>
      </c>
      <c r="M72" s="365">
        <f t="shared" si="31"/>
        <v>767</v>
      </c>
      <c r="N72" s="366">
        <f t="shared" si="27"/>
        <v>496733.36</v>
      </c>
      <c r="O72" s="367">
        <f t="shared" si="27"/>
        <v>310637</v>
      </c>
      <c r="P72" s="353">
        <f t="shared" si="28"/>
        <v>862322.29</v>
      </c>
      <c r="Q72" s="368">
        <f t="shared" si="26"/>
        <v>3548849.6599999997</v>
      </c>
      <c r="R72" s="367">
        <f t="shared" si="26"/>
        <v>2338071</v>
      </c>
      <c r="S72" s="369">
        <f t="shared" si="26"/>
        <v>6230057.71</v>
      </c>
      <c r="T72" s="370">
        <f>N72/'2018'!N72-1</f>
        <v>0.19018530853607696</v>
      </c>
      <c r="U72" s="371">
        <f>O72/'2018'!O72-1</f>
        <v>0.32296298189127959</v>
      </c>
      <c r="V72" s="371">
        <f>P72/'2018'!P72-1</f>
        <v>0.30653308747772767</v>
      </c>
      <c r="W72" s="371">
        <f>Q72/'2018'!Q72-1</f>
        <v>-8.6320646863983996E-2</v>
      </c>
      <c r="X72" s="371">
        <f>R72/'2018'!R72-1</f>
        <v>0.12223439779169398</v>
      </c>
      <c r="Y72" s="372">
        <f>S72/'2018'!S72-1</f>
        <v>2.6448725579081289E-2</v>
      </c>
      <c r="Z72" s="373"/>
      <c r="AA72" s="374">
        <f t="shared" si="30"/>
        <v>354.88496599999996</v>
      </c>
      <c r="AB72" s="375"/>
      <c r="AC72" s="365"/>
      <c r="AD72" s="375">
        <f t="shared" si="32"/>
        <v>3891986.71</v>
      </c>
      <c r="AE72" s="348">
        <f t="shared" si="34"/>
        <v>62344.92</v>
      </c>
      <c r="AF72" s="348">
        <f t="shared" si="34"/>
        <v>239088.78</v>
      </c>
      <c r="AG72" s="365">
        <f t="shared" si="35"/>
        <v>41703.350000000297</v>
      </c>
      <c r="AH72" s="379">
        <f>(AD72-AD65)/('2017'!AD72-'2017'!AD65)-1</f>
        <v>-5.9243283827865145E-2</v>
      </c>
      <c r="AI72" s="399">
        <f>AA72-AA65</f>
        <v>43.094235999999967</v>
      </c>
      <c r="AJ72" s="402">
        <f>'2017'!AA72-'2017'!AA65</f>
        <v>43.460199999999986</v>
      </c>
      <c r="AK72" s="358"/>
      <c r="AL72" s="358"/>
      <c r="AM72" s="358"/>
      <c r="AN72" s="358"/>
      <c r="AO72" s="358"/>
      <c r="AP72" s="358"/>
      <c r="AQ72" s="358"/>
      <c r="AR72" s="358"/>
      <c r="AS72" s="358"/>
      <c r="AT72" s="358"/>
      <c r="AU72" s="358"/>
      <c r="AV72" s="358"/>
      <c r="AW72" s="358"/>
      <c r="AX72" s="358"/>
      <c r="AY72" s="358"/>
      <c r="AZ72" s="358"/>
      <c r="BA72" s="358"/>
      <c r="BB72" s="358"/>
      <c r="BC72" s="358"/>
    </row>
    <row r="73" spans="1:55" s="376" customFormat="1" x14ac:dyDescent="0.15">
      <c r="A73" s="377">
        <v>42803</v>
      </c>
      <c r="B73" s="457" t="s">
        <v>39</v>
      </c>
      <c r="C73" s="361">
        <v>64865</v>
      </c>
      <c r="D73" s="348">
        <f>28650+11426</f>
        <v>40076</v>
      </c>
      <c r="E73" s="348">
        <v>110843</v>
      </c>
      <c r="F73" s="362">
        <v>5627.8</v>
      </c>
      <c r="G73" s="348">
        <v>3530.3</v>
      </c>
      <c r="H73" s="363"/>
      <c r="I73" s="363"/>
      <c r="J73" s="364">
        <f t="shared" si="29"/>
        <v>70767</v>
      </c>
      <c r="K73" s="348">
        <v>1625</v>
      </c>
      <c r="L73" s="348">
        <v>3848</v>
      </c>
      <c r="M73" s="365">
        <f t="shared" si="31"/>
        <v>429</v>
      </c>
      <c r="N73" s="366">
        <f t="shared" si="27"/>
        <v>561598.36</v>
      </c>
      <c r="O73" s="367">
        <f t="shared" si="27"/>
        <v>350713</v>
      </c>
      <c r="P73" s="353">
        <f t="shared" si="28"/>
        <v>973165.29</v>
      </c>
      <c r="Q73" s="368">
        <f t="shared" si="26"/>
        <v>3613714.6599999997</v>
      </c>
      <c r="R73" s="367">
        <f t="shared" si="26"/>
        <v>2378147</v>
      </c>
      <c r="S73" s="369">
        <f t="shared" si="26"/>
        <v>6340900.71</v>
      </c>
      <c r="T73" s="370">
        <f>N73/'2018'!N73-1</f>
        <v>0.17275255183013405</v>
      </c>
      <c r="U73" s="371">
        <f>O73/'2018'!O73-1</f>
        <v>0.31327606608450798</v>
      </c>
      <c r="V73" s="371">
        <f>P73/'2018'!P73-1</f>
        <v>0.28862441190841603</v>
      </c>
      <c r="W73" s="371">
        <f>Q73/'2018'!Q73-1</f>
        <v>-8.4125586282574938E-2</v>
      </c>
      <c r="X73" s="371">
        <f>R73/'2018'!R73-1</f>
        <v>0.12407126870874507</v>
      </c>
      <c r="Y73" s="372">
        <f>S73/'2018'!S73-1</f>
        <v>2.8579622345490163E-2</v>
      </c>
      <c r="Z73" s="373"/>
      <c r="AA73" s="374">
        <f t="shared" si="30"/>
        <v>361.37146599999994</v>
      </c>
      <c r="AB73" s="375"/>
      <c r="AC73" s="365"/>
      <c r="AD73" s="375">
        <f t="shared" si="32"/>
        <v>3962753.71</v>
      </c>
      <c r="AE73" s="348">
        <f t="shared" si="34"/>
        <v>63969.919999999998</v>
      </c>
      <c r="AF73" s="348">
        <f t="shared" si="34"/>
        <v>242936.78</v>
      </c>
      <c r="AG73" s="365">
        <f t="shared" si="35"/>
        <v>42132.350000000297</v>
      </c>
      <c r="AH73" s="357"/>
      <c r="AI73" s="358"/>
      <c r="AJ73" s="358"/>
      <c r="AK73" s="358"/>
      <c r="AL73" s="358"/>
      <c r="AM73" s="358"/>
      <c r="AN73" s="358"/>
      <c r="AO73" s="358"/>
      <c r="AP73" s="358"/>
      <c r="AQ73" s="358"/>
      <c r="AR73" s="358"/>
      <c r="AS73" s="358"/>
      <c r="AT73" s="358"/>
      <c r="AU73" s="358"/>
      <c r="AV73" s="358"/>
      <c r="AW73" s="358"/>
      <c r="AX73" s="358"/>
      <c r="AY73" s="358"/>
      <c r="AZ73" s="358"/>
      <c r="BA73" s="358"/>
      <c r="BB73" s="358"/>
      <c r="BC73" s="358"/>
    </row>
    <row r="74" spans="1:55" s="376" customFormat="1" x14ac:dyDescent="0.15">
      <c r="A74" s="377">
        <v>42804</v>
      </c>
      <c r="B74" s="457" t="s">
        <v>1</v>
      </c>
      <c r="C74" s="361">
        <v>55295</v>
      </c>
      <c r="D74" s="348">
        <f>26125+11431</f>
        <v>37556</v>
      </c>
      <c r="E74" s="348">
        <v>99910</v>
      </c>
      <c r="F74" s="362">
        <v>4724.8999999999996</v>
      </c>
      <c r="G74" s="348">
        <v>3434.1</v>
      </c>
      <c r="H74" s="363"/>
      <c r="I74" s="363"/>
      <c r="J74" s="364">
        <f t="shared" si="29"/>
        <v>62354</v>
      </c>
      <c r="K74" s="348">
        <v>1846</v>
      </c>
      <c r="L74" s="348">
        <v>3845</v>
      </c>
      <c r="M74" s="365">
        <f t="shared" si="31"/>
        <v>1368</v>
      </c>
      <c r="N74" s="366">
        <f t="shared" si="27"/>
        <v>616893.36</v>
      </c>
      <c r="O74" s="367">
        <f t="shared" si="27"/>
        <v>388269</v>
      </c>
      <c r="P74" s="353">
        <f t="shared" si="28"/>
        <v>1073075.29</v>
      </c>
      <c r="Q74" s="368">
        <f t="shared" si="26"/>
        <v>3669009.6599999997</v>
      </c>
      <c r="R74" s="367">
        <f t="shared" si="26"/>
        <v>2415703</v>
      </c>
      <c r="S74" s="369">
        <f t="shared" si="26"/>
        <v>6440810.71</v>
      </c>
      <c r="T74" s="370">
        <f>N74/'2018'!N74-1</f>
        <v>0.14023499925141802</v>
      </c>
      <c r="U74" s="371">
        <f>O74/'2018'!O74-1</f>
        <v>0.3057247300401198</v>
      </c>
      <c r="V74" s="371">
        <f>P74/'2018'!P74-1</f>
        <v>0.26342104054790716</v>
      </c>
      <c r="W74" s="371">
        <f>Q74/'2018'!Q74-1</f>
        <v>-8.4531672563217031E-2</v>
      </c>
      <c r="X74" s="371">
        <f>R74/'2018'!R74-1</f>
        <v>0.12569700675035245</v>
      </c>
      <c r="Y74" s="372">
        <f>S74/'2018'!S74-1</f>
        <v>2.9070989830036975E-2</v>
      </c>
      <c r="Z74" s="373"/>
      <c r="AA74" s="374">
        <f t="shared" si="30"/>
        <v>366.90096599999998</v>
      </c>
      <c r="AB74" s="375"/>
      <c r="AC74" s="365"/>
      <c r="AD74" s="375">
        <f t="shared" si="32"/>
        <v>4025107.71</v>
      </c>
      <c r="AE74" s="348">
        <f t="shared" si="34"/>
        <v>65815.92</v>
      </c>
      <c r="AF74" s="348">
        <f t="shared" si="34"/>
        <v>246781.78</v>
      </c>
      <c r="AG74" s="365">
        <f t="shared" si="35"/>
        <v>43500.350000000297</v>
      </c>
      <c r="AH74" s="357"/>
      <c r="AI74" s="358"/>
      <c r="AJ74" s="358"/>
      <c r="AK74" s="358"/>
      <c r="AL74" s="358"/>
      <c r="AM74" s="358"/>
      <c r="AN74" s="358"/>
      <c r="AO74" s="358"/>
      <c r="AP74" s="358"/>
      <c r="AQ74" s="358"/>
      <c r="AR74" s="358"/>
      <c r="AS74" s="358"/>
      <c r="AT74" s="358"/>
      <c r="AU74" s="358"/>
      <c r="AV74" s="358"/>
      <c r="AW74" s="358"/>
      <c r="AX74" s="358"/>
      <c r="AY74" s="358"/>
      <c r="AZ74" s="358"/>
      <c r="BA74" s="358"/>
      <c r="BB74" s="358"/>
      <c r="BC74" s="358"/>
    </row>
    <row r="75" spans="1:55" s="376" customFormat="1" x14ac:dyDescent="0.15">
      <c r="A75" s="377">
        <v>42805</v>
      </c>
      <c r="B75" s="457" t="s">
        <v>34</v>
      </c>
      <c r="C75" s="361"/>
      <c r="D75" s="348"/>
      <c r="E75" s="348"/>
      <c r="F75" s="362"/>
      <c r="G75" s="348"/>
      <c r="H75" s="363"/>
      <c r="I75" s="363"/>
      <c r="J75" s="364">
        <f t="shared" si="29"/>
        <v>0</v>
      </c>
      <c r="K75" s="348"/>
      <c r="L75" s="348"/>
      <c r="M75" s="365">
        <f t="shared" si="31"/>
        <v>0</v>
      </c>
      <c r="N75" s="366">
        <f t="shared" si="27"/>
        <v>616893.36</v>
      </c>
      <c r="O75" s="367">
        <f t="shared" si="27"/>
        <v>388269</v>
      </c>
      <c r="P75" s="353">
        <f t="shared" si="28"/>
        <v>1073075.29</v>
      </c>
      <c r="Q75" s="368">
        <f t="shared" si="26"/>
        <v>3669009.6599999997</v>
      </c>
      <c r="R75" s="367">
        <f t="shared" si="26"/>
        <v>2415703</v>
      </c>
      <c r="S75" s="369">
        <f t="shared" si="26"/>
        <v>6440810.71</v>
      </c>
      <c r="T75" s="370">
        <f>N75/'2018'!N75-1</f>
        <v>3.0200548087954582E-2</v>
      </c>
      <c r="U75" s="371">
        <f>O75/'2018'!O75-1</f>
        <v>0.18418741117122828</v>
      </c>
      <c r="V75" s="371">
        <f>P75/'2018'!P75-1</f>
        <v>0.14269270005835533</v>
      </c>
      <c r="W75" s="371">
        <f>Q75/'2018'!Q75-1</f>
        <v>-9.7543650154038319E-2</v>
      </c>
      <c r="X75" s="371">
        <f>R75/'2018'!R75-1</f>
        <v>0.10991228501420403</v>
      </c>
      <c r="Y75" s="372">
        <f>S75/'2018'!S75-1</f>
        <v>1.4525457632514449E-2</v>
      </c>
      <c r="Z75" s="373"/>
      <c r="AA75" s="374">
        <f t="shared" si="30"/>
        <v>366.90096599999998</v>
      </c>
      <c r="AB75" s="375"/>
      <c r="AC75" s="365"/>
      <c r="AD75" s="375">
        <f t="shared" si="32"/>
        <v>4025107.71</v>
      </c>
      <c r="AE75" s="348">
        <f t="shared" si="34"/>
        <v>65815.92</v>
      </c>
      <c r="AF75" s="348">
        <f t="shared" si="34"/>
        <v>246781.78</v>
      </c>
      <c r="AG75" s="365">
        <f t="shared" si="35"/>
        <v>43500.350000000297</v>
      </c>
      <c r="AH75" s="357"/>
      <c r="AI75" s="358"/>
      <c r="AJ75" s="358"/>
      <c r="AK75" s="358"/>
      <c r="AL75" s="358"/>
      <c r="AM75" s="358"/>
      <c r="AN75" s="358"/>
      <c r="AO75" s="358"/>
      <c r="AP75" s="358"/>
      <c r="AQ75" s="358"/>
      <c r="AR75" s="358"/>
      <c r="AS75" s="358"/>
      <c r="AT75" s="358"/>
      <c r="AU75" s="358"/>
      <c r="AV75" s="358"/>
      <c r="AW75" s="358"/>
      <c r="AX75" s="358"/>
      <c r="AY75" s="358"/>
      <c r="AZ75" s="358"/>
      <c r="BA75" s="358"/>
      <c r="BB75" s="358"/>
      <c r="BC75" s="358"/>
    </row>
    <row r="76" spans="1:55" s="376" customFormat="1" x14ac:dyDescent="0.15">
      <c r="A76" s="377">
        <v>42806</v>
      </c>
      <c r="B76" s="457" t="s">
        <v>35</v>
      </c>
      <c r="C76" s="361"/>
      <c r="D76" s="348"/>
      <c r="E76" s="348"/>
      <c r="F76" s="362"/>
      <c r="G76" s="348"/>
      <c r="H76" s="363"/>
      <c r="I76" s="363"/>
      <c r="J76" s="364">
        <f t="shared" si="29"/>
        <v>0</v>
      </c>
      <c r="K76" s="348"/>
      <c r="L76" s="348"/>
      <c r="M76" s="365">
        <f t="shared" si="31"/>
        <v>0</v>
      </c>
      <c r="N76" s="366">
        <f t="shared" si="27"/>
        <v>616893.36</v>
      </c>
      <c r="O76" s="367">
        <f t="shared" si="27"/>
        <v>388269</v>
      </c>
      <c r="P76" s="353">
        <f t="shared" si="28"/>
        <v>1073075.29</v>
      </c>
      <c r="Q76" s="368">
        <f t="shared" si="26"/>
        <v>3669009.6599999997</v>
      </c>
      <c r="R76" s="367">
        <f t="shared" si="26"/>
        <v>2415703</v>
      </c>
      <c r="S76" s="369">
        <f t="shared" si="26"/>
        <v>6440810.71</v>
      </c>
      <c r="T76" s="370">
        <f>N76/'2018'!N76-1</f>
        <v>-6.709268229241494E-2</v>
      </c>
      <c r="U76" s="371">
        <f>O76/'2018'!O76-1</f>
        <v>8.4774506462229615E-2</v>
      </c>
      <c r="V76" s="371">
        <f>P76/'2018'!P76-1</f>
        <v>3.8983136347044534E-2</v>
      </c>
      <c r="W76" s="371">
        <f>Q76/'2018'!Q76-1</f>
        <v>-0.1111962595826248</v>
      </c>
      <c r="X76" s="371">
        <f>R76/'2018'!R76-1</f>
        <v>9.4797757020188778E-2</v>
      </c>
      <c r="Y76" s="372">
        <f>S76/'2018'!S76-1</f>
        <v>-2.3605739740051312E-4</v>
      </c>
      <c r="Z76" s="373"/>
      <c r="AA76" s="374">
        <f t="shared" si="30"/>
        <v>366.90096599999998</v>
      </c>
      <c r="AB76" s="375"/>
      <c r="AC76" s="365"/>
      <c r="AD76" s="375">
        <f t="shared" si="32"/>
        <v>4025107.71</v>
      </c>
      <c r="AE76" s="348">
        <f t="shared" si="34"/>
        <v>65815.92</v>
      </c>
      <c r="AF76" s="348">
        <f t="shared" si="34"/>
        <v>246781.78</v>
      </c>
      <c r="AG76" s="365">
        <f t="shared" si="35"/>
        <v>43500.350000000297</v>
      </c>
      <c r="AH76" s="357"/>
      <c r="AI76" s="358"/>
      <c r="AJ76" s="358"/>
      <c r="AK76" s="358"/>
      <c r="AL76" s="358"/>
      <c r="AM76" s="358"/>
      <c r="AN76" s="358"/>
      <c r="AO76" s="358"/>
      <c r="AP76" s="358"/>
      <c r="AQ76" s="358"/>
      <c r="AR76" s="358"/>
      <c r="AS76" s="358"/>
      <c r="AT76" s="358"/>
      <c r="AU76" s="358"/>
      <c r="AV76" s="358"/>
      <c r="AW76" s="358"/>
      <c r="AX76" s="358"/>
      <c r="AY76" s="358"/>
      <c r="AZ76" s="358"/>
      <c r="BA76" s="358"/>
      <c r="BB76" s="358"/>
      <c r="BC76" s="358"/>
    </row>
    <row r="77" spans="1:55" s="376" customFormat="1" x14ac:dyDescent="0.15">
      <c r="A77" s="377">
        <v>42807</v>
      </c>
      <c r="B77" s="457" t="s">
        <v>36</v>
      </c>
      <c r="C77" s="361"/>
      <c r="D77" s="348"/>
      <c r="E77" s="348"/>
      <c r="F77" s="362"/>
      <c r="G77" s="348"/>
      <c r="H77" s="363"/>
      <c r="I77" s="363"/>
      <c r="J77" s="364">
        <f t="shared" si="29"/>
        <v>0</v>
      </c>
      <c r="K77" s="348"/>
      <c r="L77" s="348"/>
      <c r="M77" s="365">
        <f t="shared" si="31"/>
        <v>0</v>
      </c>
      <c r="N77" s="366">
        <f t="shared" si="27"/>
        <v>616893.36</v>
      </c>
      <c r="O77" s="367">
        <f t="shared" si="27"/>
        <v>388269</v>
      </c>
      <c r="P77" s="353">
        <f t="shared" si="28"/>
        <v>1073075.29</v>
      </c>
      <c r="Q77" s="368">
        <f t="shared" si="26"/>
        <v>3669009.6599999997</v>
      </c>
      <c r="R77" s="367">
        <f t="shared" si="26"/>
        <v>2415703</v>
      </c>
      <c r="S77" s="369">
        <f t="shared" si="26"/>
        <v>6440810.71</v>
      </c>
      <c r="T77" s="370">
        <f>N77/'2018'!N77-1</f>
        <v>-0.1480773740227781</v>
      </c>
      <c r="U77" s="371">
        <f>O77/'2018'!O77-1</f>
        <v>-4.0419539371716606E-4</v>
      </c>
      <c r="V77" s="371">
        <f>P77/'2018'!P77-1</f>
        <v>-4.827025277161856E-2</v>
      </c>
      <c r="W77" s="371">
        <f>Q77/'2018'!Q77-1</f>
        <v>-0.12452760108571659</v>
      </c>
      <c r="X77" s="371">
        <f>R77/'2018'!R77-1</f>
        <v>7.9871114768740092E-2</v>
      </c>
      <c r="Y77" s="372">
        <f>S77/'2018'!S77-1</f>
        <v>-1.4717376192452392E-2</v>
      </c>
      <c r="Z77" s="373"/>
      <c r="AA77" s="374">
        <f t="shared" si="30"/>
        <v>366.90096599999998</v>
      </c>
      <c r="AB77" s="375"/>
      <c r="AC77" s="365"/>
      <c r="AD77" s="375">
        <f t="shared" si="32"/>
        <v>4025107.71</v>
      </c>
      <c r="AE77" s="348">
        <f t="shared" si="34"/>
        <v>65815.92</v>
      </c>
      <c r="AF77" s="348">
        <f t="shared" si="34"/>
        <v>246781.78</v>
      </c>
      <c r="AG77" s="365">
        <f t="shared" si="35"/>
        <v>43500.350000000297</v>
      </c>
      <c r="AH77" s="357"/>
      <c r="AI77" s="358"/>
      <c r="AJ77" s="358"/>
      <c r="AK77" s="358"/>
      <c r="AL77" s="358"/>
      <c r="AM77" s="358"/>
      <c r="AN77" s="358"/>
      <c r="AO77" s="358"/>
      <c r="AP77" s="358"/>
      <c r="AQ77" s="358"/>
      <c r="AR77" s="358"/>
      <c r="AS77" s="358"/>
      <c r="AT77" s="358"/>
      <c r="AU77" s="358"/>
      <c r="AV77" s="358"/>
      <c r="AW77" s="358"/>
      <c r="AX77" s="358"/>
      <c r="AY77" s="358"/>
      <c r="AZ77" s="358"/>
      <c r="BA77" s="358"/>
      <c r="BB77" s="358"/>
      <c r="BC77" s="358"/>
    </row>
    <row r="78" spans="1:55" s="376" customFormat="1" x14ac:dyDescent="0.15">
      <c r="A78" s="377">
        <v>42808</v>
      </c>
      <c r="B78" s="182" t="s">
        <v>37</v>
      </c>
      <c r="C78" s="361"/>
      <c r="D78" s="348"/>
      <c r="E78" s="348"/>
      <c r="F78" s="362"/>
      <c r="G78" s="348"/>
      <c r="H78" s="363"/>
      <c r="I78" s="363"/>
      <c r="J78" s="364">
        <f t="shared" si="29"/>
        <v>0</v>
      </c>
      <c r="K78" s="348"/>
      <c r="L78" s="348"/>
      <c r="M78" s="365">
        <f t="shared" si="31"/>
        <v>0</v>
      </c>
      <c r="N78" s="366">
        <f t="shared" si="27"/>
        <v>616893.36</v>
      </c>
      <c r="O78" s="367">
        <f t="shared" si="27"/>
        <v>388269</v>
      </c>
      <c r="P78" s="353">
        <f t="shared" si="28"/>
        <v>1073075.29</v>
      </c>
      <c r="Q78" s="368">
        <f t="shared" si="26"/>
        <v>3669009.6599999997</v>
      </c>
      <c r="R78" s="367">
        <f t="shared" si="26"/>
        <v>2415703</v>
      </c>
      <c r="S78" s="369">
        <f t="shared" si="26"/>
        <v>6440810.71</v>
      </c>
      <c r="T78" s="370">
        <f>N78/'2018'!N78-1</f>
        <v>-0.21759515408556962</v>
      </c>
      <c r="U78" s="371">
        <f>O78/'2018'!O78-1</f>
        <v>-7.3193262868436859E-2</v>
      </c>
      <c r="V78" s="371">
        <f>P78/'2018'!P78-1</f>
        <v>-0.12300142124279878</v>
      </c>
      <c r="W78" s="371">
        <f>Q78/'2018'!Q78-1</f>
        <v>-0.13776472685861452</v>
      </c>
      <c r="X78" s="371">
        <f>R78/'2018'!R78-1</f>
        <v>6.534320308176067E-2</v>
      </c>
      <c r="Y78" s="372">
        <f>S78/'2018'!S78-1</f>
        <v>-2.8988691760831853E-2</v>
      </c>
      <c r="Z78" s="373"/>
      <c r="AA78" s="374">
        <f t="shared" si="30"/>
        <v>366.90096599999998</v>
      </c>
      <c r="AB78" s="375"/>
      <c r="AC78" s="365"/>
      <c r="AD78" s="375">
        <f t="shared" si="32"/>
        <v>4025107.71</v>
      </c>
      <c r="AE78" s="348">
        <f t="shared" si="34"/>
        <v>65815.92</v>
      </c>
      <c r="AF78" s="348">
        <f t="shared" si="34"/>
        <v>246781.78</v>
      </c>
      <c r="AG78" s="365">
        <f t="shared" si="35"/>
        <v>43500.350000000297</v>
      </c>
      <c r="AH78" s="357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</row>
    <row r="79" spans="1:55" s="376" customFormat="1" x14ac:dyDescent="0.15">
      <c r="A79" s="377">
        <v>42809</v>
      </c>
      <c r="B79" s="457" t="s">
        <v>38</v>
      </c>
      <c r="C79" s="361"/>
      <c r="D79" s="348"/>
      <c r="E79" s="348"/>
      <c r="F79" s="362"/>
      <c r="G79" s="348"/>
      <c r="H79" s="363"/>
      <c r="I79" s="363"/>
      <c r="J79" s="364">
        <f t="shared" si="29"/>
        <v>0</v>
      </c>
      <c r="K79" s="348"/>
      <c r="L79" s="348"/>
      <c r="M79" s="365">
        <f t="shared" si="31"/>
        <v>0</v>
      </c>
      <c r="N79" s="366">
        <f t="shared" si="27"/>
        <v>616893.36</v>
      </c>
      <c r="O79" s="367">
        <f t="shared" si="27"/>
        <v>388269</v>
      </c>
      <c r="P79" s="353">
        <f t="shared" si="28"/>
        <v>1073075.29</v>
      </c>
      <c r="Q79" s="368">
        <f t="shared" si="26"/>
        <v>3669009.6599999997</v>
      </c>
      <c r="R79" s="367">
        <f t="shared" si="26"/>
        <v>2415703</v>
      </c>
      <c r="S79" s="369">
        <f t="shared" si="26"/>
        <v>6440810.71</v>
      </c>
      <c r="T79" s="370">
        <f>N79/'2018'!N79-1</f>
        <v>-0.27759252688417591</v>
      </c>
      <c r="U79" s="371">
        <f>O79/'2018'!O79-1</f>
        <v>-0.13885635961993981</v>
      </c>
      <c r="V79" s="371">
        <f>P79/'2018'!P79-1</f>
        <v>-0.1881570870124083</v>
      </c>
      <c r="W79" s="371">
        <f>Q79/'2018'!Q79-1</f>
        <v>-0.15083241926743907</v>
      </c>
      <c r="X79" s="371">
        <f>R79/'2018'!R79-1</f>
        <v>5.0543623142459637E-2</v>
      </c>
      <c r="Y79" s="372">
        <f>S79/'2018'!S79-1</f>
        <v>-4.3154361785874729E-2</v>
      </c>
      <c r="Z79" s="373"/>
      <c r="AA79" s="374">
        <f t="shared" si="30"/>
        <v>366.90096599999998</v>
      </c>
      <c r="AB79" s="375"/>
      <c r="AC79" s="365"/>
      <c r="AD79" s="375">
        <f t="shared" si="32"/>
        <v>4025107.71</v>
      </c>
      <c r="AE79" s="348">
        <f t="shared" si="34"/>
        <v>65815.92</v>
      </c>
      <c r="AF79" s="348">
        <f t="shared" si="34"/>
        <v>246781.78</v>
      </c>
      <c r="AG79" s="365">
        <f t="shared" si="35"/>
        <v>43500.350000000297</v>
      </c>
      <c r="AH79" s="357"/>
      <c r="AI79" s="358"/>
      <c r="AJ79" s="358"/>
      <c r="AK79" s="358"/>
      <c r="AL79" s="358"/>
      <c r="AM79" s="358"/>
      <c r="AN79" s="358"/>
      <c r="AO79" s="358"/>
      <c r="AP79" s="358"/>
      <c r="AQ79" s="358"/>
      <c r="AR79" s="358"/>
      <c r="AS79" s="358"/>
      <c r="AT79" s="358"/>
      <c r="AU79" s="358"/>
      <c r="AV79" s="358"/>
      <c r="AW79" s="358"/>
      <c r="AX79" s="358"/>
      <c r="AY79" s="358"/>
      <c r="AZ79" s="358"/>
      <c r="BA79" s="358"/>
      <c r="BB79" s="358"/>
      <c r="BC79" s="358"/>
    </row>
    <row r="80" spans="1:55" s="376" customFormat="1" x14ac:dyDescent="0.15">
      <c r="A80" s="377">
        <v>42810</v>
      </c>
      <c r="B80" s="457" t="s">
        <v>39</v>
      </c>
      <c r="C80" s="361"/>
      <c r="D80" s="348"/>
      <c r="E80" s="348"/>
      <c r="F80" s="362"/>
      <c r="G80" s="348"/>
      <c r="H80" s="363"/>
      <c r="I80" s="363"/>
      <c r="J80" s="364">
        <f t="shared" si="29"/>
        <v>0</v>
      </c>
      <c r="K80" s="348"/>
      <c r="L80" s="348"/>
      <c r="M80" s="365">
        <f t="shared" si="31"/>
        <v>0</v>
      </c>
      <c r="N80" s="366">
        <f t="shared" si="27"/>
        <v>616893.36</v>
      </c>
      <c r="O80" s="367">
        <f t="shared" si="27"/>
        <v>388269</v>
      </c>
      <c r="P80" s="353">
        <f t="shared" si="28"/>
        <v>1073075.29</v>
      </c>
      <c r="Q80" s="368">
        <f t="shared" si="26"/>
        <v>3669009.6599999997</v>
      </c>
      <c r="R80" s="367">
        <f t="shared" si="26"/>
        <v>2415703</v>
      </c>
      <c r="S80" s="369">
        <f t="shared" si="26"/>
        <v>6440810.71</v>
      </c>
      <c r="T80" s="370">
        <f>N80/'2018'!N80-1</f>
        <v>-0.3319254486186769</v>
      </c>
      <c r="U80" s="371">
        <f>O80/'2018'!O80-1</f>
        <v>-0.1949603771941828</v>
      </c>
      <c r="V80" s="371">
        <f>P80/'2018'!P80-1</f>
        <v>-0.24623686450916815</v>
      </c>
      <c r="W80" s="371">
        <f>Q80/'2018'!Q80-1</f>
        <v>-0.1642655990189702</v>
      </c>
      <c r="X80" s="371">
        <f>R80/'2018'!R80-1</f>
        <v>3.638163954625262E-2</v>
      </c>
      <c r="Y80" s="372">
        <f>S80/'2018'!S80-1</f>
        <v>-5.7416007601550856E-2</v>
      </c>
      <c r="Z80" s="373"/>
      <c r="AA80" s="374">
        <f t="shared" si="30"/>
        <v>366.90096599999998</v>
      </c>
      <c r="AB80" s="375"/>
      <c r="AC80" s="365"/>
      <c r="AD80" s="375">
        <f t="shared" si="32"/>
        <v>4025107.71</v>
      </c>
      <c r="AE80" s="348">
        <f t="shared" si="34"/>
        <v>65815.92</v>
      </c>
      <c r="AF80" s="348">
        <f t="shared" si="34"/>
        <v>246781.78</v>
      </c>
      <c r="AG80" s="365">
        <f t="shared" si="35"/>
        <v>43500.350000000297</v>
      </c>
      <c r="AH80" s="357"/>
      <c r="AI80" s="358"/>
      <c r="AJ80" s="358"/>
      <c r="AK80" s="358"/>
      <c r="AL80" s="358"/>
      <c r="AM80" s="358"/>
      <c r="AN80" s="358"/>
      <c r="AO80" s="358"/>
      <c r="AP80" s="358"/>
      <c r="AQ80" s="358"/>
      <c r="AR80" s="358"/>
      <c r="AS80" s="358"/>
      <c r="AT80" s="358"/>
      <c r="AU80" s="358"/>
      <c r="AV80" s="358"/>
      <c r="AW80" s="358"/>
      <c r="AX80" s="358"/>
      <c r="AY80" s="358"/>
      <c r="AZ80" s="358"/>
      <c r="BA80" s="358"/>
      <c r="BB80" s="358"/>
      <c r="BC80" s="358"/>
    </row>
    <row r="81" spans="1:55" s="376" customFormat="1" x14ac:dyDescent="0.15">
      <c r="A81" s="377">
        <v>42811</v>
      </c>
      <c r="B81" s="457" t="s">
        <v>1</v>
      </c>
      <c r="C81" s="361"/>
      <c r="D81" s="348"/>
      <c r="E81" s="348"/>
      <c r="F81" s="362"/>
      <c r="G81" s="348"/>
      <c r="H81" s="363"/>
      <c r="I81" s="363"/>
      <c r="J81" s="364">
        <f t="shared" si="29"/>
        <v>0</v>
      </c>
      <c r="K81" s="348"/>
      <c r="L81" s="348"/>
      <c r="M81" s="365">
        <f t="shared" si="31"/>
        <v>0</v>
      </c>
      <c r="N81" s="366">
        <f t="shared" si="27"/>
        <v>616893.36</v>
      </c>
      <c r="O81" s="367">
        <f t="shared" si="27"/>
        <v>388269</v>
      </c>
      <c r="P81" s="353">
        <f t="shared" si="28"/>
        <v>1073075.29</v>
      </c>
      <c r="Q81" s="368">
        <f t="shared" si="26"/>
        <v>3669009.6599999997</v>
      </c>
      <c r="R81" s="367">
        <f t="shared" si="26"/>
        <v>2415703</v>
      </c>
      <c r="S81" s="369">
        <f t="shared" si="26"/>
        <v>6440810.71</v>
      </c>
      <c r="T81" s="370">
        <f>N81/'2018'!N81-1</f>
        <v>-0.3755963124461017</v>
      </c>
      <c r="U81" s="371">
        <f>O81/'2018'!O81-1</f>
        <v>-0.24807258431535828</v>
      </c>
      <c r="V81" s="371">
        <f>P81/'2018'!P81-1</f>
        <v>-0.29560503479059996</v>
      </c>
      <c r="W81" s="371">
        <f>Q81/'2018'!Q81-1</f>
        <v>-0.17638153552382352</v>
      </c>
      <c r="X81" s="371">
        <f>R81/'2018'!R81-1</f>
        <v>2.1452721559023225E-2</v>
      </c>
      <c r="Y81" s="372">
        <f>S81/'2018'!S81-1</f>
        <v>-7.0981328012068801E-2</v>
      </c>
      <c r="Z81" s="373"/>
      <c r="AA81" s="374">
        <f t="shared" si="30"/>
        <v>366.90096599999998</v>
      </c>
      <c r="AB81" s="375"/>
      <c r="AC81" s="365"/>
      <c r="AD81" s="375">
        <f t="shared" si="32"/>
        <v>4025107.71</v>
      </c>
      <c r="AE81" s="348">
        <f>AE80+K82</f>
        <v>65815.92</v>
      </c>
      <c r="AF81" s="348">
        <f t="shared" si="34"/>
        <v>246781.78</v>
      </c>
      <c r="AG81" s="365">
        <f t="shared" si="35"/>
        <v>43500.350000000297</v>
      </c>
      <c r="AH81" s="357"/>
      <c r="AI81" s="358"/>
      <c r="AJ81" s="358"/>
      <c r="AK81" s="358"/>
      <c r="AL81" s="358"/>
      <c r="AM81" s="358"/>
      <c r="AN81" s="358"/>
      <c r="AO81" s="358"/>
      <c r="AP81" s="358"/>
      <c r="AQ81" s="358"/>
      <c r="AR81" s="358"/>
      <c r="AS81" s="358"/>
      <c r="AT81" s="358"/>
      <c r="AU81" s="358"/>
      <c r="AV81" s="358"/>
      <c r="AW81" s="358"/>
      <c r="AX81" s="358"/>
      <c r="AY81" s="358"/>
      <c r="AZ81" s="358"/>
      <c r="BA81" s="358"/>
      <c r="BB81" s="358"/>
      <c r="BC81" s="358"/>
    </row>
    <row r="82" spans="1:55" s="376" customFormat="1" x14ac:dyDescent="0.15">
      <c r="A82" s="377">
        <v>42812</v>
      </c>
      <c r="B82" s="457" t="s">
        <v>34</v>
      </c>
      <c r="C82" s="361"/>
      <c r="D82" s="348"/>
      <c r="E82" s="348"/>
      <c r="F82" s="362"/>
      <c r="G82" s="348"/>
      <c r="H82" s="363"/>
      <c r="I82" s="363"/>
      <c r="J82" s="364">
        <f t="shared" si="29"/>
        <v>0</v>
      </c>
      <c r="K82" s="348"/>
      <c r="L82" s="348"/>
      <c r="M82" s="365">
        <f t="shared" si="31"/>
        <v>0</v>
      </c>
      <c r="N82" s="366">
        <f t="shared" ref="N82:O95" si="36">N81+C82</f>
        <v>616893.36</v>
      </c>
      <c r="O82" s="367">
        <f t="shared" si="36"/>
        <v>388269</v>
      </c>
      <c r="P82" s="353">
        <f t="shared" si="28"/>
        <v>1073075.29</v>
      </c>
      <c r="Q82" s="368">
        <f t="shared" si="26"/>
        <v>3669009.6599999997</v>
      </c>
      <c r="R82" s="367">
        <f t="shared" si="26"/>
        <v>2415703</v>
      </c>
      <c r="S82" s="369">
        <f t="shared" si="26"/>
        <v>6440810.71</v>
      </c>
      <c r="T82" s="370">
        <f>N82/'2018'!N82-1</f>
        <v>-0.4122132519754288</v>
      </c>
      <c r="U82" s="371">
        <f>O82/'2018'!O82-1</f>
        <v>-0.29467576655409888</v>
      </c>
      <c r="V82" s="371">
        <f>P82/'2018'!P82-1</f>
        <v>-0.33749988269693332</v>
      </c>
      <c r="W82" s="371">
        <f>Q82/'2018'!Q82-1</f>
        <v>-0.18760562233884248</v>
      </c>
      <c r="X82" s="371">
        <f>R82/'2018'!R82-1</f>
        <v>6.9263877993535061E-3</v>
      </c>
      <c r="Y82" s="372">
        <f>S82/'2018'!S82-1</f>
        <v>-8.3713537831274443E-2</v>
      </c>
      <c r="Z82" s="373"/>
      <c r="AA82" s="374">
        <f t="shared" si="30"/>
        <v>366.90096599999998</v>
      </c>
      <c r="AB82" s="375"/>
      <c r="AC82" s="365"/>
      <c r="AD82" s="375">
        <f t="shared" si="32"/>
        <v>4025107.71</v>
      </c>
      <c r="AE82" s="348">
        <f>AE81+K83</f>
        <v>65815.92</v>
      </c>
      <c r="AF82" s="348">
        <f t="shared" si="34"/>
        <v>246781.78</v>
      </c>
      <c r="AG82" s="365">
        <f t="shared" si="35"/>
        <v>43500.350000000297</v>
      </c>
      <c r="AH82" s="357"/>
      <c r="AI82" s="358"/>
      <c r="AJ82" s="358"/>
      <c r="AK82" s="358"/>
      <c r="AL82" s="358"/>
      <c r="AM82" s="358"/>
      <c r="AN82" s="358"/>
      <c r="AO82" s="358"/>
      <c r="AP82" s="358"/>
      <c r="AQ82" s="358"/>
      <c r="AR82" s="358"/>
      <c r="AS82" s="358"/>
      <c r="AT82" s="358"/>
      <c r="AU82" s="358"/>
      <c r="AV82" s="358"/>
      <c r="AW82" s="358"/>
      <c r="AX82" s="358"/>
      <c r="AY82" s="358"/>
      <c r="AZ82" s="358"/>
      <c r="BA82" s="358"/>
      <c r="BB82" s="358"/>
      <c r="BC82" s="358"/>
    </row>
    <row r="83" spans="1:55" s="376" customFormat="1" x14ac:dyDescent="0.15">
      <c r="A83" s="377">
        <v>42813</v>
      </c>
      <c r="B83" s="457" t="s">
        <v>35</v>
      </c>
      <c r="C83" s="361"/>
      <c r="D83" s="348"/>
      <c r="E83" s="348"/>
      <c r="F83" s="362"/>
      <c r="G83" s="348"/>
      <c r="H83" s="363"/>
      <c r="I83" s="363"/>
      <c r="J83" s="364">
        <f t="shared" si="29"/>
        <v>0</v>
      </c>
      <c r="K83" s="348"/>
      <c r="L83" s="348"/>
      <c r="M83" s="365">
        <f t="shared" si="31"/>
        <v>0</v>
      </c>
      <c r="N83" s="366">
        <f t="shared" si="36"/>
        <v>616893.36</v>
      </c>
      <c r="O83" s="367">
        <f t="shared" si="36"/>
        <v>388269</v>
      </c>
      <c r="P83" s="353">
        <f t="shared" si="28"/>
        <v>1073075.29</v>
      </c>
      <c r="Q83" s="368">
        <f t="shared" si="26"/>
        <v>3669009.6599999997</v>
      </c>
      <c r="R83" s="367">
        <f t="shared" si="26"/>
        <v>2415703</v>
      </c>
      <c r="S83" s="369">
        <f t="shared" si="26"/>
        <v>6440810.71</v>
      </c>
      <c r="T83" s="370">
        <f>N83/'2018'!N83-1</f>
        <v>-0.44786392012780984</v>
      </c>
      <c r="U83" s="371">
        <f>O83/'2018'!O83-1</f>
        <v>-0.33502145981551068</v>
      </c>
      <c r="V83" s="371">
        <f>P83/'2018'!P83-1</f>
        <v>-0.3768168376573674</v>
      </c>
      <c r="W83" s="371">
        <f>Q83/'2018'!Q83-1</f>
        <v>-0.1996152273227475</v>
      </c>
      <c r="X83" s="371">
        <f>R83/'2018'!R83-1</f>
        <v>-6.8991175690703566E-3</v>
      </c>
      <c r="Y83" s="372">
        <f>S83/'2018'!S83-1</f>
        <v>-9.684346038243774E-2</v>
      </c>
      <c r="Z83" s="373"/>
      <c r="AA83" s="374">
        <f t="shared" si="30"/>
        <v>366.90096599999998</v>
      </c>
      <c r="AB83" s="375"/>
      <c r="AC83" s="365"/>
      <c r="AD83" s="375">
        <f t="shared" si="32"/>
        <v>4025107.71</v>
      </c>
      <c r="AE83" s="348">
        <f>AE82+K84</f>
        <v>65815.92</v>
      </c>
      <c r="AF83" s="348">
        <f t="shared" si="34"/>
        <v>246781.78</v>
      </c>
      <c r="AG83" s="365">
        <f t="shared" si="35"/>
        <v>43500.350000000297</v>
      </c>
      <c r="AH83" s="357"/>
      <c r="AI83" s="358"/>
      <c r="AJ83" s="358"/>
      <c r="AK83" s="358"/>
      <c r="AL83" s="358"/>
      <c r="AM83" s="358"/>
      <c r="AN83" s="358"/>
      <c r="AO83" s="358"/>
      <c r="AP83" s="358"/>
      <c r="AQ83" s="358"/>
      <c r="AR83" s="358"/>
      <c r="AS83" s="358"/>
      <c r="AT83" s="358"/>
      <c r="AU83" s="358"/>
      <c r="AV83" s="358"/>
      <c r="AW83" s="358"/>
      <c r="AX83" s="358"/>
      <c r="AY83" s="358"/>
      <c r="AZ83" s="358"/>
      <c r="BA83" s="358"/>
      <c r="BB83" s="358"/>
      <c r="BC83" s="358"/>
    </row>
    <row r="84" spans="1:55" s="376" customFormat="1" x14ac:dyDescent="0.15">
      <c r="A84" s="377">
        <v>42814</v>
      </c>
      <c r="B84" s="457" t="s">
        <v>36</v>
      </c>
      <c r="C84" s="361"/>
      <c r="D84" s="348"/>
      <c r="E84" s="348"/>
      <c r="F84" s="362"/>
      <c r="G84" s="348"/>
      <c r="H84" s="363"/>
      <c r="I84" s="363"/>
      <c r="J84" s="364">
        <f t="shared" si="29"/>
        <v>0</v>
      </c>
      <c r="K84" s="348"/>
      <c r="L84" s="348"/>
      <c r="M84" s="365">
        <f t="shared" si="31"/>
        <v>0</v>
      </c>
      <c r="N84" s="366">
        <f t="shared" si="36"/>
        <v>616893.36</v>
      </c>
      <c r="O84" s="367">
        <f t="shared" si="36"/>
        <v>388269</v>
      </c>
      <c r="P84" s="353">
        <f t="shared" si="28"/>
        <v>1073075.29</v>
      </c>
      <c r="Q84" s="368">
        <f t="shared" si="26"/>
        <v>3669009.6599999997</v>
      </c>
      <c r="R84" s="367">
        <f t="shared" si="26"/>
        <v>2415703</v>
      </c>
      <c r="S84" s="369">
        <f t="shared" si="26"/>
        <v>6440810.71</v>
      </c>
      <c r="T84" s="370">
        <f>N84/'2018'!N84-1</f>
        <v>-0.48018868115311897</v>
      </c>
      <c r="U84" s="371">
        <f>O84/'2018'!O84-1</f>
        <v>-0.37171877680076892</v>
      </c>
      <c r="V84" s="371">
        <f>P84/'2018'!P84-1</f>
        <v>-0.41255591960299665</v>
      </c>
      <c r="W84" s="371">
        <f>Q84/'2018'!Q84-1</f>
        <v>-0.21156526489328131</v>
      </c>
      <c r="X84" s="371">
        <f>R84/'2018'!R84-1</f>
        <v>-2.0630109029108668E-2</v>
      </c>
      <c r="Y84" s="372">
        <f>S84/'2018'!S84-1</f>
        <v>-0.10991851781083206</v>
      </c>
      <c r="Z84" s="373"/>
      <c r="AA84" s="374">
        <f t="shared" si="30"/>
        <v>366.90096599999998</v>
      </c>
      <c r="AB84" s="375"/>
      <c r="AC84" s="365"/>
      <c r="AD84" s="375">
        <f t="shared" si="32"/>
        <v>4025107.71</v>
      </c>
      <c r="AE84" s="348">
        <f>AE83+K85</f>
        <v>65815.92</v>
      </c>
      <c r="AF84" s="348">
        <f t="shared" si="34"/>
        <v>246781.78</v>
      </c>
      <c r="AG84" s="365">
        <f t="shared" si="35"/>
        <v>43500.350000000297</v>
      </c>
      <c r="AH84" s="357"/>
      <c r="AI84" s="358"/>
      <c r="AJ84" s="358"/>
      <c r="AK84" s="358"/>
      <c r="AL84" s="358"/>
      <c r="AM84" s="358"/>
      <c r="AN84" s="358"/>
      <c r="AO84" s="358"/>
      <c r="AP84" s="358"/>
      <c r="AQ84" s="358"/>
      <c r="AR84" s="358"/>
      <c r="AS84" s="358"/>
      <c r="AT84" s="358"/>
      <c r="AU84" s="358"/>
      <c r="AV84" s="358"/>
      <c r="AW84" s="358"/>
      <c r="AX84" s="358"/>
      <c r="AY84" s="358"/>
      <c r="AZ84" s="358"/>
      <c r="BA84" s="358"/>
      <c r="BB84" s="358"/>
      <c r="BC84" s="358"/>
    </row>
    <row r="85" spans="1:55" s="376" customFormat="1" x14ac:dyDescent="0.15">
      <c r="A85" s="377">
        <v>42815</v>
      </c>
      <c r="B85" s="182" t="s">
        <v>37</v>
      </c>
      <c r="C85" s="361"/>
      <c r="D85" s="348"/>
      <c r="E85" s="348"/>
      <c r="F85" s="362"/>
      <c r="G85" s="348"/>
      <c r="H85" s="363"/>
      <c r="I85" s="363"/>
      <c r="J85" s="364">
        <f t="shared" si="29"/>
        <v>0</v>
      </c>
      <c r="K85" s="348"/>
      <c r="L85" s="348"/>
      <c r="M85" s="365">
        <f t="shared" si="31"/>
        <v>0</v>
      </c>
      <c r="N85" s="366">
        <f t="shared" si="36"/>
        <v>616893.36</v>
      </c>
      <c r="O85" s="367">
        <f t="shared" si="36"/>
        <v>388269</v>
      </c>
      <c r="P85" s="353">
        <f t="shared" si="28"/>
        <v>1073075.29</v>
      </c>
      <c r="Q85" s="368">
        <f t="shared" si="26"/>
        <v>3669009.6599999997</v>
      </c>
      <c r="R85" s="367">
        <f t="shared" si="26"/>
        <v>2415703</v>
      </c>
      <c r="S85" s="369">
        <f t="shared" si="26"/>
        <v>6440810.71</v>
      </c>
      <c r="T85" s="370">
        <f>N85/'2018'!N85-1</f>
        <v>-0.50820227621328418</v>
      </c>
      <c r="U85" s="371">
        <f>O85/'2018'!O85-1</f>
        <v>-0.40675917663883832</v>
      </c>
      <c r="V85" s="371">
        <f>P85/'2018'!P85-1</f>
        <v>-0.44467401080765534</v>
      </c>
      <c r="W85" s="371">
        <f>Q85/'2018'!Q85-1</f>
        <v>-0.22285453609970973</v>
      </c>
      <c r="X85" s="371">
        <f>R85/'2018'!R85-1</f>
        <v>-3.4912034760222421E-2</v>
      </c>
      <c r="Y85" s="372">
        <f>S85/'2018'!S85-1</f>
        <v>-0.12272675917716991</v>
      </c>
      <c r="Z85" s="373"/>
      <c r="AA85" s="374">
        <f t="shared" si="30"/>
        <v>366.90096599999998</v>
      </c>
      <c r="AB85" s="375"/>
      <c r="AC85" s="365"/>
      <c r="AD85" s="375">
        <f t="shared" si="32"/>
        <v>4025107.71</v>
      </c>
      <c r="AE85" s="348">
        <f>AE84+K86</f>
        <v>65815.92</v>
      </c>
      <c r="AF85" s="348">
        <f t="shared" si="34"/>
        <v>246781.78</v>
      </c>
      <c r="AG85" s="365">
        <f t="shared" si="35"/>
        <v>43500.350000000297</v>
      </c>
      <c r="AH85" s="357"/>
      <c r="AI85" s="358"/>
      <c r="AJ85" s="358"/>
      <c r="AK85" s="358"/>
      <c r="AL85" s="358"/>
      <c r="AM85" s="358"/>
      <c r="AN85" s="358"/>
      <c r="AO85" s="358"/>
      <c r="AP85" s="358"/>
      <c r="AQ85" s="358"/>
      <c r="AR85" s="358"/>
      <c r="AS85" s="358"/>
      <c r="AT85" s="358"/>
      <c r="AU85" s="358"/>
      <c r="AV85" s="358"/>
      <c r="AW85" s="358"/>
      <c r="AX85" s="358"/>
      <c r="AY85" s="358"/>
      <c r="AZ85" s="358"/>
      <c r="BA85" s="358"/>
      <c r="BB85" s="358"/>
      <c r="BC85" s="358"/>
    </row>
    <row r="86" spans="1:55" s="376" customFormat="1" x14ac:dyDescent="0.15">
      <c r="A86" s="377">
        <v>42816</v>
      </c>
      <c r="B86" s="457" t="s">
        <v>38</v>
      </c>
      <c r="C86" s="361"/>
      <c r="D86" s="348"/>
      <c r="E86" s="348"/>
      <c r="F86" s="362"/>
      <c r="G86" s="348"/>
      <c r="H86" s="363"/>
      <c r="I86" s="363"/>
      <c r="J86" s="364">
        <f t="shared" si="29"/>
        <v>0</v>
      </c>
      <c r="K86" s="348"/>
      <c r="L86" s="348"/>
      <c r="M86" s="365">
        <f t="shared" si="31"/>
        <v>0</v>
      </c>
      <c r="N86" s="366">
        <f t="shared" si="36"/>
        <v>616893.36</v>
      </c>
      <c r="O86" s="367">
        <f t="shared" si="36"/>
        <v>388269</v>
      </c>
      <c r="P86" s="353">
        <f t="shared" si="28"/>
        <v>1073075.29</v>
      </c>
      <c r="Q86" s="368">
        <f t="shared" si="26"/>
        <v>3669009.6599999997</v>
      </c>
      <c r="R86" s="367">
        <f t="shared" si="26"/>
        <v>2415703</v>
      </c>
      <c r="S86" s="369">
        <f t="shared" si="26"/>
        <v>6440810.71</v>
      </c>
      <c r="T86" s="370">
        <f>N86/'2018'!N86-1</f>
        <v>-0.53302305160495256</v>
      </c>
      <c r="U86" s="371">
        <f>O86/'2018'!O86-1</f>
        <v>-0.43619801876682607</v>
      </c>
      <c r="V86" s="371">
        <f>P86/'2018'!P86-1</f>
        <v>-0.47267343182951793</v>
      </c>
      <c r="W86" s="371">
        <f>Q86/'2018'!Q86-1</f>
        <v>-0.23367657389290208</v>
      </c>
      <c r="X86" s="371">
        <f>R86/'2018'!R86-1</f>
        <v>-4.7910643941409314E-2</v>
      </c>
      <c r="Y86" s="372">
        <f>S86/'2018'!S86-1</f>
        <v>-0.13481752072795206</v>
      </c>
      <c r="Z86" s="373"/>
      <c r="AA86" s="374">
        <f t="shared" si="30"/>
        <v>366.90096599999998</v>
      </c>
      <c r="AB86" s="375"/>
      <c r="AC86" s="365"/>
      <c r="AD86" s="375">
        <f t="shared" si="32"/>
        <v>4025107.71</v>
      </c>
      <c r="AE86" s="348">
        <f t="shared" si="34"/>
        <v>65815.92</v>
      </c>
      <c r="AF86" s="348">
        <f t="shared" si="34"/>
        <v>246781.78</v>
      </c>
      <c r="AG86" s="365">
        <f t="shared" si="35"/>
        <v>43500.350000000297</v>
      </c>
      <c r="AH86" s="357"/>
      <c r="AI86" s="358"/>
      <c r="AJ86" s="358"/>
      <c r="AK86" s="358"/>
      <c r="AL86" s="358"/>
      <c r="AM86" s="358"/>
      <c r="AN86" s="358"/>
      <c r="AO86" s="358"/>
      <c r="AP86" s="358"/>
      <c r="AQ86" s="358"/>
      <c r="AR86" s="358"/>
      <c r="AS86" s="358"/>
      <c r="AT86" s="358"/>
      <c r="AU86" s="358"/>
      <c r="AV86" s="358"/>
      <c r="AW86" s="358"/>
      <c r="AX86" s="358"/>
      <c r="AY86" s="358"/>
      <c r="AZ86" s="358"/>
      <c r="BA86" s="358"/>
      <c r="BB86" s="358"/>
      <c r="BC86" s="358"/>
    </row>
    <row r="87" spans="1:55" s="376" customFormat="1" x14ac:dyDescent="0.15">
      <c r="A87" s="377">
        <v>42817</v>
      </c>
      <c r="B87" s="457" t="s">
        <v>39</v>
      </c>
      <c r="C87" s="361"/>
      <c r="D87" s="348"/>
      <c r="E87" s="348"/>
      <c r="F87" s="362"/>
      <c r="G87" s="348"/>
      <c r="H87" s="363"/>
      <c r="I87" s="363"/>
      <c r="J87" s="364">
        <f t="shared" si="29"/>
        <v>0</v>
      </c>
      <c r="K87" s="348"/>
      <c r="L87" s="348"/>
      <c r="M87" s="365">
        <f t="shared" si="31"/>
        <v>0</v>
      </c>
      <c r="N87" s="366">
        <f t="shared" si="36"/>
        <v>616893.36</v>
      </c>
      <c r="O87" s="367">
        <f t="shared" si="36"/>
        <v>388269</v>
      </c>
      <c r="P87" s="353">
        <f t="shared" si="28"/>
        <v>1073075.29</v>
      </c>
      <c r="Q87" s="368">
        <f t="shared" si="26"/>
        <v>3669009.6599999997</v>
      </c>
      <c r="R87" s="367">
        <f t="shared" si="26"/>
        <v>2415703</v>
      </c>
      <c r="S87" s="369">
        <f t="shared" si="26"/>
        <v>6440810.71</v>
      </c>
      <c r="T87" s="370">
        <f>N87/'2018'!N87-1</f>
        <v>-0.55542934068214844</v>
      </c>
      <c r="U87" s="371">
        <f>O87/'2018'!O87-1</f>
        <v>-0.46195780957910737</v>
      </c>
      <c r="V87" s="371">
        <f>P87/'2018'!P87-1</f>
        <v>-0.49773115383607247</v>
      </c>
      <c r="W87" s="371">
        <f>Q87/'2018'!Q87-1</f>
        <v>-0.24418702558260541</v>
      </c>
      <c r="X87" s="371">
        <f>R87/'2018'!R87-1</f>
        <v>-6.0124050865367984E-2</v>
      </c>
      <c r="Y87" s="372">
        <f>S87/'2018'!S87-1</f>
        <v>-0.14645739452124062</v>
      </c>
      <c r="Z87" s="373"/>
      <c r="AA87" s="374">
        <f t="shared" si="30"/>
        <v>366.90096599999998</v>
      </c>
      <c r="AB87" s="375"/>
      <c r="AC87" s="365"/>
      <c r="AD87" s="375">
        <f t="shared" si="32"/>
        <v>4025107.71</v>
      </c>
      <c r="AE87" s="348">
        <f t="shared" ref="AE87:AF102" si="37">AE86+K87</f>
        <v>65815.92</v>
      </c>
      <c r="AF87" s="348">
        <f t="shared" si="37"/>
        <v>246781.78</v>
      </c>
      <c r="AG87" s="365">
        <f t="shared" si="35"/>
        <v>43500.350000000297</v>
      </c>
      <c r="AH87" s="357"/>
      <c r="AI87" s="358"/>
      <c r="AJ87" s="358"/>
      <c r="AK87" s="358"/>
      <c r="AL87" s="358"/>
      <c r="AM87" s="358"/>
      <c r="AN87" s="358"/>
      <c r="AO87" s="358"/>
      <c r="AP87" s="358"/>
      <c r="AQ87" s="358"/>
      <c r="AR87" s="358"/>
      <c r="AS87" s="358"/>
      <c r="AT87" s="358"/>
      <c r="AU87" s="358"/>
      <c r="AV87" s="358"/>
      <c r="AW87" s="358"/>
      <c r="AX87" s="358"/>
      <c r="AY87" s="358"/>
      <c r="AZ87" s="358"/>
      <c r="BA87" s="358"/>
      <c r="BB87" s="358"/>
      <c r="BC87" s="358"/>
    </row>
    <row r="88" spans="1:55" s="376" customFormat="1" x14ac:dyDescent="0.15">
      <c r="A88" s="377">
        <v>42818</v>
      </c>
      <c r="B88" s="457" t="s">
        <v>1</v>
      </c>
      <c r="C88" s="361"/>
      <c r="D88" s="348"/>
      <c r="E88" s="348"/>
      <c r="F88" s="362"/>
      <c r="G88" s="348"/>
      <c r="H88" s="363"/>
      <c r="I88" s="363"/>
      <c r="J88" s="364">
        <f t="shared" si="29"/>
        <v>0</v>
      </c>
      <c r="K88" s="348"/>
      <c r="L88" s="348"/>
      <c r="M88" s="365">
        <f t="shared" si="31"/>
        <v>0</v>
      </c>
      <c r="N88" s="366">
        <f t="shared" si="36"/>
        <v>616893.36</v>
      </c>
      <c r="O88" s="367">
        <f t="shared" si="36"/>
        <v>388269</v>
      </c>
      <c r="P88" s="353">
        <f t="shared" si="28"/>
        <v>1073075.29</v>
      </c>
      <c r="Q88" s="368">
        <f t="shared" si="26"/>
        <v>3669009.6599999997</v>
      </c>
      <c r="R88" s="367">
        <f t="shared" si="26"/>
        <v>2415703</v>
      </c>
      <c r="S88" s="369">
        <f t="shared" si="26"/>
        <v>6440810.71</v>
      </c>
      <c r="T88" s="370">
        <f>N88/'2018'!N88-1</f>
        <v>-0.57527979235371474</v>
      </c>
      <c r="U88" s="371">
        <f>O88/'2018'!O88-1</f>
        <v>-0.48564036462438676</v>
      </c>
      <c r="V88" s="371">
        <f>P88/'2018'!P88-1</f>
        <v>-0.52011000918569317</v>
      </c>
      <c r="W88" s="371">
        <f>Q88/'2018'!Q88-1</f>
        <v>-0.25415146556208468</v>
      </c>
      <c r="X88" s="371">
        <f>R88/'2018'!R88-1</f>
        <v>-7.2118970816551164E-2</v>
      </c>
      <c r="Y88" s="372">
        <f>S88/'2018'!S88-1</f>
        <v>-0.15757992251984754</v>
      </c>
      <c r="Z88" s="373"/>
      <c r="AA88" s="374">
        <f t="shared" si="30"/>
        <v>366.90096599999998</v>
      </c>
      <c r="AB88" s="375"/>
      <c r="AC88" s="365"/>
      <c r="AD88" s="375">
        <f t="shared" si="32"/>
        <v>4025107.71</v>
      </c>
      <c r="AE88" s="348">
        <f t="shared" si="37"/>
        <v>65815.92</v>
      </c>
      <c r="AF88" s="348">
        <f t="shared" si="37"/>
        <v>246781.78</v>
      </c>
      <c r="AG88" s="365">
        <f t="shared" si="35"/>
        <v>43500.350000000297</v>
      </c>
      <c r="AH88" s="357"/>
      <c r="AI88" s="358"/>
      <c r="AJ88" s="358"/>
      <c r="AK88" s="358"/>
      <c r="AL88" s="358"/>
      <c r="AM88" s="358"/>
      <c r="AN88" s="358"/>
      <c r="AO88" s="358"/>
      <c r="AP88" s="358"/>
      <c r="AQ88" s="358"/>
      <c r="AR88" s="358"/>
      <c r="AS88" s="358"/>
      <c r="AT88" s="358"/>
      <c r="AU88" s="358"/>
      <c r="AV88" s="358"/>
      <c r="AW88" s="358"/>
      <c r="AX88" s="358"/>
      <c r="AY88" s="358"/>
      <c r="AZ88" s="358"/>
      <c r="BA88" s="358"/>
      <c r="BB88" s="358"/>
      <c r="BC88" s="358"/>
    </row>
    <row r="89" spans="1:55" s="376" customFormat="1" x14ac:dyDescent="0.15">
      <c r="A89" s="377">
        <v>42819</v>
      </c>
      <c r="B89" s="457" t="s">
        <v>34</v>
      </c>
      <c r="C89" s="361"/>
      <c r="D89" s="348"/>
      <c r="E89" s="348"/>
      <c r="F89" s="362"/>
      <c r="G89" s="348"/>
      <c r="H89" s="363"/>
      <c r="I89" s="363"/>
      <c r="J89" s="364">
        <f t="shared" si="29"/>
        <v>0</v>
      </c>
      <c r="K89" s="348"/>
      <c r="L89" s="348"/>
      <c r="M89" s="365">
        <f t="shared" si="31"/>
        <v>0</v>
      </c>
      <c r="N89" s="366">
        <f t="shared" si="36"/>
        <v>616893.36</v>
      </c>
      <c r="O89" s="367">
        <f t="shared" si="36"/>
        <v>388269</v>
      </c>
      <c r="P89" s="353">
        <f t="shared" si="28"/>
        <v>1073075.29</v>
      </c>
      <c r="Q89" s="368">
        <f t="shared" si="26"/>
        <v>3669009.6599999997</v>
      </c>
      <c r="R89" s="367">
        <f t="shared" si="26"/>
        <v>2415703</v>
      </c>
      <c r="S89" s="369">
        <f t="shared" si="26"/>
        <v>6440810.71</v>
      </c>
      <c r="T89" s="370">
        <f>N89/'2018'!N89-1</f>
        <v>-0.59299718017705372</v>
      </c>
      <c r="U89" s="371">
        <f>O89/'2018'!O89-1</f>
        <v>-0.50671884032193515</v>
      </c>
      <c r="V89" s="371">
        <f>P89/'2018'!P89-1</f>
        <v>-0.5399159087030827</v>
      </c>
      <c r="W89" s="371">
        <f>Q89/'2018'!Q89-1</f>
        <v>-0.26361635111001069</v>
      </c>
      <c r="X89" s="371">
        <f>R89/'2018'!R89-1</f>
        <v>-8.3474408111945175E-2</v>
      </c>
      <c r="Y89" s="372">
        <f>S89/'2018'!S89-1</f>
        <v>-0.1680543188325796</v>
      </c>
      <c r="Z89" s="373"/>
      <c r="AA89" s="374">
        <f t="shared" si="30"/>
        <v>366.90096599999998</v>
      </c>
      <c r="AB89" s="375"/>
      <c r="AC89" s="365"/>
      <c r="AD89" s="375">
        <f t="shared" si="32"/>
        <v>4025107.71</v>
      </c>
      <c r="AE89" s="348">
        <f t="shared" si="37"/>
        <v>65815.92</v>
      </c>
      <c r="AF89" s="348">
        <f t="shared" si="37"/>
        <v>246781.78</v>
      </c>
      <c r="AG89" s="365">
        <f t="shared" si="35"/>
        <v>43500.350000000297</v>
      </c>
      <c r="AH89" s="357"/>
      <c r="AI89" s="358"/>
      <c r="AJ89" s="358"/>
      <c r="AK89" s="358"/>
      <c r="AL89" s="358"/>
      <c r="AM89" s="358"/>
      <c r="AN89" s="358"/>
      <c r="AO89" s="358"/>
      <c r="AP89" s="358"/>
      <c r="AQ89" s="358"/>
      <c r="AR89" s="358"/>
      <c r="AS89" s="358"/>
      <c r="AT89" s="358"/>
      <c r="AU89" s="358"/>
      <c r="AV89" s="358"/>
      <c r="AW89" s="358"/>
      <c r="AX89" s="358"/>
      <c r="AY89" s="358"/>
      <c r="AZ89" s="358"/>
      <c r="BA89" s="358"/>
      <c r="BB89" s="358"/>
      <c r="BC89" s="358"/>
    </row>
    <row r="90" spans="1:55" s="376" customFormat="1" x14ac:dyDescent="0.15">
      <c r="A90" s="377">
        <v>42820</v>
      </c>
      <c r="B90" s="457" t="s">
        <v>35</v>
      </c>
      <c r="C90" s="361"/>
      <c r="D90" s="348"/>
      <c r="E90" s="348"/>
      <c r="F90" s="362"/>
      <c r="G90" s="348"/>
      <c r="H90" s="363"/>
      <c r="I90" s="363"/>
      <c r="J90" s="364">
        <f t="shared" si="29"/>
        <v>0</v>
      </c>
      <c r="K90" s="348"/>
      <c r="L90" s="348"/>
      <c r="M90" s="365">
        <f t="shared" si="31"/>
        <v>0</v>
      </c>
      <c r="N90" s="366">
        <f t="shared" si="36"/>
        <v>616893.36</v>
      </c>
      <c r="O90" s="367">
        <f t="shared" si="36"/>
        <v>388269</v>
      </c>
      <c r="P90" s="353">
        <f t="shared" si="28"/>
        <v>1073075.29</v>
      </c>
      <c r="Q90" s="368">
        <f t="shared" si="26"/>
        <v>3669009.6599999997</v>
      </c>
      <c r="R90" s="367">
        <f t="shared" si="26"/>
        <v>2415703</v>
      </c>
      <c r="S90" s="369">
        <f t="shared" si="26"/>
        <v>6440810.71</v>
      </c>
      <c r="T90" s="370">
        <f>N90/'2018'!N90-1</f>
        <v>-0.61042365699230439</v>
      </c>
      <c r="U90" s="371">
        <f>O90/'2018'!O90-1</f>
        <v>-0.52624701059104884</v>
      </c>
      <c r="V90" s="371">
        <f>P90/'2018'!P90-1</f>
        <v>-0.55909235689072212</v>
      </c>
      <c r="W90" s="371">
        <f>Q90/'2018'!Q90-1</f>
        <v>-0.27350231927190116</v>
      </c>
      <c r="X90" s="371">
        <f>R90/'2018'!R90-1</f>
        <v>-9.4619406685423679E-2</v>
      </c>
      <c r="Y90" s="372">
        <f>S90/'2018'!S90-1</f>
        <v>-0.17881424679485292</v>
      </c>
      <c r="Z90" s="373"/>
      <c r="AA90" s="374">
        <f t="shared" si="30"/>
        <v>366.90096599999998</v>
      </c>
      <c r="AB90" s="375"/>
      <c r="AC90" s="365"/>
      <c r="AD90" s="375">
        <f t="shared" si="32"/>
        <v>4025107.71</v>
      </c>
      <c r="AE90" s="348">
        <f t="shared" si="37"/>
        <v>65815.92</v>
      </c>
      <c r="AF90" s="348">
        <f t="shared" si="37"/>
        <v>246781.78</v>
      </c>
      <c r="AG90" s="365">
        <f t="shared" si="35"/>
        <v>43500.350000000297</v>
      </c>
      <c r="AH90" s="357"/>
      <c r="AI90" s="358"/>
      <c r="AJ90" s="358"/>
      <c r="AK90" s="358"/>
      <c r="AL90" s="358"/>
      <c r="AM90" s="358"/>
      <c r="AN90" s="358"/>
      <c r="AO90" s="358"/>
      <c r="AP90" s="358"/>
      <c r="AQ90" s="358"/>
      <c r="AR90" s="358"/>
      <c r="AS90" s="358"/>
      <c r="AT90" s="358"/>
      <c r="AU90" s="358"/>
      <c r="AV90" s="358"/>
      <c r="AW90" s="358"/>
      <c r="AX90" s="358"/>
      <c r="AY90" s="358"/>
      <c r="AZ90" s="358"/>
      <c r="BA90" s="358"/>
      <c r="BB90" s="358"/>
      <c r="BC90" s="358"/>
    </row>
    <row r="91" spans="1:55" s="376" customFormat="1" x14ac:dyDescent="0.15">
      <c r="A91" s="377">
        <v>42821</v>
      </c>
      <c r="B91" s="457" t="s">
        <v>36</v>
      </c>
      <c r="C91" s="361"/>
      <c r="D91" s="348"/>
      <c r="E91" s="348"/>
      <c r="F91" s="362"/>
      <c r="G91" s="348"/>
      <c r="H91" s="363"/>
      <c r="I91" s="363"/>
      <c r="J91" s="364">
        <f t="shared" si="29"/>
        <v>0</v>
      </c>
      <c r="K91" s="348"/>
      <c r="L91" s="348"/>
      <c r="M91" s="365">
        <f t="shared" si="31"/>
        <v>0</v>
      </c>
      <c r="N91" s="366">
        <f t="shared" si="36"/>
        <v>616893.36</v>
      </c>
      <c r="O91" s="367">
        <f t="shared" si="36"/>
        <v>388269</v>
      </c>
      <c r="P91" s="353">
        <f t="shared" si="28"/>
        <v>1073075.29</v>
      </c>
      <c r="Q91" s="368">
        <f t="shared" si="26"/>
        <v>3669009.6599999997</v>
      </c>
      <c r="R91" s="367">
        <f t="shared" si="26"/>
        <v>2415703</v>
      </c>
      <c r="S91" s="369">
        <f t="shared" si="26"/>
        <v>6440810.71</v>
      </c>
      <c r="T91" s="370">
        <f>N91/'2018'!N91-1</f>
        <v>-0.62667662367763488</v>
      </c>
      <c r="U91" s="371">
        <f>O91/'2018'!O91-1</f>
        <v>-0.54352066195376536</v>
      </c>
      <c r="V91" s="371">
        <f>P91/'2018'!P91-1</f>
        <v>-0.57669296535161407</v>
      </c>
      <c r="W91" s="371">
        <f>Q91/'2018'!Q91-1</f>
        <v>-0.28328586604185146</v>
      </c>
      <c r="X91" s="371">
        <f>R91/'2018'!R91-1</f>
        <v>-0.1050220511741361</v>
      </c>
      <c r="Y91" s="372">
        <f>S91/'2018'!S91-1</f>
        <v>-0.18927419728306683</v>
      </c>
      <c r="Z91" s="373"/>
      <c r="AA91" s="374">
        <f t="shared" si="30"/>
        <v>366.90096599999998</v>
      </c>
      <c r="AB91" s="375"/>
      <c r="AC91" s="365"/>
      <c r="AD91" s="375">
        <f t="shared" si="32"/>
        <v>4025107.71</v>
      </c>
      <c r="AE91" s="348">
        <f t="shared" si="37"/>
        <v>65815.92</v>
      </c>
      <c r="AF91" s="348">
        <f t="shared" si="37"/>
        <v>246781.78</v>
      </c>
      <c r="AG91" s="365">
        <f t="shared" si="35"/>
        <v>43500.350000000297</v>
      </c>
      <c r="AH91" s="357"/>
      <c r="AI91" s="358"/>
      <c r="AJ91" s="358"/>
      <c r="AK91" s="358"/>
      <c r="AL91" s="358"/>
      <c r="AM91" s="358"/>
      <c r="AN91" s="358"/>
      <c r="AO91" s="358"/>
      <c r="AP91" s="358"/>
      <c r="AQ91" s="358"/>
      <c r="AR91" s="358"/>
      <c r="AS91" s="358"/>
      <c r="AT91" s="358"/>
      <c r="AU91" s="358"/>
      <c r="AV91" s="358"/>
      <c r="AW91" s="358"/>
      <c r="AX91" s="358"/>
      <c r="AY91" s="358"/>
      <c r="AZ91" s="358"/>
      <c r="BA91" s="358"/>
      <c r="BB91" s="358"/>
      <c r="BC91" s="358"/>
    </row>
    <row r="92" spans="1:55" s="376" customFormat="1" x14ac:dyDescent="0.15">
      <c r="A92" s="377">
        <v>42822</v>
      </c>
      <c r="B92" s="182" t="s">
        <v>37</v>
      </c>
      <c r="C92" s="361"/>
      <c r="D92" s="348"/>
      <c r="E92" s="348"/>
      <c r="F92" s="362"/>
      <c r="G92" s="348"/>
      <c r="H92" s="363"/>
      <c r="I92" s="363"/>
      <c r="J92" s="364">
        <f t="shared" si="29"/>
        <v>0</v>
      </c>
      <c r="K92" s="348"/>
      <c r="L92" s="348"/>
      <c r="M92" s="365">
        <f t="shared" si="31"/>
        <v>0</v>
      </c>
      <c r="N92" s="366">
        <f t="shared" si="36"/>
        <v>616893.36</v>
      </c>
      <c r="O92" s="367">
        <f t="shared" si="36"/>
        <v>388269</v>
      </c>
      <c r="P92" s="353">
        <f t="shared" si="28"/>
        <v>1073075.29</v>
      </c>
      <c r="Q92" s="368">
        <f t="shared" si="26"/>
        <v>3669009.6599999997</v>
      </c>
      <c r="R92" s="367">
        <f t="shared" si="26"/>
        <v>2415703</v>
      </c>
      <c r="S92" s="369">
        <f t="shared" si="26"/>
        <v>6440810.71</v>
      </c>
      <c r="T92" s="370">
        <f>N92/'2018'!N92-1</f>
        <v>-0.64127871065958564</v>
      </c>
      <c r="U92" s="371">
        <f>O92/'2018'!O92-1</f>
        <v>-0.55978571428571433</v>
      </c>
      <c r="V92" s="371">
        <f>P92/'2018'!P92-1</f>
        <v>-0.59282292037419715</v>
      </c>
      <c r="W92" s="371">
        <f>Q92/'2018'!Q92-1</f>
        <v>-0.29258101839645068</v>
      </c>
      <c r="X92" s="371">
        <f>R92/'2018'!R92-1</f>
        <v>-0.11532251301269358</v>
      </c>
      <c r="Y92" s="372">
        <f>S92/'2018'!S92-1</f>
        <v>-0.19939411035594734</v>
      </c>
      <c r="Z92" s="373"/>
      <c r="AA92" s="374">
        <f t="shared" si="30"/>
        <v>366.90096599999998</v>
      </c>
      <c r="AB92" s="375"/>
      <c r="AC92" s="365"/>
      <c r="AD92" s="375">
        <f t="shared" si="32"/>
        <v>4025107.71</v>
      </c>
      <c r="AE92" s="348">
        <f t="shared" si="37"/>
        <v>65815.92</v>
      </c>
      <c r="AF92" s="348">
        <f t="shared" si="37"/>
        <v>246781.78</v>
      </c>
      <c r="AG92" s="365">
        <f t="shared" si="35"/>
        <v>43500.350000000297</v>
      </c>
      <c r="AH92" s="357"/>
      <c r="AI92" s="358"/>
      <c r="AJ92" s="358"/>
      <c r="AK92" s="358"/>
      <c r="AL92" s="358"/>
      <c r="AM92" s="358"/>
      <c r="AN92" s="358"/>
      <c r="AO92" s="358"/>
      <c r="AP92" s="358"/>
      <c r="AQ92" s="358"/>
      <c r="AR92" s="358"/>
      <c r="AS92" s="358"/>
      <c r="AT92" s="358"/>
      <c r="AU92" s="358"/>
      <c r="AV92" s="358"/>
      <c r="AW92" s="358"/>
      <c r="AX92" s="358"/>
      <c r="AY92" s="358"/>
      <c r="AZ92" s="358"/>
      <c r="BA92" s="358"/>
      <c r="BB92" s="358"/>
      <c r="BC92" s="358"/>
    </row>
    <row r="93" spans="1:55" s="376" customFormat="1" x14ac:dyDescent="0.15">
      <c r="A93" s="377">
        <v>42823</v>
      </c>
      <c r="B93" s="457" t="s">
        <v>38</v>
      </c>
      <c r="C93" s="361"/>
      <c r="D93" s="348"/>
      <c r="E93" s="348"/>
      <c r="F93" s="362"/>
      <c r="G93" s="348"/>
      <c r="H93" s="363"/>
      <c r="I93" s="363"/>
      <c r="J93" s="364">
        <f t="shared" si="29"/>
        <v>0</v>
      </c>
      <c r="K93" s="348"/>
      <c r="L93" s="348"/>
      <c r="M93" s="365">
        <f t="shared" si="31"/>
        <v>0</v>
      </c>
      <c r="N93" s="366">
        <f t="shared" si="36"/>
        <v>616893.36</v>
      </c>
      <c r="O93" s="367">
        <f t="shared" si="36"/>
        <v>388269</v>
      </c>
      <c r="P93" s="353">
        <f t="shared" si="28"/>
        <v>1073075.29</v>
      </c>
      <c r="Q93" s="368">
        <f t="shared" si="26"/>
        <v>3669009.6599999997</v>
      </c>
      <c r="R93" s="367">
        <f t="shared" si="26"/>
        <v>2415703</v>
      </c>
      <c r="S93" s="369">
        <f t="shared" si="26"/>
        <v>6440810.71</v>
      </c>
      <c r="T93" s="370">
        <f>N93/'2018'!N93-1</f>
        <v>-0.65503555649251988</v>
      </c>
      <c r="U93" s="371">
        <f>O93/'2018'!O93-1</f>
        <v>-0.5747094583493072</v>
      </c>
      <c r="V93" s="371">
        <f>P93/'2018'!P93-1</f>
        <v>-0.60786578110725376</v>
      </c>
      <c r="W93" s="371">
        <f>Q93/'2018'!Q93-1</f>
        <v>-0.30181304535959708</v>
      </c>
      <c r="X93" s="371">
        <f>R93/'2018'!R93-1</f>
        <v>-0.12523750223153418</v>
      </c>
      <c r="Y93" s="372">
        <f>S93/'2018'!S93-1</f>
        <v>-0.20933021036963106</v>
      </c>
      <c r="Z93" s="373"/>
      <c r="AA93" s="374">
        <f t="shared" si="30"/>
        <v>366.90096599999998</v>
      </c>
      <c r="AB93" s="375"/>
      <c r="AC93" s="365"/>
      <c r="AD93" s="375">
        <f t="shared" si="32"/>
        <v>4025107.71</v>
      </c>
      <c r="AE93" s="348">
        <f t="shared" si="37"/>
        <v>65815.92</v>
      </c>
      <c r="AF93" s="348">
        <f t="shared" si="37"/>
        <v>246781.78</v>
      </c>
      <c r="AG93" s="365">
        <f t="shared" si="35"/>
        <v>43500.350000000297</v>
      </c>
      <c r="AH93" s="357"/>
      <c r="AI93" s="358"/>
      <c r="AJ93" s="358"/>
      <c r="AK93" s="358"/>
      <c r="AL93" s="358"/>
      <c r="AM93" s="358"/>
      <c r="AN93" s="358"/>
      <c r="AO93" s="358"/>
      <c r="AP93" s="358"/>
      <c r="AQ93" s="358"/>
      <c r="AR93" s="358"/>
      <c r="AS93" s="358"/>
      <c r="AT93" s="358"/>
      <c r="AU93" s="358"/>
      <c r="AV93" s="358"/>
      <c r="AW93" s="358"/>
      <c r="AX93" s="358"/>
      <c r="AY93" s="358"/>
      <c r="AZ93" s="358"/>
      <c r="BA93" s="358"/>
      <c r="BB93" s="358"/>
      <c r="BC93" s="358"/>
    </row>
    <row r="94" spans="1:55" s="376" customFormat="1" x14ac:dyDescent="0.15">
      <c r="A94" s="377">
        <v>42824</v>
      </c>
      <c r="B94" s="457" t="s">
        <v>39</v>
      </c>
      <c r="C94" s="361"/>
      <c r="D94" s="348"/>
      <c r="E94" s="348"/>
      <c r="F94" s="362"/>
      <c r="G94" s="348"/>
      <c r="H94" s="363"/>
      <c r="I94" s="363"/>
      <c r="J94" s="364">
        <f t="shared" si="29"/>
        <v>0</v>
      </c>
      <c r="K94" s="348"/>
      <c r="L94" s="348"/>
      <c r="M94" s="365">
        <f t="shared" si="31"/>
        <v>0</v>
      </c>
      <c r="N94" s="366">
        <f t="shared" si="36"/>
        <v>616893.36</v>
      </c>
      <c r="O94" s="367">
        <f t="shared" si="36"/>
        <v>388269</v>
      </c>
      <c r="P94" s="353">
        <f t="shared" si="28"/>
        <v>1073075.29</v>
      </c>
      <c r="Q94" s="368">
        <f t="shared" si="26"/>
        <v>3669009.6599999997</v>
      </c>
      <c r="R94" s="367">
        <f t="shared" si="26"/>
        <v>2415703</v>
      </c>
      <c r="S94" s="369">
        <f t="shared" si="26"/>
        <v>6440810.71</v>
      </c>
      <c r="T94" s="370">
        <f>N94/'2018'!N94-1</f>
        <v>-0.66780270854907009</v>
      </c>
      <c r="U94" s="371">
        <f>O94/'2018'!O94-1</f>
        <v>-0.58872771876602115</v>
      </c>
      <c r="V94" s="371">
        <f>P94/'2018'!P94-1</f>
        <v>-0.62188738249556552</v>
      </c>
      <c r="W94" s="371">
        <f>Q94/'2018'!Q94-1</f>
        <v>-0.31082637447935746</v>
      </c>
      <c r="X94" s="371">
        <f>R94/'2018'!R94-1</f>
        <v>-0.13498475115758357</v>
      </c>
      <c r="Y94" s="372">
        <f>S94/'2018'!S94-1</f>
        <v>-0.21905868848465238</v>
      </c>
      <c r="Z94" s="373"/>
      <c r="AA94" s="374">
        <f t="shared" si="30"/>
        <v>366.90096599999998</v>
      </c>
      <c r="AB94" s="375"/>
      <c r="AC94" s="365"/>
      <c r="AD94" s="375">
        <f t="shared" si="32"/>
        <v>4025107.71</v>
      </c>
      <c r="AE94" s="348">
        <f t="shared" si="37"/>
        <v>65815.92</v>
      </c>
      <c r="AF94" s="348">
        <f t="shared" si="37"/>
        <v>246781.78</v>
      </c>
      <c r="AG94" s="365">
        <f t="shared" si="35"/>
        <v>43500.350000000297</v>
      </c>
      <c r="AH94" s="357"/>
      <c r="AI94" s="358"/>
      <c r="AJ94" s="358"/>
      <c r="AK94" s="358"/>
      <c r="AL94" s="358"/>
      <c r="AM94" s="358"/>
      <c r="AN94" s="358"/>
      <c r="AO94" s="358"/>
      <c r="AP94" s="358"/>
      <c r="AQ94" s="358"/>
      <c r="AR94" s="358"/>
      <c r="AS94" s="358"/>
      <c r="AT94" s="358"/>
      <c r="AU94" s="358"/>
      <c r="AV94" s="358"/>
      <c r="AW94" s="358"/>
      <c r="AX94" s="358"/>
      <c r="AY94" s="358"/>
      <c r="AZ94" s="358"/>
      <c r="BA94" s="358"/>
      <c r="BB94" s="358"/>
      <c r="BC94" s="358"/>
    </row>
    <row r="95" spans="1:55" s="376" customFormat="1" x14ac:dyDescent="0.15">
      <c r="A95" s="403">
        <v>42825</v>
      </c>
      <c r="B95" s="380" t="s">
        <v>1</v>
      </c>
      <c r="C95" s="381"/>
      <c r="D95" s="382"/>
      <c r="E95" s="382"/>
      <c r="F95" s="383"/>
      <c r="G95" s="382"/>
      <c r="H95" s="384"/>
      <c r="I95" s="384"/>
      <c r="J95" s="385">
        <f t="shared" si="29"/>
        <v>0</v>
      </c>
      <c r="K95" s="382"/>
      <c r="L95" s="382"/>
      <c r="M95" s="386">
        <f t="shared" si="31"/>
        <v>0</v>
      </c>
      <c r="N95" s="387">
        <f t="shared" si="36"/>
        <v>616893.36</v>
      </c>
      <c r="O95" s="388">
        <f t="shared" si="36"/>
        <v>388269</v>
      </c>
      <c r="P95" s="389">
        <f t="shared" si="28"/>
        <v>1073075.29</v>
      </c>
      <c r="Q95" s="390">
        <f t="shared" si="26"/>
        <v>3669009.6599999997</v>
      </c>
      <c r="R95" s="388">
        <f t="shared" si="26"/>
        <v>2415703</v>
      </c>
      <c r="S95" s="391">
        <f t="shared" si="26"/>
        <v>6440810.71</v>
      </c>
      <c r="T95" s="392">
        <f>N95/'2018'!N95-1</f>
        <v>-0.67925249272214039</v>
      </c>
      <c r="U95" s="393">
        <f>O95/'2018'!O95-1</f>
        <v>-0.60196236024513605</v>
      </c>
      <c r="V95" s="393">
        <f>P95/'2018'!P95-1</f>
        <v>-0.6346311054544761</v>
      </c>
      <c r="W95" s="408">
        <f>Q95/'2018'!Q95-1</f>
        <v>-0.3193022029226219</v>
      </c>
      <c r="X95" s="393">
        <f>R95/'2018'!R95-1</f>
        <v>-0.14459956778554006</v>
      </c>
      <c r="Y95" s="409">
        <f>S95/'2018'!S95-1</f>
        <v>-0.22832034534902701</v>
      </c>
      <c r="Z95" s="395"/>
      <c r="AA95" s="396">
        <f t="shared" si="30"/>
        <v>366.90096599999998</v>
      </c>
      <c r="AB95" s="397"/>
      <c r="AC95" s="386"/>
      <c r="AD95" s="397">
        <f t="shared" si="32"/>
        <v>4025107.71</v>
      </c>
      <c r="AE95" s="382">
        <f t="shared" si="37"/>
        <v>65815.92</v>
      </c>
      <c r="AF95" s="382">
        <f t="shared" si="37"/>
        <v>246781.78</v>
      </c>
      <c r="AG95" s="386">
        <f t="shared" si="35"/>
        <v>43500.350000000297</v>
      </c>
      <c r="AH95" s="357"/>
      <c r="AI95" s="358"/>
      <c r="AJ95" s="358"/>
      <c r="AK95" s="358"/>
      <c r="AL95" s="358"/>
      <c r="AM95" s="358"/>
      <c r="AN95" s="358"/>
      <c r="AO95" s="358"/>
      <c r="AP95" s="358"/>
      <c r="AQ95" s="358"/>
      <c r="AR95" s="358"/>
      <c r="AS95" s="358"/>
      <c r="AT95" s="358"/>
      <c r="AU95" s="358"/>
      <c r="AV95" s="358"/>
      <c r="AW95" s="358"/>
      <c r="AX95" s="358"/>
      <c r="AY95" s="358"/>
      <c r="AZ95" s="358"/>
      <c r="BA95" s="358"/>
      <c r="BB95" s="358"/>
      <c r="BC95" s="358"/>
    </row>
    <row r="96" spans="1:55" s="376" customFormat="1" x14ac:dyDescent="0.15">
      <c r="A96" s="377">
        <v>42826</v>
      </c>
      <c r="B96" s="457" t="s">
        <v>34</v>
      </c>
      <c r="C96" s="361"/>
      <c r="D96" s="348"/>
      <c r="E96" s="348"/>
      <c r="F96" s="362"/>
      <c r="G96" s="348"/>
      <c r="H96" s="363"/>
      <c r="I96" s="363"/>
      <c r="J96" s="364">
        <f t="shared" si="29"/>
        <v>0</v>
      </c>
      <c r="K96" s="348"/>
      <c r="L96" s="348"/>
      <c r="M96" s="365">
        <f t="shared" si="31"/>
        <v>0</v>
      </c>
      <c r="N96" s="366">
        <f>C96</f>
        <v>0</v>
      </c>
      <c r="O96" s="367">
        <f>D96</f>
        <v>0</v>
      </c>
      <c r="P96" s="353">
        <f>E96</f>
        <v>0</v>
      </c>
      <c r="Q96" s="368">
        <f>N96+Q$95</f>
        <v>3669009.6599999997</v>
      </c>
      <c r="R96" s="367">
        <f>O96+R$95</f>
        <v>2415703</v>
      </c>
      <c r="S96" s="369">
        <f>P96+S$95</f>
        <v>6440810.71</v>
      </c>
      <c r="T96" s="370">
        <f>N96/'2018'!N96-1</f>
        <v>-1</v>
      </c>
      <c r="U96" s="371">
        <f>O96/'2018'!O96-1</f>
        <v>-1</v>
      </c>
      <c r="V96" s="371">
        <f>P96/'2018'!P96-1</f>
        <v>-1</v>
      </c>
      <c r="W96" s="371">
        <f>Q96/'2018'!Q96-1</f>
        <v>-0.32738298424223256</v>
      </c>
      <c r="X96" s="371">
        <f>R96/'2018'!R96-1</f>
        <v>-0.15317528201748543</v>
      </c>
      <c r="Y96" s="372">
        <f>S96/'2018'!S96-1</f>
        <v>-0.23696103809387359</v>
      </c>
      <c r="Z96" s="373"/>
      <c r="AA96" s="374">
        <f t="shared" si="30"/>
        <v>366.90096599999998</v>
      </c>
      <c r="AB96" s="375"/>
      <c r="AC96" s="365"/>
      <c r="AD96" s="375">
        <f t="shared" si="32"/>
        <v>4025107.71</v>
      </c>
      <c r="AE96" s="348">
        <f t="shared" si="37"/>
        <v>65815.92</v>
      </c>
      <c r="AF96" s="348">
        <f t="shared" si="37"/>
        <v>246781.78</v>
      </c>
      <c r="AG96" s="365">
        <f t="shared" si="35"/>
        <v>43500.350000000297</v>
      </c>
      <c r="AH96" s="357"/>
      <c r="AI96" s="358"/>
      <c r="AJ96" s="358"/>
      <c r="AK96" s="358"/>
      <c r="AL96" s="358"/>
      <c r="AM96" s="358"/>
      <c r="AN96" s="358"/>
      <c r="AO96" s="358"/>
      <c r="AP96" s="358"/>
      <c r="AQ96" s="358"/>
      <c r="AR96" s="358"/>
      <c r="AS96" s="358"/>
      <c r="AT96" s="358"/>
      <c r="AU96" s="358"/>
      <c r="AV96" s="358"/>
      <c r="AW96" s="358"/>
      <c r="AX96" s="358"/>
      <c r="AY96" s="358"/>
      <c r="AZ96" s="358"/>
      <c r="BA96" s="358"/>
      <c r="BB96" s="358"/>
      <c r="BC96" s="358"/>
    </row>
    <row r="97" spans="1:55" s="376" customFormat="1" x14ac:dyDescent="0.15">
      <c r="A97" s="377">
        <v>42827</v>
      </c>
      <c r="B97" s="457" t="s">
        <v>35</v>
      </c>
      <c r="C97" s="361"/>
      <c r="D97" s="348"/>
      <c r="E97" s="348"/>
      <c r="F97" s="362"/>
      <c r="G97" s="348"/>
      <c r="H97" s="363"/>
      <c r="I97" s="363"/>
      <c r="J97" s="364">
        <f t="shared" si="29"/>
        <v>0</v>
      </c>
      <c r="K97" s="348"/>
      <c r="L97" s="348"/>
      <c r="M97" s="365">
        <f t="shared" si="31"/>
        <v>0</v>
      </c>
      <c r="N97" s="366">
        <f t="shared" ref="N97:P112" si="38">N96+C97</f>
        <v>0</v>
      </c>
      <c r="O97" s="349">
        <f t="shared" si="38"/>
        <v>0</v>
      </c>
      <c r="P97" s="353">
        <f t="shared" si="38"/>
        <v>0</v>
      </c>
      <c r="Q97" s="368">
        <f t="shared" ref="Q97:S124" si="39">N97+Q$95</f>
        <v>3669009.6599999997</v>
      </c>
      <c r="R97" s="367">
        <f t="shared" si="39"/>
        <v>2415703</v>
      </c>
      <c r="S97" s="369">
        <f t="shared" si="39"/>
        <v>6440810.71</v>
      </c>
      <c r="T97" s="370">
        <f>N97/'2018'!N97-1</f>
        <v>-1</v>
      </c>
      <c r="U97" s="371">
        <f>O97/'2018'!O97-1</f>
        <v>-1</v>
      </c>
      <c r="V97" s="371">
        <f>P97/'2018'!P97-1</f>
        <v>-1</v>
      </c>
      <c r="W97" s="371">
        <f>Q97/'2018'!Q97-1</f>
        <v>-0.3360512285526247</v>
      </c>
      <c r="X97" s="371">
        <f>R97/'2018'!R97-1</f>
        <v>-0.16184547124058302</v>
      </c>
      <c r="Y97" s="372">
        <f>S97/'2018'!S97-1</f>
        <v>-0.24606021141507339</v>
      </c>
      <c r="Z97" s="373"/>
      <c r="AA97" s="374">
        <f t="shared" si="30"/>
        <v>366.90096599999998</v>
      </c>
      <c r="AB97" s="375"/>
      <c r="AC97" s="365"/>
      <c r="AD97" s="375">
        <f t="shared" si="32"/>
        <v>4025107.71</v>
      </c>
      <c r="AE97" s="348">
        <f t="shared" si="37"/>
        <v>65815.92</v>
      </c>
      <c r="AF97" s="348">
        <f t="shared" si="37"/>
        <v>246781.78</v>
      </c>
      <c r="AG97" s="365">
        <f t="shared" si="35"/>
        <v>43500.350000000297</v>
      </c>
      <c r="AH97" s="357"/>
      <c r="AI97" s="358"/>
      <c r="AJ97" s="358"/>
      <c r="AK97" s="358"/>
      <c r="AL97" s="358"/>
      <c r="AM97" s="358"/>
      <c r="AN97" s="358"/>
      <c r="AO97" s="358"/>
      <c r="AP97" s="358"/>
      <c r="AQ97" s="358"/>
      <c r="AR97" s="358"/>
      <c r="AS97" s="358"/>
      <c r="AT97" s="358"/>
      <c r="AU97" s="358"/>
      <c r="AV97" s="358"/>
      <c r="AW97" s="358"/>
      <c r="AX97" s="358"/>
      <c r="AY97" s="358"/>
      <c r="AZ97" s="358"/>
      <c r="BA97" s="358"/>
      <c r="BB97" s="358"/>
      <c r="BC97" s="358"/>
    </row>
    <row r="98" spans="1:55" s="376" customFormat="1" x14ac:dyDescent="0.15">
      <c r="A98" s="377">
        <v>42828</v>
      </c>
      <c r="B98" s="457" t="s">
        <v>36</v>
      </c>
      <c r="C98" s="361"/>
      <c r="D98" s="348"/>
      <c r="E98" s="348"/>
      <c r="F98" s="362"/>
      <c r="G98" s="348"/>
      <c r="H98" s="363"/>
      <c r="I98" s="363"/>
      <c r="J98" s="364">
        <f t="shared" si="29"/>
        <v>0</v>
      </c>
      <c r="K98" s="348"/>
      <c r="L98" s="348"/>
      <c r="M98" s="365">
        <f t="shared" si="31"/>
        <v>0</v>
      </c>
      <c r="N98" s="366">
        <f t="shared" si="38"/>
        <v>0</v>
      </c>
      <c r="O98" s="349">
        <f t="shared" si="38"/>
        <v>0</v>
      </c>
      <c r="P98" s="353">
        <f t="shared" si="38"/>
        <v>0</v>
      </c>
      <c r="Q98" s="368">
        <f t="shared" si="39"/>
        <v>3669009.6599999997</v>
      </c>
      <c r="R98" s="367">
        <f t="shared" si="39"/>
        <v>2415703</v>
      </c>
      <c r="S98" s="369">
        <f t="shared" si="39"/>
        <v>6440810.71</v>
      </c>
      <c r="T98" s="370">
        <f>N98/'2018'!N98-1</f>
        <v>-1</v>
      </c>
      <c r="U98" s="371">
        <f>O98/'2018'!O98-1</f>
        <v>-1</v>
      </c>
      <c r="V98" s="371">
        <f>P98/'2018'!P98-1</f>
        <v>-1</v>
      </c>
      <c r="W98" s="371">
        <f>Q98/'2018'!Q98-1</f>
        <v>-0.34454983366990943</v>
      </c>
      <c r="X98" s="371">
        <f>R98/'2018'!R98-1</f>
        <v>-0.17026896414097681</v>
      </c>
      <c r="Y98" s="372">
        <f>S98/'2018'!S98-1</f>
        <v>-0.25496897349660974</v>
      </c>
      <c r="Z98" s="373"/>
      <c r="AA98" s="374">
        <f t="shared" si="30"/>
        <v>366.90096599999998</v>
      </c>
      <c r="AB98" s="375"/>
      <c r="AC98" s="365"/>
      <c r="AD98" s="375">
        <f t="shared" si="32"/>
        <v>4025107.71</v>
      </c>
      <c r="AE98" s="348">
        <f t="shared" si="37"/>
        <v>65815.92</v>
      </c>
      <c r="AF98" s="348">
        <f t="shared" si="37"/>
        <v>246781.78</v>
      </c>
      <c r="AG98" s="365">
        <f t="shared" si="35"/>
        <v>43500.350000000297</v>
      </c>
      <c r="AH98" s="357"/>
      <c r="AI98" s="358"/>
      <c r="AJ98" s="358"/>
      <c r="AK98" s="358"/>
      <c r="AL98" s="358"/>
      <c r="AM98" s="358"/>
      <c r="AN98" s="358"/>
      <c r="AO98" s="358"/>
      <c r="AP98" s="358"/>
      <c r="AQ98" s="358"/>
      <c r="AR98" s="358"/>
      <c r="AS98" s="358"/>
      <c r="AT98" s="358"/>
      <c r="AU98" s="358"/>
      <c r="AV98" s="358"/>
      <c r="AW98" s="358"/>
      <c r="AX98" s="358"/>
      <c r="AY98" s="358"/>
      <c r="AZ98" s="358"/>
      <c r="BA98" s="358"/>
      <c r="BB98" s="358"/>
      <c r="BC98" s="358"/>
    </row>
    <row r="99" spans="1:55" s="376" customFormat="1" x14ac:dyDescent="0.15">
      <c r="A99" s="377">
        <v>42829</v>
      </c>
      <c r="B99" s="182" t="s">
        <v>37</v>
      </c>
      <c r="C99" s="361"/>
      <c r="D99" s="348"/>
      <c r="E99" s="348"/>
      <c r="F99" s="362"/>
      <c r="G99" s="348"/>
      <c r="H99" s="363"/>
      <c r="I99" s="363"/>
      <c r="J99" s="364">
        <f t="shared" si="29"/>
        <v>0</v>
      </c>
      <c r="K99" s="348"/>
      <c r="L99" s="348"/>
      <c r="M99" s="365">
        <f t="shared" si="31"/>
        <v>0</v>
      </c>
      <c r="N99" s="366">
        <f t="shared" si="38"/>
        <v>0</v>
      </c>
      <c r="O99" s="349">
        <f t="shared" si="38"/>
        <v>0</v>
      </c>
      <c r="P99" s="353">
        <f t="shared" si="38"/>
        <v>0</v>
      </c>
      <c r="Q99" s="368">
        <f t="shared" si="39"/>
        <v>3669009.6599999997</v>
      </c>
      <c r="R99" s="367">
        <f t="shared" si="39"/>
        <v>2415703</v>
      </c>
      <c r="S99" s="369">
        <f t="shared" si="39"/>
        <v>6440810.71</v>
      </c>
      <c r="T99" s="370">
        <f>N99/'2018'!N99-1</f>
        <v>-1</v>
      </c>
      <c r="U99" s="371">
        <f>O99/'2018'!O99-1</f>
        <v>-1</v>
      </c>
      <c r="V99" s="371">
        <f>P99/'2018'!P99-1</f>
        <v>-1</v>
      </c>
      <c r="W99" s="371">
        <f>Q99/'2018'!Q99-1</f>
        <v>-0.35269204331824966</v>
      </c>
      <c r="X99" s="371">
        <f>R99/'2018'!R99-1</f>
        <v>-0.17863850754956656</v>
      </c>
      <c r="Y99" s="372">
        <f>S99/'2018'!S99-1</f>
        <v>-0.26357603828365528</v>
      </c>
      <c r="Z99" s="373"/>
      <c r="AA99" s="374">
        <f t="shared" si="30"/>
        <v>366.90096599999998</v>
      </c>
      <c r="AB99" s="375"/>
      <c r="AC99" s="365"/>
      <c r="AD99" s="375">
        <f t="shared" si="32"/>
        <v>4025107.71</v>
      </c>
      <c r="AE99" s="348">
        <f t="shared" si="37"/>
        <v>65815.92</v>
      </c>
      <c r="AF99" s="348">
        <f t="shared" si="37"/>
        <v>246781.78</v>
      </c>
      <c r="AG99" s="365">
        <f t="shared" si="35"/>
        <v>43500.350000000297</v>
      </c>
      <c r="AH99" s="357"/>
      <c r="AI99" s="358"/>
      <c r="AJ99" s="358"/>
      <c r="AK99" s="358"/>
      <c r="AL99" s="358"/>
      <c r="AM99" s="358"/>
      <c r="AN99" s="358"/>
      <c r="AO99" s="358"/>
      <c r="AP99" s="358"/>
      <c r="AQ99" s="358"/>
      <c r="AR99" s="358"/>
      <c r="AS99" s="358"/>
      <c r="AT99" s="358"/>
      <c r="AU99" s="358"/>
      <c r="AV99" s="358"/>
      <c r="AW99" s="358"/>
      <c r="AX99" s="358"/>
      <c r="AY99" s="358"/>
      <c r="AZ99" s="358"/>
      <c r="BA99" s="358"/>
      <c r="BB99" s="358"/>
      <c r="BC99" s="358"/>
    </row>
    <row r="100" spans="1:55" s="376" customFormat="1" x14ac:dyDescent="0.15">
      <c r="A100" s="377">
        <v>42830</v>
      </c>
      <c r="B100" s="457" t="s">
        <v>38</v>
      </c>
      <c r="C100" s="361"/>
      <c r="D100" s="348"/>
      <c r="E100" s="348"/>
      <c r="F100" s="362"/>
      <c r="G100" s="348"/>
      <c r="H100" s="363"/>
      <c r="I100" s="363"/>
      <c r="J100" s="364">
        <f t="shared" si="29"/>
        <v>0</v>
      </c>
      <c r="K100" s="348"/>
      <c r="L100" s="348"/>
      <c r="M100" s="365">
        <f t="shared" si="31"/>
        <v>0</v>
      </c>
      <c r="N100" s="366">
        <f t="shared" si="38"/>
        <v>0</v>
      </c>
      <c r="O100" s="349">
        <f t="shared" si="38"/>
        <v>0</v>
      </c>
      <c r="P100" s="353">
        <f t="shared" si="38"/>
        <v>0</v>
      </c>
      <c r="Q100" s="368">
        <f t="shared" si="39"/>
        <v>3669009.6599999997</v>
      </c>
      <c r="R100" s="367">
        <f t="shared" si="39"/>
        <v>2415703</v>
      </c>
      <c r="S100" s="369">
        <f t="shared" si="39"/>
        <v>6440810.71</v>
      </c>
      <c r="T100" s="370">
        <f>N100/'2018'!N100-1</f>
        <v>-1</v>
      </c>
      <c r="U100" s="371">
        <f>O100/'2018'!O100-1</f>
        <v>-1</v>
      </c>
      <c r="V100" s="371">
        <f>P100/'2018'!P100-1</f>
        <v>-1</v>
      </c>
      <c r="W100" s="371">
        <f>Q100/'2018'!Q100-1</f>
        <v>-0.35889015283553716</v>
      </c>
      <c r="X100" s="371">
        <f>R100/'2018'!R100-1</f>
        <v>-0.18579832077221159</v>
      </c>
      <c r="Y100" s="372">
        <f>S100/'2018'!S100-1</f>
        <v>-0.27036742832996086</v>
      </c>
      <c r="Z100" s="373"/>
      <c r="AA100" s="374">
        <f t="shared" si="30"/>
        <v>366.90096599999998</v>
      </c>
      <c r="AB100" s="375"/>
      <c r="AC100" s="365"/>
      <c r="AD100" s="375">
        <f t="shared" si="32"/>
        <v>4025107.71</v>
      </c>
      <c r="AE100" s="348">
        <f t="shared" si="37"/>
        <v>65815.92</v>
      </c>
      <c r="AF100" s="348">
        <f t="shared" si="37"/>
        <v>246781.78</v>
      </c>
      <c r="AG100" s="365">
        <f t="shared" si="35"/>
        <v>43500.350000000297</v>
      </c>
      <c r="AH100" s="357"/>
      <c r="AI100" s="358"/>
      <c r="AJ100" s="358"/>
      <c r="AK100" s="358"/>
      <c r="AL100" s="358"/>
      <c r="AM100" s="358"/>
      <c r="AN100" s="358"/>
      <c r="AO100" s="358"/>
      <c r="AP100" s="358"/>
      <c r="AQ100" s="358"/>
      <c r="AR100" s="358"/>
      <c r="AS100" s="358"/>
      <c r="AT100" s="358"/>
      <c r="AU100" s="358"/>
      <c r="AV100" s="358"/>
      <c r="AW100" s="358"/>
      <c r="AX100" s="358"/>
      <c r="AY100" s="358"/>
      <c r="AZ100" s="358"/>
      <c r="BA100" s="358"/>
      <c r="BB100" s="358"/>
      <c r="BC100" s="358"/>
    </row>
    <row r="101" spans="1:55" s="376" customFormat="1" x14ac:dyDescent="0.15">
      <c r="A101" s="377">
        <v>42831</v>
      </c>
      <c r="B101" s="457" t="s">
        <v>39</v>
      </c>
      <c r="C101" s="361"/>
      <c r="D101" s="348"/>
      <c r="E101" s="348"/>
      <c r="F101" s="362"/>
      <c r="G101" s="348"/>
      <c r="H101" s="363"/>
      <c r="I101" s="363"/>
      <c r="J101" s="364">
        <f t="shared" si="29"/>
        <v>0</v>
      </c>
      <c r="K101" s="348"/>
      <c r="L101" s="348"/>
      <c r="M101" s="365">
        <f t="shared" si="31"/>
        <v>0</v>
      </c>
      <c r="N101" s="366">
        <f t="shared" si="38"/>
        <v>0</v>
      </c>
      <c r="O101" s="349">
        <f t="shared" si="38"/>
        <v>0</v>
      </c>
      <c r="P101" s="353">
        <f t="shared" si="38"/>
        <v>0</v>
      </c>
      <c r="Q101" s="368">
        <f t="shared" si="39"/>
        <v>3669009.6599999997</v>
      </c>
      <c r="R101" s="367">
        <f t="shared" si="39"/>
        <v>2415703</v>
      </c>
      <c r="S101" s="369">
        <f t="shared" si="39"/>
        <v>6440810.71</v>
      </c>
      <c r="T101" s="370">
        <f>N101/'2018'!N101-1</f>
        <v>-1</v>
      </c>
      <c r="U101" s="371">
        <f>O101/'2018'!O101-1</f>
        <v>-1</v>
      </c>
      <c r="V101" s="371">
        <f>P101/'2018'!P101-1</f>
        <v>-1</v>
      </c>
      <c r="W101" s="371">
        <f>Q101/'2018'!Q101-1</f>
        <v>-0.36579625298063312</v>
      </c>
      <c r="X101" s="371">
        <f>R101/'2018'!R101-1</f>
        <v>-0.19334999590948787</v>
      </c>
      <c r="Y101" s="372">
        <f>S101/'2018'!S101-1</f>
        <v>-0.27783234671019419</v>
      </c>
      <c r="Z101" s="373"/>
      <c r="AA101" s="374">
        <f t="shared" si="30"/>
        <v>366.90096599999998</v>
      </c>
      <c r="AB101" s="375"/>
      <c r="AC101" s="365"/>
      <c r="AD101" s="375">
        <f t="shared" si="32"/>
        <v>4025107.71</v>
      </c>
      <c r="AE101" s="348">
        <f t="shared" si="37"/>
        <v>65815.92</v>
      </c>
      <c r="AF101" s="348">
        <f t="shared" si="37"/>
        <v>246781.78</v>
      </c>
      <c r="AG101" s="365">
        <f t="shared" si="35"/>
        <v>43500.350000000297</v>
      </c>
      <c r="AH101" s="357"/>
      <c r="AI101" s="358"/>
      <c r="AJ101" s="358"/>
      <c r="AK101" s="358"/>
      <c r="AL101" s="358"/>
      <c r="AM101" s="358"/>
      <c r="AN101" s="358"/>
      <c r="AO101" s="358"/>
      <c r="AP101" s="358"/>
      <c r="AQ101" s="358"/>
      <c r="AR101" s="358"/>
      <c r="AS101" s="358"/>
      <c r="AT101" s="358"/>
      <c r="AU101" s="358"/>
      <c r="AV101" s="358"/>
      <c r="AW101" s="358"/>
      <c r="AX101" s="358"/>
      <c r="AY101" s="358"/>
      <c r="AZ101" s="358"/>
      <c r="BA101" s="358"/>
      <c r="BB101" s="358"/>
      <c r="BC101" s="358"/>
    </row>
    <row r="102" spans="1:55" s="376" customFormat="1" x14ac:dyDescent="0.15">
      <c r="A102" s="377">
        <v>42832</v>
      </c>
      <c r="B102" s="457" t="s">
        <v>1</v>
      </c>
      <c r="C102" s="361"/>
      <c r="D102" s="348"/>
      <c r="E102" s="348"/>
      <c r="F102" s="362"/>
      <c r="G102" s="348"/>
      <c r="H102" s="363"/>
      <c r="I102" s="363"/>
      <c r="J102" s="364">
        <f t="shared" si="29"/>
        <v>0</v>
      </c>
      <c r="K102" s="348"/>
      <c r="L102" s="348"/>
      <c r="M102" s="365">
        <f t="shared" si="31"/>
        <v>0</v>
      </c>
      <c r="N102" s="366">
        <f t="shared" si="38"/>
        <v>0</v>
      </c>
      <c r="O102" s="349">
        <f t="shared" si="38"/>
        <v>0</v>
      </c>
      <c r="P102" s="353">
        <f t="shared" si="38"/>
        <v>0</v>
      </c>
      <c r="Q102" s="368">
        <f t="shared" si="39"/>
        <v>3669009.6599999997</v>
      </c>
      <c r="R102" s="367">
        <f t="shared" si="39"/>
        <v>2415703</v>
      </c>
      <c r="S102" s="369">
        <f t="shared" si="39"/>
        <v>6440810.71</v>
      </c>
      <c r="T102" s="370">
        <f>N102/'2018'!N102-1</f>
        <v>-1</v>
      </c>
      <c r="U102" s="371">
        <f>O102/'2018'!O102-1</f>
        <v>-1</v>
      </c>
      <c r="V102" s="371">
        <f>P102/'2018'!P102-1</f>
        <v>-1</v>
      </c>
      <c r="W102" s="371">
        <f>Q102/'2018'!Q102-1</f>
        <v>-0.37309965930986511</v>
      </c>
      <c r="X102" s="371">
        <f>R102/'2018'!R102-1</f>
        <v>-0.20098995491785654</v>
      </c>
      <c r="Y102" s="372">
        <f>S102/'2018'!S102-1</f>
        <v>-0.28564999565171978</v>
      </c>
      <c r="Z102" s="373"/>
      <c r="AA102" s="374">
        <f t="shared" si="30"/>
        <v>366.90096599999998</v>
      </c>
      <c r="AB102" s="375"/>
      <c r="AC102" s="365"/>
      <c r="AD102" s="375">
        <f t="shared" si="32"/>
        <v>4025107.71</v>
      </c>
      <c r="AE102" s="348">
        <f t="shared" si="37"/>
        <v>65815.92</v>
      </c>
      <c r="AF102" s="348">
        <f t="shared" si="37"/>
        <v>246781.78</v>
      </c>
      <c r="AG102" s="365">
        <f t="shared" si="35"/>
        <v>43500.350000000297</v>
      </c>
      <c r="AH102" s="357"/>
      <c r="AI102" s="358"/>
      <c r="AJ102" s="358"/>
      <c r="AK102" s="358"/>
      <c r="AL102" s="358"/>
      <c r="AM102" s="358"/>
      <c r="AN102" s="358"/>
      <c r="AO102" s="358"/>
      <c r="AP102" s="358"/>
      <c r="AQ102" s="358"/>
      <c r="AR102" s="358"/>
      <c r="AS102" s="358"/>
      <c r="AT102" s="358"/>
      <c r="AU102" s="358"/>
      <c r="AV102" s="358"/>
      <c r="AW102" s="358"/>
      <c r="AX102" s="358"/>
      <c r="AY102" s="358"/>
      <c r="AZ102" s="358"/>
      <c r="BA102" s="358"/>
      <c r="BB102" s="358"/>
      <c r="BC102" s="358"/>
    </row>
    <row r="103" spans="1:55" s="376" customFormat="1" x14ac:dyDescent="0.15">
      <c r="A103" s="377">
        <v>42833</v>
      </c>
      <c r="B103" s="457" t="s">
        <v>34</v>
      </c>
      <c r="C103" s="361"/>
      <c r="D103" s="348"/>
      <c r="E103" s="348"/>
      <c r="F103" s="362"/>
      <c r="G103" s="348"/>
      <c r="H103" s="363"/>
      <c r="I103" s="363"/>
      <c r="J103" s="364">
        <f t="shared" si="29"/>
        <v>0</v>
      </c>
      <c r="K103" s="348"/>
      <c r="L103" s="348"/>
      <c r="M103" s="365">
        <f t="shared" si="31"/>
        <v>0</v>
      </c>
      <c r="N103" s="366">
        <f t="shared" si="38"/>
        <v>0</v>
      </c>
      <c r="O103" s="349">
        <f t="shared" si="38"/>
        <v>0</v>
      </c>
      <c r="P103" s="353">
        <f t="shared" si="38"/>
        <v>0</v>
      </c>
      <c r="Q103" s="368">
        <f t="shared" si="39"/>
        <v>3669009.6599999997</v>
      </c>
      <c r="R103" s="367">
        <f t="shared" si="39"/>
        <v>2415703</v>
      </c>
      <c r="S103" s="369">
        <f t="shared" si="39"/>
        <v>6440810.71</v>
      </c>
      <c r="T103" s="370">
        <f>N103/'2018'!N103-1</f>
        <v>-1</v>
      </c>
      <c r="U103" s="371">
        <f>O103/'2018'!O103-1</f>
        <v>-1</v>
      </c>
      <c r="V103" s="371">
        <f>P103/'2018'!P103-1</f>
        <v>-1</v>
      </c>
      <c r="W103" s="371">
        <f>Q103/'2018'!Q103-1</f>
        <v>-0.38014860952866025</v>
      </c>
      <c r="X103" s="371">
        <f>R103/'2018'!R103-1</f>
        <v>-0.20889998690070732</v>
      </c>
      <c r="Y103" s="372">
        <f>S103/'2018'!S103-1</f>
        <v>-0.29338750110480694</v>
      </c>
      <c r="Z103" s="373"/>
      <c r="AA103" s="374">
        <f t="shared" si="30"/>
        <v>366.90096599999998</v>
      </c>
      <c r="AB103" s="375"/>
      <c r="AC103" s="365"/>
      <c r="AD103" s="375">
        <f t="shared" si="32"/>
        <v>4025107.71</v>
      </c>
      <c r="AE103" s="348">
        <f t="shared" ref="AE103:AF118" si="40">AE102+K103</f>
        <v>65815.92</v>
      </c>
      <c r="AF103" s="348">
        <f t="shared" si="40"/>
        <v>246781.78</v>
      </c>
      <c r="AG103" s="365">
        <f t="shared" si="35"/>
        <v>43500.350000000297</v>
      </c>
      <c r="AH103" s="357"/>
      <c r="AI103" s="358"/>
      <c r="AJ103" s="358"/>
      <c r="AK103" s="358"/>
      <c r="AL103" s="358"/>
      <c r="AM103" s="358"/>
      <c r="AN103" s="358"/>
      <c r="AO103" s="358"/>
      <c r="AP103" s="358"/>
      <c r="AQ103" s="358"/>
      <c r="AR103" s="358"/>
      <c r="AS103" s="358"/>
      <c r="AT103" s="358"/>
      <c r="AU103" s="358"/>
      <c r="AV103" s="358"/>
      <c r="AW103" s="358"/>
      <c r="AX103" s="358"/>
      <c r="AY103" s="358"/>
      <c r="AZ103" s="358"/>
      <c r="BA103" s="358"/>
      <c r="BB103" s="358"/>
      <c r="BC103" s="358"/>
    </row>
    <row r="104" spans="1:55" s="376" customFormat="1" x14ac:dyDescent="0.15">
      <c r="A104" s="377">
        <v>42834</v>
      </c>
      <c r="B104" s="457" t="s">
        <v>35</v>
      </c>
      <c r="C104" s="361"/>
      <c r="D104" s="348"/>
      <c r="E104" s="348"/>
      <c r="F104" s="362"/>
      <c r="G104" s="348"/>
      <c r="H104" s="363"/>
      <c r="I104" s="363"/>
      <c r="J104" s="364">
        <f t="shared" si="29"/>
        <v>0</v>
      </c>
      <c r="K104" s="348"/>
      <c r="L104" s="348"/>
      <c r="M104" s="365">
        <f t="shared" si="31"/>
        <v>0</v>
      </c>
      <c r="N104" s="366">
        <f t="shared" si="38"/>
        <v>0</v>
      </c>
      <c r="O104" s="349">
        <f t="shared" si="38"/>
        <v>0</v>
      </c>
      <c r="P104" s="353">
        <f t="shared" si="38"/>
        <v>0</v>
      </c>
      <c r="Q104" s="368">
        <f t="shared" si="39"/>
        <v>3669009.6599999997</v>
      </c>
      <c r="R104" s="367">
        <f t="shared" si="39"/>
        <v>2415703</v>
      </c>
      <c r="S104" s="369">
        <f t="shared" si="39"/>
        <v>6440810.71</v>
      </c>
      <c r="T104" s="370">
        <f>N104/'2018'!N104-1</f>
        <v>-1</v>
      </c>
      <c r="U104" s="371">
        <f>O104/'2018'!O104-1</f>
        <v>-1</v>
      </c>
      <c r="V104" s="371">
        <f>P104/'2018'!P104-1</f>
        <v>-1</v>
      </c>
      <c r="W104" s="371">
        <f>Q104/'2018'!Q104-1</f>
        <v>-0.38720532173615085</v>
      </c>
      <c r="X104" s="371">
        <f>R104/'2018'!R104-1</f>
        <v>-0.21665951110430859</v>
      </c>
      <c r="Y104" s="372">
        <f>S104/'2018'!S104-1</f>
        <v>-0.30106629523291051</v>
      </c>
      <c r="Z104" s="373"/>
      <c r="AA104" s="374">
        <f t="shared" si="30"/>
        <v>366.90096599999998</v>
      </c>
      <c r="AB104" s="375"/>
      <c r="AC104" s="365"/>
      <c r="AD104" s="375">
        <f t="shared" si="32"/>
        <v>4025107.71</v>
      </c>
      <c r="AE104" s="348">
        <f t="shared" si="40"/>
        <v>65815.92</v>
      </c>
      <c r="AF104" s="348">
        <f t="shared" si="40"/>
        <v>246781.78</v>
      </c>
      <c r="AG104" s="365">
        <f t="shared" si="35"/>
        <v>43500.350000000297</v>
      </c>
      <c r="AH104" s="357"/>
      <c r="AI104" s="358"/>
      <c r="AJ104" s="358"/>
      <c r="AK104" s="358"/>
      <c r="AL104" s="358"/>
      <c r="AM104" s="358"/>
      <c r="AN104" s="358"/>
      <c r="AO104" s="358"/>
      <c r="AP104" s="358"/>
      <c r="AQ104" s="358"/>
      <c r="AR104" s="358"/>
      <c r="AS104" s="358"/>
      <c r="AT104" s="358"/>
      <c r="AU104" s="358"/>
      <c r="AV104" s="358"/>
      <c r="AW104" s="358"/>
      <c r="AX104" s="358"/>
      <c r="AY104" s="358"/>
      <c r="AZ104" s="358"/>
      <c r="BA104" s="358"/>
      <c r="BB104" s="358"/>
      <c r="BC104" s="358"/>
    </row>
    <row r="105" spans="1:55" s="376" customFormat="1" x14ac:dyDescent="0.15">
      <c r="A105" s="377">
        <v>42835</v>
      </c>
      <c r="B105" s="457" t="s">
        <v>36</v>
      </c>
      <c r="C105" s="361"/>
      <c r="D105" s="348"/>
      <c r="E105" s="348"/>
      <c r="F105" s="362"/>
      <c r="G105" s="348"/>
      <c r="H105" s="363"/>
      <c r="I105" s="363"/>
      <c r="J105" s="364">
        <f t="shared" si="29"/>
        <v>0</v>
      </c>
      <c r="K105" s="348"/>
      <c r="L105" s="348"/>
      <c r="M105" s="365">
        <f t="shared" si="31"/>
        <v>0</v>
      </c>
      <c r="N105" s="366">
        <f t="shared" si="38"/>
        <v>0</v>
      </c>
      <c r="O105" s="349">
        <f t="shared" si="38"/>
        <v>0</v>
      </c>
      <c r="P105" s="353">
        <f t="shared" si="38"/>
        <v>0</v>
      </c>
      <c r="Q105" s="368">
        <f t="shared" si="39"/>
        <v>3669009.6599999997</v>
      </c>
      <c r="R105" s="367">
        <f t="shared" si="39"/>
        <v>2415703</v>
      </c>
      <c r="S105" s="369">
        <f t="shared" si="39"/>
        <v>6440810.71</v>
      </c>
      <c r="T105" s="370">
        <f>N105/'2018'!N105-1</f>
        <v>-1</v>
      </c>
      <c r="U105" s="371">
        <f>O105/'2018'!O105-1</f>
        <v>-1</v>
      </c>
      <c r="V105" s="371">
        <f>P105/'2018'!P105-1</f>
        <v>-1</v>
      </c>
      <c r="W105" s="371">
        <f>Q105/'2018'!Q105-1</f>
        <v>-0.39416939860763023</v>
      </c>
      <c r="X105" s="371">
        <f>R105/'2018'!R105-1</f>
        <v>-0.22405874237735102</v>
      </c>
      <c r="Y105" s="372">
        <f>S105/'2018'!S105-1</f>
        <v>-0.30861383619746552</v>
      </c>
      <c r="Z105" s="373"/>
      <c r="AA105" s="374">
        <f t="shared" si="30"/>
        <v>366.90096599999998</v>
      </c>
      <c r="AB105" s="375"/>
      <c r="AC105" s="365"/>
      <c r="AD105" s="375">
        <f t="shared" si="32"/>
        <v>4025107.71</v>
      </c>
      <c r="AE105" s="348">
        <f t="shared" si="40"/>
        <v>65815.92</v>
      </c>
      <c r="AF105" s="348">
        <f t="shared" si="40"/>
        <v>246781.78</v>
      </c>
      <c r="AG105" s="365">
        <f t="shared" si="35"/>
        <v>43500.350000000297</v>
      </c>
      <c r="AH105" s="357"/>
      <c r="AI105" s="358"/>
      <c r="AJ105" s="358"/>
      <c r="AK105" s="358"/>
      <c r="AL105" s="358"/>
      <c r="AM105" s="358"/>
      <c r="AN105" s="358"/>
      <c r="AO105" s="358"/>
      <c r="AP105" s="358"/>
      <c r="AQ105" s="358"/>
      <c r="AR105" s="358"/>
      <c r="AS105" s="358"/>
      <c r="AT105" s="358"/>
      <c r="AU105" s="358"/>
      <c r="AV105" s="358"/>
      <c r="AW105" s="358"/>
      <c r="AX105" s="358"/>
      <c r="AY105" s="358"/>
      <c r="AZ105" s="358"/>
      <c r="BA105" s="358"/>
      <c r="BB105" s="358"/>
      <c r="BC105" s="358"/>
    </row>
    <row r="106" spans="1:55" s="376" customFormat="1" x14ac:dyDescent="0.15">
      <c r="A106" s="377">
        <v>42836</v>
      </c>
      <c r="B106" s="182" t="s">
        <v>37</v>
      </c>
      <c r="C106" s="361"/>
      <c r="D106" s="348"/>
      <c r="E106" s="348"/>
      <c r="F106" s="362"/>
      <c r="G106" s="348"/>
      <c r="H106" s="363"/>
      <c r="I106" s="363"/>
      <c r="J106" s="364">
        <f t="shared" si="29"/>
        <v>0</v>
      </c>
      <c r="K106" s="348"/>
      <c r="L106" s="348"/>
      <c r="M106" s="365">
        <f t="shared" si="31"/>
        <v>0</v>
      </c>
      <c r="N106" s="366">
        <f t="shared" si="38"/>
        <v>0</v>
      </c>
      <c r="O106" s="349">
        <f t="shared" si="38"/>
        <v>0</v>
      </c>
      <c r="P106" s="353">
        <f t="shared" si="38"/>
        <v>0</v>
      </c>
      <c r="Q106" s="368">
        <f t="shared" si="39"/>
        <v>3669009.6599999997</v>
      </c>
      <c r="R106" s="367">
        <f t="shared" si="39"/>
        <v>2415703</v>
      </c>
      <c r="S106" s="369">
        <f t="shared" si="39"/>
        <v>6440810.71</v>
      </c>
      <c r="T106" s="370">
        <f>N106/'2018'!N106-1</f>
        <v>-1</v>
      </c>
      <c r="U106" s="371">
        <f>O106/'2018'!O106-1</f>
        <v>-1</v>
      </c>
      <c r="V106" s="371">
        <f>P106/'2018'!P106-1</f>
        <v>-1</v>
      </c>
      <c r="W106" s="371">
        <f>Q106/'2018'!Q106-1</f>
        <v>-0.4012741322891521</v>
      </c>
      <c r="X106" s="371">
        <f>R106/'2018'!R106-1</f>
        <v>-0.23131191667109496</v>
      </c>
      <c r="Y106" s="372">
        <f>S106/'2018'!S106-1</f>
        <v>-0.31614724761186441</v>
      </c>
      <c r="Z106" s="373"/>
      <c r="AA106" s="374">
        <f t="shared" si="30"/>
        <v>366.90096599999998</v>
      </c>
      <c r="AB106" s="375"/>
      <c r="AC106" s="365"/>
      <c r="AD106" s="375">
        <f t="shared" si="32"/>
        <v>4025107.71</v>
      </c>
      <c r="AE106" s="348">
        <f t="shared" si="40"/>
        <v>65815.92</v>
      </c>
      <c r="AF106" s="348">
        <f t="shared" si="40"/>
        <v>246781.78</v>
      </c>
      <c r="AG106" s="365">
        <f t="shared" si="35"/>
        <v>43500.350000000297</v>
      </c>
      <c r="AH106" s="357"/>
      <c r="AI106" s="358"/>
      <c r="AJ106" s="358"/>
      <c r="AK106" s="358"/>
      <c r="AL106" s="358"/>
      <c r="AM106" s="358"/>
      <c r="AN106" s="358"/>
      <c r="AO106" s="358"/>
      <c r="AP106" s="358"/>
      <c r="AQ106" s="358"/>
      <c r="AR106" s="358"/>
      <c r="AS106" s="358"/>
      <c r="AT106" s="358"/>
      <c r="AU106" s="358"/>
      <c r="AV106" s="358"/>
      <c r="AW106" s="358"/>
      <c r="AX106" s="358"/>
      <c r="AY106" s="358"/>
      <c r="AZ106" s="358"/>
      <c r="BA106" s="358"/>
      <c r="BB106" s="358"/>
      <c r="BC106" s="358"/>
    </row>
    <row r="107" spans="1:55" s="376" customFormat="1" x14ac:dyDescent="0.15">
      <c r="A107" s="377">
        <v>42837</v>
      </c>
      <c r="B107" s="457" t="s">
        <v>38</v>
      </c>
      <c r="C107" s="361"/>
      <c r="D107" s="348"/>
      <c r="E107" s="348"/>
      <c r="F107" s="362"/>
      <c r="G107" s="348"/>
      <c r="H107" s="363"/>
      <c r="I107" s="363"/>
      <c r="J107" s="364">
        <f t="shared" si="29"/>
        <v>0</v>
      </c>
      <c r="K107" s="348"/>
      <c r="L107" s="348"/>
      <c r="M107" s="365">
        <f t="shared" si="31"/>
        <v>0</v>
      </c>
      <c r="N107" s="366">
        <f t="shared" si="38"/>
        <v>0</v>
      </c>
      <c r="O107" s="349">
        <f t="shared" si="38"/>
        <v>0</v>
      </c>
      <c r="P107" s="353">
        <f t="shared" si="38"/>
        <v>0</v>
      </c>
      <c r="Q107" s="368">
        <f t="shared" si="39"/>
        <v>3669009.6599999997</v>
      </c>
      <c r="R107" s="367">
        <f t="shared" si="39"/>
        <v>2415703</v>
      </c>
      <c r="S107" s="369">
        <f t="shared" si="39"/>
        <v>6440810.71</v>
      </c>
      <c r="T107" s="370">
        <f>N107/'2018'!N107-1</f>
        <v>-1</v>
      </c>
      <c r="U107" s="371">
        <f>O107/'2018'!O107-1</f>
        <v>-1</v>
      </c>
      <c r="V107" s="371">
        <f>P107/'2018'!P107-1</f>
        <v>-1</v>
      </c>
      <c r="W107" s="371">
        <f>Q107/'2018'!Q107-1</f>
        <v>-0.40831560636613318</v>
      </c>
      <c r="X107" s="371">
        <f>R107/'2018'!R107-1</f>
        <v>-0.23857141461258979</v>
      </c>
      <c r="Y107" s="372">
        <f>S107/'2018'!S107-1</f>
        <v>-0.32361807122870589</v>
      </c>
      <c r="Z107" s="373"/>
      <c r="AA107" s="374">
        <f t="shared" si="30"/>
        <v>366.90096599999998</v>
      </c>
      <c r="AB107" s="375"/>
      <c r="AC107" s="365"/>
      <c r="AD107" s="375">
        <f t="shared" si="32"/>
        <v>4025107.71</v>
      </c>
      <c r="AE107" s="348">
        <f t="shared" si="40"/>
        <v>65815.92</v>
      </c>
      <c r="AF107" s="348">
        <f t="shared" si="40"/>
        <v>246781.78</v>
      </c>
      <c r="AG107" s="365">
        <f t="shared" si="35"/>
        <v>43500.350000000297</v>
      </c>
      <c r="AH107" s="357"/>
      <c r="AI107" s="358"/>
      <c r="AJ107" s="358"/>
      <c r="AK107" s="358"/>
      <c r="AL107" s="358"/>
      <c r="AM107" s="358"/>
      <c r="AN107" s="358"/>
      <c r="AO107" s="358"/>
      <c r="AP107" s="358"/>
      <c r="AQ107" s="358"/>
      <c r="AR107" s="358"/>
      <c r="AS107" s="358"/>
      <c r="AT107" s="358"/>
      <c r="AU107" s="358"/>
      <c r="AV107" s="358"/>
      <c r="AW107" s="358"/>
      <c r="AX107" s="358"/>
      <c r="AY107" s="358"/>
      <c r="AZ107" s="358"/>
      <c r="BA107" s="358"/>
      <c r="BB107" s="358"/>
      <c r="BC107" s="358"/>
    </row>
    <row r="108" spans="1:55" s="376" customFormat="1" x14ac:dyDescent="0.15">
      <c r="A108" s="377">
        <v>42838</v>
      </c>
      <c r="B108" s="457" t="s">
        <v>39</v>
      </c>
      <c r="C108" s="361"/>
      <c r="D108" s="348"/>
      <c r="E108" s="348"/>
      <c r="F108" s="362"/>
      <c r="G108" s="348"/>
      <c r="H108" s="363"/>
      <c r="I108" s="363"/>
      <c r="J108" s="364">
        <f t="shared" si="29"/>
        <v>0</v>
      </c>
      <c r="K108" s="348"/>
      <c r="L108" s="348"/>
      <c r="M108" s="365">
        <f t="shared" si="31"/>
        <v>0</v>
      </c>
      <c r="N108" s="366">
        <f t="shared" si="38"/>
        <v>0</v>
      </c>
      <c r="O108" s="349">
        <f t="shared" si="38"/>
        <v>0</v>
      </c>
      <c r="P108" s="353">
        <f t="shared" si="38"/>
        <v>0</v>
      </c>
      <c r="Q108" s="368">
        <f t="shared" si="39"/>
        <v>3669009.6599999997</v>
      </c>
      <c r="R108" s="367">
        <f t="shared" si="39"/>
        <v>2415703</v>
      </c>
      <c r="S108" s="369">
        <f t="shared" si="39"/>
        <v>6440810.71</v>
      </c>
      <c r="T108" s="370">
        <f>N108/'2018'!N108-1</f>
        <v>-1</v>
      </c>
      <c r="U108" s="371">
        <f>O108/'2018'!O108-1</f>
        <v>-1</v>
      </c>
      <c r="V108" s="371">
        <f>P108/'2018'!P108-1</f>
        <v>-1</v>
      </c>
      <c r="W108" s="371">
        <f>Q108/'2018'!Q108-1</f>
        <v>-0.41516131247912569</v>
      </c>
      <c r="X108" s="371">
        <f>R108/'2018'!R108-1</f>
        <v>-0.24572946397431417</v>
      </c>
      <c r="Y108" s="372">
        <f>S108/'2018'!S108-1</f>
        <v>-0.33090553288896074</v>
      </c>
      <c r="Z108" s="373"/>
      <c r="AA108" s="374">
        <f t="shared" si="30"/>
        <v>366.90096599999998</v>
      </c>
      <c r="AB108" s="375"/>
      <c r="AC108" s="365"/>
      <c r="AD108" s="375">
        <f t="shared" si="32"/>
        <v>4025107.71</v>
      </c>
      <c r="AE108" s="348">
        <f t="shared" si="40"/>
        <v>65815.92</v>
      </c>
      <c r="AF108" s="348">
        <f t="shared" si="40"/>
        <v>246781.78</v>
      </c>
      <c r="AG108" s="365">
        <f t="shared" si="35"/>
        <v>43500.350000000297</v>
      </c>
      <c r="AH108" s="357"/>
      <c r="AI108" s="358"/>
      <c r="AJ108" s="358"/>
      <c r="AK108" s="358"/>
      <c r="AL108" s="358"/>
      <c r="AM108" s="358"/>
      <c r="AN108" s="358"/>
      <c r="AO108" s="358"/>
      <c r="AP108" s="358"/>
      <c r="AQ108" s="358"/>
      <c r="AR108" s="358"/>
      <c r="AS108" s="358"/>
      <c r="AT108" s="358"/>
      <c r="AU108" s="358"/>
      <c r="AV108" s="358"/>
      <c r="AW108" s="358"/>
      <c r="AX108" s="358"/>
      <c r="AY108" s="358"/>
      <c r="AZ108" s="358"/>
      <c r="BA108" s="358"/>
      <c r="BB108" s="358"/>
      <c r="BC108" s="358"/>
    </row>
    <row r="109" spans="1:55" s="376" customFormat="1" x14ac:dyDescent="0.15">
      <c r="A109" s="377">
        <v>42839</v>
      </c>
      <c r="B109" s="457" t="s">
        <v>1</v>
      </c>
      <c r="C109" s="361"/>
      <c r="D109" s="348"/>
      <c r="E109" s="348"/>
      <c r="F109" s="362"/>
      <c r="G109" s="348"/>
      <c r="H109" s="363"/>
      <c r="I109" s="363"/>
      <c r="J109" s="364">
        <f t="shared" si="29"/>
        <v>0</v>
      </c>
      <c r="K109" s="348"/>
      <c r="L109" s="348"/>
      <c r="M109" s="365">
        <f t="shared" si="31"/>
        <v>0</v>
      </c>
      <c r="N109" s="366">
        <f t="shared" si="38"/>
        <v>0</v>
      </c>
      <c r="O109" s="349">
        <f t="shared" si="38"/>
        <v>0</v>
      </c>
      <c r="P109" s="353">
        <f t="shared" si="38"/>
        <v>0</v>
      </c>
      <c r="Q109" s="368">
        <f t="shared" si="39"/>
        <v>3669009.6599999997</v>
      </c>
      <c r="R109" s="367">
        <f t="shared" si="39"/>
        <v>2415703</v>
      </c>
      <c r="S109" s="369">
        <f t="shared" si="39"/>
        <v>6440810.71</v>
      </c>
      <c r="T109" s="370">
        <f>N109/'2018'!N109-1</f>
        <v>-1</v>
      </c>
      <c r="U109" s="371">
        <f>O109/'2018'!O109-1</f>
        <v>-1</v>
      </c>
      <c r="V109" s="371">
        <f>P109/'2018'!P109-1</f>
        <v>-1</v>
      </c>
      <c r="W109" s="371">
        <f>Q109/'2018'!Q109-1</f>
        <v>-0.4214706392076657</v>
      </c>
      <c r="X109" s="371">
        <f>R109/'2018'!R109-1</f>
        <v>-0.25306702228675548</v>
      </c>
      <c r="Y109" s="372">
        <f>S109/'2018'!S109-1</f>
        <v>-0.3378635587868356</v>
      </c>
      <c r="Z109" s="373"/>
      <c r="AA109" s="374">
        <f t="shared" si="30"/>
        <v>366.90096599999998</v>
      </c>
      <c r="AB109" s="375"/>
      <c r="AC109" s="365"/>
      <c r="AD109" s="375">
        <f t="shared" si="32"/>
        <v>4025107.71</v>
      </c>
      <c r="AE109" s="348">
        <f t="shared" si="40"/>
        <v>65815.92</v>
      </c>
      <c r="AF109" s="348">
        <f t="shared" si="40"/>
        <v>246781.78</v>
      </c>
      <c r="AG109" s="365">
        <f t="shared" si="35"/>
        <v>43500.350000000297</v>
      </c>
      <c r="AH109" s="357"/>
      <c r="AI109" s="358"/>
      <c r="AJ109" s="358"/>
      <c r="AK109" s="358"/>
      <c r="AL109" s="358"/>
      <c r="AM109" s="358"/>
      <c r="AN109" s="358"/>
      <c r="AO109" s="358"/>
      <c r="AP109" s="358"/>
      <c r="AQ109" s="358"/>
      <c r="AR109" s="358"/>
      <c r="AS109" s="358"/>
      <c r="AT109" s="358"/>
      <c r="AU109" s="358"/>
      <c r="AV109" s="358"/>
      <c r="AW109" s="358"/>
      <c r="AX109" s="358"/>
      <c r="AY109" s="358"/>
      <c r="AZ109" s="358"/>
      <c r="BA109" s="358"/>
      <c r="BB109" s="358"/>
      <c r="BC109" s="358"/>
    </row>
    <row r="110" spans="1:55" s="376" customFormat="1" x14ac:dyDescent="0.15">
      <c r="A110" s="377">
        <v>42840</v>
      </c>
      <c r="B110" s="457" t="s">
        <v>34</v>
      </c>
      <c r="C110" s="361"/>
      <c r="D110" s="348"/>
      <c r="E110" s="348"/>
      <c r="F110" s="362"/>
      <c r="G110" s="348"/>
      <c r="H110" s="363"/>
      <c r="I110" s="363"/>
      <c r="J110" s="364">
        <f t="shared" si="29"/>
        <v>0</v>
      </c>
      <c r="K110" s="348"/>
      <c r="L110" s="348"/>
      <c r="M110" s="365">
        <f t="shared" si="31"/>
        <v>0</v>
      </c>
      <c r="N110" s="366">
        <f t="shared" si="38"/>
        <v>0</v>
      </c>
      <c r="O110" s="349">
        <f t="shared" si="38"/>
        <v>0</v>
      </c>
      <c r="P110" s="353">
        <f t="shared" si="38"/>
        <v>0</v>
      </c>
      <c r="Q110" s="368">
        <f t="shared" si="39"/>
        <v>3669009.6599999997</v>
      </c>
      <c r="R110" s="367">
        <f t="shared" si="39"/>
        <v>2415703</v>
      </c>
      <c r="S110" s="369">
        <f t="shared" si="39"/>
        <v>6440810.71</v>
      </c>
      <c r="T110" s="370">
        <f>N110/'2018'!N110-1</f>
        <v>-1</v>
      </c>
      <c r="U110" s="371">
        <f>O110/'2018'!O110-1</f>
        <v>-1</v>
      </c>
      <c r="V110" s="371">
        <f>P110/'2018'!P110-1</f>
        <v>-1</v>
      </c>
      <c r="W110" s="371">
        <f>Q110/'2018'!Q110-1</f>
        <v>-0.42697647109738002</v>
      </c>
      <c r="X110" s="371">
        <f>R110/'2018'!R110-1</f>
        <v>-0.26011003540943523</v>
      </c>
      <c r="Y110" s="372">
        <f>S110/'2018'!S110-1</f>
        <v>-0.34413576863127138</v>
      </c>
      <c r="Z110" s="373"/>
      <c r="AA110" s="374">
        <f t="shared" si="30"/>
        <v>366.90096599999998</v>
      </c>
      <c r="AB110" s="375"/>
      <c r="AC110" s="365"/>
      <c r="AD110" s="375">
        <f t="shared" si="32"/>
        <v>4025107.71</v>
      </c>
      <c r="AE110" s="348">
        <f t="shared" si="40"/>
        <v>65815.92</v>
      </c>
      <c r="AF110" s="348">
        <f t="shared" si="40"/>
        <v>246781.78</v>
      </c>
      <c r="AG110" s="365">
        <f t="shared" si="35"/>
        <v>43500.350000000297</v>
      </c>
      <c r="AH110" s="357"/>
      <c r="AI110" s="358"/>
      <c r="AJ110" s="358"/>
      <c r="AK110" s="358"/>
      <c r="AL110" s="358"/>
      <c r="AM110" s="358"/>
      <c r="AN110" s="358"/>
      <c r="AO110" s="358"/>
      <c r="AP110" s="358"/>
      <c r="AQ110" s="358"/>
      <c r="AR110" s="358"/>
      <c r="AS110" s="358"/>
      <c r="AT110" s="358"/>
      <c r="AU110" s="358"/>
      <c r="AV110" s="358"/>
      <c r="AW110" s="358"/>
      <c r="AX110" s="358"/>
      <c r="AY110" s="358"/>
      <c r="AZ110" s="358"/>
      <c r="BA110" s="358"/>
      <c r="BB110" s="358"/>
      <c r="BC110" s="358"/>
    </row>
    <row r="111" spans="1:55" s="376" customFormat="1" x14ac:dyDescent="0.15">
      <c r="A111" s="377">
        <v>42841</v>
      </c>
      <c r="B111" s="457" t="s">
        <v>35</v>
      </c>
      <c r="C111" s="361"/>
      <c r="D111" s="348"/>
      <c r="E111" s="348"/>
      <c r="F111" s="362"/>
      <c r="G111" s="348"/>
      <c r="H111" s="363"/>
      <c r="I111" s="363"/>
      <c r="J111" s="364">
        <f t="shared" si="29"/>
        <v>0</v>
      </c>
      <c r="K111" s="348"/>
      <c r="L111" s="348"/>
      <c r="M111" s="365">
        <f t="shared" si="31"/>
        <v>0</v>
      </c>
      <c r="N111" s="366">
        <f t="shared" si="38"/>
        <v>0</v>
      </c>
      <c r="O111" s="349">
        <f t="shared" si="38"/>
        <v>0</v>
      </c>
      <c r="P111" s="353">
        <f t="shared" si="38"/>
        <v>0</v>
      </c>
      <c r="Q111" s="368">
        <f t="shared" si="39"/>
        <v>3669009.6599999997</v>
      </c>
      <c r="R111" s="367">
        <f t="shared" si="39"/>
        <v>2415703</v>
      </c>
      <c r="S111" s="369">
        <f t="shared" si="39"/>
        <v>6440810.71</v>
      </c>
      <c r="T111" s="370">
        <f>N111/'2018'!N111-1</f>
        <v>-1</v>
      </c>
      <c r="U111" s="371">
        <f>O111/'2018'!O111-1</f>
        <v>-1</v>
      </c>
      <c r="V111" s="371">
        <f>P111/'2018'!P111-1</f>
        <v>-1</v>
      </c>
      <c r="W111" s="371">
        <f>Q111/'2018'!Q111-1</f>
        <v>-0.43306910776669638</v>
      </c>
      <c r="X111" s="371">
        <f>R111/'2018'!R111-1</f>
        <v>-0.26691981678025345</v>
      </c>
      <c r="Y111" s="372">
        <f>S111/'2018'!S111-1</f>
        <v>-0.35076592372721682</v>
      </c>
      <c r="Z111" s="373"/>
      <c r="AA111" s="374">
        <f t="shared" si="30"/>
        <v>366.90096599999998</v>
      </c>
      <c r="AB111" s="375"/>
      <c r="AC111" s="365"/>
      <c r="AD111" s="375">
        <f t="shared" si="32"/>
        <v>4025107.71</v>
      </c>
      <c r="AE111" s="348">
        <f t="shared" si="40"/>
        <v>65815.92</v>
      </c>
      <c r="AF111" s="348">
        <f t="shared" si="40"/>
        <v>246781.78</v>
      </c>
      <c r="AG111" s="365">
        <f t="shared" si="35"/>
        <v>43500.350000000297</v>
      </c>
      <c r="AH111" s="357"/>
      <c r="AI111" s="358"/>
      <c r="AJ111" s="358"/>
      <c r="AK111" s="358"/>
      <c r="AL111" s="358"/>
      <c r="AM111" s="358"/>
      <c r="AN111" s="358"/>
      <c r="AO111" s="358"/>
      <c r="AP111" s="358"/>
      <c r="AQ111" s="358"/>
      <c r="AR111" s="358"/>
      <c r="AS111" s="358"/>
      <c r="AT111" s="358"/>
      <c r="AU111" s="358"/>
      <c r="AV111" s="358"/>
      <c r="AW111" s="358"/>
      <c r="AX111" s="358"/>
      <c r="AY111" s="358"/>
      <c r="AZ111" s="358"/>
      <c r="BA111" s="358"/>
      <c r="BB111" s="358"/>
      <c r="BC111" s="358"/>
    </row>
    <row r="112" spans="1:55" s="376" customFormat="1" x14ac:dyDescent="0.15">
      <c r="A112" s="377">
        <v>42842</v>
      </c>
      <c r="B112" s="457" t="s">
        <v>36</v>
      </c>
      <c r="C112" s="361"/>
      <c r="D112" s="348"/>
      <c r="E112" s="348"/>
      <c r="F112" s="362"/>
      <c r="G112" s="348"/>
      <c r="H112" s="363"/>
      <c r="I112" s="363"/>
      <c r="J112" s="364">
        <f t="shared" si="29"/>
        <v>0</v>
      </c>
      <c r="K112" s="348"/>
      <c r="L112" s="348"/>
      <c r="M112" s="365">
        <f t="shared" si="31"/>
        <v>0</v>
      </c>
      <c r="N112" s="366">
        <f t="shared" si="38"/>
        <v>0</v>
      </c>
      <c r="O112" s="349">
        <f t="shared" si="38"/>
        <v>0</v>
      </c>
      <c r="P112" s="353">
        <f t="shared" si="38"/>
        <v>0</v>
      </c>
      <c r="Q112" s="368">
        <f t="shared" si="39"/>
        <v>3669009.6599999997</v>
      </c>
      <c r="R112" s="367">
        <f t="shared" si="39"/>
        <v>2415703</v>
      </c>
      <c r="S112" s="369">
        <f t="shared" si="39"/>
        <v>6440810.71</v>
      </c>
      <c r="T112" s="370">
        <f>N112/'2018'!N112-1</f>
        <v>-1</v>
      </c>
      <c r="U112" s="371">
        <f>O112/'2018'!O112-1</f>
        <v>-1</v>
      </c>
      <c r="V112" s="371">
        <f>P112/'2018'!P112-1</f>
        <v>-1</v>
      </c>
      <c r="W112" s="371">
        <f>Q112/'2018'!Q112-1</f>
        <v>-0.43874024025923553</v>
      </c>
      <c r="X112" s="371">
        <f>R112/'2018'!R112-1</f>
        <v>-0.27407622655933539</v>
      </c>
      <c r="Y112" s="372">
        <f>S112/'2018'!S112-1</f>
        <v>-0.35724214053910552</v>
      </c>
      <c r="Z112" s="373"/>
      <c r="AA112" s="374">
        <f t="shared" si="30"/>
        <v>366.90096599999998</v>
      </c>
      <c r="AB112" s="375"/>
      <c r="AC112" s="365"/>
      <c r="AD112" s="375">
        <f t="shared" si="32"/>
        <v>4025107.71</v>
      </c>
      <c r="AE112" s="348">
        <f t="shared" si="40"/>
        <v>65815.92</v>
      </c>
      <c r="AF112" s="348">
        <f t="shared" si="40"/>
        <v>246781.78</v>
      </c>
      <c r="AG112" s="365">
        <f t="shared" si="35"/>
        <v>43500.350000000297</v>
      </c>
      <c r="AH112" s="357"/>
      <c r="AI112" s="358"/>
      <c r="AJ112" s="358"/>
      <c r="AK112" s="358"/>
      <c r="AL112" s="358"/>
      <c r="AM112" s="358"/>
      <c r="AN112" s="358"/>
      <c r="AO112" s="358"/>
      <c r="AP112" s="358"/>
      <c r="AQ112" s="358"/>
      <c r="AR112" s="358"/>
      <c r="AS112" s="358"/>
      <c r="AT112" s="358"/>
      <c r="AU112" s="358"/>
      <c r="AV112" s="358"/>
      <c r="AW112" s="358"/>
      <c r="AX112" s="358"/>
      <c r="AY112" s="358"/>
      <c r="AZ112" s="358"/>
      <c r="BA112" s="358"/>
      <c r="BB112" s="358"/>
      <c r="BC112" s="358"/>
    </row>
    <row r="113" spans="1:55" s="376" customFormat="1" ht="15" customHeight="1" x14ac:dyDescent="0.15">
      <c r="A113" s="377">
        <v>42843</v>
      </c>
      <c r="B113" s="182" t="s">
        <v>37</v>
      </c>
      <c r="C113" s="361"/>
      <c r="D113" s="348"/>
      <c r="E113" s="348"/>
      <c r="F113" s="362"/>
      <c r="G113" s="348"/>
      <c r="H113" s="363"/>
      <c r="I113" s="363"/>
      <c r="J113" s="364">
        <f t="shared" si="29"/>
        <v>0</v>
      </c>
      <c r="K113" s="348"/>
      <c r="L113" s="348"/>
      <c r="M113" s="365">
        <f t="shared" si="31"/>
        <v>0</v>
      </c>
      <c r="N113" s="366">
        <f t="shared" ref="N113:P124" si="41">N112+C113</f>
        <v>0</v>
      </c>
      <c r="O113" s="349">
        <f t="shared" si="41"/>
        <v>0</v>
      </c>
      <c r="P113" s="353">
        <f t="shared" si="41"/>
        <v>0</v>
      </c>
      <c r="Q113" s="368">
        <f t="shared" si="39"/>
        <v>3669009.6599999997</v>
      </c>
      <c r="R113" s="367">
        <f t="shared" si="39"/>
        <v>2415703</v>
      </c>
      <c r="S113" s="369">
        <f t="shared" si="39"/>
        <v>6440810.71</v>
      </c>
      <c r="T113" s="370">
        <f>N113/'2018'!N113-1</f>
        <v>-1</v>
      </c>
      <c r="U113" s="371">
        <f>O113/'2018'!O113-1</f>
        <v>-1</v>
      </c>
      <c r="V113" s="371">
        <f>P113/'2018'!P113-1</f>
        <v>-1</v>
      </c>
      <c r="W113" s="371">
        <f>Q113/'2018'!Q113-1</f>
        <v>-0.44430341389913008</v>
      </c>
      <c r="X113" s="371">
        <f>R113/'2018'!R113-1</f>
        <v>-0.2809825676364277</v>
      </c>
      <c r="Y113" s="372">
        <f>S113/'2018'!S113-1</f>
        <v>-0.3635809353152486</v>
      </c>
      <c r="Z113" s="373"/>
      <c r="AA113" s="374">
        <f t="shared" si="30"/>
        <v>366.90096599999998</v>
      </c>
      <c r="AB113" s="375"/>
      <c r="AC113" s="365"/>
      <c r="AD113" s="375">
        <f t="shared" si="32"/>
        <v>4025107.71</v>
      </c>
      <c r="AE113" s="348">
        <f t="shared" si="40"/>
        <v>65815.92</v>
      </c>
      <c r="AF113" s="348">
        <f t="shared" si="40"/>
        <v>246781.78</v>
      </c>
      <c r="AG113" s="365">
        <f t="shared" si="35"/>
        <v>43500.350000000297</v>
      </c>
      <c r="AH113" s="357"/>
      <c r="AI113" s="358"/>
      <c r="AJ113" s="358"/>
      <c r="AK113" s="358"/>
      <c r="AL113" s="358"/>
      <c r="AM113" s="358"/>
      <c r="AN113" s="358"/>
      <c r="AO113" s="358"/>
      <c r="AP113" s="358"/>
      <c r="AQ113" s="358"/>
      <c r="AR113" s="358"/>
      <c r="AS113" s="358"/>
      <c r="AT113" s="358"/>
      <c r="AU113" s="358"/>
      <c r="AV113" s="358"/>
      <c r="AW113" s="358"/>
      <c r="AX113" s="358"/>
      <c r="AY113" s="358"/>
      <c r="AZ113" s="358"/>
      <c r="BA113" s="358"/>
      <c r="BB113" s="358"/>
      <c r="BC113" s="358"/>
    </row>
    <row r="114" spans="1:55" s="376" customFormat="1" ht="15" customHeight="1" x14ac:dyDescent="0.15">
      <c r="A114" s="377">
        <v>42844</v>
      </c>
      <c r="B114" s="457" t="s">
        <v>38</v>
      </c>
      <c r="C114" s="361"/>
      <c r="D114" s="348"/>
      <c r="E114" s="348"/>
      <c r="F114" s="362"/>
      <c r="G114" s="348"/>
      <c r="H114" s="363"/>
      <c r="I114" s="363"/>
      <c r="J114" s="364">
        <f t="shared" si="29"/>
        <v>0</v>
      </c>
      <c r="K114" s="348"/>
      <c r="L114" s="348"/>
      <c r="M114" s="365">
        <f t="shared" si="31"/>
        <v>0</v>
      </c>
      <c r="N114" s="366">
        <f t="shared" si="41"/>
        <v>0</v>
      </c>
      <c r="O114" s="349">
        <f t="shared" si="41"/>
        <v>0</v>
      </c>
      <c r="P114" s="353">
        <f t="shared" si="41"/>
        <v>0</v>
      </c>
      <c r="Q114" s="368">
        <f t="shared" si="39"/>
        <v>3669009.6599999997</v>
      </c>
      <c r="R114" s="367">
        <f t="shared" si="39"/>
        <v>2415703</v>
      </c>
      <c r="S114" s="369">
        <f t="shared" si="39"/>
        <v>6440810.71</v>
      </c>
      <c r="T114" s="370">
        <f>N114/'2018'!N114-1</f>
        <v>-1</v>
      </c>
      <c r="U114" s="371">
        <f>O114/'2018'!O114-1</f>
        <v>-1</v>
      </c>
      <c r="V114" s="371">
        <f>P114/'2018'!P114-1</f>
        <v>-1</v>
      </c>
      <c r="W114" s="371">
        <f>Q114/'2018'!Q114-1</f>
        <v>-0.4497976530850023</v>
      </c>
      <c r="X114" s="371">
        <f>R114/'2018'!R114-1</f>
        <v>-0.28768060814078289</v>
      </c>
      <c r="Y114" s="372">
        <f>S114/'2018'!S114-1</f>
        <v>-0.36980727199732666</v>
      </c>
      <c r="Z114" s="373"/>
      <c r="AA114" s="374">
        <f t="shared" si="30"/>
        <v>366.90096599999998</v>
      </c>
      <c r="AB114" s="375"/>
      <c r="AC114" s="365"/>
      <c r="AD114" s="375">
        <f t="shared" si="32"/>
        <v>4025107.71</v>
      </c>
      <c r="AE114" s="348">
        <f t="shared" si="40"/>
        <v>65815.92</v>
      </c>
      <c r="AF114" s="348">
        <f t="shared" si="40"/>
        <v>246781.78</v>
      </c>
      <c r="AG114" s="365">
        <f t="shared" si="35"/>
        <v>43500.350000000297</v>
      </c>
      <c r="AH114" s="357"/>
      <c r="AI114" s="358"/>
      <c r="AJ114" s="358"/>
      <c r="AK114" s="358"/>
      <c r="AL114" s="358"/>
      <c r="AM114" s="358"/>
      <c r="AN114" s="358"/>
      <c r="AO114" s="358"/>
      <c r="AP114" s="358"/>
      <c r="AQ114" s="358"/>
      <c r="AR114" s="358"/>
      <c r="AS114" s="358"/>
      <c r="AT114" s="358"/>
      <c r="AU114" s="358"/>
      <c r="AV114" s="358"/>
      <c r="AW114" s="358"/>
      <c r="AX114" s="358"/>
      <c r="AY114" s="358"/>
      <c r="AZ114" s="358"/>
      <c r="BA114" s="358"/>
      <c r="BB114" s="358"/>
      <c r="BC114" s="358"/>
    </row>
    <row r="115" spans="1:55" s="376" customFormat="1" ht="15" customHeight="1" x14ac:dyDescent="0.15">
      <c r="A115" s="377">
        <v>42845</v>
      </c>
      <c r="B115" s="457" t="s">
        <v>39</v>
      </c>
      <c r="C115" s="361"/>
      <c r="D115" s="348"/>
      <c r="E115" s="348"/>
      <c r="F115" s="362"/>
      <c r="G115" s="348"/>
      <c r="H115" s="363"/>
      <c r="I115" s="363"/>
      <c r="J115" s="364">
        <f t="shared" si="29"/>
        <v>0</v>
      </c>
      <c r="K115" s="348"/>
      <c r="L115" s="348"/>
      <c r="M115" s="365">
        <f t="shared" si="31"/>
        <v>0</v>
      </c>
      <c r="N115" s="366">
        <f t="shared" si="41"/>
        <v>0</v>
      </c>
      <c r="O115" s="349">
        <f t="shared" si="41"/>
        <v>0</v>
      </c>
      <c r="P115" s="353">
        <f t="shared" si="41"/>
        <v>0</v>
      </c>
      <c r="Q115" s="368">
        <f t="shared" si="39"/>
        <v>3669009.6599999997</v>
      </c>
      <c r="R115" s="367">
        <f t="shared" si="39"/>
        <v>2415703</v>
      </c>
      <c r="S115" s="369">
        <f t="shared" si="39"/>
        <v>6440810.71</v>
      </c>
      <c r="T115" s="370">
        <f>N115/'2018'!N115-1</f>
        <v>-1</v>
      </c>
      <c r="U115" s="371">
        <f>O115/'2018'!O115-1</f>
        <v>-1</v>
      </c>
      <c r="V115" s="371">
        <f>P115/'2018'!P115-1</f>
        <v>-1</v>
      </c>
      <c r="W115" s="371">
        <f>Q115/'2018'!Q115-1</f>
        <v>-0.45502132949402396</v>
      </c>
      <c r="X115" s="371">
        <f>R115/'2018'!R115-1</f>
        <v>-0.29455446484238679</v>
      </c>
      <c r="Y115" s="372">
        <f>S115/'2018'!S115-1</f>
        <v>-0.37589227776766432</v>
      </c>
      <c r="Z115" s="373"/>
      <c r="AA115" s="374">
        <f t="shared" si="30"/>
        <v>366.90096599999998</v>
      </c>
      <c r="AB115" s="375"/>
      <c r="AC115" s="365"/>
      <c r="AD115" s="375">
        <f t="shared" si="32"/>
        <v>4025107.71</v>
      </c>
      <c r="AE115" s="348">
        <f t="shared" si="40"/>
        <v>65815.92</v>
      </c>
      <c r="AF115" s="348">
        <f t="shared" si="40"/>
        <v>246781.78</v>
      </c>
      <c r="AG115" s="365">
        <f t="shared" si="35"/>
        <v>43500.350000000297</v>
      </c>
      <c r="AH115" s="357"/>
      <c r="AI115" s="358"/>
      <c r="AJ115" s="358"/>
      <c r="AK115" s="358"/>
      <c r="AL115" s="358"/>
      <c r="AM115" s="358"/>
      <c r="AN115" s="358"/>
      <c r="AO115" s="358"/>
      <c r="AP115" s="358"/>
      <c r="AQ115" s="358"/>
      <c r="AR115" s="358"/>
      <c r="AS115" s="358"/>
      <c r="AT115" s="358"/>
      <c r="AU115" s="358"/>
      <c r="AV115" s="358"/>
      <c r="AW115" s="358"/>
      <c r="AX115" s="358"/>
      <c r="AY115" s="358"/>
      <c r="AZ115" s="358"/>
      <c r="BA115" s="358"/>
      <c r="BB115" s="358"/>
      <c r="BC115" s="358"/>
    </row>
    <row r="116" spans="1:55" s="376" customFormat="1" ht="15" customHeight="1" x14ac:dyDescent="0.15">
      <c r="A116" s="377">
        <v>42846</v>
      </c>
      <c r="B116" s="457" t="s">
        <v>1</v>
      </c>
      <c r="C116" s="361"/>
      <c r="D116" s="348"/>
      <c r="E116" s="348"/>
      <c r="F116" s="362"/>
      <c r="G116" s="348"/>
      <c r="H116" s="363"/>
      <c r="I116" s="363"/>
      <c r="J116" s="364">
        <f t="shared" si="29"/>
        <v>0</v>
      </c>
      <c r="K116" s="348"/>
      <c r="L116" s="348"/>
      <c r="M116" s="365">
        <f t="shared" si="31"/>
        <v>0</v>
      </c>
      <c r="N116" s="366">
        <f t="shared" si="41"/>
        <v>0</v>
      </c>
      <c r="O116" s="349">
        <f t="shared" si="41"/>
        <v>0</v>
      </c>
      <c r="P116" s="353">
        <f t="shared" si="41"/>
        <v>0</v>
      </c>
      <c r="Q116" s="368">
        <f t="shared" si="39"/>
        <v>3669009.6599999997</v>
      </c>
      <c r="R116" s="367">
        <f t="shared" si="39"/>
        <v>2415703</v>
      </c>
      <c r="S116" s="369">
        <f t="shared" si="39"/>
        <v>6440810.71</v>
      </c>
      <c r="T116" s="370">
        <f>N116/'2018'!N116-1</f>
        <v>-1</v>
      </c>
      <c r="U116" s="371">
        <f>O116/'2018'!O116-1</f>
        <v>-1</v>
      </c>
      <c r="V116" s="371">
        <f>P116/'2018'!P116-1</f>
        <v>-1</v>
      </c>
      <c r="W116" s="371">
        <f>Q116/'2018'!Q116-1</f>
        <v>-0.46017987218346579</v>
      </c>
      <c r="X116" s="371">
        <f>R116/'2018'!R116-1</f>
        <v>-0.30157206083546417</v>
      </c>
      <c r="Y116" s="372">
        <f>S116/'2018'!S116-1</f>
        <v>-0.3819272136691102</v>
      </c>
      <c r="Z116" s="373"/>
      <c r="AA116" s="374">
        <f t="shared" si="30"/>
        <v>366.90096599999998</v>
      </c>
      <c r="AB116" s="375"/>
      <c r="AC116" s="365"/>
      <c r="AD116" s="375">
        <f t="shared" si="32"/>
        <v>4025107.71</v>
      </c>
      <c r="AE116" s="348">
        <f t="shared" si="40"/>
        <v>65815.92</v>
      </c>
      <c r="AF116" s="348">
        <f t="shared" si="40"/>
        <v>246781.78</v>
      </c>
      <c r="AG116" s="365">
        <f t="shared" si="35"/>
        <v>43500.350000000297</v>
      </c>
      <c r="AH116" s="357"/>
      <c r="AI116" s="358"/>
      <c r="AJ116" s="358"/>
      <c r="AK116" s="358"/>
      <c r="AL116" s="358"/>
      <c r="AM116" s="358"/>
      <c r="AN116" s="358"/>
      <c r="AO116" s="358"/>
      <c r="AP116" s="358"/>
      <c r="AQ116" s="358"/>
      <c r="AR116" s="358"/>
      <c r="AS116" s="358"/>
      <c r="AT116" s="358"/>
      <c r="AU116" s="358"/>
      <c r="AV116" s="358"/>
      <c r="AW116" s="358"/>
      <c r="AX116" s="358"/>
      <c r="AY116" s="358"/>
      <c r="AZ116" s="358"/>
      <c r="BA116" s="358"/>
      <c r="BB116" s="358"/>
      <c r="BC116" s="358"/>
    </row>
    <row r="117" spans="1:55" s="376" customFormat="1" ht="15" customHeight="1" x14ac:dyDescent="0.15">
      <c r="A117" s="377">
        <v>42847</v>
      </c>
      <c r="B117" s="457" t="s">
        <v>34</v>
      </c>
      <c r="C117" s="361"/>
      <c r="D117" s="348"/>
      <c r="E117" s="348"/>
      <c r="F117" s="362"/>
      <c r="G117" s="348"/>
      <c r="H117" s="363"/>
      <c r="I117" s="363"/>
      <c r="J117" s="364">
        <f t="shared" si="29"/>
        <v>0</v>
      </c>
      <c r="K117" s="348"/>
      <c r="L117" s="348"/>
      <c r="M117" s="365">
        <f t="shared" si="31"/>
        <v>0</v>
      </c>
      <c r="N117" s="366">
        <f t="shared" si="41"/>
        <v>0</v>
      </c>
      <c r="O117" s="349">
        <f t="shared" si="41"/>
        <v>0</v>
      </c>
      <c r="P117" s="353">
        <f t="shared" si="41"/>
        <v>0</v>
      </c>
      <c r="Q117" s="368">
        <f t="shared" si="39"/>
        <v>3669009.6599999997</v>
      </c>
      <c r="R117" s="367">
        <f t="shared" si="39"/>
        <v>2415703</v>
      </c>
      <c r="S117" s="369">
        <f t="shared" si="39"/>
        <v>6440810.71</v>
      </c>
      <c r="T117" s="370">
        <f>N117/'2018'!N117-1</f>
        <v>-1</v>
      </c>
      <c r="U117" s="371">
        <f>O117/'2018'!O117-1</f>
        <v>-1</v>
      </c>
      <c r="V117" s="371">
        <f>P117/'2018'!P117-1</f>
        <v>-1</v>
      </c>
      <c r="W117" s="371">
        <f>Q117/'2018'!Q117-1</f>
        <v>-0.4650841080493433</v>
      </c>
      <c r="X117" s="371">
        <f>R117/'2018'!R117-1</f>
        <v>-0.30827022241159319</v>
      </c>
      <c r="Y117" s="372">
        <f>S117/'2018'!S117-1</f>
        <v>-0.38767132257993309</v>
      </c>
      <c r="Z117" s="373"/>
      <c r="AA117" s="374">
        <f t="shared" si="30"/>
        <v>366.90096599999998</v>
      </c>
      <c r="AB117" s="375"/>
      <c r="AC117" s="365"/>
      <c r="AD117" s="375">
        <f t="shared" si="32"/>
        <v>4025107.71</v>
      </c>
      <c r="AE117" s="348">
        <f t="shared" si="40"/>
        <v>65815.92</v>
      </c>
      <c r="AF117" s="348">
        <f t="shared" si="40"/>
        <v>246781.78</v>
      </c>
      <c r="AG117" s="365">
        <f t="shared" si="35"/>
        <v>43500.350000000297</v>
      </c>
      <c r="AH117" s="357"/>
      <c r="AI117" s="358"/>
      <c r="AJ117" s="358"/>
      <c r="AK117" s="358"/>
      <c r="AL117" s="358"/>
      <c r="AM117" s="358"/>
      <c r="AN117" s="358"/>
      <c r="AO117" s="358"/>
      <c r="AP117" s="358"/>
      <c r="AQ117" s="358"/>
      <c r="AR117" s="358"/>
      <c r="AS117" s="358"/>
      <c r="AT117" s="358"/>
      <c r="AU117" s="358"/>
      <c r="AV117" s="358"/>
      <c r="AW117" s="358"/>
      <c r="AX117" s="358"/>
      <c r="AY117" s="358"/>
      <c r="AZ117" s="358"/>
      <c r="BA117" s="358"/>
      <c r="BB117" s="358"/>
      <c r="BC117" s="358"/>
    </row>
    <row r="118" spans="1:55" s="376" customFormat="1" ht="15" customHeight="1" x14ac:dyDescent="0.15">
      <c r="A118" s="377">
        <v>42848</v>
      </c>
      <c r="B118" s="457" t="s">
        <v>35</v>
      </c>
      <c r="C118" s="361"/>
      <c r="D118" s="348"/>
      <c r="E118" s="348"/>
      <c r="F118" s="362"/>
      <c r="G118" s="348"/>
      <c r="H118" s="363"/>
      <c r="I118" s="363"/>
      <c r="J118" s="364">
        <f t="shared" si="29"/>
        <v>0</v>
      </c>
      <c r="K118" s="348"/>
      <c r="L118" s="348"/>
      <c r="M118" s="365">
        <f t="shared" si="31"/>
        <v>0</v>
      </c>
      <c r="N118" s="366">
        <f t="shared" si="41"/>
        <v>0</v>
      </c>
      <c r="O118" s="349">
        <f t="shared" si="41"/>
        <v>0</v>
      </c>
      <c r="P118" s="353">
        <f t="shared" si="41"/>
        <v>0</v>
      </c>
      <c r="Q118" s="368">
        <f t="shared" si="39"/>
        <v>3669009.6599999997</v>
      </c>
      <c r="R118" s="367">
        <f t="shared" si="39"/>
        <v>2415703</v>
      </c>
      <c r="S118" s="369">
        <f t="shared" si="39"/>
        <v>6440810.71</v>
      </c>
      <c r="T118" s="370">
        <f>N118/'2018'!N118-1</f>
        <v>-1</v>
      </c>
      <c r="U118" s="371">
        <f>O118/'2018'!O118-1</f>
        <v>-1</v>
      </c>
      <c r="V118" s="371">
        <f>P118/'2018'!P118-1</f>
        <v>-1</v>
      </c>
      <c r="W118" s="371">
        <f>Q118/'2018'!Q118-1</f>
        <v>-0.47025991400041034</v>
      </c>
      <c r="X118" s="371">
        <f>R118/'2018'!R118-1</f>
        <v>-0.31487707820408795</v>
      </c>
      <c r="Y118" s="372">
        <f>S118/'2018'!S118-1</f>
        <v>-0.3935878834345472</v>
      </c>
      <c r="Z118" s="373"/>
      <c r="AA118" s="374">
        <f t="shared" si="30"/>
        <v>366.90096599999998</v>
      </c>
      <c r="AB118" s="375"/>
      <c r="AC118" s="365"/>
      <c r="AD118" s="375">
        <f t="shared" si="32"/>
        <v>4025107.71</v>
      </c>
      <c r="AE118" s="348">
        <f t="shared" si="40"/>
        <v>65815.92</v>
      </c>
      <c r="AF118" s="348">
        <f t="shared" si="40"/>
        <v>246781.78</v>
      </c>
      <c r="AG118" s="365">
        <f t="shared" si="35"/>
        <v>43500.350000000297</v>
      </c>
      <c r="AH118" s="357"/>
      <c r="AI118" s="358"/>
      <c r="AJ118" s="358"/>
      <c r="AK118" s="358"/>
      <c r="AL118" s="358"/>
      <c r="AM118" s="358"/>
      <c r="AN118" s="358"/>
      <c r="AO118" s="358"/>
      <c r="AP118" s="358"/>
      <c r="AQ118" s="358"/>
      <c r="AR118" s="358"/>
      <c r="AS118" s="358"/>
      <c r="AT118" s="358"/>
      <c r="AU118" s="358"/>
      <c r="AV118" s="358"/>
      <c r="AW118" s="358"/>
      <c r="AX118" s="358"/>
      <c r="AY118" s="358"/>
      <c r="AZ118" s="358"/>
      <c r="BA118" s="358"/>
      <c r="BB118" s="358"/>
      <c r="BC118" s="358"/>
    </row>
    <row r="119" spans="1:55" s="376" customFormat="1" ht="15" customHeight="1" x14ac:dyDescent="0.15">
      <c r="A119" s="377">
        <v>42849</v>
      </c>
      <c r="B119" s="457" t="s">
        <v>36</v>
      </c>
      <c r="C119" s="361"/>
      <c r="D119" s="348"/>
      <c r="E119" s="348"/>
      <c r="F119" s="362"/>
      <c r="G119" s="348"/>
      <c r="H119" s="363"/>
      <c r="I119" s="363"/>
      <c r="J119" s="364">
        <f t="shared" si="29"/>
        <v>0</v>
      </c>
      <c r="K119" s="348"/>
      <c r="L119" s="348"/>
      <c r="M119" s="365">
        <f t="shared" si="31"/>
        <v>0</v>
      </c>
      <c r="N119" s="366">
        <f t="shared" si="41"/>
        <v>0</v>
      </c>
      <c r="O119" s="349">
        <f t="shared" si="41"/>
        <v>0</v>
      </c>
      <c r="P119" s="353">
        <f t="shared" si="41"/>
        <v>0</v>
      </c>
      <c r="Q119" s="368">
        <f t="shared" si="39"/>
        <v>3669009.6599999997</v>
      </c>
      <c r="R119" s="367">
        <f t="shared" si="39"/>
        <v>2415703</v>
      </c>
      <c r="S119" s="369">
        <f t="shared" si="39"/>
        <v>6440810.71</v>
      </c>
      <c r="T119" s="370">
        <f>N119/'2018'!N119-1</f>
        <v>-1</v>
      </c>
      <c r="U119" s="371">
        <f>O119/'2018'!O119-1</f>
        <v>-1</v>
      </c>
      <c r="V119" s="371">
        <f>P119/'2018'!P119-1</f>
        <v>-1</v>
      </c>
      <c r="W119" s="371">
        <f>Q119/'2018'!Q119-1</f>
        <v>-0.4751497868354152</v>
      </c>
      <c r="X119" s="371">
        <f>R119/'2018'!R119-1</f>
        <v>-0.3213774136412606</v>
      </c>
      <c r="Y119" s="372">
        <f>S119/'2018'!S119-1</f>
        <v>-0.39927530120973043</v>
      </c>
      <c r="Z119" s="373"/>
      <c r="AA119" s="374">
        <f t="shared" si="30"/>
        <v>366.90096599999998</v>
      </c>
      <c r="AB119" s="375"/>
      <c r="AC119" s="365"/>
      <c r="AD119" s="375">
        <f t="shared" si="32"/>
        <v>4025107.71</v>
      </c>
      <c r="AE119" s="348">
        <f t="shared" ref="AE119:AF134" si="42">AE118+K119</f>
        <v>65815.92</v>
      </c>
      <c r="AF119" s="348">
        <f t="shared" si="42"/>
        <v>246781.78</v>
      </c>
      <c r="AG119" s="365">
        <f t="shared" si="35"/>
        <v>43500.350000000297</v>
      </c>
      <c r="AH119" s="357"/>
      <c r="AI119" s="358"/>
      <c r="AJ119" s="358"/>
      <c r="AK119" s="358"/>
      <c r="AL119" s="358"/>
      <c r="AM119" s="358"/>
      <c r="AN119" s="358"/>
      <c r="AO119" s="358"/>
      <c r="AP119" s="358"/>
      <c r="AQ119" s="358"/>
      <c r="AR119" s="358"/>
      <c r="AS119" s="358"/>
      <c r="AT119" s="358"/>
      <c r="AU119" s="358"/>
      <c r="AV119" s="358"/>
      <c r="AW119" s="358"/>
      <c r="AX119" s="358"/>
      <c r="AY119" s="358"/>
      <c r="AZ119" s="358"/>
      <c r="BA119" s="358"/>
      <c r="BB119" s="358"/>
      <c r="BC119" s="358"/>
    </row>
    <row r="120" spans="1:55" s="376" customFormat="1" ht="15" customHeight="1" x14ac:dyDescent="0.15">
      <c r="A120" s="377">
        <v>42850</v>
      </c>
      <c r="B120" s="182" t="s">
        <v>37</v>
      </c>
      <c r="C120" s="361"/>
      <c r="D120" s="348"/>
      <c r="E120" s="348"/>
      <c r="F120" s="362"/>
      <c r="G120" s="348"/>
      <c r="H120" s="363"/>
      <c r="I120" s="363"/>
      <c r="J120" s="364">
        <f t="shared" si="29"/>
        <v>0</v>
      </c>
      <c r="K120" s="348"/>
      <c r="L120" s="348"/>
      <c r="M120" s="365">
        <f t="shared" si="31"/>
        <v>0</v>
      </c>
      <c r="N120" s="366">
        <f t="shared" si="41"/>
        <v>0</v>
      </c>
      <c r="O120" s="349">
        <f t="shared" si="41"/>
        <v>0</v>
      </c>
      <c r="P120" s="353">
        <f t="shared" si="41"/>
        <v>0</v>
      </c>
      <c r="Q120" s="368">
        <f t="shared" si="39"/>
        <v>3669009.6599999997</v>
      </c>
      <c r="R120" s="367">
        <f t="shared" si="39"/>
        <v>2415703</v>
      </c>
      <c r="S120" s="369">
        <f t="shared" si="39"/>
        <v>6440810.71</v>
      </c>
      <c r="T120" s="370">
        <f>N120/'2018'!N120-1</f>
        <v>-1</v>
      </c>
      <c r="U120" s="371">
        <f>O120/'2018'!O120-1</f>
        <v>-1</v>
      </c>
      <c r="V120" s="371">
        <f>P120/'2018'!P120-1</f>
        <v>-1</v>
      </c>
      <c r="W120" s="371">
        <f>Q120/'2018'!Q120-1</f>
        <v>-0.47992979226602217</v>
      </c>
      <c r="X120" s="371">
        <f>R120/'2018'!R120-1</f>
        <v>-0.32756057361458635</v>
      </c>
      <c r="Y120" s="372">
        <f>S120/'2018'!S120-1</f>
        <v>-0.40480632069205191</v>
      </c>
      <c r="Z120" s="373"/>
      <c r="AA120" s="374">
        <f t="shared" si="30"/>
        <v>366.90096599999998</v>
      </c>
      <c r="AB120" s="375"/>
      <c r="AC120" s="365"/>
      <c r="AD120" s="375">
        <f t="shared" si="32"/>
        <v>4025107.71</v>
      </c>
      <c r="AE120" s="348">
        <f t="shared" si="42"/>
        <v>65815.92</v>
      </c>
      <c r="AF120" s="348">
        <f t="shared" si="42"/>
        <v>246781.78</v>
      </c>
      <c r="AG120" s="365">
        <f t="shared" si="35"/>
        <v>43500.350000000297</v>
      </c>
      <c r="AH120" s="357"/>
      <c r="AI120" s="358"/>
      <c r="AJ120" s="358"/>
      <c r="AK120" s="358"/>
      <c r="AL120" s="358"/>
      <c r="AM120" s="358"/>
      <c r="AN120" s="358"/>
      <c r="AO120" s="358"/>
      <c r="AP120" s="358"/>
      <c r="AQ120" s="358"/>
      <c r="AR120" s="358"/>
      <c r="AS120" s="358"/>
      <c r="AT120" s="358"/>
      <c r="AU120" s="358"/>
      <c r="AV120" s="358"/>
      <c r="AW120" s="358"/>
      <c r="AX120" s="358"/>
      <c r="AY120" s="358"/>
      <c r="AZ120" s="358"/>
      <c r="BA120" s="358"/>
      <c r="BB120" s="358"/>
      <c r="BC120" s="358"/>
    </row>
    <row r="121" spans="1:55" s="376" customFormat="1" ht="15" customHeight="1" x14ac:dyDescent="0.15">
      <c r="A121" s="377">
        <v>42851</v>
      </c>
      <c r="B121" s="457" t="s">
        <v>38</v>
      </c>
      <c r="C121" s="361"/>
      <c r="D121" s="348"/>
      <c r="E121" s="348"/>
      <c r="F121" s="362"/>
      <c r="G121" s="348"/>
      <c r="H121" s="363"/>
      <c r="I121" s="363"/>
      <c r="J121" s="364">
        <f t="shared" si="29"/>
        <v>0</v>
      </c>
      <c r="K121" s="348"/>
      <c r="L121" s="348"/>
      <c r="M121" s="365">
        <f t="shared" si="31"/>
        <v>0</v>
      </c>
      <c r="N121" s="366">
        <f t="shared" si="41"/>
        <v>0</v>
      </c>
      <c r="O121" s="349">
        <f t="shared" si="41"/>
        <v>0</v>
      </c>
      <c r="P121" s="353">
        <f t="shared" si="41"/>
        <v>0</v>
      </c>
      <c r="Q121" s="368">
        <f t="shared" si="39"/>
        <v>3669009.6599999997</v>
      </c>
      <c r="R121" s="367">
        <f t="shared" si="39"/>
        <v>2415703</v>
      </c>
      <c r="S121" s="369">
        <f t="shared" si="39"/>
        <v>6440810.71</v>
      </c>
      <c r="T121" s="370">
        <f>N121/'2018'!N121-1</f>
        <v>-1</v>
      </c>
      <c r="U121" s="371">
        <f>O121/'2018'!O121-1</f>
        <v>-1</v>
      </c>
      <c r="V121" s="371">
        <f>P121/'2018'!P121-1</f>
        <v>-1</v>
      </c>
      <c r="W121" s="371">
        <f>Q121/'2018'!Q121-1</f>
        <v>-0.48489354838659859</v>
      </c>
      <c r="X121" s="371">
        <f>R121/'2018'!R121-1</f>
        <v>-0.33339542127635147</v>
      </c>
      <c r="Y121" s="372">
        <f>S121/'2018'!S121-1</f>
        <v>-0.41034715719520187</v>
      </c>
      <c r="Z121" s="373"/>
      <c r="AA121" s="374">
        <f t="shared" si="30"/>
        <v>366.90096599999998</v>
      </c>
      <c r="AB121" s="375"/>
      <c r="AC121" s="365"/>
      <c r="AD121" s="375">
        <f t="shared" si="32"/>
        <v>4025107.71</v>
      </c>
      <c r="AE121" s="348">
        <f t="shared" si="42"/>
        <v>65815.92</v>
      </c>
      <c r="AF121" s="348">
        <f t="shared" si="42"/>
        <v>246781.78</v>
      </c>
      <c r="AG121" s="365">
        <f t="shared" si="35"/>
        <v>43500.350000000297</v>
      </c>
      <c r="AH121" s="357"/>
      <c r="AI121" s="358"/>
      <c r="AJ121" s="358"/>
      <c r="AK121" s="358"/>
      <c r="AL121" s="358"/>
      <c r="AM121" s="358"/>
      <c r="AN121" s="358"/>
      <c r="AO121" s="358"/>
      <c r="AP121" s="358"/>
      <c r="AQ121" s="358"/>
      <c r="AR121" s="358"/>
      <c r="AS121" s="358"/>
      <c r="AT121" s="358"/>
      <c r="AU121" s="358"/>
      <c r="AV121" s="358"/>
      <c r="AW121" s="358"/>
      <c r="AX121" s="358"/>
      <c r="AY121" s="358"/>
      <c r="AZ121" s="358"/>
      <c r="BA121" s="358"/>
      <c r="BB121" s="358"/>
      <c r="BC121" s="358"/>
    </row>
    <row r="122" spans="1:55" s="376" customFormat="1" ht="15" customHeight="1" x14ac:dyDescent="0.15">
      <c r="A122" s="377">
        <v>42852</v>
      </c>
      <c r="B122" s="457" t="s">
        <v>39</v>
      </c>
      <c r="C122" s="361"/>
      <c r="D122" s="348"/>
      <c r="E122" s="348"/>
      <c r="F122" s="362"/>
      <c r="G122" s="348"/>
      <c r="H122" s="363"/>
      <c r="I122" s="363"/>
      <c r="J122" s="364">
        <f t="shared" si="29"/>
        <v>0</v>
      </c>
      <c r="K122" s="348"/>
      <c r="L122" s="348"/>
      <c r="M122" s="365">
        <f t="shared" si="31"/>
        <v>0</v>
      </c>
      <c r="N122" s="366">
        <f t="shared" si="41"/>
        <v>0</v>
      </c>
      <c r="O122" s="349">
        <f t="shared" si="41"/>
        <v>0</v>
      </c>
      <c r="P122" s="353">
        <f t="shared" si="41"/>
        <v>0</v>
      </c>
      <c r="Q122" s="368">
        <f t="shared" si="39"/>
        <v>3669009.6599999997</v>
      </c>
      <c r="R122" s="367">
        <f t="shared" si="39"/>
        <v>2415703</v>
      </c>
      <c r="S122" s="369">
        <f t="shared" si="39"/>
        <v>6440810.71</v>
      </c>
      <c r="T122" s="370">
        <f>N122/'2018'!N122-1</f>
        <v>-1</v>
      </c>
      <c r="U122" s="371">
        <f>O122/'2018'!O122-1</f>
        <v>-1</v>
      </c>
      <c r="V122" s="371">
        <f>P122/'2018'!P122-1</f>
        <v>-1</v>
      </c>
      <c r="W122" s="371">
        <f>Q122/'2018'!Q122-1</f>
        <v>-0.48967182646640062</v>
      </c>
      <c r="X122" s="371">
        <f>R122/'2018'!R122-1</f>
        <v>-0.33954274115805294</v>
      </c>
      <c r="Y122" s="372">
        <f>S122/'2018'!S122-1</f>
        <v>-0.41581577407019921</v>
      </c>
      <c r="Z122" s="373"/>
      <c r="AA122" s="374">
        <f t="shared" si="30"/>
        <v>366.90096599999998</v>
      </c>
      <c r="AB122" s="375"/>
      <c r="AC122" s="365"/>
      <c r="AD122" s="375">
        <f t="shared" si="32"/>
        <v>4025107.71</v>
      </c>
      <c r="AE122" s="348">
        <f t="shared" si="42"/>
        <v>65815.92</v>
      </c>
      <c r="AF122" s="348">
        <f t="shared" si="42"/>
        <v>246781.78</v>
      </c>
      <c r="AG122" s="365">
        <f t="shared" si="35"/>
        <v>43500.350000000297</v>
      </c>
      <c r="AH122" s="357"/>
      <c r="AI122" s="358"/>
      <c r="AJ122" s="358"/>
      <c r="AK122" s="358"/>
      <c r="AL122" s="358"/>
      <c r="AM122" s="358"/>
      <c r="AN122" s="358"/>
      <c r="AO122" s="358"/>
      <c r="AP122" s="358"/>
      <c r="AQ122" s="358"/>
      <c r="AR122" s="358"/>
      <c r="AS122" s="358"/>
      <c r="AT122" s="358"/>
      <c r="AU122" s="358"/>
      <c r="AV122" s="358"/>
      <c r="AW122" s="358"/>
      <c r="AX122" s="358"/>
      <c r="AY122" s="358"/>
      <c r="AZ122" s="358"/>
      <c r="BA122" s="358"/>
      <c r="BB122" s="358"/>
      <c r="BC122" s="358"/>
    </row>
    <row r="123" spans="1:55" s="376" customFormat="1" ht="15" customHeight="1" x14ac:dyDescent="0.15">
      <c r="A123" s="377">
        <v>42853</v>
      </c>
      <c r="B123" s="457" t="s">
        <v>1</v>
      </c>
      <c r="C123" s="361"/>
      <c r="D123" s="348"/>
      <c r="E123" s="348"/>
      <c r="F123" s="362"/>
      <c r="G123" s="348"/>
      <c r="H123" s="363"/>
      <c r="I123" s="363"/>
      <c r="J123" s="364">
        <f t="shared" si="29"/>
        <v>0</v>
      </c>
      <c r="K123" s="348"/>
      <c r="L123" s="348"/>
      <c r="M123" s="365">
        <f t="shared" si="31"/>
        <v>0</v>
      </c>
      <c r="N123" s="366">
        <f t="shared" si="41"/>
        <v>0</v>
      </c>
      <c r="O123" s="349">
        <f t="shared" si="41"/>
        <v>0</v>
      </c>
      <c r="P123" s="353">
        <f t="shared" si="41"/>
        <v>0</v>
      </c>
      <c r="Q123" s="368">
        <f t="shared" si="39"/>
        <v>3669009.6599999997</v>
      </c>
      <c r="R123" s="367">
        <f t="shared" si="39"/>
        <v>2415703</v>
      </c>
      <c r="S123" s="369">
        <f t="shared" si="39"/>
        <v>6440810.71</v>
      </c>
      <c r="T123" s="370">
        <f>N123/'2018'!N123-1</f>
        <v>-1</v>
      </c>
      <c r="U123" s="371">
        <f>O123/'2018'!O123-1</f>
        <v>-1</v>
      </c>
      <c r="V123" s="371">
        <f>P123/'2018'!P123-1</f>
        <v>-1</v>
      </c>
      <c r="W123" s="371">
        <f>Q123/'2018'!Q123-1</f>
        <v>-0.49447861462098197</v>
      </c>
      <c r="X123" s="371">
        <f>R123/'2018'!R123-1</f>
        <v>-0.34517219263629328</v>
      </c>
      <c r="Y123" s="372">
        <f>S123/'2018'!S123-1</f>
        <v>-0.42115855474427399</v>
      </c>
      <c r="Z123" s="373"/>
      <c r="AA123" s="374">
        <f t="shared" si="30"/>
        <v>366.90096599999998</v>
      </c>
      <c r="AB123" s="375"/>
      <c r="AC123" s="365"/>
      <c r="AD123" s="375">
        <f t="shared" si="32"/>
        <v>4025107.71</v>
      </c>
      <c r="AE123" s="348">
        <f t="shared" si="42"/>
        <v>65815.92</v>
      </c>
      <c r="AF123" s="348">
        <f t="shared" si="42"/>
        <v>246781.78</v>
      </c>
      <c r="AG123" s="365">
        <f t="shared" si="35"/>
        <v>43500.350000000297</v>
      </c>
      <c r="AH123" s="357"/>
      <c r="AI123" s="358"/>
      <c r="AJ123" s="358"/>
      <c r="AK123" s="358"/>
      <c r="AL123" s="358"/>
      <c r="AM123" s="358"/>
      <c r="AN123" s="358"/>
      <c r="AO123" s="358"/>
      <c r="AP123" s="358"/>
      <c r="AQ123" s="358"/>
      <c r="AR123" s="358"/>
      <c r="AS123" s="358"/>
      <c r="AT123" s="358"/>
      <c r="AU123" s="358"/>
      <c r="AV123" s="358"/>
      <c r="AW123" s="358"/>
      <c r="AX123" s="358"/>
      <c r="AY123" s="358"/>
      <c r="AZ123" s="358"/>
      <c r="BA123" s="358"/>
      <c r="BB123" s="358"/>
      <c r="BC123" s="358"/>
    </row>
    <row r="124" spans="1:55" s="376" customFormat="1" ht="15" customHeight="1" x14ac:dyDescent="0.15">
      <c r="A124" s="377">
        <v>42854</v>
      </c>
      <c r="B124" s="457" t="s">
        <v>34</v>
      </c>
      <c r="C124" s="361"/>
      <c r="D124" s="348"/>
      <c r="E124" s="348"/>
      <c r="F124" s="362"/>
      <c r="G124" s="348"/>
      <c r="H124" s="363"/>
      <c r="I124" s="363"/>
      <c r="J124" s="364">
        <f t="shared" si="29"/>
        <v>0</v>
      </c>
      <c r="K124" s="348"/>
      <c r="L124" s="348"/>
      <c r="M124" s="365">
        <f t="shared" si="31"/>
        <v>0</v>
      </c>
      <c r="N124" s="366">
        <f t="shared" si="41"/>
        <v>0</v>
      </c>
      <c r="O124" s="349">
        <f t="shared" si="41"/>
        <v>0</v>
      </c>
      <c r="P124" s="353">
        <f t="shared" si="41"/>
        <v>0</v>
      </c>
      <c r="Q124" s="368">
        <f t="shared" si="39"/>
        <v>3669009.6599999997</v>
      </c>
      <c r="R124" s="367">
        <f t="shared" si="39"/>
        <v>2415703</v>
      </c>
      <c r="S124" s="369">
        <f t="shared" si="39"/>
        <v>6440810.71</v>
      </c>
      <c r="T124" s="370">
        <f>N124/'2018'!N124-1</f>
        <v>-1</v>
      </c>
      <c r="U124" s="371">
        <f>O124/'2018'!O124-1</f>
        <v>-1</v>
      </c>
      <c r="V124" s="371">
        <f>P124/'2018'!P124-1</f>
        <v>-1</v>
      </c>
      <c r="W124" s="371">
        <f>Q124/'2018'!Q124-1</f>
        <v>-0.49923438475592141</v>
      </c>
      <c r="X124" s="371">
        <f>R124/'2018'!R124-1</f>
        <v>-0.35032442053162693</v>
      </c>
      <c r="Y124" s="372">
        <f>S124/'2018'!S124-1</f>
        <v>-0.42628851363416775</v>
      </c>
      <c r="Z124" s="373"/>
      <c r="AA124" s="374">
        <f t="shared" si="30"/>
        <v>366.90096599999998</v>
      </c>
      <c r="AB124" s="375"/>
      <c r="AC124" s="365"/>
      <c r="AD124" s="375">
        <f t="shared" si="32"/>
        <v>4025107.71</v>
      </c>
      <c r="AE124" s="348">
        <f t="shared" si="42"/>
        <v>65815.92</v>
      </c>
      <c r="AF124" s="348">
        <f t="shared" si="42"/>
        <v>246781.78</v>
      </c>
      <c r="AG124" s="365">
        <f t="shared" si="35"/>
        <v>43500.350000000297</v>
      </c>
      <c r="AH124" s="357"/>
      <c r="AI124" s="358"/>
      <c r="AJ124" s="358"/>
      <c r="AK124" s="358"/>
      <c r="AL124" s="358"/>
      <c r="AM124" s="358"/>
      <c r="AN124" s="358"/>
      <c r="AO124" s="358"/>
      <c r="AP124" s="358"/>
      <c r="AQ124" s="358"/>
      <c r="AR124" s="358"/>
      <c r="AS124" s="358"/>
      <c r="AT124" s="358"/>
      <c r="AU124" s="358"/>
      <c r="AV124" s="358"/>
      <c r="AW124" s="358"/>
      <c r="AX124" s="358"/>
      <c r="AY124" s="358"/>
      <c r="AZ124" s="358"/>
      <c r="BA124" s="358"/>
      <c r="BB124" s="358"/>
      <c r="BC124" s="358"/>
    </row>
    <row r="125" spans="1:55" s="376" customFormat="1" ht="15" customHeight="1" x14ac:dyDescent="0.15">
      <c r="A125" s="403">
        <v>42855</v>
      </c>
      <c r="B125" s="380" t="s">
        <v>35</v>
      </c>
      <c r="C125" s="381"/>
      <c r="D125" s="382"/>
      <c r="E125" s="382"/>
      <c r="F125" s="383"/>
      <c r="G125" s="382"/>
      <c r="H125" s="384"/>
      <c r="I125" s="384"/>
      <c r="J125" s="385">
        <f t="shared" si="29"/>
        <v>0</v>
      </c>
      <c r="K125" s="382"/>
      <c r="L125" s="382"/>
      <c r="M125" s="386">
        <f t="shared" si="31"/>
        <v>0</v>
      </c>
      <c r="N125" s="387">
        <f t="shared" ref="N125" si="43">N124+C125</f>
        <v>0</v>
      </c>
      <c r="O125" s="404">
        <f t="shared" ref="O125" si="44">O124+D125</f>
        <v>0</v>
      </c>
      <c r="P125" s="410">
        <f t="shared" ref="P125" si="45">P124+E125</f>
        <v>0</v>
      </c>
      <c r="Q125" s="390">
        <f>[3]表2、统调口径电量!$I$10</f>
        <v>7390704.4800000004</v>
      </c>
      <c r="R125" s="388">
        <f>[3]表2、统调口径电量!$I$14</f>
        <v>3745318</v>
      </c>
      <c r="S125" s="391">
        <f>[3]表2、统调口径电量!$I$3</f>
        <v>11317748.98</v>
      </c>
      <c r="T125" s="392">
        <f>N125/'2018'!N125-1</f>
        <v>-1</v>
      </c>
      <c r="U125" s="393">
        <f>O125/'2018'!O125-1</f>
        <v>-1</v>
      </c>
      <c r="V125" s="393">
        <f>P125/'2018'!P125-1</f>
        <v>-1</v>
      </c>
      <c r="W125" s="393">
        <f>Q125/'2018'!Q125-1</f>
        <v>0</v>
      </c>
      <c r="X125" s="393">
        <f>R125/'2018'!R125-1</f>
        <v>0</v>
      </c>
      <c r="Y125" s="394">
        <f>S125/'2018'!S125-1</f>
        <v>0</v>
      </c>
      <c r="Z125" s="395"/>
      <c r="AA125" s="396">
        <f t="shared" si="30"/>
        <v>739.07044800000006</v>
      </c>
      <c r="AB125" s="397"/>
      <c r="AC125" s="386" t="e">
        <f t="shared" ref="AC125" si="46">AA125*10000/AB125</f>
        <v>#DIV/0!</v>
      </c>
      <c r="AD125" s="397">
        <f>[3]表2、统调口径电量!$I$4</f>
        <v>7572430.9800000004</v>
      </c>
      <c r="AE125" s="382">
        <f>[3]表2、统调口径电量!$I$13</f>
        <v>52541.2</v>
      </c>
      <c r="AF125" s="382">
        <f>[3]表2、统调口径电量!$I$15</f>
        <v>43161.64</v>
      </c>
      <c r="AG125" s="386">
        <f>[3]表2、统调口径电量!$I$16+[3]表2、统调口径电量!$I$17</f>
        <v>86023.66</v>
      </c>
      <c r="AH125" s="411"/>
      <c r="AI125" s="358"/>
      <c r="AJ125" s="358"/>
      <c r="AK125" s="358"/>
      <c r="AL125" s="358"/>
      <c r="AM125" s="358"/>
      <c r="AN125" s="358"/>
      <c r="AO125" s="358"/>
      <c r="AP125" s="358"/>
      <c r="AQ125" s="358"/>
      <c r="AR125" s="358"/>
      <c r="AS125" s="358"/>
      <c r="AT125" s="358"/>
      <c r="AU125" s="358"/>
      <c r="AV125" s="358"/>
      <c r="AW125" s="358"/>
      <c r="AX125" s="358"/>
      <c r="AY125" s="358"/>
      <c r="AZ125" s="358"/>
      <c r="BA125" s="358"/>
      <c r="BB125" s="358"/>
      <c r="BC125" s="358"/>
    </row>
    <row r="126" spans="1:55" s="376" customFormat="1" ht="15" customHeight="1" x14ac:dyDescent="0.15">
      <c r="A126" s="377">
        <v>42856</v>
      </c>
      <c r="B126" s="457" t="s">
        <v>36</v>
      </c>
      <c r="C126" s="361"/>
      <c r="D126" s="348"/>
      <c r="E126" s="348"/>
      <c r="F126" s="362"/>
      <c r="G126" s="348"/>
      <c r="H126" s="363"/>
      <c r="I126" s="363"/>
      <c r="J126" s="364">
        <f t="shared" si="29"/>
        <v>0</v>
      </c>
      <c r="K126" s="348"/>
      <c r="L126" s="348"/>
      <c r="M126" s="365">
        <f t="shared" si="31"/>
        <v>0</v>
      </c>
      <c r="N126" s="366">
        <f>C126</f>
        <v>0</v>
      </c>
      <c r="O126" s="349">
        <f>D126</f>
        <v>0</v>
      </c>
      <c r="P126" s="353">
        <f>E126</f>
        <v>0</v>
      </c>
      <c r="Q126" s="368">
        <f>N126+Q$125</f>
        <v>7390704.4800000004</v>
      </c>
      <c r="R126" s="367">
        <f>O126+R$125</f>
        <v>3745318</v>
      </c>
      <c r="S126" s="369">
        <f>P126+S$125</f>
        <v>11317748.98</v>
      </c>
      <c r="T126" s="370">
        <f>N126/'2018'!N126-1</f>
        <v>-1</v>
      </c>
      <c r="U126" s="371">
        <f>O126/'2018'!O126-1</f>
        <v>-1</v>
      </c>
      <c r="V126" s="371">
        <f>P126/'2018'!P126-1</f>
        <v>-1</v>
      </c>
      <c r="W126" s="371">
        <f>Q126/'2018'!Q126-1</f>
        <v>-6.2047788285717331E-3</v>
      </c>
      <c r="X126" s="371">
        <f>R126/'2018'!R126-1</f>
        <v>-6.667361542645911E-3</v>
      </c>
      <c r="Y126" s="372">
        <f>S126/'2018'!S126-1</f>
        <v>-6.3465992364144519E-3</v>
      </c>
      <c r="Z126" s="373"/>
      <c r="AA126" s="374">
        <f t="shared" si="30"/>
        <v>739.07044800000006</v>
      </c>
      <c r="AB126" s="375"/>
      <c r="AC126" s="365"/>
      <c r="AD126" s="375">
        <f t="shared" si="32"/>
        <v>7572430.9800000004</v>
      </c>
      <c r="AE126" s="348">
        <f t="shared" si="42"/>
        <v>52541.2</v>
      </c>
      <c r="AF126" s="348">
        <f t="shared" si="42"/>
        <v>43161.64</v>
      </c>
      <c r="AG126" s="365">
        <f t="shared" si="35"/>
        <v>86023.66</v>
      </c>
      <c r="AH126" s="357"/>
      <c r="AI126" s="358"/>
      <c r="AJ126" s="358"/>
      <c r="AK126" s="358"/>
      <c r="AL126" s="358"/>
      <c r="AM126" s="358"/>
      <c r="AN126" s="358"/>
      <c r="AO126" s="358"/>
      <c r="AP126" s="358"/>
      <c r="AQ126" s="358"/>
      <c r="AR126" s="358"/>
      <c r="AS126" s="358"/>
      <c r="AT126" s="358"/>
      <c r="AU126" s="358"/>
      <c r="AV126" s="358"/>
      <c r="AW126" s="358"/>
      <c r="AX126" s="358"/>
      <c r="AY126" s="358"/>
      <c r="AZ126" s="358"/>
      <c r="BA126" s="358"/>
      <c r="BB126" s="358"/>
      <c r="BC126" s="358"/>
    </row>
    <row r="127" spans="1:55" s="376" customFormat="1" ht="15" customHeight="1" x14ac:dyDescent="0.15">
      <c r="A127" s="377">
        <v>42857</v>
      </c>
      <c r="B127" s="182" t="s">
        <v>37</v>
      </c>
      <c r="C127" s="361"/>
      <c r="D127" s="348"/>
      <c r="E127" s="348"/>
      <c r="F127" s="362"/>
      <c r="G127" s="348"/>
      <c r="H127" s="363"/>
      <c r="I127" s="363"/>
      <c r="J127" s="364">
        <f t="shared" si="29"/>
        <v>0</v>
      </c>
      <c r="K127" s="348"/>
      <c r="L127" s="348"/>
      <c r="M127" s="365">
        <f t="shared" si="31"/>
        <v>0</v>
      </c>
      <c r="N127" s="366">
        <f t="shared" ref="N127:P142" si="47">N126+C127</f>
        <v>0</v>
      </c>
      <c r="O127" s="349">
        <f t="shared" si="47"/>
        <v>0</v>
      </c>
      <c r="P127" s="353">
        <f t="shared" si="47"/>
        <v>0</v>
      </c>
      <c r="Q127" s="368">
        <f t="shared" ref="Q127:S155" si="48">N127+Q$125</f>
        <v>7390704.4800000004</v>
      </c>
      <c r="R127" s="367">
        <f t="shared" si="48"/>
        <v>3745318</v>
      </c>
      <c r="S127" s="369">
        <f t="shared" si="48"/>
        <v>11317748.98</v>
      </c>
      <c r="T127" s="370">
        <f>N127/'2018'!N127-1</f>
        <v>-1</v>
      </c>
      <c r="U127" s="371">
        <f>O127/'2018'!O127-1</f>
        <v>-1</v>
      </c>
      <c r="V127" s="371">
        <f>P127/'2018'!P127-1</f>
        <v>-1</v>
      </c>
      <c r="W127" s="371">
        <f>Q127/'2018'!Q127-1</f>
        <v>-1.4085888982875439E-2</v>
      </c>
      <c r="X127" s="371">
        <f>R127/'2018'!R127-1</f>
        <v>-1.4253811381835679E-2</v>
      </c>
      <c r="Y127" s="372">
        <f>S127/'2018'!S127-1</f>
        <v>-1.4181193498157274E-2</v>
      </c>
      <c r="Z127" s="373"/>
      <c r="AA127" s="374">
        <f t="shared" si="30"/>
        <v>739.07044800000006</v>
      </c>
      <c r="AB127" s="375"/>
      <c r="AC127" s="365"/>
      <c r="AD127" s="375">
        <f t="shared" si="32"/>
        <v>7572430.9800000004</v>
      </c>
      <c r="AE127" s="348">
        <f t="shared" si="42"/>
        <v>52541.2</v>
      </c>
      <c r="AF127" s="348">
        <f t="shared" si="42"/>
        <v>43161.64</v>
      </c>
      <c r="AG127" s="365">
        <f t="shared" si="35"/>
        <v>86023.66</v>
      </c>
      <c r="AH127" s="357"/>
      <c r="AI127" s="358"/>
      <c r="AJ127" s="358"/>
      <c r="AK127" s="358"/>
      <c r="AL127" s="358"/>
      <c r="AM127" s="358"/>
      <c r="AN127" s="358"/>
      <c r="AO127" s="358"/>
      <c r="AP127" s="358"/>
      <c r="AQ127" s="358"/>
      <c r="AR127" s="358"/>
      <c r="AS127" s="358"/>
      <c r="AT127" s="358"/>
      <c r="AU127" s="358"/>
      <c r="AV127" s="358"/>
      <c r="AW127" s="358"/>
      <c r="AX127" s="358"/>
      <c r="AY127" s="358"/>
      <c r="AZ127" s="358"/>
      <c r="BA127" s="358"/>
      <c r="BB127" s="358"/>
      <c r="BC127" s="358"/>
    </row>
    <row r="128" spans="1:55" s="376" customFormat="1" ht="15" customHeight="1" x14ac:dyDescent="0.15">
      <c r="A128" s="377">
        <v>42858</v>
      </c>
      <c r="B128" s="457" t="s">
        <v>38</v>
      </c>
      <c r="C128" s="361"/>
      <c r="D128" s="348"/>
      <c r="E128" s="348"/>
      <c r="F128" s="362"/>
      <c r="G128" s="348"/>
      <c r="H128" s="363"/>
      <c r="I128" s="363"/>
      <c r="J128" s="364">
        <f t="shared" si="29"/>
        <v>0</v>
      </c>
      <c r="K128" s="348"/>
      <c r="L128" s="348"/>
      <c r="M128" s="365">
        <f t="shared" si="31"/>
        <v>0</v>
      </c>
      <c r="N128" s="366">
        <f t="shared" si="47"/>
        <v>0</v>
      </c>
      <c r="O128" s="349">
        <f t="shared" si="47"/>
        <v>0</v>
      </c>
      <c r="P128" s="353">
        <f t="shared" si="47"/>
        <v>0</v>
      </c>
      <c r="Q128" s="368">
        <f t="shared" si="48"/>
        <v>7390704.4800000004</v>
      </c>
      <c r="R128" s="367">
        <f t="shared" si="48"/>
        <v>3745318</v>
      </c>
      <c r="S128" s="369">
        <f t="shared" si="48"/>
        <v>11317748.98</v>
      </c>
      <c r="T128" s="370">
        <f>N128/'2018'!N128-1</f>
        <v>-1</v>
      </c>
      <c r="U128" s="371">
        <f>O128/'2018'!O128-1</f>
        <v>-1</v>
      </c>
      <c r="V128" s="371">
        <f>P128/'2018'!P128-1</f>
        <v>-1</v>
      </c>
      <c r="W128" s="371">
        <f>Q128/'2018'!Q128-1</f>
        <v>-2.2747063308244053E-2</v>
      </c>
      <c r="X128" s="371">
        <f>R128/'2018'!R128-1</f>
        <v>-2.189872902026857E-2</v>
      </c>
      <c r="Y128" s="372">
        <f>S128/'2018'!S128-1</f>
        <v>-2.2514111843541684E-2</v>
      </c>
      <c r="Z128" s="373"/>
      <c r="AA128" s="374">
        <f t="shared" si="30"/>
        <v>739.07044800000006</v>
      </c>
      <c r="AB128" s="375"/>
      <c r="AC128" s="365"/>
      <c r="AD128" s="375">
        <f t="shared" si="32"/>
        <v>7572430.9800000004</v>
      </c>
      <c r="AE128" s="348">
        <f t="shared" si="42"/>
        <v>52541.2</v>
      </c>
      <c r="AF128" s="348">
        <f t="shared" si="42"/>
        <v>43161.64</v>
      </c>
      <c r="AG128" s="365">
        <f t="shared" si="35"/>
        <v>86023.66</v>
      </c>
      <c r="AH128" s="357"/>
      <c r="AI128" s="358"/>
      <c r="AJ128" s="358"/>
      <c r="AK128" s="358"/>
      <c r="AL128" s="358"/>
      <c r="AM128" s="358"/>
      <c r="AN128" s="358"/>
      <c r="AO128" s="358"/>
      <c r="AP128" s="358"/>
      <c r="AQ128" s="358"/>
      <c r="AR128" s="358"/>
      <c r="AS128" s="358"/>
      <c r="AT128" s="358"/>
      <c r="AU128" s="358"/>
      <c r="AV128" s="358"/>
      <c r="AW128" s="358"/>
      <c r="AX128" s="358"/>
      <c r="AY128" s="358"/>
      <c r="AZ128" s="358"/>
      <c r="BA128" s="358"/>
      <c r="BB128" s="358"/>
      <c r="BC128" s="358"/>
    </row>
    <row r="129" spans="1:55" s="376" customFormat="1" ht="15" customHeight="1" x14ac:dyDescent="0.15">
      <c r="A129" s="377">
        <v>42859</v>
      </c>
      <c r="B129" s="457" t="s">
        <v>39</v>
      </c>
      <c r="C129" s="361"/>
      <c r="D129" s="348"/>
      <c r="E129" s="348"/>
      <c r="F129" s="362"/>
      <c r="G129" s="348"/>
      <c r="H129" s="363"/>
      <c r="I129" s="363"/>
      <c r="J129" s="364">
        <f t="shared" si="29"/>
        <v>0</v>
      </c>
      <c r="K129" s="348"/>
      <c r="L129" s="348"/>
      <c r="M129" s="365">
        <f t="shared" si="31"/>
        <v>0</v>
      </c>
      <c r="N129" s="366">
        <f t="shared" si="47"/>
        <v>0</v>
      </c>
      <c r="O129" s="349">
        <f t="shared" si="47"/>
        <v>0</v>
      </c>
      <c r="P129" s="353">
        <f t="shared" si="47"/>
        <v>0</v>
      </c>
      <c r="Q129" s="368">
        <f t="shared" si="48"/>
        <v>7390704.4800000004</v>
      </c>
      <c r="R129" s="367">
        <f t="shared" si="48"/>
        <v>3745318</v>
      </c>
      <c r="S129" s="369">
        <f t="shared" si="48"/>
        <v>11317748.98</v>
      </c>
      <c r="T129" s="370">
        <f>N129/'2018'!N129-1</f>
        <v>-1</v>
      </c>
      <c r="U129" s="371">
        <f>O129/'2018'!O129-1</f>
        <v>-1</v>
      </c>
      <c r="V129" s="371">
        <f>P129/'2018'!P129-1</f>
        <v>-1</v>
      </c>
      <c r="W129" s="371">
        <f>Q129/'2018'!Q129-1</f>
        <v>-3.1795858699938062E-2</v>
      </c>
      <c r="X129" s="371">
        <f>R129/'2018'!R129-1</f>
        <v>-2.9017090959244429E-2</v>
      </c>
      <c r="Y129" s="372">
        <f>S129/'2018'!S129-1</f>
        <v>-3.0926610766485951E-2</v>
      </c>
      <c r="Z129" s="373"/>
      <c r="AA129" s="374">
        <f t="shared" si="30"/>
        <v>739.07044800000006</v>
      </c>
      <c r="AB129" s="375"/>
      <c r="AC129" s="365"/>
      <c r="AD129" s="375">
        <f t="shared" si="32"/>
        <v>7572430.9800000004</v>
      </c>
      <c r="AE129" s="348">
        <f t="shared" si="42"/>
        <v>52541.2</v>
      </c>
      <c r="AF129" s="348">
        <f t="shared" si="42"/>
        <v>43161.64</v>
      </c>
      <c r="AG129" s="365">
        <f t="shared" si="35"/>
        <v>86023.66</v>
      </c>
      <c r="AH129" s="357"/>
      <c r="AI129" s="358"/>
      <c r="AJ129" s="358"/>
      <c r="AK129" s="358"/>
      <c r="AL129" s="358"/>
      <c r="AM129" s="358"/>
      <c r="AN129" s="358"/>
      <c r="AO129" s="358"/>
      <c r="AP129" s="358"/>
      <c r="AQ129" s="358"/>
      <c r="AR129" s="358"/>
      <c r="AS129" s="358"/>
      <c r="AT129" s="358"/>
      <c r="AU129" s="358"/>
      <c r="AV129" s="358"/>
      <c r="AW129" s="358"/>
      <c r="AX129" s="358"/>
      <c r="AY129" s="358"/>
      <c r="AZ129" s="358"/>
      <c r="BA129" s="358"/>
      <c r="BB129" s="358"/>
      <c r="BC129" s="358"/>
    </row>
    <row r="130" spans="1:55" s="376" customFormat="1" ht="15" customHeight="1" x14ac:dyDescent="0.15">
      <c r="A130" s="377">
        <v>42860</v>
      </c>
      <c r="B130" s="457" t="s">
        <v>1</v>
      </c>
      <c r="C130" s="361"/>
      <c r="D130" s="348"/>
      <c r="E130" s="348"/>
      <c r="F130" s="362"/>
      <c r="G130" s="348"/>
      <c r="H130" s="363"/>
      <c r="I130" s="363"/>
      <c r="J130" s="364">
        <f t="shared" si="29"/>
        <v>0</v>
      </c>
      <c r="K130" s="348"/>
      <c r="L130" s="348"/>
      <c r="M130" s="365">
        <f t="shared" si="31"/>
        <v>0</v>
      </c>
      <c r="N130" s="366">
        <f t="shared" si="47"/>
        <v>0</v>
      </c>
      <c r="O130" s="349">
        <f t="shared" si="47"/>
        <v>0</v>
      </c>
      <c r="P130" s="353">
        <f t="shared" si="47"/>
        <v>0</v>
      </c>
      <c r="Q130" s="368">
        <f t="shared" si="48"/>
        <v>7390704.4800000004</v>
      </c>
      <c r="R130" s="367">
        <f t="shared" si="48"/>
        <v>3745318</v>
      </c>
      <c r="S130" s="369">
        <f t="shared" si="48"/>
        <v>11317748.98</v>
      </c>
      <c r="T130" s="370">
        <f>N130/'2018'!N130-1</f>
        <v>-1</v>
      </c>
      <c r="U130" s="371">
        <f>O130/'2018'!O130-1</f>
        <v>-1</v>
      </c>
      <c r="V130" s="371">
        <f>P130/'2018'!P130-1</f>
        <v>-1</v>
      </c>
      <c r="W130" s="371">
        <f>Q130/'2018'!Q130-1</f>
        <v>-4.0722074134269759E-2</v>
      </c>
      <c r="X130" s="371">
        <f>R130/'2018'!R130-1</f>
        <v>-3.6238721798223295E-2</v>
      </c>
      <c r="Y130" s="372">
        <f>S130/'2018'!S130-1</f>
        <v>-3.9277675009371738E-2</v>
      </c>
      <c r="Z130" s="373"/>
      <c r="AA130" s="374">
        <f t="shared" si="30"/>
        <v>739.07044800000006</v>
      </c>
      <c r="AB130" s="375"/>
      <c r="AC130" s="365"/>
      <c r="AD130" s="375">
        <f t="shared" si="32"/>
        <v>7572430.9800000004</v>
      </c>
      <c r="AE130" s="348">
        <f t="shared" si="42"/>
        <v>52541.2</v>
      </c>
      <c r="AF130" s="348">
        <f t="shared" si="42"/>
        <v>43161.64</v>
      </c>
      <c r="AG130" s="365">
        <f t="shared" si="35"/>
        <v>86023.66</v>
      </c>
      <c r="AH130" s="357"/>
      <c r="AI130" s="358"/>
      <c r="AJ130" s="358"/>
      <c r="AK130" s="358"/>
      <c r="AL130" s="358"/>
      <c r="AM130" s="358"/>
      <c r="AN130" s="358"/>
      <c r="AO130" s="358"/>
      <c r="AP130" s="358"/>
      <c r="AQ130" s="358"/>
      <c r="AR130" s="358"/>
      <c r="AS130" s="358"/>
      <c r="AT130" s="358"/>
      <c r="AU130" s="358"/>
      <c r="AV130" s="358"/>
      <c r="AW130" s="358"/>
      <c r="AX130" s="358"/>
      <c r="AY130" s="358"/>
      <c r="AZ130" s="358"/>
      <c r="BA130" s="358"/>
      <c r="BB130" s="358"/>
      <c r="BC130" s="358"/>
    </row>
    <row r="131" spans="1:55" s="376" customFormat="1" ht="15" customHeight="1" x14ac:dyDescent="0.15">
      <c r="A131" s="377">
        <v>42861</v>
      </c>
      <c r="B131" s="457" t="s">
        <v>34</v>
      </c>
      <c r="C131" s="361"/>
      <c r="D131" s="348"/>
      <c r="E131" s="348"/>
      <c r="F131" s="362"/>
      <c r="G131" s="348"/>
      <c r="H131" s="363"/>
      <c r="I131" s="363"/>
      <c r="J131" s="364">
        <f t="shared" si="29"/>
        <v>0</v>
      </c>
      <c r="K131" s="348"/>
      <c r="L131" s="348"/>
      <c r="M131" s="365">
        <f t="shared" si="31"/>
        <v>0</v>
      </c>
      <c r="N131" s="366">
        <f t="shared" si="47"/>
        <v>0</v>
      </c>
      <c r="O131" s="349">
        <f t="shared" si="47"/>
        <v>0</v>
      </c>
      <c r="P131" s="353">
        <f t="shared" si="47"/>
        <v>0</v>
      </c>
      <c r="Q131" s="368">
        <f t="shared" si="48"/>
        <v>7390704.4800000004</v>
      </c>
      <c r="R131" s="367">
        <f t="shared" si="48"/>
        <v>3745318</v>
      </c>
      <c r="S131" s="369">
        <f t="shared" si="48"/>
        <v>11317748.98</v>
      </c>
      <c r="T131" s="370">
        <f>N131/'2018'!N131-1</f>
        <v>-1</v>
      </c>
      <c r="U131" s="371">
        <f>O131/'2018'!O131-1</f>
        <v>-1</v>
      </c>
      <c r="V131" s="371">
        <f>P131/'2018'!P131-1</f>
        <v>-1</v>
      </c>
      <c r="W131" s="371">
        <f>Q131/'2018'!Q131-1</f>
        <v>-4.9224873866679841E-2</v>
      </c>
      <c r="X131" s="371">
        <f>R131/'2018'!R131-1</f>
        <v>-4.3326845366723377E-2</v>
      </c>
      <c r="Y131" s="372">
        <f>S131/'2018'!S131-1</f>
        <v>-4.7331855641955634E-2</v>
      </c>
      <c r="Z131" s="373"/>
      <c r="AA131" s="374">
        <f t="shared" si="30"/>
        <v>739.07044800000006</v>
      </c>
      <c r="AB131" s="375"/>
      <c r="AC131" s="365"/>
      <c r="AD131" s="375">
        <f t="shared" si="32"/>
        <v>7572430.9800000004</v>
      </c>
      <c r="AE131" s="348">
        <f t="shared" si="42"/>
        <v>52541.2</v>
      </c>
      <c r="AF131" s="348">
        <f t="shared" si="42"/>
        <v>43161.64</v>
      </c>
      <c r="AG131" s="365">
        <f t="shared" si="35"/>
        <v>86023.66</v>
      </c>
      <c r="AH131" s="357"/>
      <c r="AI131" s="358"/>
      <c r="AJ131" s="358"/>
      <c r="AK131" s="358"/>
      <c r="AL131" s="358"/>
      <c r="AM131" s="358"/>
      <c r="AN131" s="358"/>
      <c r="AO131" s="358"/>
      <c r="AP131" s="358"/>
      <c r="AQ131" s="358"/>
      <c r="AR131" s="358"/>
      <c r="AS131" s="358"/>
      <c r="AT131" s="358"/>
      <c r="AU131" s="358"/>
      <c r="AV131" s="358"/>
      <c r="AW131" s="358"/>
      <c r="AX131" s="358"/>
      <c r="AY131" s="358"/>
      <c r="AZ131" s="358"/>
      <c r="BA131" s="358"/>
      <c r="BB131" s="358"/>
      <c r="BC131" s="358"/>
    </row>
    <row r="132" spans="1:55" s="376" customFormat="1" ht="15" customHeight="1" x14ac:dyDescent="0.15">
      <c r="A132" s="377">
        <v>42862</v>
      </c>
      <c r="B132" s="457" t="s">
        <v>35</v>
      </c>
      <c r="C132" s="361"/>
      <c r="D132" s="348"/>
      <c r="E132" s="348"/>
      <c r="F132" s="362"/>
      <c r="G132" s="348"/>
      <c r="H132" s="363"/>
      <c r="I132" s="363"/>
      <c r="J132" s="364">
        <f t="shared" si="29"/>
        <v>0</v>
      </c>
      <c r="K132" s="348"/>
      <c r="L132" s="348"/>
      <c r="M132" s="365">
        <f t="shared" si="31"/>
        <v>0</v>
      </c>
      <c r="N132" s="366">
        <f t="shared" si="47"/>
        <v>0</v>
      </c>
      <c r="O132" s="349">
        <f t="shared" si="47"/>
        <v>0</v>
      </c>
      <c r="P132" s="353">
        <f t="shared" si="47"/>
        <v>0</v>
      </c>
      <c r="Q132" s="368">
        <f t="shared" si="48"/>
        <v>7390704.4800000004</v>
      </c>
      <c r="R132" s="367">
        <f t="shared" si="48"/>
        <v>3745318</v>
      </c>
      <c r="S132" s="369">
        <f t="shared" si="48"/>
        <v>11317748.98</v>
      </c>
      <c r="T132" s="370">
        <f>N132/'2018'!N132-1</f>
        <v>-1</v>
      </c>
      <c r="U132" s="371">
        <f>O132/'2018'!O132-1</f>
        <v>-1</v>
      </c>
      <c r="V132" s="371">
        <f>P132/'2018'!P132-1</f>
        <v>-1</v>
      </c>
      <c r="W132" s="371">
        <f>Q132/'2018'!Q132-1</f>
        <v>-5.7884724656432462E-2</v>
      </c>
      <c r="X132" s="371">
        <f>R132/'2018'!R132-1</f>
        <v>-5.057604481001976E-2</v>
      </c>
      <c r="Y132" s="372">
        <f>S132/'2018'!S132-1</f>
        <v>-5.5565332880657792E-2</v>
      </c>
      <c r="Z132" s="373"/>
      <c r="AA132" s="374">
        <f t="shared" si="30"/>
        <v>739.07044800000006</v>
      </c>
      <c r="AB132" s="375"/>
      <c r="AC132" s="365"/>
      <c r="AD132" s="375">
        <f t="shared" si="32"/>
        <v>7572430.9800000004</v>
      </c>
      <c r="AE132" s="348">
        <f t="shared" si="42"/>
        <v>52541.2</v>
      </c>
      <c r="AF132" s="348">
        <f t="shared" si="42"/>
        <v>43161.64</v>
      </c>
      <c r="AG132" s="365">
        <f t="shared" si="35"/>
        <v>86023.66</v>
      </c>
      <c r="AH132" s="357"/>
      <c r="AI132" s="358"/>
      <c r="AJ132" s="358"/>
      <c r="AK132" s="358"/>
      <c r="AL132" s="358"/>
      <c r="AM132" s="358"/>
      <c r="AN132" s="358"/>
      <c r="AO132" s="358"/>
      <c r="AP132" s="358"/>
      <c r="AQ132" s="358"/>
      <c r="AR132" s="358"/>
      <c r="AS132" s="358"/>
      <c r="AT132" s="358"/>
      <c r="AU132" s="358"/>
      <c r="AV132" s="358"/>
      <c r="AW132" s="358"/>
      <c r="AX132" s="358"/>
      <c r="AY132" s="358"/>
      <c r="AZ132" s="358"/>
      <c r="BA132" s="358"/>
      <c r="BB132" s="358"/>
      <c r="BC132" s="358"/>
    </row>
    <row r="133" spans="1:55" s="376" customFormat="1" ht="15" customHeight="1" x14ac:dyDescent="0.15">
      <c r="A133" s="377">
        <v>42863</v>
      </c>
      <c r="B133" s="457" t="s">
        <v>36</v>
      </c>
      <c r="C133" s="361"/>
      <c r="D133" s="348"/>
      <c r="E133" s="348"/>
      <c r="F133" s="362"/>
      <c r="G133" s="348"/>
      <c r="H133" s="363"/>
      <c r="I133" s="363"/>
      <c r="J133" s="364">
        <f t="shared" ref="J133:J196" si="49">E133-D133</f>
        <v>0</v>
      </c>
      <c r="K133" s="348"/>
      <c r="L133" s="348"/>
      <c r="M133" s="365">
        <f t="shared" si="31"/>
        <v>0</v>
      </c>
      <c r="N133" s="366">
        <f t="shared" si="47"/>
        <v>0</v>
      </c>
      <c r="O133" s="349">
        <f t="shared" si="47"/>
        <v>0</v>
      </c>
      <c r="P133" s="353">
        <f t="shared" si="47"/>
        <v>0</v>
      </c>
      <c r="Q133" s="368">
        <f t="shared" si="48"/>
        <v>7390704.4800000004</v>
      </c>
      <c r="R133" s="367">
        <f t="shared" si="48"/>
        <v>3745318</v>
      </c>
      <c r="S133" s="369">
        <f t="shared" si="48"/>
        <v>11317748.98</v>
      </c>
      <c r="T133" s="370">
        <f>N133/'2018'!N133-1</f>
        <v>-1</v>
      </c>
      <c r="U133" s="371">
        <f>O133/'2018'!O133-1</f>
        <v>-1</v>
      </c>
      <c r="V133" s="371">
        <f>P133/'2018'!P133-1</f>
        <v>-1</v>
      </c>
      <c r="W133" s="371">
        <f>Q133/'2018'!Q133-1</f>
        <v>-6.6089420215188155E-2</v>
      </c>
      <c r="X133" s="371">
        <f>R133/'2018'!R133-1</f>
        <v>-5.7913171871600277E-2</v>
      </c>
      <c r="Y133" s="372">
        <f>S133/'2018'!S133-1</f>
        <v>-6.3468813785483413E-2</v>
      </c>
      <c r="Z133" s="373"/>
      <c r="AA133" s="374">
        <f t="shared" ref="AA133:AA196" si="50">Q133/10000-Z133</f>
        <v>739.07044800000006</v>
      </c>
      <c r="AB133" s="375"/>
      <c r="AC133" s="365"/>
      <c r="AD133" s="375">
        <f t="shared" si="32"/>
        <v>7572430.9800000004</v>
      </c>
      <c r="AE133" s="348">
        <f t="shared" si="42"/>
        <v>52541.2</v>
      </c>
      <c r="AF133" s="348">
        <f t="shared" si="42"/>
        <v>43161.64</v>
      </c>
      <c r="AG133" s="365">
        <f t="shared" si="35"/>
        <v>86023.66</v>
      </c>
      <c r="AH133" s="357"/>
      <c r="AI133" s="358"/>
      <c r="AJ133" s="358"/>
      <c r="AK133" s="358"/>
      <c r="AL133" s="358"/>
      <c r="AM133" s="358"/>
      <c r="AN133" s="358"/>
      <c r="AO133" s="358"/>
      <c r="AP133" s="358"/>
      <c r="AQ133" s="358"/>
      <c r="AR133" s="358"/>
      <c r="AS133" s="358"/>
      <c r="AT133" s="358"/>
      <c r="AU133" s="358"/>
      <c r="AV133" s="358"/>
      <c r="AW133" s="358"/>
      <c r="AX133" s="358"/>
      <c r="AY133" s="358"/>
      <c r="AZ133" s="358"/>
      <c r="BA133" s="358"/>
      <c r="BB133" s="358"/>
      <c r="BC133" s="358"/>
    </row>
    <row r="134" spans="1:55" s="376" customFormat="1" ht="15" customHeight="1" x14ac:dyDescent="0.15">
      <c r="A134" s="377">
        <v>42864</v>
      </c>
      <c r="B134" s="182" t="s">
        <v>37</v>
      </c>
      <c r="C134" s="361"/>
      <c r="D134" s="348"/>
      <c r="E134" s="348"/>
      <c r="F134" s="412"/>
      <c r="G134" s="412"/>
      <c r="H134" s="363"/>
      <c r="I134" s="363"/>
      <c r="J134" s="364">
        <f t="shared" si="49"/>
        <v>0</v>
      </c>
      <c r="K134" s="348"/>
      <c r="L134" s="348"/>
      <c r="M134" s="365">
        <f t="shared" ref="M134:M197" si="51">J134-K134-L134-C134</f>
        <v>0</v>
      </c>
      <c r="N134" s="366">
        <f t="shared" si="47"/>
        <v>0</v>
      </c>
      <c r="O134" s="349">
        <f t="shared" si="47"/>
        <v>0</v>
      </c>
      <c r="P134" s="353">
        <f t="shared" si="47"/>
        <v>0</v>
      </c>
      <c r="Q134" s="368">
        <f t="shared" si="48"/>
        <v>7390704.4800000004</v>
      </c>
      <c r="R134" s="367">
        <f t="shared" si="48"/>
        <v>3745318</v>
      </c>
      <c r="S134" s="369">
        <f t="shared" si="48"/>
        <v>11317748.98</v>
      </c>
      <c r="T134" s="370">
        <f>N134/'2018'!N134-1</f>
        <v>-1</v>
      </c>
      <c r="U134" s="371">
        <f>O134/'2018'!O134-1</f>
        <v>-1</v>
      </c>
      <c r="V134" s="371">
        <f>P134/'2018'!P134-1</f>
        <v>-1</v>
      </c>
      <c r="W134" s="371">
        <f>Q134/'2018'!Q134-1</f>
        <v>-7.4020320307111032E-2</v>
      </c>
      <c r="X134" s="371">
        <f>R134/'2018'!R134-1</f>
        <v>-6.5090393964166937E-2</v>
      </c>
      <c r="Y134" s="372">
        <f>S134/'2018'!S134-1</f>
        <v>-7.1159630266324325E-2</v>
      </c>
      <c r="Z134" s="373"/>
      <c r="AA134" s="374">
        <f t="shared" si="50"/>
        <v>739.07044800000006</v>
      </c>
      <c r="AB134" s="375"/>
      <c r="AC134" s="365"/>
      <c r="AD134" s="375">
        <f t="shared" ref="AD134:AD197" si="52">S134-R134</f>
        <v>7572430.9800000004</v>
      </c>
      <c r="AE134" s="348">
        <f t="shared" si="42"/>
        <v>52541.2</v>
      </c>
      <c r="AF134" s="348">
        <f t="shared" si="42"/>
        <v>43161.64</v>
      </c>
      <c r="AG134" s="365">
        <f t="shared" si="35"/>
        <v>86023.66</v>
      </c>
      <c r="AH134" s="357"/>
      <c r="AI134" s="358"/>
      <c r="AJ134" s="358"/>
      <c r="AK134" s="358"/>
      <c r="AL134" s="358"/>
      <c r="AM134" s="358"/>
      <c r="AN134" s="358"/>
      <c r="AO134" s="358"/>
      <c r="AP134" s="358"/>
      <c r="AQ134" s="358"/>
      <c r="AR134" s="358"/>
      <c r="AS134" s="358"/>
      <c r="AT134" s="358"/>
      <c r="AU134" s="358"/>
      <c r="AV134" s="358"/>
      <c r="AW134" s="358"/>
      <c r="AX134" s="358"/>
      <c r="AY134" s="358"/>
      <c r="AZ134" s="358"/>
      <c r="BA134" s="358"/>
      <c r="BB134" s="358"/>
      <c r="BC134" s="358"/>
    </row>
    <row r="135" spans="1:55" s="376" customFormat="1" ht="15" customHeight="1" x14ac:dyDescent="0.15">
      <c r="A135" s="377">
        <v>42865</v>
      </c>
      <c r="B135" s="457" t="s">
        <v>38</v>
      </c>
      <c r="C135" s="361"/>
      <c r="D135" s="348"/>
      <c r="E135" s="348"/>
      <c r="F135" s="362"/>
      <c r="G135" s="348"/>
      <c r="H135" s="363"/>
      <c r="I135" s="363"/>
      <c r="J135" s="364">
        <f t="shared" si="49"/>
        <v>0</v>
      </c>
      <c r="K135" s="348"/>
      <c r="L135" s="348"/>
      <c r="M135" s="365">
        <f t="shared" si="51"/>
        <v>0</v>
      </c>
      <c r="N135" s="366">
        <f t="shared" si="47"/>
        <v>0</v>
      </c>
      <c r="O135" s="349">
        <f t="shared" si="47"/>
        <v>0</v>
      </c>
      <c r="P135" s="353">
        <f t="shared" si="47"/>
        <v>0</v>
      </c>
      <c r="Q135" s="368">
        <f t="shared" si="48"/>
        <v>7390704.4800000004</v>
      </c>
      <c r="R135" s="367">
        <f t="shared" si="48"/>
        <v>3745318</v>
      </c>
      <c r="S135" s="369">
        <f t="shared" si="48"/>
        <v>11317748.98</v>
      </c>
      <c r="T135" s="370">
        <f>N135/'2018'!N135-1</f>
        <v>-1</v>
      </c>
      <c r="U135" s="371">
        <f>O135/'2018'!O135-1</f>
        <v>-1</v>
      </c>
      <c r="V135" s="371">
        <f>P135/'2018'!P135-1</f>
        <v>-1</v>
      </c>
      <c r="W135" s="371">
        <f>Q135/'2018'!Q135-1</f>
        <v>-8.1813091194819609E-2</v>
      </c>
      <c r="X135" s="371">
        <f>R135/'2018'!R135-1</f>
        <v>-7.2225968233930793E-2</v>
      </c>
      <c r="Y135" s="372">
        <f>S135/'2018'!S135-1</f>
        <v>-7.8748183407491568E-2</v>
      </c>
      <c r="Z135" s="373"/>
      <c r="AA135" s="374">
        <f t="shared" si="50"/>
        <v>739.07044800000006</v>
      </c>
      <c r="AB135" s="375"/>
      <c r="AC135" s="365"/>
      <c r="AD135" s="375">
        <f t="shared" si="52"/>
        <v>7572430.9800000004</v>
      </c>
      <c r="AE135" s="348">
        <f t="shared" ref="AE135:AF150" si="53">AE134+K135</f>
        <v>52541.2</v>
      </c>
      <c r="AF135" s="348">
        <f t="shared" si="53"/>
        <v>43161.64</v>
      </c>
      <c r="AG135" s="365">
        <f t="shared" ref="AG135:AG198" si="54">AD135-Q135-AE135-AF135</f>
        <v>86023.66</v>
      </c>
      <c r="AH135" s="357"/>
      <c r="AI135" s="358"/>
      <c r="AJ135" s="358"/>
      <c r="AK135" s="358"/>
      <c r="AL135" s="358"/>
      <c r="AM135" s="358"/>
      <c r="AN135" s="358"/>
      <c r="AO135" s="358"/>
      <c r="AP135" s="358"/>
      <c r="AQ135" s="358"/>
      <c r="AR135" s="358"/>
      <c r="AS135" s="358"/>
      <c r="AT135" s="358"/>
      <c r="AU135" s="358"/>
      <c r="AV135" s="358"/>
      <c r="AW135" s="358"/>
      <c r="AX135" s="358"/>
      <c r="AY135" s="358"/>
      <c r="AZ135" s="358"/>
      <c r="BA135" s="358"/>
      <c r="BB135" s="358"/>
      <c r="BC135" s="358"/>
    </row>
    <row r="136" spans="1:55" s="376" customFormat="1" ht="15" customHeight="1" x14ac:dyDescent="0.15">
      <c r="A136" s="377">
        <v>42866</v>
      </c>
      <c r="B136" s="457" t="s">
        <v>39</v>
      </c>
      <c r="C136" s="361"/>
      <c r="D136" s="348"/>
      <c r="E136" s="348"/>
      <c r="F136" s="362"/>
      <c r="G136" s="348"/>
      <c r="H136" s="363"/>
      <c r="I136" s="363"/>
      <c r="J136" s="364">
        <f t="shared" si="49"/>
        <v>0</v>
      </c>
      <c r="K136" s="348"/>
      <c r="L136" s="348"/>
      <c r="M136" s="365">
        <f t="shared" si="51"/>
        <v>0</v>
      </c>
      <c r="N136" s="366">
        <f t="shared" si="47"/>
        <v>0</v>
      </c>
      <c r="O136" s="349">
        <f t="shared" si="47"/>
        <v>0</v>
      </c>
      <c r="P136" s="353">
        <f t="shared" si="47"/>
        <v>0</v>
      </c>
      <c r="Q136" s="368">
        <f t="shared" si="48"/>
        <v>7390704.4800000004</v>
      </c>
      <c r="R136" s="367">
        <f t="shared" si="48"/>
        <v>3745318</v>
      </c>
      <c r="S136" s="369">
        <f t="shared" si="48"/>
        <v>11317748.98</v>
      </c>
      <c r="T136" s="370">
        <f>N136/'2018'!N136-1</f>
        <v>-1</v>
      </c>
      <c r="U136" s="371">
        <f>O136/'2018'!O136-1</f>
        <v>-1</v>
      </c>
      <c r="V136" s="371">
        <f>P136/'2018'!P136-1</f>
        <v>-1</v>
      </c>
      <c r="W136" s="371">
        <f>Q136/'2018'!Q136-1</f>
        <v>-8.9650753204381317E-2</v>
      </c>
      <c r="X136" s="371">
        <f>R136/'2018'!R136-1</f>
        <v>-7.9256840208942969E-2</v>
      </c>
      <c r="Y136" s="372">
        <f>S136/'2018'!S136-1</f>
        <v>-8.6327866522324936E-2</v>
      </c>
      <c r="Z136" s="373"/>
      <c r="AA136" s="374">
        <f t="shared" si="50"/>
        <v>739.07044800000006</v>
      </c>
      <c r="AB136" s="375"/>
      <c r="AC136" s="365"/>
      <c r="AD136" s="375">
        <f t="shared" si="52"/>
        <v>7572430.9800000004</v>
      </c>
      <c r="AE136" s="348">
        <f t="shared" si="53"/>
        <v>52541.2</v>
      </c>
      <c r="AF136" s="348">
        <f t="shared" si="53"/>
        <v>43161.64</v>
      </c>
      <c r="AG136" s="365">
        <f t="shared" si="54"/>
        <v>86023.66</v>
      </c>
      <c r="AH136" s="357"/>
      <c r="AI136" s="358"/>
      <c r="AJ136" s="358"/>
      <c r="AK136" s="358"/>
      <c r="AL136" s="358"/>
      <c r="AM136" s="358"/>
      <c r="AN136" s="358"/>
      <c r="AO136" s="358"/>
      <c r="AP136" s="358"/>
      <c r="AQ136" s="358"/>
      <c r="AR136" s="358"/>
      <c r="AS136" s="358"/>
      <c r="AT136" s="358"/>
      <c r="AU136" s="358"/>
      <c r="AV136" s="358"/>
      <c r="AW136" s="358"/>
      <c r="AX136" s="358"/>
      <c r="AY136" s="358"/>
      <c r="AZ136" s="358"/>
      <c r="BA136" s="358"/>
      <c r="BB136" s="358"/>
      <c r="BC136" s="358"/>
    </row>
    <row r="137" spans="1:55" s="376" customFormat="1" ht="15" customHeight="1" x14ac:dyDescent="0.15">
      <c r="A137" s="377">
        <v>42867</v>
      </c>
      <c r="B137" s="457" t="s">
        <v>1</v>
      </c>
      <c r="C137" s="361"/>
      <c r="D137" s="348"/>
      <c r="E137" s="348"/>
      <c r="F137" s="362"/>
      <c r="G137" s="348"/>
      <c r="H137" s="363"/>
      <c r="I137" s="363"/>
      <c r="J137" s="364">
        <f t="shared" si="49"/>
        <v>0</v>
      </c>
      <c r="K137" s="348"/>
      <c r="L137" s="348"/>
      <c r="M137" s="365">
        <f t="shared" si="51"/>
        <v>0</v>
      </c>
      <c r="N137" s="366">
        <f t="shared" si="47"/>
        <v>0</v>
      </c>
      <c r="O137" s="349">
        <f t="shared" si="47"/>
        <v>0</v>
      </c>
      <c r="P137" s="353">
        <f t="shared" si="47"/>
        <v>0</v>
      </c>
      <c r="Q137" s="368">
        <f t="shared" si="48"/>
        <v>7390704.4800000004</v>
      </c>
      <c r="R137" s="367">
        <f t="shared" si="48"/>
        <v>3745318</v>
      </c>
      <c r="S137" s="369">
        <f t="shared" si="48"/>
        <v>11317748.98</v>
      </c>
      <c r="T137" s="370">
        <f>N137/'2018'!N137-1</f>
        <v>-1</v>
      </c>
      <c r="U137" s="371">
        <f>O137/'2018'!O137-1</f>
        <v>-1</v>
      </c>
      <c r="V137" s="371">
        <f>P137/'2018'!P137-1</f>
        <v>-1</v>
      </c>
      <c r="W137" s="371">
        <f>Q137/'2018'!Q137-1</f>
        <v>-9.7778213146799686E-2</v>
      </c>
      <c r="X137" s="371">
        <f>R137/'2018'!R137-1</f>
        <v>-8.6008230352248582E-2</v>
      </c>
      <c r="Y137" s="372">
        <f>S137/'2018'!S137-1</f>
        <v>-9.3972679434649264E-2</v>
      </c>
      <c r="Z137" s="373"/>
      <c r="AA137" s="374">
        <f t="shared" si="50"/>
        <v>739.07044800000006</v>
      </c>
      <c r="AB137" s="375"/>
      <c r="AC137" s="365"/>
      <c r="AD137" s="375">
        <f t="shared" si="52"/>
        <v>7572430.9800000004</v>
      </c>
      <c r="AE137" s="348">
        <f t="shared" si="53"/>
        <v>52541.2</v>
      </c>
      <c r="AF137" s="348">
        <f t="shared" si="53"/>
        <v>43161.64</v>
      </c>
      <c r="AG137" s="365">
        <f t="shared" si="54"/>
        <v>86023.66</v>
      </c>
      <c r="AH137" s="357"/>
      <c r="AI137" s="358"/>
      <c r="AJ137" s="358"/>
      <c r="AK137" s="358"/>
      <c r="AL137" s="358"/>
      <c r="AM137" s="358"/>
      <c r="AN137" s="358"/>
      <c r="AO137" s="358"/>
      <c r="AP137" s="358"/>
      <c r="AQ137" s="358"/>
      <c r="AR137" s="358"/>
      <c r="AS137" s="358"/>
      <c r="AT137" s="358"/>
      <c r="AU137" s="358"/>
      <c r="AV137" s="358"/>
      <c r="AW137" s="358"/>
      <c r="AX137" s="358"/>
      <c r="AY137" s="358"/>
      <c r="AZ137" s="358"/>
      <c r="BA137" s="358"/>
      <c r="BB137" s="358"/>
      <c r="BC137" s="358"/>
    </row>
    <row r="138" spans="1:55" s="376" customFormat="1" ht="15" customHeight="1" x14ac:dyDescent="0.15">
      <c r="A138" s="377">
        <v>42868</v>
      </c>
      <c r="B138" s="457" t="s">
        <v>34</v>
      </c>
      <c r="C138" s="361"/>
      <c r="D138" s="348"/>
      <c r="E138" s="348"/>
      <c r="F138" s="362"/>
      <c r="G138" s="348"/>
      <c r="H138" s="363"/>
      <c r="I138" s="363"/>
      <c r="J138" s="364">
        <f t="shared" si="49"/>
        <v>0</v>
      </c>
      <c r="K138" s="348"/>
      <c r="L138" s="348"/>
      <c r="M138" s="365">
        <f t="shared" si="51"/>
        <v>0</v>
      </c>
      <c r="N138" s="366">
        <f t="shared" si="47"/>
        <v>0</v>
      </c>
      <c r="O138" s="349">
        <f t="shared" si="47"/>
        <v>0</v>
      </c>
      <c r="P138" s="353">
        <f t="shared" si="47"/>
        <v>0</v>
      </c>
      <c r="Q138" s="368">
        <f t="shared" si="48"/>
        <v>7390704.4800000004</v>
      </c>
      <c r="R138" s="367">
        <f t="shared" si="48"/>
        <v>3745318</v>
      </c>
      <c r="S138" s="369">
        <f t="shared" si="48"/>
        <v>11317748.98</v>
      </c>
      <c r="T138" s="370">
        <f>N138/'2018'!N138-1</f>
        <v>-1</v>
      </c>
      <c r="U138" s="371">
        <f>O138/'2018'!O138-1</f>
        <v>-1</v>
      </c>
      <c r="V138" s="371">
        <f>P138/'2018'!P138-1</f>
        <v>-1</v>
      </c>
      <c r="W138" s="371">
        <f>Q138/'2018'!Q138-1</f>
        <v>-0.10540897004176508</v>
      </c>
      <c r="X138" s="371">
        <f>R138/'2018'!R138-1</f>
        <v>-9.2330614676288891E-2</v>
      </c>
      <c r="Y138" s="372">
        <f>S138/'2018'!S138-1</f>
        <v>-0.10115266757986008</v>
      </c>
      <c r="Z138" s="373"/>
      <c r="AA138" s="374">
        <f t="shared" si="50"/>
        <v>739.07044800000006</v>
      </c>
      <c r="AB138" s="375"/>
      <c r="AC138" s="365"/>
      <c r="AD138" s="375">
        <f t="shared" si="52"/>
        <v>7572430.9800000004</v>
      </c>
      <c r="AE138" s="348">
        <f t="shared" si="53"/>
        <v>52541.2</v>
      </c>
      <c r="AF138" s="348">
        <f t="shared" si="53"/>
        <v>43161.64</v>
      </c>
      <c r="AG138" s="365">
        <f t="shared" si="54"/>
        <v>86023.66</v>
      </c>
      <c r="AH138" s="357"/>
      <c r="AI138" s="358"/>
      <c r="AJ138" s="358"/>
      <c r="AK138" s="358"/>
      <c r="AL138" s="358"/>
      <c r="AM138" s="358"/>
      <c r="AN138" s="358"/>
      <c r="AO138" s="358"/>
      <c r="AP138" s="358"/>
      <c r="AQ138" s="358"/>
      <c r="AR138" s="358"/>
      <c r="AS138" s="358"/>
      <c r="AT138" s="358"/>
      <c r="AU138" s="358"/>
      <c r="AV138" s="358"/>
      <c r="AW138" s="358"/>
      <c r="AX138" s="358"/>
      <c r="AY138" s="358"/>
      <c r="AZ138" s="358"/>
      <c r="BA138" s="358"/>
      <c r="BB138" s="358"/>
      <c r="BC138" s="358"/>
    </row>
    <row r="139" spans="1:55" s="376" customFormat="1" ht="15" customHeight="1" x14ac:dyDescent="0.15">
      <c r="A139" s="377">
        <v>42869</v>
      </c>
      <c r="B139" s="457" t="s">
        <v>35</v>
      </c>
      <c r="C139" s="361"/>
      <c r="D139" s="348"/>
      <c r="E139" s="348"/>
      <c r="F139" s="362"/>
      <c r="G139" s="348"/>
      <c r="H139" s="363"/>
      <c r="I139" s="363"/>
      <c r="J139" s="364">
        <f t="shared" si="49"/>
        <v>0</v>
      </c>
      <c r="K139" s="348"/>
      <c r="L139" s="348"/>
      <c r="M139" s="365">
        <f t="shared" si="51"/>
        <v>0</v>
      </c>
      <c r="N139" s="366">
        <f t="shared" si="47"/>
        <v>0</v>
      </c>
      <c r="O139" s="349">
        <f t="shared" si="47"/>
        <v>0</v>
      </c>
      <c r="P139" s="353">
        <f t="shared" si="47"/>
        <v>0</v>
      </c>
      <c r="Q139" s="368">
        <f t="shared" si="48"/>
        <v>7390704.4800000004</v>
      </c>
      <c r="R139" s="367">
        <f t="shared" si="48"/>
        <v>3745318</v>
      </c>
      <c r="S139" s="369">
        <f t="shared" si="48"/>
        <v>11317748.98</v>
      </c>
      <c r="T139" s="370">
        <f>N139/'2018'!N139-1</f>
        <v>-1</v>
      </c>
      <c r="U139" s="371">
        <f>O139/'2018'!O139-1</f>
        <v>-1</v>
      </c>
      <c r="V139" s="371">
        <f>P139/'2018'!P139-1</f>
        <v>-1</v>
      </c>
      <c r="W139" s="371">
        <f>Q139/'2018'!Q139-1</f>
        <v>-0.11363665964412406</v>
      </c>
      <c r="X139" s="371">
        <f>R139/'2018'!R139-1</f>
        <v>-9.8705615321233009E-2</v>
      </c>
      <c r="Y139" s="372">
        <f>S139/'2018'!S139-1</f>
        <v>-0.10881887315737071</v>
      </c>
      <c r="Z139" s="373"/>
      <c r="AA139" s="374">
        <f t="shared" si="50"/>
        <v>739.07044800000006</v>
      </c>
      <c r="AB139" s="375"/>
      <c r="AC139" s="365"/>
      <c r="AD139" s="375">
        <f t="shared" si="52"/>
        <v>7572430.9800000004</v>
      </c>
      <c r="AE139" s="348">
        <f t="shared" si="53"/>
        <v>52541.2</v>
      </c>
      <c r="AF139" s="348">
        <f t="shared" si="53"/>
        <v>43161.64</v>
      </c>
      <c r="AG139" s="365">
        <f t="shared" si="54"/>
        <v>86023.66</v>
      </c>
      <c r="AH139" s="357"/>
      <c r="AI139" s="358"/>
      <c r="AJ139" s="358"/>
      <c r="AK139" s="358"/>
      <c r="AL139" s="358"/>
      <c r="AM139" s="358"/>
      <c r="AN139" s="358"/>
      <c r="AO139" s="358"/>
      <c r="AP139" s="358"/>
      <c r="AQ139" s="358"/>
      <c r="AR139" s="358"/>
      <c r="AS139" s="358"/>
      <c r="AT139" s="358"/>
      <c r="AU139" s="358"/>
      <c r="AV139" s="358"/>
      <c r="AW139" s="358"/>
      <c r="AX139" s="358"/>
      <c r="AY139" s="358"/>
      <c r="AZ139" s="358"/>
      <c r="BA139" s="358"/>
      <c r="BB139" s="358"/>
      <c r="BC139" s="358"/>
    </row>
    <row r="140" spans="1:55" s="376" customFormat="1" ht="15" customHeight="1" x14ac:dyDescent="0.15">
      <c r="A140" s="377">
        <v>42870</v>
      </c>
      <c r="B140" s="457" t="s">
        <v>36</v>
      </c>
      <c r="C140" s="361"/>
      <c r="D140" s="348"/>
      <c r="E140" s="348"/>
      <c r="F140" s="362"/>
      <c r="G140" s="348"/>
      <c r="H140" s="363"/>
      <c r="I140" s="363"/>
      <c r="J140" s="364">
        <f t="shared" si="49"/>
        <v>0</v>
      </c>
      <c r="K140" s="348"/>
      <c r="L140" s="348"/>
      <c r="M140" s="365">
        <f t="shared" si="51"/>
        <v>0</v>
      </c>
      <c r="N140" s="366">
        <f t="shared" si="47"/>
        <v>0</v>
      </c>
      <c r="O140" s="349">
        <f t="shared" si="47"/>
        <v>0</v>
      </c>
      <c r="P140" s="353">
        <f t="shared" si="47"/>
        <v>0</v>
      </c>
      <c r="Q140" s="368">
        <f t="shared" si="48"/>
        <v>7390704.4800000004</v>
      </c>
      <c r="R140" s="367">
        <f t="shared" si="48"/>
        <v>3745318</v>
      </c>
      <c r="S140" s="369">
        <f t="shared" si="48"/>
        <v>11317748.98</v>
      </c>
      <c r="T140" s="370">
        <f>N140/'2018'!N140-1</f>
        <v>-1</v>
      </c>
      <c r="U140" s="371">
        <f>O140/'2018'!O140-1</f>
        <v>-1</v>
      </c>
      <c r="V140" s="371">
        <f>P140/'2018'!P140-1</f>
        <v>-1</v>
      </c>
      <c r="W140" s="371">
        <f>Q140/'2018'!Q140-1</f>
        <v>-0.12203510947953133</v>
      </c>
      <c r="X140" s="371">
        <f>R140/'2018'!R140-1</f>
        <v>-0.10565977362815804</v>
      </c>
      <c r="Y140" s="372">
        <f>S140/'2018'!S140-1</f>
        <v>-0.11681204077177576</v>
      </c>
      <c r="Z140" s="373"/>
      <c r="AA140" s="374">
        <f t="shared" si="50"/>
        <v>739.07044800000006</v>
      </c>
      <c r="AB140" s="375"/>
      <c r="AC140" s="365"/>
      <c r="AD140" s="375">
        <f t="shared" si="52"/>
        <v>7572430.9800000004</v>
      </c>
      <c r="AE140" s="348">
        <f t="shared" si="53"/>
        <v>52541.2</v>
      </c>
      <c r="AF140" s="348">
        <f t="shared" si="53"/>
        <v>43161.64</v>
      </c>
      <c r="AG140" s="365">
        <f t="shared" si="54"/>
        <v>86023.66</v>
      </c>
      <c r="AH140" s="357"/>
      <c r="AI140" s="358"/>
      <c r="AJ140" s="358"/>
      <c r="AK140" s="358"/>
      <c r="AL140" s="358"/>
      <c r="AM140" s="358"/>
      <c r="AN140" s="358"/>
      <c r="AO140" s="358"/>
      <c r="AP140" s="358"/>
      <c r="AQ140" s="358"/>
      <c r="AR140" s="358"/>
      <c r="AS140" s="358"/>
      <c r="AT140" s="358"/>
      <c r="AU140" s="358"/>
      <c r="AV140" s="358"/>
      <c r="AW140" s="358"/>
      <c r="AX140" s="358"/>
      <c r="AY140" s="358"/>
      <c r="AZ140" s="358"/>
      <c r="BA140" s="358"/>
      <c r="BB140" s="358"/>
      <c r="BC140" s="358"/>
    </row>
    <row r="141" spans="1:55" s="376" customFormat="1" ht="15" customHeight="1" x14ac:dyDescent="0.15">
      <c r="A141" s="377">
        <v>42871</v>
      </c>
      <c r="B141" s="182" t="s">
        <v>37</v>
      </c>
      <c r="C141" s="361"/>
      <c r="D141" s="348"/>
      <c r="E141" s="348"/>
      <c r="F141" s="362"/>
      <c r="G141" s="348"/>
      <c r="H141" s="363"/>
      <c r="I141" s="363"/>
      <c r="J141" s="364">
        <f t="shared" si="49"/>
        <v>0</v>
      </c>
      <c r="K141" s="348"/>
      <c r="L141" s="348"/>
      <c r="M141" s="365">
        <f t="shared" si="51"/>
        <v>0</v>
      </c>
      <c r="N141" s="366">
        <f t="shared" si="47"/>
        <v>0</v>
      </c>
      <c r="O141" s="349">
        <f t="shared" si="47"/>
        <v>0</v>
      </c>
      <c r="P141" s="353">
        <f t="shared" si="47"/>
        <v>0</v>
      </c>
      <c r="Q141" s="368">
        <f t="shared" si="48"/>
        <v>7390704.4800000004</v>
      </c>
      <c r="R141" s="367">
        <f t="shared" si="48"/>
        <v>3745318</v>
      </c>
      <c r="S141" s="369">
        <f t="shared" si="48"/>
        <v>11317748.98</v>
      </c>
      <c r="T141" s="370">
        <f>N141/'2018'!N141-1</f>
        <v>-1</v>
      </c>
      <c r="U141" s="371">
        <f>O141/'2018'!O141-1</f>
        <v>-1</v>
      </c>
      <c r="V141" s="371">
        <f>P141/'2018'!P141-1</f>
        <v>-1</v>
      </c>
      <c r="W141" s="371">
        <f>Q141/'2018'!Q141-1</f>
        <v>-0.13047706817869331</v>
      </c>
      <c r="X141" s="371">
        <f>R141/'2018'!R141-1</f>
        <v>-0.11324561247743348</v>
      </c>
      <c r="Y141" s="372">
        <f>S141/'2018'!S141-1</f>
        <v>-0.12507371115980737</v>
      </c>
      <c r="Z141" s="373"/>
      <c r="AA141" s="374">
        <f t="shared" si="50"/>
        <v>739.07044800000006</v>
      </c>
      <c r="AB141" s="375"/>
      <c r="AC141" s="365"/>
      <c r="AD141" s="375">
        <f t="shared" si="52"/>
        <v>7572430.9800000004</v>
      </c>
      <c r="AE141" s="348">
        <f t="shared" si="53"/>
        <v>52541.2</v>
      </c>
      <c r="AF141" s="348">
        <f t="shared" si="53"/>
        <v>43161.64</v>
      </c>
      <c r="AG141" s="365">
        <f t="shared" si="54"/>
        <v>86023.66</v>
      </c>
      <c r="AH141" s="357"/>
      <c r="AI141" s="358"/>
      <c r="AJ141" s="358"/>
      <c r="AK141" s="358"/>
      <c r="AL141" s="358"/>
      <c r="AM141" s="358"/>
      <c r="AN141" s="358"/>
      <c r="AO141" s="358"/>
      <c r="AP141" s="358"/>
      <c r="AQ141" s="358"/>
      <c r="AR141" s="358"/>
      <c r="AS141" s="358"/>
      <c r="AT141" s="358"/>
      <c r="AU141" s="358"/>
      <c r="AV141" s="358"/>
      <c r="AW141" s="358"/>
      <c r="AX141" s="358"/>
      <c r="AY141" s="358"/>
      <c r="AZ141" s="358"/>
      <c r="BA141" s="358"/>
      <c r="BB141" s="358"/>
      <c r="BC141" s="358"/>
    </row>
    <row r="142" spans="1:55" s="376" customFormat="1" ht="15" customHeight="1" x14ac:dyDescent="0.15">
      <c r="A142" s="377">
        <v>42872</v>
      </c>
      <c r="B142" s="457" t="s">
        <v>38</v>
      </c>
      <c r="C142" s="361"/>
      <c r="D142" s="348"/>
      <c r="E142" s="348"/>
      <c r="F142" s="362"/>
      <c r="G142" s="348"/>
      <c r="H142" s="363"/>
      <c r="I142" s="363"/>
      <c r="J142" s="364">
        <f t="shared" si="49"/>
        <v>0</v>
      </c>
      <c r="K142" s="348"/>
      <c r="L142" s="348"/>
      <c r="M142" s="365">
        <f t="shared" si="51"/>
        <v>0</v>
      </c>
      <c r="N142" s="366">
        <f t="shared" si="47"/>
        <v>0</v>
      </c>
      <c r="O142" s="349">
        <f t="shared" si="47"/>
        <v>0</v>
      </c>
      <c r="P142" s="353">
        <f t="shared" si="47"/>
        <v>0</v>
      </c>
      <c r="Q142" s="368">
        <f t="shared" si="48"/>
        <v>7390704.4800000004</v>
      </c>
      <c r="R142" s="367">
        <f t="shared" si="48"/>
        <v>3745318</v>
      </c>
      <c r="S142" s="369">
        <f t="shared" si="48"/>
        <v>11317748.98</v>
      </c>
      <c r="T142" s="370">
        <f>N142/'2018'!N142-1</f>
        <v>-1</v>
      </c>
      <c r="U142" s="371">
        <f>O142/'2018'!O142-1</f>
        <v>-1</v>
      </c>
      <c r="V142" s="371">
        <f>P142/'2018'!P142-1</f>
        <v>-1</v>
      </c>
      <c r="W142" s="371">
        <f>Q142/'2018'!Q142-1</f>
        <v>-0.13894716590375722</v>
      </c>
      <c r="X142" s="371">
        <f>R142/'2018'!R142-1</f>
        <v>-0.12145586212461557</v>
      </c>
      <c r="Y142" s="372">
        <f>S142/'2018'!S142-1</f>
        <v>-0.1335092232761661</v>
      </c>
      <c r="Z142" s="373"/>
      <c r="AA142" s="374">
        <f t="shared" si="50"/>
        <v>739.07044800000006</v>
      </c>
      <c r="AB142" s="375"/>
      <c r="AC142" s="365"/>
      <c r="AD142" s="375">
        <f t="shared" si="52"/>
        <v>7572430.9800000004</v>
      </c>
      <c r="AE142" s="348">
        <f t="shared" si="53"/>
        <v>52541.2</v>
      </c>
      <c r="AF142" s="348">
        <f t="shared" si="53"/>
        <v>43161.64</v>
      </c>
      <c r="AG142" s="365">
        <f t="shared" si="54"/>
        <v>86023.66</v>
      </c>
      <c r="AH142" s="357"/>
      <c r="AI142" s="358"/>
      <c r="AJ142" s="358"/>
      <c r="AK142" s="358"/>
      <c r="AL142" s="358"/>
      <c r="AM142" s="358"/>
      <c r="AN142" s="358"/>
      <c r="AO142" s="358"/>
      <c r="AP142" s="358"/>
      <c r="AQ142" s="358"/>
      <c r="AR142" s="358"/>
      <c r="AS142" s="358"/>
      <c r="AT142" s="358"/>
      <c r="AU142" s="358"/>
      <c r="AV142" s="358"/>
      <c r="AW142" s="358"/>
      <c r="AX142" s="358"/>
      <c r="AY142" s="358"/>
      <c r="AZ142" s="358"/>
      <c r="BA142" s="358"/>
      <c r="BB142" s="358"/>
      <c r="BC142" s="358"/>
    </row>
    <row r="143" spans="1:55" s="376" customFormat="1" ht="15" customHeight="1" x14ac:dyDescent="0.15">
      <c r="A143" s="377">
        <v>42873</v>
      </c>
      <c r="B143" s="457" t="s">
        <v>39</v>
      </c>
      <c r="C143" s="361"/>
      <c r="D143" s="348"/>
      <c r="E143" s="348"/>
      <c r="F143" s="362"/>
      <c r="G143" s="348"/>
      <c r="H143" s="363">
        <v>4720</v>
      </c>
      <c r="I143" s="363"/>
      <c r="J143" s="364">
        <f t="shared" si="49"/>
        <v>0</v>
      </c>
      <c r="K143" s="348"/>
      <c r="L143" s="348"/>
      <c r="M143" s="365">
        <f t="shared" si="51"/>
        <v>0</v>
      </c>
      <c r="N143" s="366">
        <f t="shared" ref="N143:P155" si="55">N142+C143</f>
        <v>0</v>
      </c>
      <c r="O143" s="349">
        <f t="shared" si="55"/>
        <v>0</v>
      </c>
      <c r="P143" s="353">
        <f t="shared" si="55"/>
        <v>0</v>
      </c>
      <c r="Q143" s="368">
        <f t="shared" si="48"/>
        <v>7390704.4800000004</v>
      </c>
      <c r="R143" s="367">
        <f t="shared" si="48"/>
        <v>3745318</v>
      </c>
      <c r="S143" s="369">
        <f t="shared" si="48"/>
        <v>11317748.98</v>
      </c>
      <c r="T143" s="370">
        <f>N143/'2018'!N143-1</f>
        <v>-1</v>
      </c>
      <c r="U143" s="371">
        <f>O143/'2018'!O143-1</f>
        <v>-1</v>
      </c>
      <c r="V143" s="371">
        <f>P143/'2018'!P143-1</f>
        <v>-1</v>
      </c>
      <c r="W143" s="371">
        <f>Q143/'2018'!Q143-1</f>
        <v>-0.14715878371777547</v>
      </c>
      <c r="X143" s="371">
        <f>R143/'2018'!R143-1</f>
        <v>-0.12994215361570682</v>
      </c>
      <c r="Y143" s="372">
        <f>S143/'2018'!S143-1</f>
        <v>-0.14180106896105282</v>
      </c>
      <c r="Z143" s="373"/>
      <c r="AA143" s="374">
        <f t="shared" si="50"/>
        <v>739.07044800000006</v>
      </c>
      <c r="AB143" s="375"/>
      <c r="AC143" s="365"/>
      <c r="AD143" s="375">
        <f t="shared" si="52"/>
        <v>7572430.9800000004</v>
      </c>
      <c r="AE143" s="348">
        <f t="shared" si="53"/>
        <v>52541.2</v>
      </c>
      <c r="AF143" s="348">
        <f t="shared" si="53"/>
        <v>43161.64</v>
      </c>
      <c r="AG143" s="365">
        <f t="shared" si="54"/>
        <v>86023.66</v>
      </c>
      <c r="AH143" s="357"/>
      <c r="AI143" s="358"/>
      <c r="AJ143" s="358"/>
      <c r="AK143" s="358"/>
      <c r="AL143" s="358"/>
      <c r="AM143" s="358"/>
      <c r="AN143" s="358"/>
      <c r="AO143" s="358"/>
      <c r="AP143" s="358"/>
      <c r="AQ143" s="358"/>
      <c r="AR143" s="358"/>
      <c r="AS143" s="358"/>
      <c r="AT143" s="358"/>
      <c r="AU143" s="358"/>
      <c r="AV143" s="358"/>
      <c r="AW143" s="358"/>
      <c r="AX143" s="358"/>
      <c r="AY143" s="358"/>
      <c r="AZ143" s="358"/>
      <c r="BA143" s="358"/>
      <c r="BB143" s="358"/>
      <c r="BC143" s="358"/>
    </row>
    <row r="144" spans="1:55" s="376" customFormat="1" ht="15" customHeight="1" x14ac:dyDescent="0.15">
      <c r="A144" s="377">
        <v>42874</v>
      </c>
      <c r="B144" s="457" t="s">
        <v>1</v>
      </c>
      <c r="C144" s="361"/>
      <c r="D144" s="348"/>
      <c r="E144" s="348"/>
      <c r="F144" s="362"/>
      <c r="G144" s="348"/>
      <c r="H144" s="363">
        <v>4788</v>
      </c>
      <c r="I144" s="363"/>
      <c r="J144" s="364">
        <f t="shared" si="49"/>
        <v>0</v>
      </c>
      <c r="K144" s="348"/>
      <c r="L144" s="348"/>
      <c r="M144" s="365">
        <f t="shared" si="51"/>
        <v>0</v>
      </c>
      <c r="N144" s="366">
        <f t="shared" si="55"/>
        <v>0</v>
      </c>
      <c r="O144" s="349">
        <f t="shared" si="55"/>
        <v>0</v>
      </c>
      <c r="P144" s="353">
        <f t="shared" si="55"/>
        <v>0</v>
      </c>
      <c r="Q144" s="368">
        <f t="shared" si="48"/>
        <v>7390704.4800000004</v>
      </c>
      <c r="R144" s="367">
        <f t="shared" si="48"/>
        <v>3745318</v>
      </c>
      <c r="S144" s="369">
        <f t="shared" si="48"/>
        <v>11317748.98</v>
      </c>
      <c r="T144" s="370">
        <f>N144/'2018'!N144-1</f>
        <v>-1</v>
      </c>
      <c r="U144" s="371">
        <f>O144/'2018'!O144-1</f>
        <v>-1</v>
      </c>
      <c r="V144" s="371">
        <f>P144/'2018'!P144-1</f>
        <v>-1</v>
      </c>
      <c r="W144" s="371">
        <f>Q144/'2018'!Q144-1</f>
        <v>-0.15443789444543909</v>
      </c>
      <c r="X144" s="371">
        <f>R144/'2018'!R144-1</f>
        <v>-0.13711098413985678</v>
      </c>
      <c r="Y144" s="372">
        <f>S144/'2018'!S144-1</f>
        <v>-0.14901282794844728</v>
      </c>
      <c r="Z144" s="373"/>
      <c r="AA144" s="374">
        <f t="shared" si="50"/>
        <v>739.07044800000006</v>
      </c>
      <c r="AB144" s="375"/>
      <c r="AC144" s="365"/>
      <c r="AD144" s="375">
        <f t="shared" si="52"/>
        <v>7572430.9800000004</v>
      </c>
      <c r="AE144" s="348">
        <f t="shared" si="53"/>
        <v>52541.2</v>
      </c>
      <c r="AF144" s="348">
        <f t="shared" si="53"/>
        <v>43161.64</v>
      </c>
      <c r="AG144" s="365">
        <f t="shared" si="54"/>
        <v>86023.66</v>
      </c>
      <c r="AH144" s="357"/>
      <c r="AI144" s="358"/>
      <c r="AJ144" s="358"/>
      <c r="AK144" s="358"/>
      <c r="AL144" s="358"/>
      <c r="AM144" s="358"/>
      <c r="AN144" s="358"/>
      <c r="AO144" s="358"/>
      <c r="AP144" s="358"/>
      <c r="AQ144" s="358"/>
      <c r="AR144" s="358"/>
      <c r="AS144" s="358"/>
      <c r="AT144" s="358"/>
      <c r="AU144" s="358"/>
      <c r="AV144" s="358"/>
      <c r="AW144" s="358"/>
      <c r="AX144" s="358"/>
      <c r="AY144" s="358"/>
      <c r="AZ144" s="358"/>
      <c r="BA144" s="358"/>
      <c r="BB144" s="358"/>
      <c r="BC144" s="358"/>
    </row>
    <row r="145" spans="1:55" s="376" customFormat="1" ht="15" customHeight="1" x14ac:dyDescent="0.15">
      <c r="A145" s="377">
        <v>42875</v>
      </c>
      <c r="B145" s="457" t="s">
        <v>34</v>
      </c>
      <c r="C145" s="361"/>
      <c r="D145" s="348"/>
      <c r="E145" s="348"/>
      <c r="F145" s="362"/>
      <c r="G145" s="348"/>
      <c r="H145" s="363">
        <v>4801</v>
      </c>
      <c r="I145" s="363"/>
      <c r="J145" s="364">
        <f t="shared" si="49"/>
        <v>0</v>
      </c>
      <c r="K145" s="348"/>
      <c r="L145" s="348"/>
      <c r="M145" s="365">
        <f t="shared" si="51"/>
        <v>0</v>
      </c>
      <c r="N145" s="366">
        <f t="shared" si="55"/>
        <v>0</v>
      </c>
      <c r="O145" s="349">
        <f t="shared" si="55"/>
        <v>0</v>
      </c>
      <c r="P145" s="353">
        <f t="shared" si="55"/>
        <v>0</v>
      </c>
      <c r="Q145" s="368">
        <f t="shared" si="48"/>
        <v>7390704.4800000004</v>
      </c>
      <c r="R145" s="367">
        <f t="shared" si="48"/>
        <v>3745318</v>
      </c>
      <c r="S145" s="369">
        <f t="shared" si="48"/>
        <v>11317748.98</v>
      </c>
      <c r="T145" s="370">
        <f>N145/'2018'!N145-1</f>
        <v>-1</v>
      </c>
      <c r="U145" s="371">
        <f>O145/'2018'!O145-1</f>
        <v>-1</v>
      </c>
      <c r="V145" s="371">
        <f>P145/'2018'!P145-1</f>
        <v>-1</v>
      </c>
      <c r="W145" s="371">
        <f>Q145/'2018'!Q145-1</f>
        <v>-0.16096798980444638</v>
      </c>
      <c r="X145" s="371">
        <f>R145/'2018'!R145-1</f>
        <v>-0.14371338942506096</v>
      </c>
      <c r="Y145" s="372">
        <f>S145/'2018'!S145-1</f>
        <v>-0.15549786982782887</v>
      </c>
      <c r="Z145" s="373"/>
      <c r="AA145" s="374">
        <f t="shared" si="50"/>
        <v>739.07044800000006</v>
      </c>
      <c r="AB145" s="375"/>
      <c r="AC145" s="365"/>
      <c r="AD145" s="375">
        <f t="shared" si="52"/>
        <v>7572430.9800000004</v>
      </c>
      <c r="AE145" s="348">
        <f t="shared" si="53"/>
        <v>52541.2</v>
      </c>
      <c r="AF145" s="348">
        <f t="shared" si="53"/>
        <v>43161.64</v>
      </c>
      <c r="AG145" s="365">
        <f t="shared" si="54"/>
        <v>86023.66</v>
      </c>
      <c r="AH145" s="357"/>
      <c r="AI145" s="358"/>
      <c r="AJ145" s="358"/>
      <c r="AK145" s="358"/>
      <c r="AL145" s="358"/>
      <c r="AM145" s="358"/>
      <c r="AN145" s="358"/>
      <c r="AO145" s="358"/>
      <c r="AP145" s="358"/>
      <c r="AQ145" s="358"/>
      <c r="AR145" s="358"/>
      <c r="AS145" s="358"/>
      <c r="AT145" s="358"/>
      <c r="AU145" s="358"/>
      <c r="AV145" s="358"/>
      <c r="AW145" s="358"/>
      <c r="AX145" s="358"/>
      <c r="AY145" s="358"/>
      <c r="AZ145" s="358"/>
      <c r="BA145" s="358"/>
      <c r="BB145" s="358"/>
      <c r="BC145" s="358"/>
    </row>
    <row r="146" spans="1:55" s="376" customFormat="1" ht="15" customHeight="1" x14ac:dyDescent="0.15">
      <c r="A146" s="377">
        <v>42876</v>
      </c>
      <c r="B146" s="457" t="s">
        <v>35</v>
      </c>
      <c r="C146" s="361"/>
      <c r="D146" s="348"/>
      <c r="E146" s="348"/>
      <c r="F146" s="362"/>
      <c r="G146" s="348"/>
      <c r="H146" s="363">
        <v>4491</v>
      </c>
      <c r="I146" s="363"/>
      <c r="J146" s="364">
        <f t="shared" si="49"/>
        <v>0</v>
      </c>
      <c r="K146" s="348"/>
      <c r="L146" s="348"/>
      <c r="M146" s="365">
        <f t="shared" si="51"/>
        <v>0</v>
      </c>
      <c r="N146" s="366">
        <f t="shared" si="55"/>
        <v>0</v>
      </c>
      <c r="O146" s="349">
        <f t="shared" si="55"/>
        <v>0</v>
      </c>
      <c r="P146" s="353">
        <f t="shared" si="55"/>
        <v>0</v>
      </c>
      <c r="Q146" s="368">
        <f t="shared" si="48"/>
        <v>7390704.4800000004</v>
      </c>
      <c r="R146" s="367">
        <f t="shared" si="48"/>
        <v>3745318</v>
      </c>
      <c r="S146" s="369">
        <f t="shared" si="48"/>
        <v>11317748.98</v>
      </c>
      <c r="T146" s="370">
        <f>N146/'2018'!N146-1</f>
        <v>-1</v>
      </c>
      <c r="U146" s="371">
        <f>O146/'2018'!O146-1</f>
        <v>-1</v>
      </c>
      <c r="V146" s="371">
        <f>P146/'2018'!P146-1</f>
        <v>-1</v>
      </c>
      <c r="W146" s="371">
        <f>Q146/'2018'!Q146-1</f>
        <v>-0.16768950991256448</v>
      </c>
      <c r="X146" s="371">
        <f>R146/'2018'!R146-1</f>
        <v>-0.1500512195332282</v>
      </c>
      <c r="Y146" s="372">
        <f>S146/'2018'!S146-1</f>
        <v>-0.1620214022644455</v>
      </c>
      <c r="Z146" s="373"/>
      <c r="AA146" s="374">
        <f t="shared" si="50"/>
        <v>739.07044800000006</v>
      </c>
      <c r="AB146" s="375"/>
      <c r="AC146" s="365"/>
      <c r="AD146" s="375">
        <f t="shared" si="52"/>
        <v>7572430.9800000004</v>
      </c>
      <c r="AE146" s="348">
        <f t="shared" si="53"/>
        <v>52541.2</v>
      </c>
      <c r="AF146" s="348">
        <f t="shared" si="53"/>
        <v>43161.64</v>
      </c>
      <c r="AG146" s="365">
        <f t="shared" si="54"/>
        <v>86023.66</v>
      </c>
      <c r="AH146" s="357"/>
      <c r="AI146" s="358"/>
      <c r="AJ146" s="358"/>
      <c r="AK146" s="358"/>
      <c r="AL146" s="358"/>
      <c r="AM146" s="358"/>
      <c r="AN146" s="358"/>
      <c r="AO146" s="358"/>
      <c r="AP146" s="358"/>
      <c r="AQ146" s="358"/>
      <c r="AR146" s="358"/>
      <c r="AS146" s="358"/>
      <c r="AT146" s="358"/>
      <c r="AU146" s="358"/>
      <c r="AV146" s="358"/>
      <c r="AW146" s="358"/>
      <c r="AX146" s="358"/>
      <c r="AY146" s="358"/>
      <c r="AZ146" s="358"/>
      <c r="BA146" s="358"/>
      <c r="BB146" s="358"/>
      <c r="BC146" s="358"/>
    </row>
    <row r="147" spans="1:55" s="376" customFormat="1" ht="15" customHeight="1" x14ac:dyDescent="0.15">
      <c r="A147" s="377">
        <v>42877</v>
      </c>
      <c r="B147" s="457" t="s">
        <v>36</v>
      </c>
      <c r="C147" s="361"/>
      <c r="D147" s="348"/>
      <c r="E147" s="348"/>
      <c r="F147" s="362"/>
      <c r="G147" s="348"/>
      <c r="H147" s="363">
        <v>4897</v>
      </c>
      <c r="I147" s="363"/>
      <c r="J147" s="364">
        <f t="shared" si="49"/>
        <v>0</v>
      </c>
      <c r="K147" s="348"/>
      <c r="L147" s="348"/>
      <c r="M147" s="365">
        <f t="shared" si="51"/>
        <v>0</v>
      </c>
      <c r="N147" s="366">
        <f t="shared" si="55"/>
        <v>0</v>
      </c>
      <c r="O147" s="349">
        <f t="shared" si="55"/>
        <v>0</v>
      </c>
      <c r="P147" s="353">
        <f t="shared" si="55"/>
        <v>0</v>
      </c>
      <c r="Q147" s="368">
        <f t="shared" si="48"/>
        <v>7390704.4800000004</v>
      </c>
      <c r="R147" s="367">
        <f t="shared" si="48"/>
        <v>3745318</v>
      </c>
      <c r="S147" s="369">
        <f t="shared" si="48"/>
        <v>11317748.98</v>
      </c>
      <c r="T147" s="370">
        <f>N147/'2018'!N147-1</f>
        <v>-1</v>
      </c>
      <c r="U147" s="371">
        <f>O147/'2018'!O147-1</f>
        <v>-1</v>
      </c>
      <c r="V147" s="371">
        <f>P147/'2018'!P147-1</f>
        <v>-1</v>
      </c>
      <c r="W147" s="371">
        <f>Q147/'2018'!Q147-1</f>
        <v>-0.17415647857273087</v>
      </c>
      <c r="X147" s="371">
        <f>R147/'2018'!R147-1</f>
        <v>-0.15686552595418057</v>
      </c>
      <c r="Y147" s="372">
        <f>S147/'2018'!S147-1</f>
        <v>-0.16854193368396975</v>
      </c>
      <c r="Z147" s="373"/>
      <c r="AA147" s="374">
        <f t="shared" si="50"/>
        <v>739.07044800000006</v>
      </c>
      <c r="AB147" s="375"/>
      <c r="AC147" s="365"/>
      <c r="AD147" s="375">
        <f t="shared" si="52"/>
        <v>7572430.9800000004</v>
      </c>
      <c r="AE147" s="348">
        <f t="shared" si="53"/>
        <v>52541.2</v>
      </c>
      <c r="AF147" s="348">
        <f t="shared" si="53"/>
        <v>43161.64</v>
      </c>
      <c r="AG147" s="365">
        <f t="shared" si="54"/>
        <v>86023.66</v>
      </c>
      <c r="AH147" s="357"/>
      <c r="AI147" s="358"/>
      <c r="AJ147" s="358"/>
      <c r="AK147" s="358"/>
      <c r="AL147" s="358"/>
      <c r="AM147" s="358"/>
      <c r="AN147" s="358"/>
      <c r="AO147" s="358"/>
      <c r="AP147" s="358"/>
      <c r="AQ147" s="358"/>
      <c r="AR147" s="358"/>
      <c r="AS147" s="358"/>
      <c r="AT147" s="358"/>
      <c r="AU147" s="358"/>
      <c r="AV147" s="358"/>
      <c r="AW147" s="358"/>
      <c r="AX147" s="358"/>
      <c r="AY147" s="358"/>
      <c r="AZ147" s="358"/>
      <c r="BA147" s="358"/>
      <c r="BB147" s="358"/>
      <c r="BC147" s="358"/>
    </row>
    <row r="148" spans="1:55" s="376" customFormat="1" ht="15" customHeight="1" x14ac:dyDescent="0.15">
      <c r="A148" s="377">
        <v>42878</v>
      </c>
      <c r="B148" s="182" t="s">
        <v>37</v>
      </c>
      <c r="C148" s="361"/>
      <c r="D148" s="348"/>
      <c r="E148" s="348"/>
      <c r="F148" s="362"/>
      <c r="G148" s="348"/>
      <c r="H148" s="363">
        <v>5069</v>
      </c>
      <c r="I148" s="363"/>
      <c r="J148" s="364">
        <f t="shared" si="49"/>
        <v>0</v>
      </c>
      <c r="K148" s="348"/>
      <c r="L148" s="348"/>
      <c r="M148" s="365">
        <f t="shared" si="51"/>
        <v>0</v>
      </c>
      <c r="N148" s="366">
        <f t="shared" si="55"/>
        <v>0</v>
      </c>
      <c r="O148" s="349">
        <f t="shared" si="55"/>
        <v>0</v>
      </c>
      <c r="P148" s="353">
        <f t="shared" si="55"/>
        <v>0</v>
      </c>
      <c r="Q148" s="368">
        <f t="shared" si="48"/>
        <v>7390704.4800000004</v>
      </c>
      <c r="R148" s="367">
        <f t="shared" si="48"/>
        <v>3745318</v>
      </c>
      <c r="S148" s="369">
        <f t="shared" si="48"/>
        <v>11317748.98</v>
      </c>
      <c r="T148" s="370">
        <f>N148/'2018'!N148-1</f>
        <v>-1</v>
      </c>
      <c r="U148" s="371">
        <f>O148/'2018'!O148-1</f>
        <v>-1</v>
      </c>
      <c r="V148" s="371">
        <f>P148/'2018'!P148-1</f>
        <v>-1</v>
      </c>
      <c r="W148" s="371">
        <f>Q148/'2018'!Q148-1</f>
        <v>-0.18032641565639451</v>
      </c>
      <c r="X148" s="371">
        <f>R148/'2018'!R148-1</f>
        <v>-0.16299776453338233</v>
      </c>
      <c r="Y148" s="372">
        <f>S148/'2018'!S148-1</f>
        <v>-0.17467755731615575</v>
      </c>
      <c r="Z148" s="373"/>
      <c r="AA148" s="374">
        <f t="shared" si="50"/>
        <v>739.07044800000006</v>
      </c>
      <c r="AB148" s="375"/>
      <c r="AC148" s="365"/>
      <c r="AD148" s="375">
        <f t="shared" si="52"/>
        <v>7572430.9800000004</v>
      </c>
      <c r="AE148" s="348">
        <f t="shared" si="53"/>
        <v>52541.2</v>
      </c>
      <c r="AF148" s="348">
        <f t="shared" si="53"/>
        <v>43161.64</v>
      </c>
      <c r="AG148" s="365">
        <f t="shared" si="54"/>
        <v>86023.66</v>
      </c>
      <c r="AH148" s="357"/>
      <c r="AI148" s="358"/>
      <c r="AJ148" s="358"/>
      <c r="AK148" s="358"/>
      <c r="AL148" s="358"/>
      <c r="AM148" s="358"/>
      <c r="AN148" s="358"/>
      <c r="AO148" s="358"/>
      <c r="AP148" s="358"/>
      <c r="AQ148" s="358"/>
      <c r="AR148" s="358"/>
      <c r="AS148" s="358"/>
      <c r="AT148" s="358"/>
      <c r="AU148" s="358"/>
      <c r="AV148" s="358"/>
      <c r="AW148" s="358"/>
      <c r="AX148" s="358"/>
      <c r="AY148" s="358"/>
      <c r="AZ148" s="358"/>
      <c r="BA148" s="358"/>
      <c r="BB148" s="358"/>
      <c r="BC148" s="358"/>
    </row>
    <row r="149" spans="1:55" s="376" customFormat="1" ht="15" customHeight="1" x14ac:dyDescent="0.15">
      <c r="A149" s="377">
        <v>42879</v>
      </c>
      <c r="B149" s="457" t="s">
        <v>38</v>
      </c>
      <c r="C149" s="361"/>
      <c r="D149" s="348"/>
      <c r="E149" s="348"/>
      <c r="F149" s="362"/>
      <c r="G149" s="348"/>
      <c r="H149" s="363">
        <v>4824</v>
      </c>
      <c r="I149" s="363"/>
      <c r="J149" s="364">
        <f t="shared" si="49"/>
        <v>0</v>
      </c>
      <c r="K149" s="348"/>
      <c r="L149" s="348"/>
      <c r="M149" s="365">
        <f t="shared" si="51"/>
        <v>0</v>
      </c>
      <c r="N149" s="366">
        <f t="shared" si="55"/>
        <v>0</v>
      </c>
      <c r="O149" s="349">
        <f t="shared" si="55"/>
        <v>0</v>
      </c>
      <c r="P149" s="353">
        <f t="shared" si="55"/>
        <v>0</v>
      </c>
      <c r="Q149" s="368">
        <f t="shared" si="48"/>
        <v>7390704.4800000004</v>
      </c>
      <c r="R149" s="367">
        <f t="shared" si="48"/>
        <v>3745318</v>
      </c>
      <c r="S149" s="369">
        <f t="shared" si="48"/>
        <v>11317748.98</v>
      </c>
      <c r="T149" s="370">
        <f>N149/'2018'!N149-1</f>
        <v>-1</v>
      </c>
      <c r="U149" s="371">
        <f>O149/'2018'!O149-1</f>
        <v>-1</v>
      </c>
      <c r="V149" s="371">
        <f>P149/'2018'!P149-1</f>
        <v>-1</v>
      </c>
      <c r="W149" s="371">
        <f>Q149/'2018'!Q149-1</f>
        <v>-0.18577248296886528</v>
      </c>
      <c r="X149" s="371">
        <f>R149/'2018'!R149-1</f>
        <v>-0.17058958876030617</v>
      </c>
      <c r="Y149" s="372">
        <f>S149/'2018'!S149-1</f>
        <v>-0.18080133011746158</v>
      </c>
      <c r="Z149" s="373"/>
      <c r="AA149" s="374">
        <f t="shared" si="50"/>
        <v>739.07044800000006</v>
      </c>
      <c r="AB149" s="375"/>
      <c r="AC149" s="365"/>
      <c r="AD149" s="375">
        <f t="shared" si="52"/>
        <v>7572430.9800000004</v>
      </c>
      <c r="AE149" s="348">
        <f t="shared" si="53"/>
        <v>52541.2</v>
      </c>
      <c r="AF149" s="348">
        <f t="shared" si="53"/>
        <v>43161.64</v>
      </c>
      <c r="AG149" s="365">
        <f t="shared" si="54"/>
        <v>86023.66</v>
      </c>
      <c r="AH149" s="357"/>
      <c r="AI149" s="358"/>
      <c r="AJ149" s="358"/>
      <c r="AK149" s="358"/>
      <c r="AL149" s="358"/>
      <c r="AM149" s="358"/>
      <c r="AN149" s="358"/>
      <c r="AO149" s="358"/>
      <c r="AP149" s="358"/>
      <c r="AQ149" s="358"/>
      <c r="AR149" s="358"/>
      <c r="AS149" s="358"/>
      <c r="AT149" s="358"/>
      <c r="AU149" s="358"/>
      <c r="AV149" s="358"/>
      <c r="AW149" s="358"/>
      <c r="AX149" s="358"/>
      <c r="AY149" s="358"/>
      <c r="AZ149" s="358"/>
      <c r="BA149" s="358"/>
      <c r="BB149" s="358"/>
      <c r="BC149" s="358"/>
    </row>
    <row r="150" spans="1:55" s="376" customFormat="1" ht="15" customHeight="1" x14ac:dyDescent="0.15">
      <c r="A150" s="377">
        <v>42880</v>
      </c>
      <c r="B150" s="457" t="s">
        <v>39</v>
      </c>
      <c r="C150" s="361"/>
      <c r="D150" s="348"/>
      <c r="E150" s="348"/>
      <c r="F150" s="362"/>
      <c r="G150" s="348"/>
      <c r="H150" s="363"/>
      <c r="I150" s="363"/>
      <c r="J150" s="364">
        <f t="shared" si="49"/>
        <v>0</v>
      </c>
      <c r="K150" s="348"/>
      <c r="L150" s="348"/>
      <c r="M150" s="365">
        <f t="shared" si="51"/>
        <v>0</v>
      </c>
      <c r="N150" s="366">
        <f t="shared" si="55"/>
        <v>0</v>
      </c>
      <c r="O150" s="349">
        <f t="shared" si="55"/>
        <v>0</v>
      </c>
      <c r="P150" s="353">
        <f t="shared" si="55"/>
        <v>0</v>
      </c>
      <c r="Q150" s="368">
        <f t="shared" si="48"/>
        <v>7390704.4800000004</v>
      </c>
      <c r="R150" s="367">
        <f t="shared" si="48"/>
        <v>3745318</v>
      </c>
      <c r="S150" s="369">
        <f t="shared" si="48"/>
        <v>11317748.98</v>
      </c>
      <c r="T150" s="370">
        <f>N150/'2018'!N150-1</f>
        <v>-1</v>
      </c>
      <c r="U150" s="371">
        <f>O150/'2018'!O150-1</f>
        <v>-1</v>
      </c>
      <c r="V150" s="371">
        <f>P150/'2018'!P150-1</f>
        <v>-1</v>
      </c>
      <c r="W150" s="371">
        <f>Q150/'2018'!Q150-1</f>
        <v>-0.19172173422422489</v>
      </c>
      <c r="X150" s="371">
        <f>R150/'2018'!R150-1</f>
        <v>-0.17802238222905797</v>
      </c>
      <c r="Y150" s="372">
        <f>S150/'2018'!S150-1</f>
        <v>-0.18720736006192151</v>
      </c>
      <c r="Z150" s="373"/>
      <c r="AA150" s="374">
        <f t="shared" si="50"/>
        <v>739.07044800000006</v>
      </c>
      <c r="AB150" s="375"/>
      <c r="AC150" s="365"/>
      <c r="AD150" s="375">
        <f t="shared" si="52"/>
        <v>7572430.9800000004</v>
      </c>
      <c r="AE150" s="348">
        <f t="shared" si="53"/>
        <v>52541.2</v>
      </c>
      <c r="AF150" s="348">
        <f t="shared" si="53"/>
        <v>43161.64</v>
      </c>
      <c r="AG150" s="365">
        <f t="shared" si="54"/>
        <v>86023.66</v>
      </c>
      <c r="AH150" s="357"/>
      <c r="AI150" s="358"/>
      <c r="AJ150" s="358"/>
      <c r="AK150" s="358"/>
      <c r="AL150" s="358"/>
      <c r="AM150" s="358"/>
      <c r="AN150" s="358"/>
      <c r="AO150" s="358"/>
      <c r="AP150" s="358"/>
      <c r="AQ150" s="358"/>
      <c r="AR150" s="358"/>
      <c r="AS150" s="358"/>
      <c r="AT150" s="358"/>
      <c r="AU150" s="358"/>
      <c r="AV150" s="358"/>
      <c r="AW150" s="358"/>
      <c r="AX150" s="358"/>
      <c r="AY150" s="358"/>
      <c r="AZ150" s="358"/>
      <c r="BA150" s="358"/>
      <c r="BB150" s="358"/>
      <c r="BC150" s="358"/>
    </row>
    <row r="151" spans="1:55" s="376" customFormat="1" ht="15" customHeight="1" x14ac:dyDescent="0.15">
      <c r="A151" s="377">
        <v>42881</v>
      </c>
      <c r="B151" s="457" t="s">
        <v>1</v>
      </c>
      <c r="C151" s="361"/>
      <c r="D151" s="348"/>
      <c r="E151" s="348"/>
      <c r="F151" s="362"/>
      <c r="G151" s="348"/>
      <c r="H151" s="363"/>
      <c r="I151" s="363"/>
      <c r="J151" s="364">
        <f t="shared" si="49"/>
        <v>0</v>
      </c>
      <c r="K151" s="348"/>
      <c r="L151" s="348"/>
      <c r="M151" s="365">
        <f t="shared" si="51"/>
        <v>0</v>
      </c>
      <c r="N151" s="366">
        <f t="shared" si="55"/>
        <v>0</v>
      </c>
      <c r="O151" s="349">
        <f t="shared" si="55"/>
        <v>0</v>
      </c>
      <c r="P151" s="353">
        <f t="shared" si="55"/>
        <v>0</v>
      </c>
      <c r="Q151" s="368">
        <f t="shared" si="48"/>
        <v>7390704.4800000004</v>
      </c>
      <c r="R151" s="367">
        <f t="shared" si="48"/>
        <v>3745318</v>
      </c>
      <c r="S151" s="369">
        <f t="shared" si="48"/>
        <v>11317748.98</v>
      </c>
      <c r="T151" s="370">
        <f>N151/'2018'!N151-1</f>
        <v>-1</v>
      </c>
      <c r="U151" s="371">
        <f>O151/'2018'!O151-1</f>
        <v>-1</v>
      </c>
      <c r="V151" s="371">
        <f>P151/'2018'!P151-1</f>
        <v>-1</v>
      </c>
      <c r="W151" s="371">
        <f>Q151/'2018'!Q151-1</f>
        <v>-0.19788164389911012</v>
      </c>
      <c r="X151" s="371">
        <f>R151/'2018'!R151-1</f>
        <v>-0.18466090978021243</v>
      </c>
      <c r="Y151" s="372">
        <f>S151/'2018'!S151-1</f>
        <v>-0.19348581791029351</v>
      </c>
      <c r="Z151" s="373"/>
      <c r="AA151" s="374">
        <f t="shared" si="50"/>
        <v>739.07044800000006</v>
      </c>
      <c r="AB151" s="375"/>
      <c r="AC151" s="365"/>
      <c r="AD151" s="375">
        <f t="shared" si="52"/>
        <v>7572430.9800000004</v>
      </c>
      <c r="AE151" s="348">
        <f t="shared" ref="AE151:AF166" si="56">AE150+K151</f>
        <v>52541.2</v>
      </c>
      <c r="AF151" s="348">
        <f t="shared" si="56"/>
        <v>43161.64</v>
      </c>
      <c r="AG151" s="365">
        <f t="shared" si="54"/>
        <v>86023.66</v>
      </c>
      <c r="AH151" s="357"/>
      <c r="AI151" s="358"/>
      <c r="AJ151" s="358"/>
      <c r="AK151" s="358"/>
      <c r="AL151" s="358"/>
      <c r="AM151" s="358"/>
      <c r="AN151" s="358"/>
      <c r="AO151" s="358"/>
      <c r="AP151" s="358"/>
      <c r="AQ151" s="358"/>
      <c r="AR151" s="358"/>
      <c r="AS151" s="358"/>
      <c r="AT151" s="358"/>
      <c r="AU151" s="358"/>
      <c r="AV151" s="358"/>
      <c r="AW151" s="358"/>
      <c r="AX151" s="358"/>
      <c r="AY151" s="358"/>
      <c r="AZ151" s="358"/>
      <c r="BA151" s="358"/>
      <c r="BB151" s="358"/>
      <c r="BC151" s="358"/>
    </row>
    <row r="152" spans="1:55" s="376" customFormat="1" ht="15" customHeight="1" x14ac:dyDescent="0.15">
      <c r="A152" s="377">
        <v>42882</v>
      </c>
      <c r="B152" s="457" t="s">
        <v>34</v>
      </c>
      <c r="C152" s="361"/>
      <c r="D152" s="348"/>
      <c r="E152" s="348"/>
      <c r="F152" s="362"/>
      <c r="G152" s="348"/>
      <c r="H152" s="363"/>
      <c r="I152" s="363"/>
      <c r="J152" s="364">
        <f t="shared" si="49"/>
        <v>0</v>
      </c>
      <c r="K152" s="348"/>
      <c r="L152" s="348"/>
      <c r="M152" s="365">
        <f t="shared" si="51"/>
        <v>0</v>
      </c>
      <c r="N152" s="366">
        <f t="shared" si="55"/>
        <v>0</v>
      </c>
      <c r="O152" s="349">
        <f t="shared" si="55"/>
        <v>0</v>
      </c>
      <c r="P152" s="353">
        <f t="shared" si="55"/>
        <v>0</v>
      </c>
      <c r="Q152" s="368">
        <f t="shared" si="48"/>
        <v>7390704.4800000004</v>
      </c>
      <c r="R152" s="367">
        <f t="shared" si="48"/>
        <v>3745318</v>
      </c>
      <c r="S152" s="369">
        <f t="shared" si="48"/>
        <v>11317748.98</v>
      </c>
      <c r="T152" s="370">
        <f>N152/'2018'!N152-1</f>
        <v>-1</v>
      </c>
      <c r="U152" s="371">
        <f>O152/'2018'!O152-1</f>
        <v>-1</v>
      </c>
      <c r="V152" s="371">
        <f>P152/'2018'!P152-1</f>
        <v>-1</v>
      </c>
      <c r="W152" s="371">
        <f>Q152/'2018'!Q152-1</f>
        <v>-0.20389143687806421</v>
      </c>
      <c r="X152" s="371">
        <f>R152/'2018'!R152-1</f>
        <v>-0.19009854658278713</v>
      </c>
      <c r="Y152" s="372">
        <f>S152/'2018'!S152-1</f>
        <v>-0.19925851618457469</v>
      </c>
      <c r="Z152" s="373"/>
      <c r="AA152" s="374">
        <f t="shared" si="50"/>
        <v>739.07044800000006</v>
      </c>
      <c r="AB152" s="375"/>
      <c r="AC152" s="365"/>
      <c r="AD152" s="375">
        <f t="shared" si="52"/>
        <v>7572430.9800000004</v>
      </c>
      <c r="AE152" s="348">
        <f t="shared" si="56"/>
        <v>52541.2</v>
      </c>
      <c r="AF152" s="348">
        <f t="shared" si="56"/>
        <v>43161.64</v>
      </c>
      <c r="AG152" s="365">
        <f t="shared" si="54"/>
        <v>86023.66</v>
      </c>
      <c r="AH152" s="357"/>
      <c r="AI152" s="358"/>
      <c r="AJ152" s="358"/>
      <c r="AK152" s="358"/>
      <c r="AL152" s="358"/>
      <c r="AM152" s="358"/>
      <c r="AN152" s="358"/>
      <c r="AO152" s="358"/>
      <c r="AP152" s="358"/>
      <c r="AQ152" s="358"/>
      <c r="AR152" s="358"/>
      <c r="AS152" s="358"/>
      <c r="AT152" s="358"/>
      <c r="AU152" s="358"/>
      <c r="AV152" s="358"/>
      <c r="AW152" s="358"/>
      <c r="AX152" s="358"/>
      <c r="AY152" s="358"/>
      <c r="AZ152" s="358"/>
      <c r="BA152" s="358"/>
      <c r="BB152" s="358"/>
      <c r="BC152" s="358"/>
    </row>
    <row r="153" spans="1:55" s="376" customFormat="1" ht="15" customHeight="1" x14ac:dyDescent="0.15">
      <c r="A153" s="377">
        <v>42883</v>
      </c>
      <c r="B153" s="457" t="s">
        <v>35</v>
      </c>
      <c r="C153" s="361"/>
      <c r="D153" s="348"/>
      <c r="E153" s="348"/>
      <c r="F153" s="362"/>
      <c r="G153" s="348"/>
      <c r="H153" s="363"/>
      <c r="I153" s="363"/>
      <c r="J153" s="364">
        <f t="shared" si="49"/>
        <v>0</v>
      </c>
      <c r="K153" s="348"/>
      <c r="L153" s="348"/>
      <c r="M153" s="365">
        <f t="shared" si="51"/>
        <v>0</v>
      </c>
      <c r="N153" s="366">
        <f t="shared" si="55"/>
        <v>0</v>
      </c>
      <c r="O153" s="349">
        <f t="shared" si="55"/>
        <v>0</v>
      </c>
      <c r="P153" s="353">
        <f t="shared" si="55"/>
        <v>0</v>
      </c>
      <c r="Q153" s="368">
        <f t="shared" si="48"/>
        <v>7390704.4800000004</v>
      </c>
      <c r="R153" s="367">
        <f t="shared" si="48"/>
        <v>3745318</v>
      </c>
      <c r="S153" s="369">
        <f t="shared" si="48"/>
        <v>11317748.98</v>
      </c>
      <c r="T153" s="370">
        <f>N153/'2018'!N153-1</f>
        <v>-1</v>
      </c>
      <c r="U153" s="371">
        <f>O153/'2018'!O153-1</f>
        <v>-1</v>
      </c>
      <c r="V153" s="371">
        <f>P153/'2018'!P153-1</f>
        <v>-1</v>
      </c>
      <c r="W153" s="371">
        <f>Q153/'2018'!Q153-1</f>
        <v>-0.20971898502243502</v>
      </c>
      <c r="X153" s="371">
        <f>R153/'2018'!R153-1</f>
        <v>-0.19625902683279761</v>
      </c>
      <c r="Y153" s="372">
        <f>S153/'2018'!S153-1</f>
        <v>-0.20517144456470571</v>
      </c>
      <c r="Z153" s="373"/>
      <c r="AA153" s="374">
        <f t="shared" si="50"/>
        <v>739.07044800000006</v>
      </c>
      <c r="AB153" s="375"/>
      <c r="AC153" s="365"/>
      <c r="AD153" s="375">
        <f t="shared" si="52"/>
        <v>7572430.9800000004</v>
      </c>
      <c r="AE153" s="348">
        <f t="shared" si="56"/>
        <v>52541.2</v>
      </c>
      <c r="AF153" s="348">
        <f t="shared" si="56"/>
        <v>43161.64</v>
      </c>
      <c r="AG153" s="365">
        <f t="shared" si="54"/>
        <v>86023.66</v>
      </c>
      <c r="AH153" s="357"/>
      <c r="AI153" s="358"/>
      <c r="AJ153" s="358"/>
      <c r="AK153" s="358"/>
      <c r="AL153" s="358"/>
      <c r="AM153" s="358"/>
      <c r="AN153" s="358"/>
      <c r="AO153" s="358"/>
      <c r="AP153" s="358"/>
      <c r="AQ153" s="358"/>
      <c r="AR153" s="358"/>
      <c r="AS153" s="358"/>
      <c r="AT153" s="358"/>
      <c r="AU153" s="358"/>
      <c r="AV153" s="358"/>
      <c r="AW153" s="358"/>
      <c r="AX153" s="358"/>
      <c r="AY153" s="358"/>
      <c r="AZ153" s="358"/>
      <c r="BA153" s="358"/>
      <c r="BB153" s="358"/>
      <c r="BC153" s="358"/>
    </row>
    <row r="154" spans="1:55" s="376" customFormat="1" ht="15" customHeight="1" x14ac:dyDescent="0.15">
      <c r="A154" s="377">
        <v>42884</v>
      </c>
      <c r="B154" s="457" t="s">
        <v>36</v>
      </c>
      <c r="C154" s="361"/>
      <c r="D154" s="348"/>
      <c r="E154" s="348"/>
      <c r="F154" s="362"/>
      <c r="G154" s="348"/>
      <c r="H154" s="363"/>
      <c r="I154" s="363"/>
      <c r="J154" s="364">
        <f t="shared" si="49"/>
        <v>0</v>
      </c>
      <c r="K154" s="348"/>
      <c r="L154" s="348"/>
      <c r="M154" s="365">
        <f t="shared" si="51"/>
        <v>0</v>
      </c>
      <c r="N154" s="366">
        <f t="shared" si="55"/>
        <v>0</v>
      </c>
      <c r="O154" s="349">
        <f t="shared" si="55"/>
        <v>0</v>
      </c>
      <c r="P154" s="353">
        <f t="shared" si="55"/>
        <v>0</v>
      </c>
      <c r="Q154" s="368">
        <f t="shared" si="48"/>
        <v>7390704.4800000004</v>
      </c>
      <c r="R154" s="367">
        <f t="shared" si="48"/>
        <v>3745318</v>
      </c>
      <c r="S154" s="369">
        <f t="shared" si="48"/>
        <v>11317748.98</v>
      </c>
      <c r="T154" s="370">
        <f>N154/'2018'!N154-1</f>
        <v>-1</v>
      </c>
      <c r="U154" s="371">
        <f>O154/'2018'!O154-1</f>
        <v>-1</v>
      </c>
      <c r="V154" s="371">
        <f>P154/'2018'!P154-1</f>
        <v>-1</v>
      </c>
      <c r="W154" s="371">
        <f>Q154/'2018'!Q154-1</f>
        <v>-0.21560805031136399</v>
      </c>
      <c r="X154" s="371">
        <f>R154/'2018'!R154-1</f>
        <v>-0.20254202480916395</v>
      </c>
      <c r="Y154" s="372">
        <f>S154/'2018'!S154-1</f>
        <v>-0.21116634926222955</v>
      </c>
      <c r="Z154" s="373"/>
      <c r="AA154" s="374">
        <f t="shared" si="50"/>
        <v>739.07044800000006</v>
      </c>
      <c r="AB154" s="375"/>
      <c r="AC154" s="365"/>
      <c r="AD154" s="375">
        <f t="shared" si="52"/>
        <v>7572430.9800000004</v>
      </c>
      <c r="AE154" s="348">
        <f t="shared" si="56"/>
        <v>52541.2</v>
      </c>
      <c r="AF154" s="348">
        <f t="shared" si="56"/>
        <v>43161.64</v>
      </c>
      <c r="AG154" s="365">
        <f t="shared" si="54"/>
        <v>86023.66</v>
      </c>
      <c r="AH154" s="357"/>
      <c r="AI154" s="358"/>
      <c r="AJ154" s="358"/>
      <c r="AK154" s="358"/>
      <c r="AL154" s="358"/>
      <c r="AM154" s="358"/>
      <c r="AN154" s="358"/>
      <c r="AO154" s="358"/>
      <c r="AP154" s="358"/>
      <c r="AQ154" s="358"/>
      <c r="AR154" s="358"/>
      <c r="AS154" s="358"/>
      <c r="AT154" s="358"/>
      <c r="AU154" s="358"/>
      <c r="AV154" s="358"/>
      <c r="AW154" s="358"/>
      <c r="AX154" s="358"/>
      <c r="AY154" s="358"/>
      <c r="AZ154" s="358"/>
      <c r="BA154" s="358"/>
      <c r="BB154" s="358"/>
      <c r="BC154" s="358"/>
    </row>
    <row r="155" spans="1:55" s="376" customFormat="1" ht="15" customHeight="1" x14ac:dyDescent="0.15">
      <c r="A155" s="377">
        <v>42885</v>
      </c>
      <c r="B155" s="182" t="s">
        <v>37</v>
      </c>
      <c r="C155" s="361"/>
      <c r="D155" s="348"/>
      <c r="E155" s="348"/>
      <c r="F155" s="362"/>
      <c r="G155" s="348"/>
      <c r="H155" s="363"/>
      <c r="I155" s="363"/>
      <c r="J155" s="364">
        <f t="shared" si="49"/>
        <v>0</v>
      </c>
      <c r="K155" s="348"/>
      <c r="L155" s="348"/>
      <c r="M155" s="365">
        <f t="shared" si="51"/>
        <v>0</v>
      </c>
      <c r="N155" s="366">
        <f t="shared" si="55"/>
        <v>0</v>
      </c>
      <c r="O155" s="349">
        <f t="shared" si="55"/>
        <v>0</v>
      </c>
      <c r="P155" s="353">
        <f t="shared" si="55"/>
        <v>0</v>
      </c>
      <c r="Q155" s="368">
        <f t="shared" si="48"/>
        <v>7390704.4800000004</v>
      </c>
      <c r="R155" s="367">
        <f t="shared" si="48"/>
        <v>3745318</v>
      </c>
      <c r="S155" s="369">
        <f t="shared" si="48"/>
        <v>11317748.98</v>
      </c>
      <c r="T155" s="370">
        <f>N155/'2018'!N155-1</f>
        <v>-1</v>
      </c>
      <c r="U155" s="371">
        <f>O155/'2018'!O155-1</f>
        <v>-1</v>
      </c>
      <c r="V155" s="371">
        <f>P155/'2018'!P155-1</f>
        <v>-1</v>
      </c>
      <c r="W155" s="371">
        <f>Q155/'2018'!Q155-1</f>
        <v>-0.22126175332748321</v>
      </c>
      <c r="X155" s="371">
        <f>R155/'2018'!R155-1</f>
        <v>-0.20894916182131962</v>
      </c>
      <c r="Y155" s="372">
        <f>S155/'2018'!S155-1</f>
        <v>-0.21702843902811475</v>
      </c>
      <c r="Z155" s="373"/>
      <c r="AA155" s="374">
        <f t="shared" si="50"/>
        <v>739.07044800000006</v>
      </c>
      <c r="AB155" s="375"/>
      <c r="AC155" s="365"/>
      <c r="AD155" s="375">
        <f t="shared" si="52"/>
        <v>7572430.9800000004</v>
      </c>
      <c r="AE155" s="348">
        <f t="shared" si="56"/>
        <v>52541.2</v>
      </c>
      <c r="AF155" s="348">
        <f t="shared" si="56"/>
        <v>43161.64</v>
      </c>
      <c r="AG155" s="365">
        <f t="shared" si="54"/>
        <v>86023.66</v>
      </c>
      <c r="AH155" s="357"/>
      <c r="AI155" s="358"/>
      <c r="AJ155" s="358"/>
      <c r="AK155" s="358"/>
      <c r="AL155" s="358"/>
      <c r="AM155" s="358"/>
      <c r="AN155" s="358"/>
      <c r="AO155" s="358"/>
      <c r="AP155" s="358"/>
      <c r="AQ155" s="358"/>
      <c r="AR155" s="358"/>
      <c r="AS155" s="358"/>
      <c r="AT155" s="358"/>
      <c r="AU155" s="358"/>
      <c r="AV155" s="358"/>
      <c r="AW155" s="358"/>
      <c r="AX155" s="358"/>
      <c r="AY155" s="358"/>
      <c r="AZ155" s="358"/>
      <c r="BA155" s="358"/>
      <c r="BB155" s="358"/>
      <c r="BC155" s="358"/>
    </row>
    <row r="156" spans="1:55" s="376" customFormat="1" ht="15" customHeight="1" x14ac:dyDescent="0.15">
      <c r="A156" s="403">
        <v>42886</v>
      </c>
      <c r="B156" s="380" t="s">
        <v>38</v>
      </c>
      <c r="C156" s="381"/>
      <c r="D156" s="382"/>
      <c r="E156" s="382"/>
      <c r="F156" s="383"/>
      <c r="G156" s="382"/>
      <c r="H156" s="384"/>
      <c r="I156" s="384"/>
      <c r="J156" s="385">
        <f t="shared" si="49"/>
        <v>0</v>
      </c>
      <c r="K156" s="382"/>
      <c r="L156" s="382"/>
      <c r="M156" s="386">
        <f t="shared" si="51"/>
        <v>0</v>
      </c>
      <c r="N156" s="387">
        <f t="shared" ref="N156" si="57">N155+C156</f>
        <v>0</v>
      </c>
      <c r="O156" s="404">
        <f t="shared" ref="O156" si="58">O155+D156</f>
        <v>0</v>
      </c>
      <c r="P156" s="410">
        <f t="shared" ref="P156" si="59">P155+E156</f>
        <v>0</v>
      </c>
      <c r="Q156" s="390">
        <f>[4]表2、统调口径电量!$I$10</f>
        <v>9556059.1799999997</v>
      </c>
      <c r="R156" s="388">
        <f>[4]表2、统调口径电量!$I$14</f>
        <v>4767488</v>
      </c>
      <c r="S156" s="391">
        <f>[4]表2、统调口径电量!$I$3</f>
        <v>14554202.57</v>
      </c>
      <c r="T156" s="392">
        <f>N156/'2018'!N156-1</f>
        <v>-1</v>
      </c>
      <c r="U156" s="393">
        <f>O156/'2018'!O156-1</f>
        <v>-1</v>
      </c>
      <c r="V156" s="393">
        <f>P156/'2018'!P156-1</f>
        <v>-1</v>
      </c>
      <c r="W156" s="393">
        <f>Q156/'2018'!Q156-1</f>
        <v>0</v>
      </c>
      <c r="X156" s="393">
        <f>R156/'2018'!R156-1</f>
        <v>0</v>
      </c>
      <c r="Y156" s="394">
        <f>S156/'2018'!S156-1</f>
        <v>0</v>
      </c>
      <c r="Z156" s="395"/>
      <c r="AA156" s="396">
        <f>[4]表2、统调口径电量!$I$11/10000</f>
        <v>910.58214299999997</v>
      </c>
      <c r="AB156" s="397"/>
      <c r="AC156" s="386" t="e">
        <f t="shared" ref="AC156" si="60">AA156*10000/AB156</f>
        <v>#DIV/0!</v>
      </c>
      <c r="AD156" s="397">
        <f>[4]表2、统调口径电量!$I$4</f>
        <v>9786714.5700000003</v>
      </c>
      <c r="AE156" s="382">
        <f>[4]表2、统调口径电量!$I$13</f>
        <v>76209.22</v>
      </c>
      <c r="AF156" s="382">
        <f>[4]表2、统调口径电量!$I$15</f>
        <v>43161.64</v>
      </c>
      <c r="AG156" s="386">
        <f>[4]表2、统调口径电量!$I$16+[4]表2、统调口径电量!$I$17</f>
        <v>111284.53</v>
      </c>
      <c r="AH156" s="357"/>
      <c r="AI156" s="358"/>
      <c r="AJ156" s="358"/>
      <c r="AK156" s="358"/>
      <c r="AL156" s="358"/>
      <c r="AM156" s="358"/>
      <c r="AN156" s="358"/>
      <c r="AO156" s="358"/>
      <c r="AP156" s="358"/>
      <c r="AQ156" s="358"/>
      <c r="AR156" s="358"/>
      <c r="AS156" s="358"/>
      <c r="AT156" s="358"/>
      <c r="AU156" s="358"/>
      <c r="AV156" s="358"/>
      <c r="AW156" s="358"/>
      <c r="AX156" s="358"/>
      <c r="AY156" s="358"/>
      <c r="AZ156" s="358"/>
      <c r="BA156" s="358"/>
      <c r="BB156" s="358"/>
      <c r="BC156" s="358"/>
    </row>
    <row r="157" spans="1:55" s="376" customFormat="1" ht="15" customHeight="1" x14ac:dyDescent="0.15">
      <c r="A157" s="377">
        <v>42887</v>
      </c>
      <c r="B157" s="457" t="s">
        <v>39</v>
      </c>
      <c r="C157" s="361"/>
      <c r="D157" s="348"/>
      <c r="E157" s="348"/>
      <c r="F157" s="362"/>
      <c r="G157" s="348"/>
      <c r="H157" s="363"/>
      <c r="I157" s="363"/>
      <c r="J157" s="364">
        <f t="shared" si="49"/>
        <v>0</v>
      </c>
      <c r="K157" s="348"/>
      <c r="L157" s="348"/>
      <c r="M157" s="365">
        <f t="shared" si="51"/>
        <v>0</v>
      </c>
      <c r="N157" s="366">
        <f>C157</f>
        <v>0</v>
      </c>
      <c r="O157" s="349">
        <f>D157</f>
        <v>0</v>
      </c>
      <c r="P157" s="353">
        <f>E157</f>
        <v>0</v>
      </c>
      <c r="Q157" s="368">
        <f>Q$156+N157</f>
        <v>9556059.1799999997</v>
      </c>
      <c r="R157" s="367">
        <f>R$156+O157</f>
        <v>4767488</v>
      </c>
      <c r="S157" s="369">
        <f>S$156+P157</f>
        <v>14554202.57</v>
      </c>
      <c r="T157" s="370">
        <f>N157/'2018'!N157-1</f>
        <v>-1</v>
      </c>
      <c r="U157" s="371">
        <f>O157/'2018'!O157-1</f>
        <v>-1</v>
      </c>
      <c r="V157" s="371">
        <f>P157/'2018'!P157-1</f>
        <v>-1</v>
      </c>
      <c r="W157" s="371">
        <f>Q157/'2018'!Q157-1</f>
        <v>-5.4334470398120782E-3</v>
      </c>
      <c r="X157" s="371">
        <f>R157/'2018'!R157-1</f>
        <v>-8.1043333310447663E-3</v>
      </c>
      <c r="Y157" s="372">
        <f>S157/'2018'!S157-1</f>
        <v>-6.3264051877555127E-3</v>
      </c>
      <c r="Z157" s="373"/>
      <c r="AA157" s="374">
        <f t="shared" si="50"/>
        <v>955.60591799999997</v>
      </c>
      <c r="AB157" s="375"/>
      <c r="AC157" s="365"/>
      <c r="AD157" s="375">
        <f t="shared" si="52"/>
        <v>9786714.5700000003</v>
      </c>
      <c r="AE157" s="348">
        <f t="shared" si="56"/>
        <v>76209.22</v>
      </c>
      <c r="AF157" s="348">
        <f t="shared" si="56"/>
        <v>43161.64</v>
      </c>
      <c r="AG157" s="365">
        <f t="shared" si="54"/>
        <v>111284.5300000006</v>
      </c>
      <c r="AH157" s="357"/>
      <c r="AI157" s="358"/>
      <c r="AJ157" s="358"/>
      <c r="AK157" s="358"/>
      <c r="AL157" s="358"/>
      <c r="AM157" s="358"/>
      <c r="AN157" s="358"/>
      <c r="AO157" s="358"/>
      <c r="AP157" s="358"/>
      <c r="AQ157" s="358"/>
      <c r="AR157" s="358"/>
      <c r="AS157" s="358"/>
      <c r="AT157" s="358"/>
      <c r="AU157" s="358"/>
      <c r="AV157" s="358"/>
      <c r="AW157" s="358"/>
      <c r="AX157" s="358"/>
      <c r="AY157" s="358"/>
      <c r="AZ157" s="358"/>
      <c r="BA157" s="358"/>
      <c r="BB157" s="358"/>
      <c r="BC157" s="358"/>
    </row>
    <row r="158" spans="1:55" s="376" customFormat="1" ht="15" customHeight="1" x14ac:dyDescent="0.15">
      <c r="A158" s="377">
        <v>42888</v>
      </c>
      <c r="B158" s="457" t="s">
        <v>1</v>
      </c>
      <c r="C158" s="361"/>
      <c r="D158" s="348"/>
      <c r="E158" s="348"/>
      <c r="F158" s="362"/>
      <c r="G158" s="348"/>
      <c r="H158" s="363"/>
      <c r="I158" s="363"/>
      <c r="J158" s="364">
        <f t="shared" si="49"/>
        <v>0</v>
      </c>
      <c r="K158" s="348"/>
      <c r="L158" s="348"/>
      <c r="M158" s="365">
        <f t="shared" si="51"/>
        <v>0</v>
      </c>
      <c r="N158" s="366">
        <f t="shared" ref="N158:P173" si="61">N157+C158</f>
        <v>0</v>
      </c>
      <c r="O158" s="349">
        <f t="shared" si="61"/>
        <v>0</v>
      </c>
      <c r="P158" s="353">
        <f t="shared" si="61"/>
        <v>0</v>
      </c>
      <c r="Q158" s="368">
        <f t="shared" ref="Q158:S185" si="62">Q$156+N158</f>
        <v>9556059.1799999997</v>
      </c>
      <c r="R158" s="367">
        <f t="shared" si="62"/>
        <v>4767488</v>
      </c>
      <c r="S158" s="369">
        <f t="shared" si="62"/>
        <v>14554202.57</v>
      </c>
      <c r="T158" s="370">
        <f>N158/'2018'!N158-1</f>
        <v>-1</v>
      </c>
      <c r="U158" s="371">
        <f>O158/'2018'!O158-1</f>
        <v>-1</v>
      </c>
      <c r="V158" s="371">
        <f>P158/'2018'!P158-1</f>
        <v>-1</v>
      </c>
      <c r="W158" s="371">
        <f>Q158/'2018'!Q158-1</f>
        <v>-1.159138781533775E-2</v>
      </c>
      <c r="X158" s="371">
        <f>R158/'2018'!R158-1</f>
        <v>-1.5224959953069384E-2</v>
      </c>
      <c r="Y158" s="372">
        <f>S158/'2018'!S158-1</f>
        <v>-1.2775540447215961E-2</v>
      </c>
      <c r="Z158" s="373"/>
      <c r="AA158" s="374">
        <f t="shared" si="50"/>
        <v>955.60591799999997</v>
      </c>
      <c r="AB158" s="375"/>
      <c r="AC158" s="365"/>
      <c r="AD158" s="375">
        <f t="shared" si="52"/>
        <v>9786714.5700000003</v>
      </c>
      <c r="AE158" s="348">
        <f t="shared" si="56"/>
        <v>76209.22</v>
      </c>
      <c r="AF158" s="348">
        <f t="shared" si="56"/>
        <v>43161.64</v>
      </c>
      <c r="AG158" s="365">
        <f t="shared" si="54"/>
        <v>111284.5300000006</v>
      </c>
      <c r="AH158" s="357"/>
      <c r="AI158" s="358"/>
      <c r="AJ158" s="358"/>
      <c r="AK158" s="358"/>
      <c r="AL158" s="358"/>
      <c r="AM158" s="358"/>
      <c r="AN158" s="358"/>
      <c r="AO158" s="358"/>
      <c r="AP158" s="358"/>
      <c r="AQ158" s="358"/>
      <c r="AR158" s="358"/>
      <c r="AS158" s="358"/>
      <c r="AT158" s="358"/>
      <c r="AU158" s="358"/>
      <c r="AV158" s="358"/>
      <c r="AW158" s="358"/>
      <c r="AX158" s="358"/>
      <c r="AY158" s="358"/>
      <c r="AZ158" s="358"/>
      <c r="BA158" s="358"/>
      <c r="BB158" s="358"/>
      <c r="BC158" s="358"/>
    </row>
    <row r="159" spans="1:55" s="376" customFormat="1" ht="15" customHeight="1" x14ac:dyDescent="0.15">
      <c r="A159" s="377">
        <v>42889</v>
      </c>
      <c r="B159" s="457" t="s">
        <v>34</v>
      </c>
      <c r="C159" s="361"/>
      <c r="D159" s="348"/>
      <c r="E159" s="348"/>
      <c r="F159" s="362"/>
      <c r="G159" s="348"/>
      <c r="H159" s="363"/>
      <c r="I159" s="363"/>
      <c r="J159" s="364">
        <f t="shared" si="49"/>
        <v>0</v>
      </c>
      <c r="K159" s="348"/>
      <c r="L159" s="348"/>
      <c r="M159" s="365">
        <f t="shared" si="51"/>
        <v>0</v>
      </c>
      <c r="N159" s="366">
        <f t="shared" si="61"/>
        <v>0</v>
      </c>
      <c r="O159" s="349">
        <f t="shared" si="61"/>
        <v>0</v>
      </c>
      <c r="P159" s="353">
        <f t="shared" si="61"/>
        <v>0</v>
      </c>
      <c r="Q159" s="368">
        <f t="shared" si="62"/>
        <v>9556059.1799999997</v>
      </c>
      <c r="R159" s="367">
        <f t="shared" si="62"/>
        <v>4767488</v>
      </c>
      <c r="S159" s="369">
        <f t="shared" si="62"/>
        <v>14554202.57</v>
      </c>
      <c r="T159" s="370">
        <f>N159/'2018'!N159-1</f>
        <v>-1</v>
      </c>
      <c r="U159" s="371">
        <f>O159/'2018'!O159-1</f>
        <v>-1</v>
      </c>
      <c r="V159" s="371">
        <f>P159/'2018'!P159-1</f>
        <v>-1</v>
      </c>
      <c r="W159" s="371">
        <f>Q159/'2018'!Q159-1</f>
        <v>-1.8257563480890249E-2</v>
      </c>
      <c r="X159" s="371">
        <f>R159/'2018'!R159-1</f>
        <v>-2.0582910253531539E-2</v>
      </c>
      <c r="Y159" s="372">
        <f>S159/'2018'!S159-1</f>
        <v>-1.8969008922894659E-2</v>
      </c>
      <c r="Z159" s="373"/>
      <c r="AA159" s="374">
        <f t="shared" si="50"/>
        <v>955.60591799999997</v>
      </c>
      <c r="AB159" s="375"/>
      <c r="AC159" s="365"/>
      <c r="AD159" s="375">
        <f t="shared" si="52"/>
        <v>9786714.5700000003</v>
      </c>
      <c r="AE159" s="348">
        <f t="shared" si="56"/>
        <v>76209.22</v>
      </c>
      <c r="AF159" s="348">
        <f t="shared" si="56"/>
        <v>43161.64</v>
      </c>
      <c r="AG159" s="365">
        <f t="shared" si="54"/>
        <v>111284.5300000006</v>
      </c>
      <c r="AH159" s="357"/>
      <c r="AI159" s="358"/>
      <c r="AJ159" s="358"/>
      <c r="AK159" s="358"/>
      <c r="AL159" s="358"/>
      <c r="AM159" s="358"/>
      <c r="AN159" s="358"/>
      <c r="AO159" s="358"/>
      <c r="AP159" s="358"/>
      <c r="AQ159" s="358"/>
      <c r="AR159" s="358"/>
      <c r="AS159" s="358"/>
      <c r="AT159" s="358"/>
      <c r="AU159" s="358"/>
      <c r="AV159" s="358"/>
      <c r="AW159" s="358"/>
      <c r="AX159" s="358"/>
      <c r="AY159" s="358"/>
      <c r="AZ159" s="358"/>
      <c r="BA159" s="358"/>
      <c r="BB159" s="358"/>
      <c r="BC159" s="358"/>
    </row>
    <row r="160" spans="1:55" s="376" customFormat="1" ht="15" customHeight="1" x14ac:dyDescent="0.15">
      <c r="A160" s="377">
        <v>42890</v>
      </c>
      <c r="B160" s="457" t="s">
        <v>35</v>
      </c>
      <c r="C160" s="361"/>
      <c r="D160" s="348"/>
      <c r="E160" s="348"/>
      <c r="F160" s="362"/>
      <c r="G160" s="348"/>
      <c r="H160" s="363"/>
      <c r="I160" s="363"/>
      <c r="J160" s="364">
        <f t="shared" si="49"/>
        <v>0</v>
      </c>
      <c r="K160" s="348"/>
      <c r="L160" s="348"/>
      <c r="M160" s="365">
        <f t="shared" si="51"/>
        <v>0</v>
      </c>
      <c r="N160" s="366">
        <f t="shared" si="61"/>
        <v>0</v>
      </c>
      <c r="O160" s="349">
        <f t="shared" si="61"/>
        <v>0</v>
      </c>
      <c r="P160" s="353">
        <f t="shared" si="61"/>
        <v>0</v>
      </c>
      <c r="Q160" s="368">
        <f t="shared" si="62"/>
        <v>9556059.1799999997</v>
      </c>
      <c r="R160" s="367">
        <f t="shared" si="62"/>
        <v>4767488</v>
      </c>
      <c r="S160" s="369">
        <f t="shared" si="62"/>
        <v>14554202.57</v>
      </c>
      <c r="T160" s="370">
        <f>N160/'2018'!N160-1</f>
        <v>-1</v>
      </c>
      <c r="U160" s="371">
        <f>O160/'2018'!O160-1</f>
        <v>-1</v>
      </c>
      <c r="V160" s="371">
        <f>P160/'2018'!P160-1</f>
        <v>-1</v>
      </c>
      <c r="W160" s="371">
        <f>Q160/'2018'!Q160-1</f>
        <v>-2.4995607150830601E-2</v>
      </c>
      <c r="X160" s="371">
        <f>R160/'2018'!R160-1</f>
        <v>-2.6833339355040509E-2</v>
      </c>
      <c r="Y160" s="372">
        <f>S160/'2018'!S160-1</f>
        <v>-2.5557828291668527E-2</v>
      </c>
      <c r="Z160" s="373"/>
      <c r="AA160" s="374">
        <f t="shared" si="50"/>
        <v>955.60591799999997</v>
      </c>
      <c r="AB160" s="375"/>
      <c r="AC160" s="365"/>
      <c r="AD160" s="375">
        <f t="shared" si="52"/>
        <v>9786714.5700000003</v>
      </c>
      <c r="AE160" s="348">
        <f t="shared" si="56"/>
        <v>76209.22</v>
      </c>
      <c r="AF160" s="348">
        <f t="shared" si="56"/>
        <v>43161.64</v>
      </c>
      <c r="AG160" s="365">
        <f t="shared" si="54"/>
        <v>111284.5300000006</v>
      </c>
      <c r="AH160" s="357"/>
      <c r="AI160" s="358"/>
      <c r="AJ160" s="358"/>
      <c r="AK160" s="358"/>
      <c r="AL160" s="358"/>
      <c r="AM160" s="358"/>
      <c r="AN160" s="358"/>
      <c r="AO160" s="358"/>
      <c r="AP160" s="358"/>
      <c r="AQ160" s="358"/>
      <c r="AR160" s="358"/>
      <c r="AS160" s="358"/>
      <c r="AT160" s="358"/>
      <c r="AU160" s="358"/>
      <c r="AV160" s="358"/>
      <c r="AW160" s="358"/>
      <c r="AX160" s="358"/>
      <c r="AY160" s="358"/>
      <c r="AZ160" s="358"/>
      <c r="BA160" s="358"/>
      <c r="BB160" s="358"/>
      <c r="BC160" s="358"/>
    </row>
    <row r="161" spans="1:55" s="376" customFormat="1" ht="15" customHeight="1" x14ac:dyDescent="0.15">
      <c r="A161" s="377">
        <v>42891</v>
      </c>
      <c r="B161" s="457" t="s">
        <v>36</v>
      </c>
      <c r="C161" s="361"/>
      <c r="D161" s="348"/>
      <c r="E161" s="348"/>
      <c r="F161" s="362"/>
      <c r="G161" s="348"/>
      <c r="H161" s="363"/>
      <c r="I161" s="363"/>
      <c r="J161" s="364">
        <f t="shared" si="49"/>
        <v>0</v>
      </c>
      <c r="K161" s="348"/>
      <c r="L161" s="348"/>
      <c r="M161" s="365">
        <f t="shared" si="51"/>
        <v>0</v>
      </c>
      <c r="N161" s="366">
        <f t="shared" si="61"/>
        <v>0</v>
      </c>
      <c r="O161" s="349">
        <f t="shared" si="61"/>
        <v>0</v>
      </c>
      <c r="P161" s="353">
        <f t="shared" si="61"/>
        <v>0</v>
      </c>
      <c r="Q161" s="368">
        <f t="shared" si="62"/>
        <v>9556059.1799999997</v>
      </c>
      <c r="R161" s="367">
        <f t="shared" si="62"/>
        <v>4767488</v>
      </c>
      <c r="S161" s="369">
        <f t="shared" si="62"/>
        <v>14554202.57</v>
      </c>
      <c r="T161" s="370">
        <f>N161/'2018'!N161-1</f>
        <v>-1</v>
      </c>
      <c r="U161" s="371">
        <f>O161/'2018'!O161-1</f>
        <v>-1</v>
      </c>
      <c r="V161" s="371">
        <f>P161/'2018'!P161-1</f>
        <v>-1</v>
      </c>
      <c r="W161" s="371">
        <f>Q161/'2018'!Q161-1</f>
        <v>-3.126640297041805E-2</v>
      </c>
      <c r="X161" s="371">
        <f>R161/'2018'!R161-1</f>
        <v>-3.4064825506182728E-2</v>
      </c>
      <c r="Y161" s="372">
        <f>S161/'2018'!S161-1</f>
        <v>-3.2121816471494258E-2</v>
      </c>
      <c r="Z161" s="373"/>
      <c r="AA161" s="374">
        <f t="shared" si="50"/>
        <v>955.60591799999997</v>
      </c>
      <c r="AB161" s="375"/>
      <c r="AC161" s="365"/>
      <c r="AD161" s="375">
        <f t="shared" si="52"/>
        <v>9786714.5700000003</v>
      </c>
      <c r="AE161" s="348">
        <f t="shared" si="56"/>
        <v>76209.22</v>
      </c>
      <c r="AF161" s="348">
        <f t="shared" si="56"/>
        <v>43161.64</v>
      </c>
      <c r="AG161" s="365">
        <f t="shared" si="54"/>
        <v>111284.5300000006</v>
      </c>
      <c r="AH161" s="357"/>
      <c r="AI161" s="358"/>
      <c r="AJ161" s="358"/>
      <c r="AK161" s="358"/>
      <c r="AL161" s="358"/>
      <c r="AM161" s="358"/>
      <c r="AN161" s="358"/>
      <c r="AO161" s="358"/>
      <c r="AP161" s="358"/>
      <c r="AQ161" s="358"/>
      <c r="AR161" s="358"/>
      <c r="AS161" s="358"/>
      <c r="AT161" s="358"/>
      <c r="AU161" s="358"/>
      <c r="AV161" s="358"/>
      <c r="AW161" s="358"/>
      <c r="AX161" s="358"/>
      <c r="AY161" s="358"/>
      <c r="AZ161" s="358"/>
      <c r="BA161" s="358"/>
      <c r="BB161" s="358"/>
      <c r="BC161" s="358"/>
    </row>
    <row r="162" spans="1:55" s="376" customFormat="1" ht="15" customHeight="1" x14ac:dyDescent="0.15">
      <c r="A162" s="377">
        <v>42892</v>
      </c>
      <c r="B162" s="182" t="s">
        <v>37</v>
      </c>
      <c r="C162" s="361"/>
      <c r="D162" s="348"/>
      <c r="E162" s="348"/>
      <c r="F162" s="362"/>
      <c r="G162" s="348"/>
      <c r="H162" s="363"/>
      <c r="I162" s="363"/>
      <c r="J162" s="364">
        <f t="shared" si="49"/>
        <v>0</v>
      </c>
      <c r="K162" s="348"/>
      <c r="L162" s="348"/>
      <c r="M162" s="365">
        <f t="shared" si="51"/>
        <v>0</v>
      </c>
      <c r="N162" s="366">
        <f t="shared" si="61"/>
        <v>0</v>
      </c>
      <c r="O162" s="349">
        <f t="shared" si="61"/>
        <v>0</v>
      </c>
      <c r="P162" s="353">
        <f t="shared" si="61"/>
        <v>0</v>
      </c>
      <c r="Q162" s="368">
        <f t="shared" si="62"/>
        <v>9556059.1799999997</v>
      </c>
      <c r="R162" s="367">
        <f t="shared" si="62"/>
        <v>4767488</v>
      </c>
      <c r="S162" s="369">
        <f t="shared" si="62"/>
        <v>14554202.57</v>
      </c>
      <c r="T162" s="370">
        <f>N162/'2018'!N162-1</f>
        <v>-1</v>
      </c>
      <c r="U162" s="371">
        <f>O162/'2018'!O162-1</f>
        <v>-1</v>
      </c>
      <c r="V162" s="371">
        <f>P162/'2018'!P162-1</f>
        <v>-1</v>
      </c>
      <c r="W162" s="371">
        <f>Q162/'2018'!Q162-1</f>
        <v>-3.7537225781968386E-2</v>
      </c>
      <c r="X162" s="371">
        <f>R162/'2018'!R162-1</f>
        <v>-4.0658475167329344E-2</v>
      </c>
      <c r="Y162" s="372">
        <f>S162/'2018'!S162-1</f>
        <v>-3.8503774223475618E-2</v>
      </c>
      <c r="Z162" s="373"/>
      <c r="AA162" s="374">
        <f t="shared" si="50"/>
        <v>955.60591799999997</v>
      </c>
      <c r="AB162" s="375"/>
      <c r="AC162" s="365"/>
      <c r="AD162" s="375">
        <f t="shared" si="52"/>
        <v>9786714.5700000003</v>
      </c>
      <c r="AE162" s="348">
        <f t="shared" si="56"/>
        <v>76209.22</v>
      </c>
      <c r="AF162" s="348">
        <f t="shared" si="56"/>
        <v>43161.64</v>
      </c>
      <c r="AG162" s="365">
        <f t="shared" si="54"/>
        <v>111284.5300000006</v>
      </c>
      <c r="AH162" s="357"/>
      <c r="AI162" s="358"/>
      <c r="AJ162" s="358"/>
      <c r="AK162" s="358"/>
      <c r="AL162" s="358"/>
      <c r="AM162" s="358"/>
      <c r="AN162" s="358"/>
      <c r="AO162" s="358"/>
      <c r="AP162" s="358"/>
      <c r="AQ162" s="358"/>
      <c r="AR162" s="358"/>
      <c r="AS162" s="358"/>
      <c r="AT162" s="358"/>
      <c r="AU162" s="358"/>
      <c r="AV162" s="358"/>
      <c r="AW162" s="358"/>
      <c r="AX162" s="358"/>
      <c r="AY162" s="358"/>
      <c r="AZ162" s="358"/>
      <c r="BA162" s="358"/>
      <c r="BB162" s="358"/>
      <c r="BC162" s="358"/>
    </row>
    <row r="163" spans="1:55" s="376" customFormat="1" ht="15" customHeight="1" x14ac:dyDescent="0.15">
      <c r="A163" s="377">
        <v>42893</v>
      </c>
      <c r="B163" s="457" t="s">
        <v>38</v>
      </c>
      <c r="C163" s="361"/>
      <c r="D163" s="348"/>
      <c r="E163" s="348"/>
      <c r="F163" s="362"/>
      <c r="G163" s="348"/>
      <c r="H163" s="363"/>
      <c r="I163" s="363"/>
      <c r="J163" s="364">
        <f t="shared" si="49"/>
        <v>0</v>
      </c>
      <c r="K163" s="348"/>
      <c r="L163" s="348"/>
      <c r="M163" s="365">
        <f t="shared" si="51"/>
        <v>0</v>
      </c>
      <c r="N163" s="366">
        <f t="shared" si="61"/>
        <v>0</v>
      </c>
      <c r="O163" s="349">
        <f t="shared" si="61"/>
        <v>0</v>
      </c>
      <c r="P163" s="353">
        <f t="shared" si="61"/>
        <v>0</v>
      </c>
      <c r="Q163" s="368">
        <f t="shared" si="62"/>
        <v>9556059.1799999997</v>
      </c>
      <c r="R163" s="367">
        <f t="shared" si="62"/>
        <v>4767488</v>
      </c>
      <c r="S163" s="369">
        <f t="shared" si="62"/>
        <v>14554202.57</v>
      </c>
      <c r="T163" s="370">
        <f>N163/'2018'!N163-1</f>
        <v>-1</v>
      </c>
      <c r="U163" s="371">
        <f>O163/'2018'!O163-1</f>
        <v>-1</v>
      </c>
      <c r="V163" s="371">
        <f>P163/'2018'!P163-1</f>
        <v>-1</v>
      </c>
      <c r="W163" s="371">
        <f>Q163/'2018'!Q163-1</f>
        <v>-4.3724036645444775E-2</v>
      </c>
      <c r="X163" s="371">
        <f>R163/'2018'!R163-1</f>
        <v>-4.7591954803704595E-2</v>
      </c>
      <c r="Y163" s="372">
        <f>S163/'2018'!S163-1</f>
        <v>-4.4983072823042369E-2</v>
      </c>
      <c r="Z163" s="373"/>
      <c r="AA163" s="374">
        <f t="shared" si="50"/>
        <v>955.60591799999997</v>
      </c>
      <c r="AB163" s="375"/>
      <c r="AC163" s="365"/>
      <c r="AD163" s="375">
        <f t="shared" si="52"/>
        <v>9786714.5700000003</v>
      </c>
      <c r="AE163" s="348">
        <f t="shared" si="56"/>
        <v>76209.22</v>
      </c>
      <c r="AF163" s="348">
        <f t="shared" si="56"/>
        <v>43161.64</v>
      </c>
      <c r="AG163" s="365">
        <f t="shared" si="54"/>
        <v>111284.5300000006</v>
      </c>
      <c r="AH163" s="357"/>
      <c r="AI163" s="358"/>
      <c r="AJ163" s="358"/>
      <c r="AK163" s="358"/>
      <c r="AL163" s="358"/>
      <c r="AM163" s="358"/>
      <c r="AN163" s="358"/>
      <c r="AO163" s="358"/>
      <c r="AP163" s="358"/>
      <c r="AQ163" s="358"/>
      <c r="AR163" s="358"/>
      <c r="AS163" s="358"/>
      <c r="AT163" s="358"/>
      <c r="AU163" s="358"/>
      <c r="AV163" s="358"/>
      <c r="AW163" s="358"/>
      <c r="AX163" s="358"/>
      <c r="AY163" s="358"/>
      <c r="AZ163" s="358"/>
      <c r="BA163" s="358"/>
      <c r="BB163" s="358"/>
      <c r="BC163" s="358"/>
    </row>
    <row r="164" spans="1:55" s="376" customFormat="1" ht="15" customHeight="1" x14ac:dyDescent="0.15">
      <c r="A164" s="377">
        <v>42894</v>
      </c>
      <c r="B164" s="457" t="s">
        <v>39</v>
      </c>
      <c r="C164" s="361"/>
      <c r="D164" s="348"/>
      <c r="E164" s="348"/>
      <c r="F164" s="362"/>
      <c r="G164" s="348"/>
      <c r="H164" s="363"/>
      <c r="I164" s="363"/>
      <c r="J164" s="364">
        <f t="shared" si="49"/>
        <v>0</v>
      </c>
      <c r="K164" s="348"/>
      <c r="L164" s="348"/>
      <c r="M164" s="365">
        <f t="shared" si="51"/>
        <v>0</v>
      </c>
      <c r="N164" s="366">
        <f t="shared" si="61"/>
        <v>0</v>
      </c>
      <c r="O164" s="349">
        <f t="shared" si="61"/>
        <v>0</v>
      </c>
      <c r="P164" s="353">
        <f t="shared" si="61"/>
        <v>0</v>
      </c>
      <c r="Q164" s="368">
        <f t="shared" si="62"/>
        <v>9556059.1799999997</v>
      </c>
      <c r="R164" s="367">
        <f t="shared" si="62"/>
        <v>4767488</v>
      </c>
      <c r="S164" s="369">
        <f t="shared" si="62"/>
        <v>14554202.57</v>
      </c>
      <c r="T164" s="370">
        <f>N164/'2018'!N164-1</f>
        <v>-1</v>
      </c>
      <c r="U164" s="371">
        <f>O164/'2018'!O164-1</f>
        <v>-1</v>
      </c>
      <c r="V164" s="371">
        <f>P164/'2018'!P164-1</f>
        <v>-1</v>
      </c>
      <c r="W164" s="371">
        <f>Q164/'2018'!Q164-1</f>
        <v>-4.9996932193060228E-2</v>
      </c>
      <c r="X164" s="371">
        <f>R164/'2018'!R164-1</f>
        <v>-5.4467190176826441E-2</v>
      </c>
      <c r="Y164" s="372">
        <f>S164/'2018'!S164-1</f>
        <v>-5.1518869757390839E-2</v>
      </c>
      <c r="Z164" s="373"/>
      <c r="AA164" s="374">
        <f t="shared" si="50"/>
        <v>955.60591799999997</v>
      </c>
      <c r="AB164" s="375"/>
      <c r="AC164" s="365"/>
      <c r="AD164" s="375">
        <f t="shared" si="52"/>
        <v>9786714.5700000003</v>
      </c>
      <c r="AE164" s="348">
        <f t="shared" si="56"/>
        <v>76209.22</v>
      </c>
      <c r="AF164" s="348">
        <f t="shared" si="56"/>
        <v>43161.64</v>
      </c>
      <c r="AG164" s="365">
        <f t="shared" si="54"/>
        <v>111284.5300000006</v>
      </c>
      <c r="AH164" s="357"/>
      <c r="AI164" s="358"/>
      <c r="AJ164" s="358"/>
      <c r="AK164" s="358"/>
      <c r="AL164" s="358"/>
      <c r="AM164" s="358"/>
      <c r="AN164" s="358"/>
      <c r="AO164" s="358"/>
      <c r="AP164" s="358"/>
      <c r="AQ164" s="358"/>
      <c r="AR164" s="358"/>
      <c r="AS164" s="358"/>
      <c r="AT164" s="358"/>
      <c r="AU164" s="358"/>
      <c r="AV164" s="358"/>
      <c r="AW164" s="358"/>
      <c r="AX164" s="358"/>
      <c r="AY164" s="358"/>
      <c r="AZ164" s="358"/>
      <c r="BA164" s="358"/>
      <c r="BB164" s="358"/>
      <c r="BC164" s="358"/>
    </row>
    <row r="165" spans="1:55" s="376" customFormat="1" ht="15" customHeight="1" x14ac:dyDescent="0.15">
      <c r="A165" s="377">
        <v>42895</v>
      </c>
      <c r="B165" s="457" t="s">
        <v>1</v>
      </c>
      <c r="C165" s="361"/>
      <c r="D165" s="348"/>
      <c r="E165" s="348"/>
      <c r="F165" s="362"/>
      <c r="G165" s="348"/>
      <c r="H165" s="363"/>
      <c r="I165" s="363"/>
      <c r="J165" s="364">
        <f t="shared" si="49"/>
        <v>0</v>
      </c>
      <c r="K165" s="348"/>
      <c r="L165" s="348"/>
      <c r="M165" s="365">
        <f t="shared" si="51"/>
        <v>0</v>
      </c>
      <c r="N165" s="366">
        <f t="shared" si="61"/>
        <v>0</v>
      </c>
      <c r="O165" s="349">
        <f t="shared" si="61"/>
        <v>0</v>
      </c>
      <c r="P165" s="353">
        <f t="shared" si="61"/>
        <v>0</v>
      </c>
      <c r="Q165" s="368">
        <f t="shared" si="62"/>
        <v>9556059.1799999997</v>
      </c>
      <c r="R165" s="367">
        <f t="shared" si="62"/>
        <v>4767488</v>
      </c>
      <c r="S165" s="369">
        <f t="shared" si="62"/>
        <v>14554202.57</v>
      </c>
      <c r="T165" s="370">
        <f>N165/'2018'!N165-1</f>
        <v>-1</v>
      </c>
      <c r="U165" s="371">
        <f>O165/'2018'!O165-1</f>
        <v>-1</v>
      </c>
      <c r="V165" s="371">
        <f>P165/'2018'!P165-1</f>
        <v>-1</v>
      </c>
      <c r="W165" s="371">
        <f>Q165/'2018'!Q165-1</f>
        <v>-5.6008311927710164E-2</v>
      </c>
      <c r="X165" s="371">
        <f>R165/'2018'!R165-1</f>
        <v>-6.131780876076709E-2</v>
      </c>
      <c r="Y165" s="372">
        <f>S165/'2018'!S165-1</f>
        <v>-5.7877518722421861E-2</v>
      </c>
      <c r="Z165" s="373"/>
      <c r="AA165" s="374">
        <f t="shared" si="50"/>
        <v>955.60591799999997</v>
      </c>
      <c r="AB165" s="375"/>
      <c r="AC165" s="365"/>
      <c r="AD165" s="375">
        <f t="shared" si="52"/>
        <v>9786714.5700000003</v>
      </c>
      <c r="AE165" s="348">
        <f t="shared" si="56"/>
        <v>76209.22</v>
      </c>
      <c r="AF165" s="348">
        <f t="shared" si="56"/>
        <v>43161.64</v>
      </c>
      <c r="AG165" s="365">
        <f t="shared" si="54"/>
        <v>111284.5300000006</v>
      </c>
      <c r="AH165" s="357"/>
      <c r="AI165" s="358"/>
      <c r="AJ165" s="358"/>
      <c r="AK165" s="358"/>
      <c r="AL165" s="358"/>
      <c r="AM165" s="358"/>
      <c r="AN165" s="358"/>
      <c r="AO165" s="358"/>
      <c r="AP165" s="358"/>
      <c r="AQ165" s="358"/>
      <c r="AR165" s="358"/>
      <c r="AS165" s="358"/>
      <c r="AT165" s="358"/>
      <c r="AU165" s="358"/>
      <c r="AV165" s="358"/>
      <c r="AW165" s="358"/>
      <c r="AX165" s="358"/>
      <c r="AY165" s="358"/>
      <c r="AZ165" s="358"/>
      <c r="BA165" s="358"/>
      <c r="BB165" s="358"/>
      <c r="BC165" s="358"/>
    </row>
    <row r="166" spans="1:55" s="376" customFormat="1" ht="15" customHeight="1" x14ac:dyDescent="0.15">
      <c r="A166" s="377">
        <v>42896</v>
      </c>
      <c r="B166" s="457" t="s">
        <v>34</v>
      </c>
      <c r="C166" s="361"/>
      <c r="D166" s="348"/>
      <c r="E166" s="348"/>
      <c r="F166" s="362"/>
      <c r="G166" s="348"/>
      <c r="H166" s="363"/>
      <c r="I166" s="363"/>
      <c r="J166" s="364">
        <f t="shared" si="49"/>
        <v>0</v>
      </c>
      <c r="K166" s="348"/>
      <c r="L166" s="348"/>
      <c r="M166" s="365">
        <f t="shared" si="51"/>
        <v>0</v>
      </c>
      <c r="N166" s="366">
        <f t="shared" si="61"/>
        <v>0</v>
      </c>
      <c r="O166" s="349">
        <f t="shared" si="61"/>
        <v>0</v>
      </c>
      <c r="P166" s="353">
        <f t="shared" si="61"/>
        <v>0</v>
      </c>
      <c r="Q166" s="368">
        <f t="shared" si="62"/>
        <v>9556059.1799999997</v>
      </c>
      <c r="R166" s="367">
        <f t="shared" si="62"/>
        <v>4767488</v>
      </c>
      <c r="S166" s="369">
        <f t="shared" si="62"/>
        <v>14554202.57</v>
      </c>
      <c r="T166" s="370">
        <f>N166/'2018'!N166-1</f>
        <v>-1</v>
      </c>
      <c r="U166" s="371">
        <f>O166/'2018'!O166-1</f>
        <v>-1</v>
      </c>
      <c r="V166" s="371">
        <f>P166/'2018'!P166-1</f>
        <v>-1</v>
      </c>
      <c r="W166" s="371">
        <f>Q166/'2018'!Q166-1</f>
        <v>-6.1485665002203427E-2</v>
      </c>
      <c r="X166" s="371">
        <f>R166/'2018'!R166-1</f>
        <v>-6.7733100554453363E-2</v>
      </c>
      <c r="Y166" s="372">
        <f>S166/'2018'!S166-1</f>
        <v>-6.3712469645952119E-2</v>
      </c>
      <c r="Z166" s="373"/>
      <c r="AA166" s="374">
        <f t="shared" si="50"/>
        <v>955.60591799999997</v>
      </c>
      <c r="AB166" s="375"/>
      <c r="AC166" s="365"/>
      <c r="AD166" s="375">
        <f t="shared" si="52"/>
        <v>9786714.5700000003</v>
      </c>
      <c r="AE166" s="348">
        <f t="shared" si="56"/>
        <v>76209.22</v>
      </c>
      <c r="AF166" s="348">
        <f t="shared" si="56"/>
        <v>43161.64</v>
      </c>
      <c r="AG166" s="365">
        <f t="shared" si="54"/>
        <v>111284.5300000006</v>
      </c>
      <c r="AH166" s="357"/>
      <c r="AI166" s="358"/>
      <c r="AJ166" s="358"/>
      <c r="AK166" s="358"/>
      <c r="AL166" s="358"/>
      <c r="AM166" s="358"/>
      <c r="AN166" s="358"/>
      <c r="AO166" s="358"/>
      <c r="AP166" s="358"/>
      <c r="AQ166" s="358"/>
      <c r="AR166" s="358"/>
      <c r="AS166" s="358"/>
      <c r="AT166" s="358"/>
      <c r="AU166" s="358"/>
      <c r="AV166" s="358"/>
      <c r="AW166" s="358"/>
      <c r="AX166" s="358"/>
      <c r="AY166" s="358"/>
      <c r="AZ166" s="358"/>
      <c r="BA166" s="358"/>
      <c r="BB166" s="358"/>
      <c r="BC166" s="358"/>
    </row>
    <row r="167" spans="1:55" s="376" customFormat="1" ht="15" customHeight="1" x14ac:dyDescent="0.15">
      <c r="A167" s="377">
        <v>42897</v>
      </c>
      <c r="B167" s="457" t="s">
        <v>35</v>
      </c>
      <c r="C167" s="361"/>
      <c r="D167" s="348"/>
      <c r="E167" s="348"/>
      <c r="F167" s="362"/>
      <c r="G167" s="348"/>
      <c r="H167" s="363"/>
      <c r="I167" s="363"/>
      <c r="J167" s="364">
        <f t="shared" si="49"/>
        <v>0</v>
      </c>
      <c r="K167" s="348"/>
      <c r="L167" s="348"/>
      <c r="M167" s="365">
        <f t="shared" si="51"/>
        <v>0</v>
      </c>
      <c r="N167" s="366">
        <f t="shared" si="61"/>
        <v>0</v>
      </c>
      <c r="O167" s="349">
        <f t="shared" si="61"/>
        <v>0</v>
      </c>
      <c r="P167" s="353">
        <f t="shared" si="61"/>
        <v>0</v>
      </c>
      <c r="Q167" s="368">
        <f t="shared" si="62"/>
        <v>9556059.1799999997</v>
      </c>
      <c r="R167" s="367">
        <f t="shared" si="62"/>
        <v>4767488</v>
      </c>
      <c r="S167" s="369">
        <f t="shared" si="62"/>
        <v>14554202.57</v>
      </c>
      <c r="T167" s="370">
        <f>N167/'2018'!N167-1</f>
        <v>-1</v>
      </c>
      <c r="U167" s="371">
        <f>O167/'2018'!O167-1</f>
        <v>-1</v>
      </c>
      <c r="V167" s="371">
        <f>P167/'2018'!P167-1</f>
        <v>-1</v>
      </c>
      <c r="W167" s="371">
        <f>Q167/'2018'!Q167-1</f>
        <v>-6.691230415930205E-2</v>
      </c>
      <c r="X167" s="371">
        <f>R167/'2018'!R167-1</f>
        <v>-7.4622763463860209E-2</v>
      </c>
      <c r="Y167" s="372">
        <f>S167/'2018'!S167-1</f>
        <v>-6.9722776905949968E-2</v>
      </c>
      <c r="Z167" s="373"/>
      <c r="AA167" s="374">
        <f t="shared" si="50"/>
        <v>955.60591799999997</v>
      </c>
      <c r="AB167" s="375"/>
      <c r="AC167" s="365"/>
      <c r="AD167" s="375">
        <f t="shared" si="52"/>
        <v>9786714.5700000003</v>
      </c>
      <c r="AE167" s="348">
        <f t="shared" ref="AE167:AF182" si="63">AE166+K167</f>
        <v>76209.22</v>
      </c>
      <c r="AF167" s="348">
        <f t="shared" si="63"/>
        <v>43161.64</v>
      </c>
      <c r="AG167" s="365">
        <f t="shared" si="54"/>
        <v>111284.5300000006</v>
      </c>
      <c r="AH167" s="357"/>
      <c r="AI167" s="358"/>
      <c r="AJ167" s="358"/>
      <c r="AK167" s="358"/>
      <c r="AL167" s="358"/>
      <c r="AM167" s="358"/>
      <c r="AN167" s="358"/>
      <c r="AO167" s="358"/>
      <c r="AP167" s="358"/>
      <c r="AQ167" s="358"/>
      <c r="AR167" s="358"/>
      <c r="AS167" s="358"/>
      <c r="AT167" s="358"/>
      <c r="AU167" s="358"/>
      <c r="AV167" s="358"/>
      <c r="AW167" s="358"/>
      <c r="AX167" s="358"/>
      <c r="AY167" s="358"/>
      <c r="AZ167" s="358"/>
      <c r="BA167" s="358"/>
      <c r="BB167" s="358"/>
      <c r="BC167" s="358"/>
    </row>
    <row r="168" spans="1:55" s="376" customFormat="1" ht="15" customHeight="1" x14ac:dyDescent="0.15">
      <c r="A168" s="377">
        <v>42898</v>
      </c>
      <c r="B168" s="457" t="s">
        <v>36</v>
      </c>
      <c r="C168" s="361"/>
      <c r="D168" s="348"/>
      <c r="E168" s="348"/>
      <c r="F168" s="362"/>
      <c r="G168" s="348"/>
      <c r="H168" s="363"/>
      <c r="I168" s="363"/>
      <c r="J168" s="364">
        <f t="shared" si="49"/>
        <v>0</v>
      </c>
      <c r="K168" s="348"/>
      <c r="L168" s="348"/>
      <c r="M168" s="365">
        <f t="shared" si="51"/>
        <v>0</v>
      </c>
      <c r="N168" s="366">
        <f t="shared" si="61"/>
        <v>0</v>
      </c>
      <c r="O168" s="349">
        <f t="shared" si="61"/>
        <v>0</v>
      </c>
      <c r="P168" s="353">
        <f t="shared" si="61"/>
        <v>0</v>
      </c>
      <c r="Q168" s="368">
        <f t="shared" si="62"/>
        <v>9556059.1799999997</v>
      </c>
      <c r="R168" s="367">
        <f t="shared" si="62"/>
        <v>4767488</v>
      </c>
      <c r="S168" s="369">
        <f t="shared" si="62"/>
        <v>14554202.57</v>
      </c>
      <c r="T168" s="370">
        <f>N168/'2018'!N168-1</f>
        <v>-1</v>
      </c>
      <c r="U168" s="371">
        <f>O168/'2018'!O168-1</f>
        <v>-1</v>
      </c>
      <c r="V168" s="371">
        <f>P168/'2018'!P168-1</f>
        <v>-1</v>
      </c>
      <c r="W168" s="371">
        <f>Q168/'2018'!Q168-1</f>
        <v>-7.2763277121420278E-2</v>
      </c>
      <c r="X168" s="371">
        <f>R168/'2018'!R168-1</f>
        <v>-8.1410633120167386E-2</v>
      </c>
      <c r="Y168" s="372">
        <f>S168/'2018'!S168-1</f>
        <v>-7.6016254160106045E-2</v>
      </c>
      <c r="Z168" s="373"/>
      <c r="AA168" s="374">
        <f t="shared" si="50"/>
        <v>955.60591799999997</v>
      </c>
      <c r="AB168" s="375"/>
      <c r="AC168" s="365"/>
      <c r="AD168" s="375">
        <f t="shared" si="52"/>
        <v>9786714.5700000003</v>
      </c>
      <c r="AE168" s="348">
        <f t="shared" si="63"/>
        <v>76209.22</v>
      </c>
      <c r="AF168" s="348">
        <f t="shared" si="63"/>
        <v>43161.64</v>
      </c>
      <c r="AG168" s="365">
        <f t="shared" si="54"/>
        <v>111284.5300000006</v>
      </c>
      <c r="AH168" s="357"/>
      <c r="AI168" s="358"/>
      <c r="AJ168" s="358"/>
      <c r="AK168" s="358"/>
      <c r="AL168" s="358"/>
      <c r="AM168" s="358"/>
      <c r="AN168" s="358"/>
      <c r="AO168" s="358"/>
      <c r="AP168" s="358"/>
      <c r="AQ168" s="358"/>
      <c r="AR168" s="358"/>
      <c r="AS168" s="358"/>
      <c r="AT168" s="358"/>
      <c r="AU168" s="358"/>
      <c r="AV168" s="358"/>
      <c r="AW168" s="358"/>
      <c r="AX168" s="358"/>
      <c r="AY168" s="358"/>
      <c r="AZ168" s="358"/>
      <c r="BA168" s="358"/>
      <c r="BB168" s="358"/>
      <c r="BC168" s="358"/>
    </row>
    <row r="169" spans="1:55" s="376" customFormat="1" ht="15" customHeight="1" x14ac:dyDescent="0.15">
      <c r="A169" s="377">
        <v>42899</v>
      </c>
      <c r="B169" s="182" t="s">
        <v>37</v>
      </c>
      <c r="C169" s="361"/>
      <c r="D169" s="348"/>
      <c r="E169" s="348"/>
      <c r="F169" s="362"/>
      <c r="G169" s="348"/>
      <c r="H169" s="363"/>
      <c r="I169" s="363"/>
      <c r="J169" s="364">
        <f t="shared" si="49"/>
        <v>0</v>
      </c>
      <c r="K169" s="348"/>
      <c r="L169" s="348"/>
      <c r="M169" s="365">
        <f t="shared" si="51"/>
        <v>0</v>
      </c>
      <c r="N169" s="366">
        <f t="shared" si="61"/>
        <v>0</v>
      </c>
      <c r="O169" s="349">
        <f t="shared" si="61"/>
        <v>0</v>
      </c>
      <c r="P169" s="353">
        <f t="shared" si="61"/>
        <v>0</v>
      </c>
      <c r="Q169" s="368">
        <f t="shared" si="62"/>
        <v>9556059.1799999997</v>
      </c>
      <c r="R169" s="367">
        <f t="shared" si="62"/>
        <v>4767488</v>
      </c>
      <c r="S169" s="369">
        <f t="shared" si="62"/>
        <v>14554202.57</v>
      </c>
      <c r="T169" s="370">
        <f>N169/'2018'!N169-1</f>
        <v>-1</v>
      </c>
      <c r="U169" s="371">
        <f>O169/'2018'!O169-1</f>
        <v>-1</v>
      </c>
      <c r="V169" s="371">
        <f>P169/'2018'!P169-1</f>
        <v>-1</v>
      </c>
      <c r="W169" s="371">
        <f>Q169/'2018'!Q169-1</f>
        <v>-7.870603401718268E-2</v>
      </c>
      <c r="X169" s="371">
        <f>R169/'2018'!R169-1</f>
        <v>-8.8094588212701108E-2</v>
      </c>
      <c r="Y169" s="372">
        <f>S169/'2018'!S169-1</f>
        <v>-8.2337644180670355E-2</v>
      </c>
      <c r="Z169" s="373"/>
      <c r="AA169" s="374">
        <f t="shared" si="50"/>
        <v>955.60591799999997</v>
      </c>
      <c r="AB169" s="375"/>
      <c r="AC169" s="365"/>
      <c r="AD169" s="375">
        <f t="shared" si="52"/>
        <v>9786714.5700000003</v>
      </c>
      <c r="AE169" s="348">
        <f t="shared" si="63"/>
        <v>76209.22</v>
      </c>
      <c r="AF169" s="348">
        <f t="shared" si="63"/>
        <v>43161.64</v>
      </c>
      <c r="AG169" s="365">
        <f t="shared" si="54"/>
        <v>111284.5300000006</v>
      </c>
      <c r="AH169" s="357"/>
      <c r="AI169" s="358"/>
      <c r="AJ169" s="358"/>
      <c r="AK169" s="358"/>
      <c r="AL169" s="358"/>
      <c r="AM169" s="358"/>
      <c r="AN169" s="358"/>
      <c r="AO169" s="358"/>
      <c r="AP169" s="358"/>
      <c r="AQ169" s="358"/>
      <c r="AR169" s="358"/>
      <c r="AS169" s="358"/>
      <c r="AT169" s="358"/>
      <c r="AU169" s="358"/>
      <c r="AV169" s="358"/>
      <c r="AW169" s="358"/>
      <c r="AX169" s="358"/>
      <c r="AY169" s="358"/>
      <c r="AZ169" s="358"/>
      <c r="BA169" s="358"/>
      <c r="BB169" s="358"/>
      <c r="BC169" s="358"/>
    </row>
    <row r="170" spans="1:55" s="376" customFormat="1" ht="15" customHeight="1" x14ac:dyDescent="0.15">
      <c r="A170" s="377">
        <v>42900</v>
      </c>
      <c r="B170" s="457" t="s">
        <v>38</v>
      </c>
      <c r="C170" s="361"/>
      <c r="D170" s="348"/>
      <c r="E170" s="348"/>
      <c r="F170" s="362"/>
      <c r="G170" s="348"/>
      <c r="H170" s="363"/>
      <c r="I170" s="363"/>
      <c r="J170" s="364">
        <f t="shared" si="49"/>
        <v>0</v>
      </c>
      <c r="K170" s="348"/>
      <c r="L170" s="348"/>
      <c r="M170" s="365">
        <f t="shared" si="51"/>
        <v>0</v>
      </c>
      <c r="N170" s="366">
        <f t="shared" si="61"/>
        <v>0</v>
      </c>
      <c r="O170" s="349">
        <f t="shared" si="61"/>
        <v>0</v>
      </c>
      <c r="P170" s="353">
        <f t="shared" si="61"/>
        <v>0</v>
      </c>
      <c r="Q170" s="368">
        <f t="shared" si="62"/>
        <v>9556059.1799999997</v>
      </c>
      <c r="R170" s="367">
        <f t="shared" si="62"/>
        <v>4767488</v>
      </c>
      <c r="S170" s="369">
        <f t="shared" si="62"/>
        <v>14554202.57</v>
      </c>
      <c r="T170" s="370">
        <f>N170/'2018'!N170-1</f>
        <v>-1</v>
      </c>
      <c r="U170" s="371">
        <f>O170/'2018'!O170-1</f>
        <v>-1</v>
      </c>
      <c r="V170" s="371">
        <f>P170/'2018'!P170-1</f>
        <v>-1</v>
      </c>
      <c r="W170" s="371">
        <f>Q170/'2018'!Q170-1</f>
        <v>-8.490455043792644E-2</v>
      </c>
      <c r="X170" s="371">
        <f>R170/'2018'!R170-1</f>
        <v>-9.4211029697033544E-2</v>
      </c>
      <c r="Y170" s="372">
        <f>S170/'2018'!S170-1</f>
        <v>-8.8611823002235357E-2</v>
      </c>
      <c r="Z170" s="373"/>
      <c r="AA170" s="374">
        <f t="shared" si="50"/>
        <v>955.60591799999997</v>
      </c>
      <c r="AB170" s="375"/>
      <c r="AC170" s="365"/>
      <c r="AD170" s="375">
        <f t="shared" si="52"/>
        <v>9786714.5700000003</v>
      </c>
      <c r="AE170" s="348">
        <f t="shared" si="63"/>
        <v>76209.22</v>
      </c>
      <c r="AF170" s="348">
        <f t="shared" si="63"/>
        <v>43161.64</v>
      </c>
      <c r="AG170" s="365">
        <f t="shared" si="54"/>
        <v>111284.5300000006</v>
      </c>
      <c r="AH170" s="357"/>
      <c r="AI170" s="358"/>
      <c r="AJ170" s="358"/>
      <c r="AK170" s="358"/>
      <c r="AL170" s="358"/>
      <c r="AM170" s="358"/>
      <c r="AN170" s="358"/>
      <c r="AO170" s="358"/>
      <c r="AP170" s="358"/>
      <c r="AQ170" s="358"/>
      <c r="AR170" s="358"/>
      <c r="AS170" s="358"/>
      <c r="AT170" s="358"/>
      <c r="AU170" s="358"/>
      <c r="AV170" s="358"/>
      <c r="AW170" s="358"/>
      <c r="AX170" s="358"/>
      <c r="AY170" s="358"/>
      <c r="AZ170" s="358"/>
      <c r="BA170" s="358"/>
      <c r="BB170" s="358"/>
      <c r="BC170" s="358"/>
    </row>
    <row r="171" spans="1:55" s="376" customFormat="1" ht="15" customHeight="1" x14ac:dyDescent="0.15">
      <c r="A171" s="377">
        <v>42901</v>
      </c>
      <c r="B171" s="457" t="s">
        <v>39</v>
      </c>
      <c r="C171" s="361"/>
      <c r="D171" s="348"/>
      <c r="E171" s="348"/>
      <c r="F171" s="362"/>
      <c r="G171" s="348"/>
      <c r="H171" s="363"/>
      <c r="I171" s="363"/>
      <c r="J171" s="364">
        <f t="shared" si="49"/>
        <v>0</v>
      </c>
      <c r="K171" s="348"/>
      <c r="L171" s="348"/>
      <c r="M171" s="365">
        <f t="shared" si="51"/>
        <v>0</v>
      </c>
      <c r="N171" s="366">
        <f t="shared" si="61"/>
        <v>0</v>
      </c>
      <c r="O171" s="349">
        <f t="shared" si="61"/>
        <v>0</v>
      </c>
      <c r="P171" s="353">
        <f t="shared" si="61"/>
        <v>0</v>
      </c>
      <c r="Q171" s="368">
        <f t="shared" si="62"/>
        <v>9556059.1799999997</v>
      </c>
      <c r="R171" s="367">
        <f t="shared" si="62"/>
        <v>4767488</v>
      </c>
      <c r="S171" s="369">
        <f t="shared" si="62"/>
        <v>14554202.57</v>
      </c>
      <c r="T171" s="370">
        <f>N171/'2018'!N171-1</f>
        <v>-1</v>
      </c>
      <c r="U171" s="371">
        <f>O171/'2018'!O171-1</f>
        <v>-1</v>
      </c>
      <c r="V171" s="371">
        <f>P171/'2018'!P171-1</f>
        <v>-1</v>
      </c>
      <c r="W171" s="371">
        <f>Q171/'2018'!Q171-1</f>
        <v>-9.1036211711680859E-2</v>
      </c>
      <c r="X171" s="371">
        <f>R171/'2018'!R171-1</f>
        <v>-0.10025411869503964</v>
      </c>
      <c r="Y171" s="372">
        <f>S171/'2018'!S171-1</f>
        <v>-9.4842392626584004E-2</v>
      </c>
      <c r="Z171" s="373"/>
      <c r="AA171" s="374">
        <f t="shared" si="50"/>
        <v>955.60591799999997</v>
      </c>
      <c r="AB171" s="375"/>
      <c r="AC171" s="365"/>
      <c r="AD171" s="375">
        <f t="shared" si="52"/>
        <v>9786714.5700000003</v>
      </c>
      <c r="AE171" s="348">
        <f t="shared" si="63"/>
        <v>76209.22</v>
      </c>
      <c r="AF171" s="348">
        <f t="shared" si="63"/>
        <v>43161.64</v>
      </c>
      <c r="AG171" s="365">
        <f t="shared" si="54"/>
        <v>111284.5300000006</v>
      </c>
      <c r="AH171" s="357"/>
      <c r="AI171" s="358"/>
      <c r="AJ171" s="358"/>
      <c r="AK171" s="358"/>
      <c r="AL171" s="358"/>
      <c r="AM171" s="358"/>
      <c r="AN171" s="358"/>
      <c r="AO171" s="358"/>
      <c r="AP171" s="358"/>
      <c r="AQ171" s="358"/>
      <c r="AR171" s="358"/>
      <c r="AS171" s="358"/>
      <c r="AT171" s="358"/>
      <c r="AU171" s="358"/>
      <c r="AV171" s="358"/>
      <c r="AW171" s="358"/>
      <c r="AX171" s="358"/>
      <c r="AY171" s="358"/>
      <c r="AZ171" s="358"/>
      <c r="BA171" s="358"/>
      <c r="BB171" s="358"/>
      <c r="BC171" s="358"/>
    </row>
    <row r="172" spans="1:55" s="376" customFormat="1" ht="15" customHeight="1" x14ac:dyDescent="0.15">
      <c r="A172" s="377">
        <v>42902</v>
      </c>
      <c r="B172" s="457" t="s">
        <v>1</v>
      </c>
      <c r="C172" s="361"/>
      <c r="D172" s="348"/>
      <c r="E172" s="348"/>
      <c r="F172" s="362"/>
      <c r="G172" s="348"/>
      <c r="H172" s="363"/>
      <c r="I172" s="363"/>
      <c r="J172" s="364">
        <f t="shared" si="49"/>
        <v>0</v>
      </c>
      <c r="K172" s="348"/>
      <c r="L172" s="348"/>
      <c r="M172" s="365">
        <f t="shared" si="51"/>
        <v>0</v>
      </c>
      <c r="N172" s="366">
        <f t="shared" si="61"/>
        <v>0</v>
      </c>
      <c r="O172" s="349">
        <f t="shared" si="61"/>
        <v>0</v>
      </c>
      <c r="P172" s="353">
        <f t="shared" si="61"/>
        <v>0</v>
      </c>
      <c r="Q172" s="368">
        <f t="shared" si="62"/>
        <v>9556059.1799999997</v>
      </c>
      <c r="R172" s="367">
        <f t="shared" si="62"/>
        <v>4767488</v>
      </c>
      <c r="S172" s="369">
        <f t="shared" si="62"/>
        <v>14554202.57</v>
      </c>
      <c r="T172" s="370">
        <f>N172/'2018'!N172-1</f>
        <v>-1</v>
      </c>
      <c r="U172" s="371">
        <f>O172/'2018'!O172-1</f>
        <v>-1</v>
      </c>
      <c r="V172" s="371">
        <f>P172/'2018'!P172-1</f>
        <v>-1</v>
      </c>
      <c r="W172" s="371">
        <f>Q172/'2018'!Q172-1</f>
        <v>-9.6763395303897104E-2</v>
      </c>
      <c r="X172" s="371">
        <f>R172/'2018'!R172-1</f>
        <v>-0.10624961334770588</v>
      </c>
      <c r="Y172" s="372">
        <f>S172/'2018'!S172-1</f>
        <v>-0.10075544653998592</v>
      </c>
      <c r="Z172" s="373"/>
      <c r="AA172" s="374">
        <f t="shared" si="50"/>
        <v>955.60591799999997</v>
      </c>
      <c r="AB172" s="375"/>
      <c r="AC172" s="365"/>
      <c r="AD172" s="375">
        <f t="shared" si="52"/>
        <v>9786714.5700000003</v>
      </c>
      <c r="AE172" s="348">
        <f t="shared" si="63"/>
        <v>76209.22</v>
      </c>
      <c r="AF172" s="348">
        <f t="shared" si="63"/>
        <v>43161.64</v>
      </c>
      <c r="AG172" s="365">
        <f t="shared" si="54"/>
        <v>111284.5300000006</v>
      </c>
      <c r="AH172" s="357"/>
      <c r="AI172" s="358"/>
      <c r="AJ172" s="358"/>
      <c r="AK172" s="358"/>
      <c r="AL172" s="358"/>
      <c r="AM172" s="358"/>
      <c r="AN172" s="358"/>
      <c r="AO172" s="358"/>
      <c r="AP172" s="358"/>
      <c r="AQ172" s="358"/>
      <c r="AR172" s="358"/>
      <c r="AS172" s="358"/>
      <c r="AT172" s="358"/>
      <c r="AU172" s="358"/>
      <c r="AV172" s="358"/>
      <c r="AW172" s="358"/>
      <c r="AX172" s="358"/>
      <c r="AY172" s="358"/>
      <c r="AZ172" s="358"/>
      <c r="BA172" s="358"/>
      <c r="BB172" s="358"/>
      <c r="BC172" s="358"/>
    </row>
    <row r="173" spans="1:55" s="376" customFormat="1" ht="15" customHeight="1" x14ac:dyDescent="0.15">
      <c r="A173" s="377">
        <v>42903</v>
      </c>
      <c r="B173" s="457" t="s">
        <v>34</v>
      </c>
      <c r="C173" s="361"/>
      <c r="D173" s="348"/>
      <c r="E173" s="348"/>
      <c r="F173" s="362"/>
      <c r="G173" s="348"/>
      <c r="H173" s="363"/>
      <c r="I173" s="363"/>
      <c r="J173" s="364">
        <f t="shared" si="49"/>
        <v>0</v>
      </c>
      <c r="K173" s="348"/>
      <c r="L173" s="348"/>
      <c r="M173" s="365">
        <f t="shared" si="51"/>
        <v>0</v>
      </c>
      <c r="N173" s="366">
        <f t="shared" si="61"/>
        <v>0</v>
      </c>
      <c r="O173" s="349">
        <f t="shared" si="61"/>
        <v>0</v>
      </c>
      <c r="P173" s="353">
        <f t="shared" si="61"/>
        <v>0</v>
      </c>
      <c r="Q173" s="368">
        <f t="shared" si="62"/>
        <v>9556059.1799999997</v>
      </c>
      <c r="R173" s="367">
        <f t="shared" si="62"/>
        <v>4767488</v>
      </c>
      <c r="S173" s="369">
        <f t="shared" si="62"/>
        <v>14554202.57</v>
      </c>
      <c r="T173" s="370">
        <f>N173/'2018'!N173-1</f>
        <v>-1</v>
      </c>
      <c r="U173" s="371">
        <f>O173/'2018'!O173-1</f>
        <v>-1</v>
      </c>
      <c r="V173" s="371">
        <f>P173/'2018'!P173-1</f>
        <v>-1</v>
      </c>
      <c r="W173" s="371">
        <f>Q173/'2018'!Q173-1</f>
        <v>-0.1019677537036604</v>
      </c>
      <c r="X173" s="371">
        <f>R173/'2018'!R173-1</f>
        <v>-0.11208454578098015</v>
      </c>
      <c r="Y173" s="372">
        <f>S173/'2018'!S173-1</f>
        <v>-0.10622431993188741</v>
      </c>
      <c r="Z173" s="373"/>
      <c r="AA173" s="374">
        <f t="shared" si="50"/>
        <v>955.60591799999997</v>
      </c>
      <c r="AB173" s="375"/>
      <c r="AC173" s="365"/>
      <c r="AD173" s="375">
        <f t="shared" si="52"/>
        <v>9786714.5700000003</v>
      </c>
      <c r="AE173" s="348">
        <f t="shared" si="63"/>
        <v>76209.22</v>
      </c>
      <c r="AF173" s="348">
        <f t="shared" si="63"/>
        <v>43161.64</v>
      </c>
      <c r="AG173" s="365">
        <f t="shared" si="54"/>
        <v>111284.5300000006</v>
      </c>
      <c r="AH173" s="357"/>
      <c r="AI173" s="358"/>
      <c r="AJ173" s="358"/>
      <c r="AK173" s="358"/>
      <c r="AL173" s="358"/>
      <c r="AM173" s="358"/>
      <c r="AN173" s="358"/>
      <c r="AO173" s="358"/>
      <c r="AP173" s="358"/>
      <c r="AQ173" s="358"/>
      <c r="AR173" s="358"/>
      <c r="AS173" s="358"/>
      <c r="AT173" s="358"/>
      <c r="AU173" s="358"/>
      <c r="AV173" s="358"/>
      <c r="AW173" s="358"/>
      <c r="AX173" s="358"/>
      <c r="AY173" s="358"/>
      <c r="AZ173" s="358"/>
      <c r="BA173" s="358"/>
      <c r="BB173" s="358"/>
      <c r="BC173" s="358"/>
    </row>
    <row r="174" spans="1:55" s="376" customFormat="1" ht="15" customHeight="1" x14ac:dyDescent="0.15">
      <c r="A174" s="377">
        <v>42904</v>
      </c>
      <c r="B174" s="457" t="s">
        <v>35</v>
      </c>
      <c r="C174" s="361"/>
      <c r="D174" s="348"/>
      <c r="E174" s="348"/>
      <c r="F174" s="362"/>
      <c r="G174" s="348"/>
      <c r="H174" s="363"/>
      <c r="I174" s="363"/>
      <c r="J174" s="364">
        <f t="shared" si="49"/>
        <v>0</v>
      </c>
      <c r="K174" s="348"/>
      <c r="L174" s="348"/>
      <c r="M174" s="365">
        <f t="shared" si="51"/>
        <v>0</v>
      </c>
      <c r="N174" s="366">
        <f t="shared" ref="N174:P185" si="64">N173+C174</f>
        <v>0</v>
      </c>
      <c r="O174" s="349">
        <f t="shared" si="64"/>
        <v>0</v>
      </c>
      <c r="P174" s="353">
        <f t="shared" si="64"/>
        <v>0</v>
      </c>
      <c r="Q174" s="368">
        <f t="shared" si="62"/>
        <v>9556059.1799999997</v>
      </c>
      <c r="R174" s="367">
        <f t="shared" si="62"/>
        <v>4767488</v>
      </c>
      <c r="S174" s="369">
        <f t="shared" si="62"/>
        <v>14554202.57</v>
      </c>
      <c r="T174" s="370">
        <f>N174/'2018'!N174-1</f>
        <v>-1</v>
      </c>
      <c r="U174" s="371">
        <f>O174/'2018'!O174-1</f>
        <v>-1</v>
      </c>
      <c r="V174" s="371">
        <f>P174/'2018'!P174-1</f>
        <v>-1</v>
      </c>
      <c r="W174" s="371">
        <f>Q174/'2018'!Q174-1</f>
        <v>-0.10656844659873843</v>
      </c>
      <c r="X174" s="371">
        <f>R174/'2018'!R174-1</f>
        <v>-0.11651439357803028</v>
      </c>
      <c r="Y174" s="372">
        <f>S174/'2018'!S174-1</f>
        <v>-0.11085179123026856</v>
      </c>
      <c r="Z174" s="373"/>
      <c r="AA174" s="374">
        <f t="shared" si="50"/>
        <v>955.60591799999997</v>
      </c>
      <c r="AB174" s="375"/>
      <c r="AC174" s="365"/>
      <c r="AD174" s="375">
        <f t="shared" si="52"/>
        <v>9786714.5700000003</v>
      </c>
      <c r="AE174" s="348">
        <f t="shared" si="63"/>
        <v>76209.22</v>
      </c>
      <c r="AF174" s="348">
        <f t="shared" si="63"/>
        <v>43161.64</v>
      </c>
      <c r="AG174" s="365">
        <f t="shared" si="54"/>
        <v>111284.5300000006</v>
      </c>
      <c r="AH174" s="357"/>
      <c r="AI174" s="358"/>
      <c r="AJ174" s="358"/>
      <c r="AK174" s="358"/>
      <c r="AL174" s="358"/>
      <c r="AM174" s="358"/>
      <c r="AN174" s="358"/>
      <c r="AO174" s="358"/>
      <c r="AP174" s="358"/>
      <c r="AQ174" s="358"/>
      <c r="AR174" s="358"/>
      <c r="AS174" s="358"/>
      <c r="AT174" s="358"/>
      <c r="AU174" s="358"/>
      <c r="AV174" s="358"/>
      <c r="AW174" s="358"/>
      <c r="AX174" s="358"/>
      <c r="AY174" s="358"/>
      <c r="AZ174" s="358"/>
      <c r="BA174" s="358"/>
      <c r="BB174" s="358"/>
      <c r="BC174" s="358"/>
    </row>
    <row r="175" spans="1:55" s="376" customFormat="1" ht="15" customHeight="1" x14ac:dyDescent="0.15">
      <c r="A175" s="377">
        <v>42905</v>
      </c>
      <c r="B175" s="457" t="s">
        <v>36</v>
      </c>
      <c r="C175" s="361"/>
      <c r="D175" s="348"/>
      <c r="E175" s="348"/>
      <c r="F175" s="362"/>
      <c r="G175" s="348"/>
      <c r="H175" s="363"/>
      <c r="I175" s="363"/>
      <c r="J175" s="364">
        <f t="shared" si="49"/>
        <v>0</v>
      </c>
      <c r="K175" s="348"/>
      <c r="L175" s="348"/>
      <c r="M175" s="365">
        <f t="shared" si="51"/>
        <v>0</v>
      </c>
      <c r="N175" s="366">
        <f t="shared" si="64"/>
        <v>0</v>
      </c>
      <c r="O175" s="349">
        <f t="shared" si="64"/>
        <v>0</v>
      </c>
      <c r="P175" s="353">
        <f t="shared" si="64"/>
        <v>0</v>
      </c>
      <c r="Q175" s="368">
        <f t="shared" si="62"/>
        <v>9556059.1799999997</v>
      </c>
      <c r="R175" s="367">
        <f t="shared" si="62"/>
        <v>4767488</v>
      </c>
      <c r="S175" s="369">
        <f t="shared" si="62"/>
        <v>14554202.57</v>
      </c>
      <c r="T175" s="370">
        <f>N175/'2018'!N175-1</f>
        <v>-1</v>
      </c>
      <c r="U175" s="371">
        <f>O175/'2018'!O175-1</f>
        <v>-1</v>
      </c>
      <c r="V175" s="371">
        <f>P175/'2018'!P175-1</f>
        <v>-1</v>
      </c>
      <c r="W175" s="371">
        <f>Q175/'2018'!Q175-1</f>
        <v>-0.11276751595117795</v>
      </c>
      <c r="X175" s="371">
        <f>R175/'2018'!R175-1</f>
        <v>-0.12234350613560296</v>
      </c>
      <c r="Y175" s="372">
        <f>S175/'2018'!S175-1</f>
        <v>-0.11694277950824916</v>
      </c>
      <c r="Z175" s="373"/>
      <c r="AA175" s="374">
        <f t="shared" si="50"/>
        <v>955.60591799999997</v>
      </c>
      <c r="AB175" s="375"/>
      <c r="AC175" s="365"/>
      <c r="AD175" s="375">
        <f t="shared" si="52"/>
        <v>9786714.5700000003</v>
      </c>
      <c r="AE175" s="348">
        <f t="shared" si="63"/>
        <v>76209.22</v>
      </c>
      <c r="AF175" s="348">
        <f t="shared" si="63"/>
        <v>43161.64</v>
      </c>
      <c r="AG175" s="365">
        <f t="shared" si="54"/>
        <v>111284.5300000006</v>
      </c>
      <c r="AH175" s="357"/>
      <c r="AI175" s="358"/>
      <c r="AJ175" s="358"/>
      <c r="AK175" s="358"/>
      <c r="AL175" s="358"/>
      <c r="AM175" s="358"/>
      <c r="AN175" s="358"/>
      <c r="AO175" s="358"/>
      <c r="AP175" s="358"/>
      <c r="AQ175" s="358"/>
      <c r="AR175" s="358"/>
      <c r="AS175" s="358"/>
      <c r="AT175" s="358"/>
      <c r="AU175" s="358"/>
      <c r="AV175" s="358"/>
      <c r="AW175" s="358"/>
      <c r="AX175" s="358"/>
      <c r="AY175" s="358"/>
      <c r="AZ175" s="358"/>
      <c r="BA175" s="358"/>
      <c r="BB175" s="358"/>
      <c r="BC175" s="358"/>
    </row>
    <row r="176" spans="1:55" s="376" customFormat="1" ht="15" customHeight="1" x14ac:dyDescent="0.15">
      <c r="A176" s="377">
        <v>42906</v>
      </c>
      <c r="B176" s="182" t="s">
        <v>37</v>
      </c>
      <c r="C176" s="361"/>
      <c r="D176" s="348"/>
      <c r="E176" s="348"/>
      <c r="F176" s="362"/>
      <c r="G176" s="348"/>
      <c r="H176" s="363"/>
      <c r="I176" s="363"/>
      <c r="J176" s="364">
        <f t="shared" si="49"/>
        <v>0</v>
      </c>
      <c r="K176" s="348"/>
      <c r="L176" s="348"/>
      <c r="M176" s="365">
        <f t="shared" si="51"/>
        <v>0</v>
      </c>
      <c r="N176" s="366">
        <f t="shared" si="64"/>
        <v>0</v>
      </c>
      <c r="O176" s="349">
        <f t="shared" si="64"/>
        <v>0</v>
      </c>
      <c r="P176" s="353">
        <f t="shared" si="64"/>
        <v>0</v>
      </c>
      <c r="Q176" s="368">
        <f t="shared" si="62"/>
        <v>9556059.1799999997</v>
      </c>
      <c r="R176" s="367">
        <f t="shared" si="62"/>
        <v>4767488</v>
      </c>
      <c r="S176" s="369">
        <f t="shared" si="62"/>
        <v>14554202.57</v>
      </c>
      <c r="T176" s="370">
        <f>N176/'2018'!N176-1</f>
        <v>-1</v>
      </c>
      <c r="U176" s="371">
        <f>O176/'2018'!O176-1</f>
        <v>-1</v>
      </c>
      <c r="V176" s="371">
        <f>P176/'2018'!P176-1</f>
        <v>-1</v>
      </c>
      <c r="W176" s="371">
        <f>Q176/'2018'!Q176-1</f>
        <v>-0.1187473248231079</v>
      </c>
      <c r="X176" s="371">
        <f>R176/'2018'!R176-1</f>
        <v>-0.12847092924518899</v>
      </c>
      <c r="Y176" s="372">
        <f>S176/'2018'!S176-1</f>
        <v>-0.12292609642702057</v>
      </c>
      <c r="Z176" s="373"/>
      <c r="AA176" s="374">
        <f t="shared" si="50"/>
        <v>955.60591799999997</v>
      </c>
      <c r="AB176" s="375"/>
      <c r="AC176" s="365"/>
      <c r="AD176" s="375">
        <f t="shared" si="52"/>
        <v>9786714.5700000003</v>
      </c>
      <c r="AE176" s="348">
        <f t="shared" si="63"/>
        <v>76209.22</v>
      </c>
      <c r="AF176" s="348">
        <f t="shared" si="63"/>
        <v>43161.64</v>
      </c>
      <c r="AG176" s="365">
        <f t="shared" si="54"/>
        <v>111284.5300000006</v>
      </c>
      <c r="AH176" s="357"/>
      <c r="AI176" s="358"/>
      <c r="AJ176" s="358"/>
      <c r="AK176" s="358"/>
      <c r="AL176" s="358"/>
      <c r="AM176" s="358"/>
      <c r="AN176" s="358"/>
      <c r="AO176" s="358"/>
      <c r="AP176" s="358"/>
      <c r="AQ176" s="358"/>
      <c r="AR176" s="358"/>
      <c r="AS176" s="358"/>
      <c r="AT176" s="358"/>
      <c r="AU176" s="358"/>
      <c r="AV176" s="358"/>
      <c r="AW176" s="358"/>
      <c r="AX176" s="358"/>
      <c r="AY176" s="358"/>
      <c r="AZ176" s="358"/>
      <c r="BA176" s="358"/>
      <c r="BB176" s="358"/>
      <c r="BC176" s="358"/>
    </row>
    <row r="177" spans="1:55" s="376" customFormat="1" ht="15" customHeight="1" x14ac:dyDescent="0.15">
      <c r="A177" s="377">
        <v>42907</v>
      </c>
      <c r="B177" s="457" t="s">
        <v>38</v>
      </c>
      <c r="C177" s="361"/>
      <c r="D177" s="348"/>
      <c r="E177" s="348"/>
      <c r="F177" s="362"/>
      <c r="G177" s="348"/>
      <c r="H177" s="363"/>
      <c r="I177" s="363"/>
      <c r="J177" s="364">
        <f t="shared" si="49"/>
        <v>0</v>
      </c>
      <c r="K177" s="348"/>
      <c r="L177" s="348"/>
      <c r="M177" s="365">
        <f t="shared" si="51"/>
        <v>0</v>
      </c>
      <c r="N177" s="366">
        <f t="shared" si="64"/>
        <v>0</v>
      </c>
      <c r="O177" s="349">
        <f t="shared" si="64"/>
        <v>0</v>
      </c>
      <c r="P177" s="353">
        <f t="shared" si="64"/>
        <v>0</v>
      </c>
      <c r="Q177" s="368">
        <f t="shared" si="62"/>
        <v>9556059.1799999997</v>
      </c>
      <c r="R177" s="367">
        <f t="shared" si="62"/>
        <v>4767488</v>
      </c>
      <c r="S177" s="369">
        <f t="shared" si="62"/>
        <v>14554202.57</v>
      </c>
      <c r="T177" s="370">
        <f>N177/'2018'!N177-1</f>
        <v>-1</v>
      </c>
      <c r="U177" s="371">
        <f>O177/'2018'!O177-1</f>
        <v>-1</v>
      </c>
      <c r="V177" s="371">
        <f>P177/'2018'!P177-1</f>
        <v>-1</v>
      </c>
      <c r="W177" s="371">
        <f>Q177/'2018'!Q177-1</f>
        <v>-0.12410749778605246</v>
      </c>
      <c r="X177" s="371">
        <f>R177/'2018'!R177-1</f>
        <v>-0.13459602459550546</v>
      </c>
      <c r="Y177" s="372">
        <f>S177/'2018'!S177-1</f>
        <v>-0.12850289647228508</v>
      </c>
      <c r="Z177" s="373"/>
      <c r="AA177" s="374">
        <f t="shared" si="50"/>
        <v>955.60591799999997</v>
      </c>
      <c r="AB177" s="375"/>
      <c r="AC177" s="365"/>
      <c r="AD177" s="375">
        <f t="shared" si="52"/>
        <v>9786714.5700000003</v>
      </c>
      <c r="AE177" s="348">
        <f t="shared" si="63"/>
        <v>76209.22</v>
      </c>
      <c r="AF177" s="348">
        <f t="shared" si="63"/>
        <v>43161.64</v>
      </c>
      <c r="AG177" s="365">
        <f t="shared" si="54"/>
        <v>111284.5300000006</v>
      </c>
      <c r="AH177" s="357"/>
      <c r="AI177" s="358"/>
      <c r="AJ177" s="358"/>
      <c r="AK177" s="358"/>
      <c r="AL177" s="358"/>
      <c r="AM177" s="358"/>
      <c r="AN177" s="358"/>
      <c r="AO177" s="358"/>
      <c r="AP177" s="358"/>
      <c r="AQ177" s="358"/>
      <c r="AR177" s="358"/>
      <c r="AS177" s="358"/>
      <c r="AT177" s="358"/>
      <c r="AU177" s="358"/>
      <c r="AV177" s="358"/>
      <c r="AW177" s="358"/>
      <c r="AX177" s="358"/>
      <c r="AY177" s="358"/>
      <c r="AZ177" s="358"/>
      <c r="BA177" s="358"/>
      <c r="BB177" s="358"/>
      <c r="BC177" s="358"/>
    </row>
    <row r="178" spans="1:55" s="376" customFormat="1" ht="15" customHeight="1" x14ac:dyDescent="0.15">
      <c r="A178" s="377">
        <v>42908</v>
      </c>
      <c r="B178" s="457" t="s">
        <v>39</v>
      </c>
      <c r="C178" s="361"/>
      <c r="D178" s="348"/>
      <c r="E178" s="348"/>
      <c r="F178" s="362"/>
      <c r="G178" s="348"/>
      <c r="H178" s="363"/>
      <c r="I178" s="363"/>
      <c r="J178" s="364">
        <f t="shared" si="49"/>
        <v>0</v>
      </c>
      <c r="K178" s="348"/>
      <c r="L178" s="348"/>
      <c r="M178" s="365">
        <f t="shared" si="51"/>
        <v>0</v>
      </c>
      <c r="N178" s="366">
        <f t="shared" si="64"/>
        <v>0</v>
      </c>
      <c r="O178" s="349">
        <f t="shared" si="64"/>
        <v>0</v>
      </c>
      <c r="P178" s="353">
        <f t="shared" si="64"/>
        <v>0</v>
      </c>
      <c r="Q178" s="368">
        <f t="shared" si="62"/>
        <v>9556059.1799999997</v>
      </c>
      <c r="R178" s="367">
        <f t="shared" si="62"/>
        <v>4767488</v>
      </c>
      <c r="S178" s="369">
        <f t="shared" si="62"/>
        <v>14554202.57</v>
      </c>
      <c r="T178" s="370">
        <f>N178/'2018'!N178-1</f>
        <v>-1</v>
      </c>
      <c r="U178" s="371">
        <f>O178/'2018'!O178-1</f>
        <v>-1</v>
      </c>
      <c r="V178" s="371">
        <f>P178/'2018'!P178-1</f>
        <v>-1</v>
      </c>
      <c r="W178" s="371">
        <f>Q178/'2018'!Q178-1</f>
        <v>-0.12957256016095153</v>
      </c>
      <c r="X178" s="371">
        <f>R178/'2018'!R178-1</f>
        <v>-0.14031175340598789</v>
      </c>
      <c r="Y178" s="372">
        <f>S178/'2018'!S178-1</f>
        <v>-0.13399191183385406</v>
      </c>
      <c r="Z178" s="373"/>
      <c r="AA178" s="374">
        <f t="shared" si="50"/>
        <v>955.60591799999997</v>
      </c>
      <c r="AB178" s="375"/>
      <c r="AC178" s="365"/>
      <c r="AD178" s="375">
        <f t="shared" si="52"/>
        <v>9786714.5700000003</v>
      </c>
      <c r="AE178" s="348">
        <f t="shared" si="63"/>
        <v>76209.22</v>
      </c>
      <c r="AF178" s="348">
        <f t="shared" si="63"/>
        <v>43161.64</v>
      </c>
      <c r="AG178" s="365">
        <f t="shared" si="54"/>
        <v>111284.5300000006</v>
      </c>
      <c r="AH178" s="357"/>
      <c r="AI178" s="358"/>
      <c r="AJ178" s="358"/>
      <c r="AK178" s="358"/>
      <c r="AL178" s="358"/>
      <c r="AM178" s="358"/>
      <c r="AN178" s="358"/>
      <c r="AO178" s="358"/>
      <c r="AP178" s="358"/>
      <c r="AQ178" s="358"/>
      <c r="AR178" s="358"/>
      <c r="AS178" s="358"/>
      <c r="AT178" s="358"/>
      <c r="AU178" s="358"/>
      <c r="AV178" s="358"/>
      <c r="AW178" s="358"/>
      <c r="AX178" s="358"/>
      <c r="AY178" s="358"/>
      <c r="AZ178" s="358"/>
      <c r="BA178" s="358"/>
      <c r="BB178" s="358"/>
      <c r="BC178" s="358"/>
    </row>
    <row r="179" spans="1:55" s="376" customFormat="1" ht="15" customHeight="1" x14ac:dyDescent="0.15">
      <c r="A179" s="377">
        <v>42909</v>
      </c>
      <c r="B179" s="457" t="s">
        <v>1</v>
      </c>
      <c r="C179" s="361"/>
      <c r="D179" s="348"/>
      <c r="E179" s="348"/>
      <c r="F179" s="362"/>
      <c r="G179" s="348"/>
      <c r="H179" s="363"/>
      <c r="I179" s="363"/>
      <c r="J179" s="364">
        <f t="shared" si="49"/>
        <v>0</v>
      </c>
      <c r="K179" s="348"/>
      <c r="L179" s="348"/>
      <c r="M179" s="365">
        <f t="shared" si="51"/>
        <v>0</v>
      </c>
      <c r="N179" s="366">
        <f t="shared" si="64"/>
        <v>0</v>
      </c>
      <c r="O179" s="349">
        <f t="shared" si="64"/>
        <v>0</v>
      </c>
      <c r="P179" s="353">
        <f t="shared" si="64"/>
        <v>0</v>
      </c>
      <c r="Q179" s="368">
        <f t="shared" si="62"/>
        <v>9556059.1799999997</v>
      </c>
      <c r="R179" s="367">
        <f t="shared" si="62"/>
        <v>4767488</v>
      </c>
      <c r="S179" s="369">
        <f t="shared" si="62"/>
        <v>14554202.57</v>
      </c>
      <c r="T179" s="370">
        <f>N179/'2018'!N179-1</f>
        <v>-1</v>
      </c>
      <c r="U179" s="371">
        <f>O179/'2018'!O179-1</f>
        <v>-1</v>
      </c>
      <c r="V179" s="371">
        <f>P179/'2018'!P179-1</f>
        <v>-1</v>
      </c>
      <c r="W179" s="371">
        <f>Q179/'2018'!Q179-1</f>
        <v>-0.13448699114560492</v>
      </c>
      <c r="X179" s="371">
        <f>R179/'2018'!R179-1</f>
        <v>-0.146425577612177</v>
      </c>
      <c r="Y179" s="372">
        <f>S179/'2018'!S179-1</f>
        <v>-0.139275004536766</v>
      </c>
      <c r="Z179" s="373"/>
      <c r="AA179" s="374">
        <f t="shared" si="50"/>
        <v>955.60591799999997</v>
      </c>
      <c r="AB179" s="375"/>
      <c r="AC179" s="365"/>
      <c r="AD179" s="375">
        <f t="shared" si="52"/>
        <v>9786714.5700000003</v>
      </c>
      <c r="AE179" s="348">
        <f t="shared" si="63"/>
        <v>76209.22</v>
      </c>
      <c r="AF179" s="348">
        <f t="shared" si="63"/>
        <v>43161.64</v>
      </c>
      <c r="AG179" s="365">
        <f t="shared" si="54"/>
        <v>111284.5300000006</v>
      </c>
      <c r="AH179" s="357"/>
      <c r="AI179" s="358"/>
      <c r="AJ179" s="358"/>
      <c r="AK179" s="358"/>
      <c r="AL179" s="358"/>
      <c r="AM179" s="358"/>
      <c r="AN179" s="358"/>
      <c r="AO179" s="358"/>
      <c r="AP179" s="358"/>
      <c r="AQ179" s="358"/>
      <c r="AR179" s="358"/>
      <c r="AS179" s="358"/>
      <c r="AT179" s="358"/>
      <c r="AU179" s="358"/>
      <c r="AV179" s="358"/>
      <c r="AW179" s="358"/>
      <c r="AX179" s="358"/>
      <c r="AY179" s="358"/>
      <c r="AZ179" s="358"/>
      <c r="BA179" s="358"/>
      <c r="BB179" s="358"/>
      <c r="BC179" s="358"/>
    </row>
    <row r="180" spans="1:55" s="376" customFormat="1" ht="15" customHeight="1" x14ac:dyDescent="0.15">
      <c r="A180" s="377">
        <v>42910</v>
      </c>
      <c r="B180" s="457" t="s">
        <v>34</v>
      </c>
      <c r="C180" s="361"/>
      <c r="D180" s="348"/>
      <c r="E180" s="348"/>
      <c r="F180" s="362"/>
      <c r="G180" s="348"/>
      <c r="H180" s="363"/>
      <c r="I180" s="363"/>
      <c r="J180" s="364">
        <f t="shared" si="49"/>
        <v>0</v>
      </c>
      <c r="K180" s="348"/>
      <c r="L180" s="348"/>
      <c r="M180" s="365">
        <f t="shared" si="51"/>
        <v>0</v>
      </c>
      <c r="N180" s="366">
        <f t="shared" si="64"/>
        <v>0</v>
      </c>
      <c r="O180" s="349">
        <f t="shared" si="64"/>
        <v>0</v>
      </c>
      <c r="P180" s="353">
        <f t="shared" si="64"/>
        <v>0</v>
      </c>
      <c r="Q180" s="368">
        <f t="shared" si="62"/>
        <v>9556059.1799999997</v>
      </c>
      <c r="R180" s="367">
        <f t="shared" si="62"/>
        <v>4767488</v>
      </c>
      <c r="S180" s="369">
        <f t="shared" si="62"/>
        <v>14554202.57</v>
      </c>
      <c r="T180" s="370">
        <f>N180/'2018'!N180-1</f>
        <v>-1</v>
      </c>
      <c r="U180" s="371">
        <f>O180/'2018'!O180-1</f>
        <v>-1</v>
      </c>
      <c r="V180" s="371">
        <f>P180/'2018'!P180-1</f>
        <v>-1</v>
      </c>
      <c r="W180" s="371">
        <f>Q180/'2018'!Q180-1</f>
        <v>-0.13933593052328908</v>
      </c>
      <c r="X180" s="371">
        <f>R180/'2018'!R180-1</f>
        <v>-0.15234395488591601</v>
      </c>
      <c r="Y180" s="372">
        <f>S180/'2018'!S180-1</f>
        <v>-0.14447642805754091</v>
      </c>
      <c r="Z180" s="373"/>
      <c r="AA180" s="374">
        <f t="shared" si="50"/>
        <v>955.60591799999997</v>
      </c>
      <c r="AB180" s="375"/>
      <c r="AC180" s="365"/>
      <c r="AD180" s="375">
        <f t="shared" si="52"/>
        <v>9786714.5700000003</v>
      </c>
      <c r="AE180" s="348">
        <f t="shared" si="63"/>
        <v>76209.22</v>
      </c>
      <c r="AF180" s="348">
        <f t="shared" si="63"/>
        <v>43161.64</v>
      </c>
      <c r="AG180" s="365">
        <f t="shared" si="54"/>
        <v>111284.5300000006</v>
      </c>
      <c r="AH180" s="357"/>
      <c r="AI180" s="358"/>
      <c r="AJ180" s="358"/>
      <c r="AK180" s="358"/>
      <c r="AL180" s="358"/>
      <c r="AM180" s="358"/>
      <c r="AN180" s="358"/>
      <c r="AO180" s="358"/>
      <c r="AP180" s="358"/>
      <c r="AQ180" s="358"/>
      <c r="AR180" s="358"/>
      <c r="AS180" s="358"/>
      <c r="AT180" s="358"/>
      <c r="AU180" s="358"/>
      <c r="AV180" s="358"/>
      <c r="AW180" s="358"/>
      <c r="AX180" s="358"/>
      <c r="AY180" s="358"/>
      <c r="AZ180" s="358"/>
      <c r="BA180" s="358"/>
      <c r="BB180" s="358"/>
      <c r="BC180" s="358"/>
    </row>
    <row r="181" spans="1:55" s="376" customFormat="1" ht="15" customHeight="1" x14ac:dyDescent="0.15">
      <c r="A181" s="377">
        <v>42911</v>
      </c>
      <c r="B181" s="457" t="s">
        <v>35</v>
      </c>
      <c r="C181" s="361"/>
      <c r="D181" s="348"/>
      <c r="E181" s="348"/>
      <c r="F181" s="362"/>
      <c r="G181" s="348"/>
      <c r="H181" s="363"/>
      <c r="I181" s="363"/>
      <c r="J181" s="364">
        <f t="shared" si="49"/>
        <v>0</v>
      </c>
      <c r="K181" s="348"/>
      <c r="L181" s="348"/>
      <c r="M181" s="365">
        <f t="shared" si="51"/>
        <v>0</v>
      </c>
      <c r="N181" s="366">
        <f t="shared" si="64"/>
        <v>0</v>
      </c>
      <c r="O181" s="349">
        <f t="shared" si="64"/>
        <v>0</v>
      </c>
      <c r="P181" s="353">
        <f t="shared" si="64"/>
        <v>0</v>
      </c>
      <c r="Q181" s="368">
        <f t="shared" si="62"/>
        <v>9556059.1799999997</v>
      </c>
      <c r="R181" s="367">
        <f t="shared" si="62"/>
        <v>4767488</v>
      </c>
      <c r="S181" s="369">
        <f t="shared" si="62"/>
        <v>14554202.57</v>
      </c>
      <c r="T181" s="370">
        <f>N181/'2018'!N181-1</f>
        <v>-1</v>
      </c>
      <c r="U181" s="371">
        <f>O181/'2018'!O181-1</f>
        <v>-1</v>
      </c>
      <c r="V181" s="371">
        <f>P181/'2018'!P181-1</f>
        <v>-1</v>
      </c>
      <c r="W181" s="371">
        <f>Q181/'2018'!Q181-1</f>
        <v>-0.14520479704447498</v>
      </c>
      <c r="X181" s="371">
        <f>R181/'2018'!R181-1</f>
        <v>-0.15835500048724616</v>
      </c>
      <c r="Y181" s="372">
        <f>S181/'2018'!S181-1</f>
        <v>-0.15036864605469646</v>
      </c>
      <c r="Z181" s="373"/>
      <c r="AA181" s="374">
        <f t="shared" si="50"/>
        <v>955.60591799999997</v>
      </c>
      <c r="AB181" s="375"/>
      <c r="AC181" s="365"/>
      <c r="AD181" s="375">
        <f t="shared" si="52"/>
        <v>9786714.5700000003</v>
      </c>
      <c r="AE181" s="348">
        <f t="shared" si="63"/>
        <v>76209.22</v>
      </c>
      <c r="AF181" s="348">
        <f t="shared" si="63"/>
        <v>43161.64</v>
      </c>
      <c r="AG181" s="365">
        <f t="shared" si="54"/>
        <v>111284.5300000006</v>
      </c>
      <c r="AH181" s="357"/>
      <c r="AI181" s="358"/>
      <c r="AJ181" s="358"/>
      <c r="AK181" s="358"/>
      <c r="AL181" s="358"/>
      <c r="AM181" s="358"/>
      <c r="AN181" s="358"/>
      <c r="AO181" s="358"/>
      <c r="AP181" s="358"/>
      <c r="AQ181" s="358"/>
      <c r="AR181" s="358"/>
      <c r="AS181" s="358"/>
      <c r="AT181" s="358"/>
      <c r="AU181" s="358"/>
      <c r="AV181" s="358"/>
      <c r="AW181" s="358"/>
      <c r="AX181" s="358"/>
      <c r="AY181" s="358"/>
      <c r="AZ181" s="358"/>
      <c r="BA181" s="358"/>
      <c r="BB181" s="358"/>
      <c r="BC181" s="358"/>
    </row>
    <row r="182" spans="1:55" s="376" customFormat="1" ht="15" customHeight="1" x14ac:dyDescent="0.15">
      <c r="A182" s="377">
        <v>42912</v>
      </c>
      <c r="B182" s="457" t="s">
        <v>36</v>
      </c>
      <c r="C182" s="361"/>
      <c r="D182" s="348"/>
      <c r="E182" s="348"/>
      <c r="F182" s="362"/>
      <c r="G182" s="348"/>
      <c r="H182" s="363"/>
      <c r="I182" s="363"/>
      <c r="J182" s="364">
        <f t="shared" si="49"/>
        <v>0</v>
      </c>
      <c r="K182" s="348"/>
      <c r="L182" s="348"/>
      <c r="M182" s="365">
        <f t="shared" si="51"/>
        <v>0</v>
      </c>
      <c r="N182" s="366">
        <f t="shared" si="64"/>
        <v>0</v>
      </c>
      <c r="O182" s="349">
        <f t="shared" si="64"/>
        <v>0</v>
      </c>
      <c r="P182" s="353">
        <f t="shared" si="64"/>
        <v>0</v>
      </c>
      <c r="Q182" s="368">
        <f t="shared" si="62"/>
        <v>9556059.1799999997</v>
      </c>
      <c r="R182" s="367">
        <f t="shared" si="62"/>
        <v>4767488</v>
      </c>
      <c r="S182" s="369">
        <f t="shared" si="62"/>
        <v>14554202.57</v>
      </c>
      <c r="T182" s="370">
        <f>N182/'2018'!N182-1</f>
        <v>-1</v>
      </c>
      <c r="U182" s="371">
        <f>O182/'2018'!O182-1</f>
        <v>-1</v>
      </c>
      <c r="V182" s="371">
        <f>P182/'2018'!P182-1</f>
        <v>-1</v>
      </c>
      <c r="W182" s="371">
        <f>Q182/'2018'!Q182-1</f>
        <v>-0.15133979517352236</v>
      </c>
      <c r="X182" s="371">
        <f>R182/'2018'!R182-1</f>
        <v>-0.16514132743826193</v>
      </c>
      <c r="Y182" s="372">
        <f>S182/'2018'!S182-1</f>
        <v>-0.15668752517984086</v>
      </c>
      <c r="Z182" s="373"/>
      <c r="AA182" s="374">
        <f t="shared" si="50"/>
        <v>955.60591799999997</v>
      </c>
      <c r="AB182" s="375"/>
      <c r="AC182" s="365"/>
      <c r="AD182" s="375">
        <f t="shared" si="52"/>
        <v>9786714.5700000003</v>
      </c>
      <c r="AE182" s="348">
        <f t="shared" si="63"/>
        <v>76209.22</v>
      </c>
      <c r="AF182" s="348">
        <f t="shared" si="63"/>
        <v>43161.64</v>
      </c>
      <c r="AG182" s="365">
        <f t="shared" si="54"/>
        <v>111284.5300000006</v>
      </c>
      <c r="AH182" s="357"/>
      <c r="AI182" s="358"/>
      <c r="AJ182" s="358"/>
      <c r="AK182" s="358"/>
      <c r="AL182" s="358"/>
      <c r="AM182" s="358"/>
      <c r="AN182" s="358"/>
      <c r="AO182" s="358"/>
      <c r="AP182" s="358"/>
      <c r="AQ182" s="358"/>
      <c r="AR182" s="358"/>
      <c r="AS182" s="358"/>
      <c r="AT182" s="358"/>
      <c r="AU182" s="358"/>
      <c r="AV182" s="358"/>
      <c r="AW182" s="358"/>
      <c r="AX182" s="358"/>
      <c r="AY182" s="358"/>
      <c r="AZ182" s="358"/>
      <c r="BA182" s="358"/>
      <c r="BB182" s="358"/>
      <c r="BC182" s="358"/>
    </row>
    <row r="183" spans="1:55" s="376" customFormat="1" ht="15" customHeight="1" x14ac:dyDescent="0.15">
      <c r="A183" s="377">
        <v>42913</v>
      </c>
      <c r="B183" s="182" t="s">
        <v>37</v>
      </c>
      <c r="C183" s="361"/>
      <c r="D183" s="348"/>
      <c r="E183" s="348"/>
      <c r="F183" s="362"/>
      <c r="G183" s="348"/>
      <c r="H183" s="363"/>
      <c r="I183" s="363"/>
      <c r="J183" s="364">
        <f t="shared" si="49"/>
        <v>0</v>
      </c>
      <c r="K183" s="348"/>
      <c r="L183" s="348"/>
      <c r="M183" s="365">
        <f t="shared" si="51"/>
        <v>0</v>
      </c>
      <c r="N183" s="366">
        <f t="shared" si="64"/>
        <v>0</v>
      </c>
      <c r="O183" s="349">
        <f t="shared" si="64"/>
        <v>0</v>
      </c>
      <c r="P183" s="353">
        <f t="shared" si="64"/>
        <v>0</v>
      </c>
      <c r="Q183" s="368">
        <f t="shared" si="62"/>
        <v>9556059.1799999997</v>
      </c>
      <c r="R183" s="367">
        <f t="shared" si="62"/>
        <v>4767488</v>
      </c>
      <c r="S183" s="369">
        <f t="shared" si="62"/>
        <v>14554202.57</v>
      </c>
      <c r="T183" s="370">
        <f>N183/'2018'!N183-1</f>
        <v>-1</v>
      </c>
      <c r="U183" s="371">
        <f>O183/'2018'!O183-1</f>
        <v>-1</v>
      </c>
      <c r="V183" s="371">
        <f>P183/'2018'!P183-1</f>
        <v>-1</v>
      </c>
      <c r="W183" s="371">
        <f>Q183/'2018'!Q183-1</f>
        <v>-0.15756964501666326</v>
      </c>
      <c r="X183" s="371">
        <f>R183/'2018'!R183-1</f>
        <v>-0.17233237757085407</v>
      </c>
      <c r="Y183" s="372">
        <f>S183/'2018'!S183-1</f>
        <v>-0.16321453319717782</v>
      </c>
      <c r="Z183" s="373"/>
      <c r="AA183" s="374">
        <f t="shared" si="50"/>
        <v>955.60591799999997</v>
      </c>
      <c r="AB183" s="375"/>
      <c r="AC183" s="365"/>
      <c r="AD183" s="375">
        <f t="shared" si="52"/>
        <v>9786714.5700000003</v>
      </c>
      <c r="AE183" s="348">
        <f t="shared" ref="AE183:AF198" si="65">AE182+K183</f>
        <v>76209.22</v>
      </c>
      <c r="AF183" s="348">
        <f t="shared" si="65"/>
        <v>43161.64</v>
      </c>
      <c r="AG183" s="365">
        <f t="shared" si="54"/>
        <v>111284.5300000006</v>
      </c>
      <c r="AH183" s="357"/>
      <c r="AI183" s="358"/>
      <c r="AJ183" s="358"/>
      <c r="AK183" s="358"/>
      <c r="AL183" s="358"/>
      <c r="AM183" s="358"/>
      <c r="AN183" s="358"/>
      <c r="AO183" s="358"/>
      <c r="AP183" s="358"/>
      <c r="AQ183" s="358"/>
      <c r="AR183" s="358"/>
      <c r="AS183" s="358"/>
      <c r="AT183" s="358"/>
      <c r="AU183" s="358"/>
      <c r="AV183" s="358"/>
      <c r="AW183" s="358"/>
      <c r="AX183" s="358"/>
      <c r="AY183" s="358"/>
      <c r="AZ183" s="358"/>
      <c r="BA183" s="358"/>
      <c r="BB183" s="358"/>
      <c r="BC183" s="358"/>
    </row>
    <row r="184" spans="1:55" s="376" customFormat="1" ht="15" customHeight="1" x14ac:dyDescent="0.15">
      <c r="A184" s="377">
        <v>42914</v>
      </c>
      <c r="B184" s="457" t="s">
        <v>38</v>
      </c>
      <c r="C184" s="361"/>
      <c r="D184" s="348"/>
      <c r="E184" s="348"/>
      <c r="F184" s="362"/>
      <c r="G184" s="348"/>
      <c r="H184" s="363"/>
      <c r="I184" s="363"/>
      <c r="J184" s="364">
        <f t="shared" si="49"/>
        <v>0</v>
      </c>
      <c r="K184" s="348"/>
      <c r="L184" s="348"/>
      <c r="M184" s="365">
        <f t="shared" si="51"/>
        <v>0</v>
      </c>
      <c r="N184" s="366">
        <f t="shared" si="64"/>
        <v>0</v>
      </c>
      <c r="O184" s="349">
        <f t="shared" si="64"/>
        <v>0</v>
      </c>
      <c r="P184" s="353">
        <f t="shared" si="64"/>
        <v>0</v>
      </c>
      <c r="Q184" s="368">
        <f t="shared" si="62"/>
        <v>9556059.1799999997</v>
      </c>
      <c r="R184" s="367">
        <f t="shared" si="62"/>
        <v>4767488</v>
      </c>
      <c r="S184" s="369">
        <f t="shared" si="62"/>
        <v>14554202.57</v>
      </c>
      <c r="T184" s="370">
        <f>N184/'2018'!N184-1</f>
        <v>-1</v>
      </c>
      <c r="U184" s="371">
        <f>O184/'2018'!O184-1</f>
        <v>-1</v>
      </c>
      <c r="V184" s="371">
        <f>P184/'2018'!P184-1</f>
        <v>-1</v>
      </c>
      <c r="W184" s="371">
        <f>Q184/'2018'!Q184-1</f>
        <v>-0.16391364482539095</v>
      </c>
      <c r="X184" s="371">
        <f>R184/'2018'!R184-1</f>
        <v>-0.17945935916948519</v>
      </c>
      <c r="Y184" s="372">
        <f>S184/'2018'!S184-1</f>
        <v>-0.16977490415256269</v>
      </c>
      <c r="Z184" s="373"/>
      <c r="AA184" s="374">
        <f t="shared" si="50"/>
        <v>955.60591799999997</v>
      </c>
      <c r="AB184" s="375"/>
      <c r="AC184" s="365"/>
      <c r="AD184" s="375">
        <f t="shared" si="52"/>
        <v>9786714.5700000003</v>
      </c>
      <c r="AE184" s="348">
        <f t="shared" si="65"/>
        <v>76209.22</v>
      </c>
      <c r="AF184" s="348">
        <f t="shared" si="65"/>
        <v>43161.64</v>
      </c>
      <c r="AG184" s="365">
        <f t="shared" si="54"/>
        <v>111284.5300000006</v>
      </c>
      <c r="AH184" s="357"/>
      <c r="AI184" s="358"/>
      <c r="AJ184" s="358"/>
      <c r="AK184" s="358"/>
      <c r="AL184" s="358"/>
      <c r="AM184" s="358"/>
      <c r="AN184" s="358"/>
      <c r="AO184" s="358"/>
      <c r="AP184" s="358"/>
      <c r="AQ184" s="358"/>
      <c r="AR184" s="358"/>
      <c r="AS184" s="358"/>
      <c r="AT184" s="358"/>
      <c r="AU184" s="358"/>
      <c r="AV184" s="358"/>
      <c r="AW184" s="358"/>
      <c r="AX184" s="358"/>
      <c r="AY184" s="358"/>
      <c r="AZ184" s="358"/>
      <c r="BA184" s="358"/>
      <c r="BB184" s="358"/>
      <c r="BC184" s="358"/>
    </row>
    <row r="185" spans="1:55" s="376" customFormat="1" ht="15" customHeight="1" x14ac:dyDescent="0.15">
      <c r="A185" s="377">
        <v>42915</v>
      </c>
      <c r="B185" s="457" t="s">
        <v>39</v>
      </c>
      <c r="C185" s="361"/>
      <c r="D185" s="348"/>
      <c r="E185" s="348"/>
      <c r="F185" s="362"/>
      <c r="G185" s="348"/>
      <c r="H185" s="363"/>
      <c r="I185" s="363"/>
      <c r="J185" s="364">
        <f t="shared" si="49"/>
        <v>0</v>
      </c>
      <c r="K185" s="348"/>
      <c r="L185" s="348"/>
      <c r="M185" s="365">
        <f t="shared" si="51"/>
        <v>0</v>
      </c>
      <c r="N185" s="366">
        <f t="shared" si="64"/>
        <v>0</v>
      </c>
      <c r="O185" s="349">
        <f t="shared" si="64"/>
        <v>0</v>
      </c>
      <c r="P185" s="353">
        <f t="shared" si="64"/>
        <v>0</v>
      </c>
      <c r="Q185" s="368">
        <f t="shared" si="62"/>
        <v>9556059.1799999997</v>
      </c>
      <c r="R185" s="367">
        <f t="shared" si="62"/>
        <v>4767488</v>
      </c>
      <c r="S185" s="369">
        <f t="shared" si="62"/>
        <v>14554202.57</v>
      </c>
      <c r="T185" s="370">
        <f>N185/'2018'!N185-1</f>
        <v>-1</v>
      </c>
      <c r="U185" s="371">
        <f>O185/'2018'!O185-1</f>
        <v>-1</v>
      </c>
      <c r="V185" s="371">
        <f>P185/'2018'!P185-1</f>
        <v>-1</v>
      </c>
      <c r="W185" s="371">
        <f>Q185/'2018'!Q185-1</f>
        <v>-0.16964234011211665</v>
      </c>
      <c r="X185" s="371">
        <f>R185/'2018'!R185-1</f>
        <v>-0.1862646937838488</v>
      </c>
      <c r="Y185" s="372">
        <f>S185/'2018'!S185-1</f>
        <v>-0.1758146291486693</v>
      </c>
      <c r="Z185" s="373"/>
      <c r="AA185" s="374">
        <f t="shared" si="50"/>
        <v>955.60591799999997</v>
      </c>
      <c r="AB185" s="375"/>
      <c r="AC185" s="365"/>
      <c r="AD185" s="375">
        <f t="shared" si="52"/>
        <v>9786714.5700000003</v>
      </c>
      <c r="AE185" s="348">
        <f t="shared" si="65"/>
        <v>76209.22</v>
      </c>
      <c r="AF185" s="348">
        <f t="shared" si="65"/>
        <v>43161.64</v>
      </c>
      <c r="AG185" s="365">
        <f t="shared" si="54"/>
        <v>111284.5300000006</v>
      </c>
      <c r="AH185" s="357"/>
      <c r="AI185" s="358"/>
      <c r="AJ185" s="358"/>
      <c r="AK185" s="358"/>
      <c r="AL185" s="358"/>
      <c r="AM185" s="358"/>
      <c r="AN185" s="358"/>
      <c r="AO185" s="358"/>
      <c r="AP185" s="358"/>
      <c r="AQ185" s="358"/>
      <c r="AR185" s="358"/>
      <c r="AS185" s="358"/>
      <c r="AT185" s="358"/>
      <c r="AU185" s="358"/>
      <c r="AV185" s="358"/>
      <c r="AW185" s="358"/>
      <c r="AX185" s="358"/>
      <c r="AY185" s="358"/>
      <c r="AZ185" s="358"/>
      <c r="BA185" s="358"/>
      <c r="BB185" s="358"/>
      <c r="BC185" s="358"/>
    </row>
    <row r="186" spans="1:55" s="376" customFormat="1" ht="15" customHeight="1" x14ac:dyDescent="0.15">
      <c r="A186" s="403">
        <v>42916</v>
      </c>
      <c r="B186" s="380" t="s">
        <v>1</v>
      </c>
      <c r="C186" s="381"/>
      <c r="D186" s="382"/>
      <c r="E186" s="382"/>
      <c r="F186" s="383"/>
      <c r="G186" s="382"/>
      <c r="H186" s="384"/>
      <c r="I186" s="384"/>
      <c r="J186" s="385">
        <f t="shared" si="49"/>
        <v>0</v>
      </c>
      <c r="K186" s="382"/>
      <c r="L186" s="382"/>
      <c r="M186" s="386">
        <f t="shared" si="51"/>
        <v>0</v>
      </c>
      <c r="N186" s="387">
        <f t="shared" ref="N186" si="66">N185+C186</f>
        <v>0</v>
      </c>
      <c r="O186" s="404">
        <f t="shared" ref="O186" si="67">O185+D186</f>
        <v>0</v>
      </c>
      <c r="P186" s="389">
        <f t="shared" ref="P186" si="68">P185+E186</f>
        <v>0</v>
      </c>
      <c r="Q186" s="390">
        <f>[5]表2、统调口径电量!$I$10</f>
        <v>11578322</v>
      </c>
      <c r="R186" s="388">
        <f>[5]表2、统调口径电量!$I$14</f>
        <v>5905291</v>
      </c>
      <c r="S186" s="391">
        <f>[5]表2、统调口径电量!$I$3</f>
        <v>17776680.739999998</v>
      </c>
      <c r="T186" s="392">
        <f>N186/'2018'!N186-1</f>
        <v>-1</v>
      </c>
      <c r="U186" s="393">
        <f>O186/'2018'!O186-1</f>
        <v>-1</v>
      </c>
      <c r="V186" s="393">
        <f>P186/'2018'!P186-1</f>
        <v>-1</v>
      </c>
      <c r="W186" s="393">
        <f>Q186/'2018'!Q186-1</f>
        <v>0</v>
      </c>
      <c r="X186" s="393">
        <f>R186/'2018'!R186-1</f>
        <v>0</v>
      </c>
      <c r="Y186" s="394">
        <f>S186/'2018'!S186-1</f>
        <v>0</v>
      </c>
      <c r="Z186" s="395"/>
      <c r="AA186" s="396">
        <f t="shared" si="50"/>
        <v>1157.8322000000001</v>
      </c>
      <c r="AB186" s="397"/>
      <c r="AC186" s="386"/>
      <c r="AD186" s="397">
        <f t="shared" si="52"/>
        <v>11871389.739999998</v>
      </c>
      <c r="AE186" s="382">
        <f t="shared" si="65"/>
        <v>76209.22</v>
      </c>
      <c r="AF186" s="382">
        <f t="shared" si="65"/>
        <v>43161.64</v>
      </c>
      <c r="AG186" s="386">
        <f t="shared" si="54"/>
        <v>173696.87999999837</v>
      </c>
      <c r="AH186" s="357"/>
      <c r="AI186" s="358"/>
      <c r="AJ186" s="358"/>
      <c r="AK186" s="358"/>
      <c r="AL186" s="358"/>
      <c r="AM186" s="358"/>
      <c r="AN186" s="358"/>
      <c r="AO186" s="358"/>
      <c r="AP186" s="358"/>
      <c r="AQ186" s="358"/>
      <c r="AR186" s="358"/>
      <c r="AS186" s="358"/>
      <c r="AT186" s="358"/>
      <c r="AU186" s="358"/>
      <c r="AV186" s="358"/>
      <c r="AW186" s="358"/>
      <c r="AX186" s="358"/>
      <c r="AY186" s="358"/>
      <c r="AZ186" s="358"/>
      <c r="BA186" s="358"/>
      <c r="BB186" s="358"/>
      <c r="BC186" s="358"/>
    </row>
    <row r="187" spans="1:55" s="376" customFormat="1" ht="15" customHeight="1" x14ac:dyDescent="0.15">
      <c r="A187" s="377">
        <v>42917</v>
      </c>
      <c r="B187" s="457" t="s">
        <v>34</v>
      </c>
      <c r="C187" s="361"/>
      <c r="D187" s="348"/>
      <c r="E187" s="348"/>
      <c r="F187" s="362"/>
      <c r="G187" s="348"/>
      <c r="H187" s="363"/>
      <c r="I187" s="363"/>
      <c r="J187" s="364">
        <f t="shared" si="49"/>
        <v>0</v>
      </c>
      <c r="K187" s="348"/>
      <c r="L187" s="348"/>
      <c r="M187" s="365">
        <f t="shared" si="51"/>
        <v>0</v>
      </c>
      <c r="N187" s="366">
        <f>C187</f>
        <v>0</v>
      </c>
      <c r="O187" s="349">
        <f>D187</f>
        <v>0</v>
      </c>
      <c r="P187" s="353">
        <f>E187</f>
        <v>0</v>
      </c>
      <c r="Q187" s="368">
        <f t="shared" ref="Q187:S202" si="69">Q$186+N187</f>
        <v>11578322</v>
      </c>
      <c r="R187" s="367">
        <f t="shared" si="69"/>
        <v>5905291</v>
      </c>
      <c r="S187" s="369">
        <f t="shared" si="69"/>
        <v>17776680.739999998</v>
      </c>
      <c r="T187" s="370">
        <f>N187/'2018'!N187-1</f>
        <v>-1</v>
      </c>
      <c r="U187" s="371">
        <f>O187/'2018'!O187-1</f>
        <v>-1</v>
      </c>
      <c r="V187" s="371">
        <f>P187/'2018'!P187-1</f>
        <v>-1</v>
      </c>
      <c r="W187" s="371">
        <f>Q187/'2018'!Q187-1</f>
        <v>-4.7076072505610744E-3</v>
      </c>
      <c r="X187" s="371">
        <f>R187/'2018'!R187-1</f>
        <v>-8.5953319144885798E-3</v>
      </c>
      <c r="Y187" s="372">
        <f>S187/'2018'!S187-1</f>
        <v>-5.9754935349295435E-3</v>
      </c>
      <c r="Z187" s="373"/>
      <c r="AA187" s="374">
        <f t="shared" si="50"/>
        <v>1157.8322000000001</v>
      </c>
      <c r="AB187" s="375"/>
      <c r="AC187" s="365"/>
      <c r="AD187" s="375">
        <f t="shared" si="52"/>
        <v>11871389.739999998</v>
      </c>
      <c r="AE187" s="348">
        <f t="shared" si="65"/>
        <v>76209.22</v>
      </c>
      <c r="AF187" s="348">
        <f t="shared" si="65"/>
        <v>43161.64</v>
      </c>
      <c r="AG187" s="365">
        <f t="shared" si="54"/>
        <v>173696.87999999837</v>
      </c>
      <c r="AH187" s="357"/>
      <c r="AI187" s="358"/>
      <c r="AJ187" s="358"/>
      <c r="AK187" s="358"/>
      <c r="AL187" s="358"/>
      <c r="AM187" s="358"/>
      <c r="AN187" s="358"/>
      <c r="AO187" s="358"/>
      <c r="AP187" s="358"/>
      <c r="AQ187" s="358"/>
      <c r="AR187" s="358"/>
      <c r="AS187" s="358"/>
      <c r="AT187" s="358"/>
      <c r="AU187" s="358"/>
      <c r="AV187" s="358"/>
      <c r="AW187" s="358"/>
      <c r="AX187" s="358"/>
      <c r="AY187" s="358"/>
      <c r="AZ187" s="358"/>
      <c r="BA187" s="358"/>
      <c r="BB187" s="358"/>
      <c r="BC187" s="358"/>
    </row>
    <row r="188" spans="1:55" s="376" customFormat="1" ht="15" customHeight="1" x14ac:dyDescent="0.15">
      <c r="A188" s="377">
        <v>42918</v>
      </c>
      <c r="B188" s="457" t="s">
        <v>35</v>
      </c>
      <c r="C188" s="361"/>
      <c r="D188" s="348"/>
      <c r="E188" s="348"/>
      <c r="F188" s="362"/>
      <c r="G188" s="348"/>
      <c r="H188" s="363"/>
      <c r="I188" s="363"/>
      <c r="J188" s="364">
        <f t="shared" si="49"/>
        <v>0</v>
      </c>
      <c r="K188" s="348"/>
      <c r="L188" s="348"/>
      <c r="M188" s="365">
        <f t="shared" si="51"/>
        <v>0</v>
      </c>
      <c r="N188" s="366">
        <f t="shared" ref="N188:P203" si="70">C188+N187</f>
        <v>0</v>
      </c>
      <c r="O188" s="349">
        <f t="shared" si="70"/>
        <v>0</v>
      </c>
      <c r="P188" s="353">
        <f t="shared" si="70"/>
        <v>0</v>
      </c>
      <c r="Q188" s="368">
        <f t="shared" si="69"/>
        <v>11578322</v>
      </c>
      <c r="R188" s="367">
        <f t="shared" si="69"/>
        <v>5905291</v>
      </c>
      <c r="S188" s="369">
        <f t="shared" si="69"/>
        <v>17776680.739999998</v>
      </c>
      <c r="T188" s="370">
        <f>N188/'2018'!N188-1</f>
        <v>-1</v>
      </c>
      <c r="U188" s="371">
        <f>O188/'2018'!O188-1</f>
        <v>-1</v>
      </c>
      <c r="V188" s="371">
        <f>P188/'2018'!P188-1</f>
        <v>-1</v>
      </c>
      <c r="W188" s="371">
        <f>Q188/'2018'!Q188-1</f>
        <v>-1.0697718968895042E-2</v>
      </c>
      <c r="X188" s="371">
        <f>R188/'2018'!R188-1</f>
        <v>-1.6672941554952248E-2</v>
      </c>
      <c r="Y188" s="372">
        <f>S188/'2018'!S188-1</f>
        <v>-1.2632553877502395E-2</v>
      </c>
      <c r="Z188" s="373"/>
      <c r="AA188" s="374">
        <f t="shared" si="50"/>
        <v>1157.8322000000001</v>
      </c>
      <c r="AB188" s="375"/>
      <c r="AC188" s="365"/>
      <c r="AD188" s="375">
        <f t="shared" si="52"/>
        <v>11871389.739999998</v>
      </c>
      <c r="AE188" s="348">
        <f t="shared" si="65"/>
        <v>76209.22</v>
      </c>
      <c r="AF188" s="348">
        <f t="shared" si="65"/>
        <v>43161.64</v>
      </c>
      <c r="AG188" s="365">
        <f t="shared" si="54"/>
        <v>173696.87999999837</v>
      </c>
      <c r="AH188" s="357"/>
      <c r="AI188" s="358"/>
      <c r="AJ188" s="358"/>
      <c r="AK188" s="358"/>
      <c r="AL188" s="358"/>
      <c r="AM188" s="358"/>
      <c r="AN188" s="358"/>
      <c r="AO188" s="358"/>
      <c r="AP188" s="358"/>
      <c r="AQ188" s="358"/>
      <c r="AR188" s="358"/>
      <c r="AS188" s="358"/>
      <c r="AT188" s="358"/>
      <c r="AU188" s="358"/>
      <c r="AV188" s="358"/>
      <c r="AW188" s="358"/>
      <c r="AX188" s="358"/>
      <c r="AY188" s="358"/>
      <c r="AZ188" s="358"/>
      <c r="BA188" s="358"/>
      <c r="BB188" s="358"/>
      <c r="BC188" s="358"/>
    </row>
    <row r="189" spans="1:55" s="376" customFormat="1" ht="15" customHeight="1" x14ac:dyDescent="0.15">
      <c r="A189" s="377">
        <v>42919</v>
      </c>
      <c r="B189" s="457" t="s">
        <v>36</v>
      </c>
      <c r="C189" s="361"/>
      <c r="D189" s="348"/>
      <c r="E189" s="348"/>
      <c r="F189" s="362"/>
      <c r="G189" s="348"/>
      <c r="H189" s="363"/>
      <c r="I189" s="363"/>
      <c r="J189" s="364">
        <f t="shared" si="49"/>
        <v>0</v>
      </c>
      <c r="K189" s="348"/>
      <c r="L189" s="348"/>
      <c r="M189" s="365">
        <f t="shared" si="51"/>
        <v>0</v>
      </c>
      <c r="N189" s="366">
        <f t="shared" si="70"/>
        <v>0</v>
      </c>
      <c r="O189" s="349">
        <f t="shared" si="70"/>
        <v>0</v>
      </c>
      <c r="P189" s="353">
        <f t="shared" si="70"/>
        <v>0</v>
      </c>
      <c r="Q189" s="368">
        <f t="shared" si="69"/>
        <v>11578322</v>
      </c>
      <c r="R189" s="367">
        <f t="shared" si="69"/>
        <v>5905291</v>
      </c>
      <c r="S189" s="369">
        <f t="shared" si="69"/>
        <v>17776680.739999998</v>
      </c>
      <c r="T189" s="370">
        <f>N189/'2018'!N189-1</f>
        <v>-1</v>
      </c>
      <c r="U189" s="371">
        <f>O189/'2018'!O189-1</f>
        <v>-1</v>
      </c>
      <c r="V189" s="371">
        <f>P189/'2018'!P189-1</f>
        <v>-1</v>
      </c>
      <c r="W189" s="371">
        <f>Q189/'2018'!Q189-1</f>
        <v>-1.6723807708864613E-2</v>
      </c>
      <c r="X189" s="371">
        <f>R189/'2018'!R189-1</f>
        <v>-2.4928243704079533E-2</v>
      </c>
      <c r="Y189" s="372">
        <f>S189/'2018'!S189-1</f>
        <v>-1.9360814177030949E-2</v>
      </c>
      <c r="Z189" s="373"/>
      <c r="AA189" s="374">
        <f t="shared" si="50"/>
        <v>1157.8322000000001</v>
      </c>
      <c r="AB189" s="375"/>
      <c r="AC189" s="365"/>
      <c r="AD189" s="375">
        <f t="shared" si="52"/>
        <v>11871389.739999998</v>
      </c>
      <c r="AE189" s="348">
        <f t="shared" si="65"/>
        <v>76209.22</v>
      </c>
      <c r="AF189" s="348">
        <f t="shared" si="65"/>
        <v>43161.64</v>
      </c>
      <c r="AG189" s="365">
        <f t="shared" si="54"/>
        <v>173696.87999999837</v>
      </c>
      <c r="AH189" s="357"/>
      <c r="AI189" s="358"/>
      <c r="AJ189" s="358"/>
      <c r="AK189" s="358"/>
      <c r="AL189" s="358"/>
      <c r="AM189" s="358"/>
      <c r="AN189" s="358"/>
      <c r="AO189" s="358"/>
      <c r="AP189" s="358"/>
      <c r="AQ189" s="358"/>
      <c r="AR189" s="358"/>
      <c r="AS189" s="358"/>
      <c r="AT189" s="358"/>
      <c r="AU189" s="358"/>
      <c r="AV189" s="358"/>
      <c r="AW189" s="358"/>
      <c r="AX189" s="358"/>
      <c r="AY189" s="358"/>
      <c r="AZ189" s="358"/>
      <c r="BA189" s="358"/>
      <c r="BB189" s="358"/>
      <c r="BC189" s="358"/>
    </row>
    <row r="190" spans="1:55" s="376" customFormat="1" ht="15" customHeight="1" x14ac:dyDescent="0.15">
      <c r="A190" s="377">
        <v>42920</v>
      </c>
      <c r="B190" s="182" t="s">
        <v>37</v>
      </c>
      <c r="C190" s="361"/>
      <c r="D190" s="348"/>
      <c r="E190" s="348"/>
      <c r="F190" s="362"/>
      <c r="G190" s="348"/>
      <c r="H190" s="363"/>
      <c r="I190" s="363"/>
      <c r="J190" s="364">
        <f t="shared" si="49"/>
        <v>0</v>
      </c>
      <c r="K190" s="348"/>
      <c r="L190" s="348"/>
      <c r="M190" s="365">
        <f t="shared" si="51"/>
        <v>0</v>
      </c>
      <c r="N190" s="366">
        <f t="shared" si="70"/>
        <v>0</v>
      </c>
      <c r="O190" s="349">
        <f t="shared" si="70"/>
        <v>0</v>
      </c>
      <c r="P190" s="353">
        <f t="shared" si="70"/>
        <v>0</v>
      </c>
      <c r="Q190" s="368">
        <f t="shared" si="69"/>
        <v>11578322</v>
      </c>
      <c r="R190" s="367">
        <f t="shared" si="69"/>
        <v>5905291</v>
      </c>
      <c r="S190" s="369">
        <f t="shared" si="69"/>
        <v>17776680.739999998</v>
      </c>
      <c r="T190" s="370">
        <f>N190/'2018'!N190-1</f>
        <v>-1</v>
      </c>
      <c r="U190" s="371">
        <f>O190/'2018'!O190-1</f>
        <v>-1</v>
      </c>
      <c r="V190" s="371">
        <f>P190/'2018'!P190-1</f>
        <v>-1</v>
      </c>
      <c r="W190" s="371">
        <f>Q190/'2018'!Q190-1</f>
        <v>-2.3070933051000941E-2</v>
      </c>
      <c r="X190" s="371">
        <f>R190/'2018'!R190-1</f>
        <v>-3.2457366732690063E-2</v>
      </c>
      <c r="Y190" s="372">
        <f>S190/'2018'!S190-1</f>
        <v>-2.6091380246385687E-2</v>
      </c>
      <c r="Z190" s="373"/>
      <c r="AA190" s="374">
        <f t="shared" si="50"/>
        <v>1157.8322000000001</v>
      </c>
      <c r="AB190" s="375"/>
      <c r="AC190" s="365"/>
      <c r="AD190" s="375">
        <f t="shared" si="52"/>
        <v>11871389.739999998</v>
      </c>
      <c r="AE190" s="348">
        <f t="shared" si="65"/>
        <v>76209.22</v>
      </c>
      <c r="AF190" s="348">
        <f t="shared" si="65"/>
        <v>43161.64</v>
      </c>
      <c r="AG190" s="365">
        <f t="shared" si="54"/>
        <v>173696.87999999837</v>
      </c>
      <c r="AH190" s="357"/>
      <c r="AI190" s="358"/>
      <c r="AJ190" s="358"/>
      <c r="AK190" s="358"/>
      <c r="AL190" s="358"/>
      <c r="AM190" s="358"/>
      <c r="AN190" s="358"/>
      <c r="AO190" s="358"/>
      <c r="AP190" s="358"/>
      <c r="AQ190" s="358"/>
      <c r="AR190" s="358"/>
      <c r="AS190" s="358"/>
      <c r="AT190" s="358"/>
      <c r="AU190" s="358"/>
      <c r="AV190" s="358"/>
      <c r="AW190" s="358"/>
      <c r="AX190" s="358"/>
      <c r="AY190" s="358"/>
      <c r="AZ190" s="358"/>
      <c r="BA190" s="358"/>
      <c r="BB190" s="358"/>
      <c r="BC190" s="358"/>
    </row>
    <row r="191" spans="1:55" s="376" customFormat="1" ht="15" customHeight="1" x14ac:dyDescent="0.15">
      <c r="A191" s="377">
        <v>42921</v>
      </c>
      <c r="B191" s="457" t="s">
        <v>38</v>
      </c>
      <c r="C191" s="361"/>
      <c r="D191" s="348"/>
      <c r="E191" s="348"/>
      <c r="F191" s="362"/>
      <c r="G191" s="348"/>
      <c r="H191" s="363"/>
      <c r="I191" s="363"/>
      <c r="J191" s="364">
        <f t="shared" si="49"/>
        <v>0</v>
      </c>
      <c r="K191" s="348"/>
      <c r="L191" s="348"/>
      <c r="M191" s="365">
        <f t="shared" si="51"/>
        <v>0</v>
      </c>
      <c r="N191" s="366">
        <f t="shared" si="70"/>
        <v>0</v>
      </c>
      <c r="O191" s="349">
        <f t="shared" si="70"/>
        <v>0</v>
      </c>
      <c r="P191" s="353">
        <f t="shared" si="70"/>
        <v>0</v>
      </c>
      <c r="Q191" s="368">
        <f t="shared" si="69"/>
        <v>11578322</v>
      </c>
      <c r="R191" s="367">
        <f t="shared" si="69"/>
        <v>5905291</v>
      </c>
      <c r="S191" s="369">
        <f t="shared" si="69"/>
        <v>17776680.739999998</v>
      </c>
      <c r="T191" s="370">
        <f>N191/'2018'!N191-1</f>
        <v>-1</v>
      </c>
      <c r="U191" s="371">
        <f>O191/'2018'!O191-1</f>
        <v>-1</v>
      </c>
      <c r="V191" s="371">
        <f>P191/'2018'!P191-1</f>
        <v>-1</v>
      </c>
      <c r="W191" s="371">
        <f>Q191/'2018'!Q191-1</f>
        <v>-2.9337455306793547E-2</v>
      </c>
      <c r="X191" s="371">
        <f>R191/'2018'!R191-1</f>
        <v>-3.9750890646106041E-2</v>
      </c>
      <c r="Y191" s="372">
        <f>S191/'2018'!S191-1</f>
        <v>-3.2670603955023969E-2</v>
      </c>
      <c r="Z191" s="373"/>
      <c r="AA191" s="374">
        <f t="shared" si="50"/>
        <v>1157.8322000000001</v>
      </c>
      <c r="AB191" s="375"/>
      <c r="AC191" s="365"/>
      <c r="AD191" s="375">
        <f t="shared" si="52"/>
        <v>11871389.739999998</v>
      </c>
      <c r="AE191" s="348">
        <f t="shared" si="65"/>
        <v>76209.22</v>
      </c>
      <c r="AF191" s="348">
        <f t="shared" si="65"/>
        <v>43161.64</v>
      </c>
      <c r="AG191" s="365">
        <f t="shared" si="54"/>
        <v>173696.87999999837</v>
      </c>
      <c r="AH191" s="357"/>
      <c r="AI191" s="358"/>
      <c r="AJ191" s="358"/>
      <c r="AK191" s="358"/>
      <c r="AL191" s="358"/>
      <c r="AM191" s="358"/>
      <c r="AN191" s="358"/>
      <c r="AO191" s="358"/>
      <c r="AP191" s="358"/>
      <c r="AQ191" s="358"/>
      <c r="AR191" s="358"/>
      <c r="AS191" s="358"/>
      <c r="AT191" s="358"/>
      <c r="AU191" s="358"/>
      <c r="AV191" s="358"/>
      <c r="AW191" s="358"/>
      <c r="AX191" s="358"/>
      <c r="AY191" s="358"/>
      <c r="AZ191" s="358"/>
      <c r="BA191" s="358"/>
      <c r="BB191" s="358"/>
      <c r="BC191" s="358"/>
    </row>
    <row r="192" spans="1:55" s="376" customFormat="1" ht="15" customHeight="1" x14ac:dyDescent="0.15">
      <c r="A192" s="377">
        <v>42922</v>
      </c>
      <c r="B192" s="457" t="s">
        <v>39</v>
      </c>
      <c r="C192" s="361"/>
      <c r="D192" s="348"/>
      <c r="E192" s="348"/>
      <c r="F192" s="362"/>
      <c r="G192" s="348"/>
      <c r="H192" s="363"/>
      <c r="I192" s="363"/>
      <c r="J192" s="364">
        <f t="shared" si="49"/>
        <v>0</v>
      </c>
      <c r="K192" s="348"/>
      <c r="L192" s="348"/>
      <c r="M192" s="365">
        <f t="shared" si="51"/>
        <v>0</v>
      </c>
      <c r="N192" s="366">
        <f t="shared" si="70"/>
        <v>0</v>
      </c>
      <c r="O192" s="349">
        <f t="shared" si="70"/>
        <v>0</v>
      </c>
      <c r="P192" s="353">
        <f t="shared" si="70"/>
        <v>0</v>
      </c>
      <c r="Q192" s="368">
        <f t="shared" si="69"/>
        <v>11578322</v>
      </c>
      <c r="R192" s="367">
        <f t="shared" si="69"/>
        <v>5905291</v>
      </c>
      <c r="S192" s="369">
        <f t="shared" si="69"/>
        <v>17776680.739999998</v>
      </c>
      <c r="T192" s="370">
        <f>N192/'2018'!N192-1</f>
        <v>-1</v>
      </c>
      <c r="U192" s="371">
        <f>O192/'2018'!O192-1</f>
        <v>-1</v>
      </c>
      <c r="V192" s="371">
        <f>P192/'2018'!P192-1</f>
        <v>-1</v>
      </c>
      <c r="W192" s="371">
        <f>Q192/'2018'!Q192-1</f>
        <v>-3.5200776484285434E-2</v>
      </c>
      <c r="X192" s="371">
        <f>R192/'2018'!R192-1</f>
        <v>-4.7161641666850884E-2</v>
      </c>
      <c r="Y192" s="372">
        <f>S192/'2018'!S192-1</f>
        <v>-3.9051264356693816E-2</v>
      </c>
      <c r="Z192" s="373"/>
      <c r="AA192" s="374">
        <f t="shared" si="50"/>
        <v>1157.8322000000001</v>
      </c>
      <c r="AB192" s="375"/>
      <c r="AC192" s="365"/>
      <c r="AD192" s="375">
        <f t="shared" si="52"/>
        <v>11871389.739999998</v>
      </c>
      <c r="AE192" s="348">
        <f t="shared" si="65"/>
        <v>76209.22</v>
      </c>
      <c r="AF192" s="348">
        <f t="shared" si="65"/>
        <v>43161.64</v>
      </c>
      <c r="AG192" s="365">
        <f t="shared" si="54"/>
        <v>173696.87999999837</v>
      </c>
      <c r="AH192" s="357"/>
      <c r="AI192" s="358"/>
      <c r="AJ192" s="358"/>
      <c r="AK192" s="358"/>
      <c r="AL192" s="358"/>
      <c r="AM192" s="358"/>
      <c r="AN192" s="358"/>
      <c r="AO192" s="358"/>
      <c r="AP192" s="358"/>
      <c r="AQ192" s="358"/>
      <c r="AR192" s="358"/>
      <c r="AS192" s="358"/>
      <c r="AT192" s="358"/>
      <c r="AU192" s="358"/>
      <c r="AV192" s="358"/>
      <c r="AW192" s="358"/>
      <c r="AX192" s="358"/>
      <c r="AY192" s="358"/>
      <c r="AZ192" s="358"/>
      <c r="BA192" s="358"/>
      <c r="BB192" s="358"/>
      <c r="BC192" s="358"/>
    </row>
    <row r="193" spans="1:55" s="376" customFormat="1" ht="15" customHeight="1" x14ac:dyDescent="0.15">
      <c r="A193" s="377">
        <v>42923</v>
      </c>
      <c r="B193" s="457" t="s">
        <v>1</v>
      </c>
      <c r="C193" s="361"/>
      <c r="D193" s="348"/>
      <c r="E193" s="348"/>
      <c r="F193" s="362"/>
      <c r="G193" s="348"/>
      <c r="H193" s="363"/>
      <c r="I193" s="363"/>
      <c r="J193" s="364">
        <f t="shared" si="49"/>
        <v>0</v>
      </c>
      <c r="K193" s="348"/>
      <c r="L193" s="348"/>
      <c r="M193" s="365">
        <f t="shared" si="51"/>
        <v>0</v>
      </c>
      <c r="N193" s="366">
        <f t="shared" si="70"/>
        <v>0</v>
      </c>
      <c r="O193" s="349">
        <f t="shared" si="70"/>
        <v>0</v>
      </c>
      <c r="P193" s="353">
        <f t="shared" si="70"/>
        <v>0</v>
      </c>
      <c r="Q193" s="368">
        <f t="shared" si="69"/>
        <v>11578322</v>
      </c>
      <c r="R193" s="367">
        <f t="shared" si="69"/>
        <v>5905291</v>
      </c>
      <c r="S193" s="369">
        <f t="shared" si="69"/>
        <v>17776680.739999998</v>
      </c>
      <c r="T193" s="370">
        <f>N193/'2018'!N193-1</f>
        <v>-1</v>
      </c>
      <c r="U193" s="371">
        <f>O193/'2018'!O193-1</f>
        <v>-1</v>
      </c>
      <c r="V193" s="371">
        <f>P193/'2018'!P193-1</f>
        <v>-1</v>
      </c>
      <c r="W193" s="371">
        <f>Q193/'2018'!Q193-1</f>
        <v>-4.065184808583544E-2</v>
      </c>
      <c r="X193" s="371">
        <f>R193/'2018'!R193-1</f>
        <v>-5.4610862266071702E-2</v>
      </c>
      <c r="Y193" s="372">
        <f>S193/'2018'!S193-1</f>
        <v>-4.5262420418841209E-2</v>
      </c>
      <c r="Z193" s="373"/>
      <c r="AA193" s="374">
        <f t="shared" si="50"/>
        <v>1157.8322000000001</v>
      </c>
      <c r="AB193" s="375"/>
      <c r="AC193" s="365"/>
      <c r="AD193" s="375">
        <f t="shared" si="52"/>
        <v>11871389.739999998</v>
      </c>
      <c r="AE193" s="348">
        <f t="shared" si="65"/>
        <v>76209.22</v>
      </c>
      <c r="AF193" s="348">
        <f t="shared" si="65"/>
        <v>43161.64</v>
      </c>
      <c r="AG193" s="365">
        <f t="shared" si="54"/>
        <v>173696.87999999837</v>
      </c>
      <c r="AH193" s="357"/>
      <c r="AI193" s="358"/>
      <c r="AJ193" s="358"/>
      <c r="AK193" s="358"/>
      <c r="AL193" s="358"/>
      <c r="AM193" s="358"/>
      <c r="AN193" s="358"/>
      <c r="AO193" s="358"/>
      <c r="AP193" s="358"/>
      <c r="AQ193" s="358"/>
      <c r="AR193" s="358"/>
      <c r="AS193" s="358"/>
      <c r="AT193" s="358"/>
      <c r="AU193" s="358"/>
      <c r="AV193" s="358"/>
      <c r="AW193" s="358"/>
      <c r="AX193" s="358"/>
      <c r="AY193" s="358"/>
      <c r="AZ193" s="358"/>
      <c r="BA193" s="358"/>
      <c r="BB193" s="358"/>
      <c r="BC193" s="358"/>
    </row>
    <row r="194" spans="1:55" s="376" customFormat="1" ht="15" customHeight="1" x14ac:dyDescent="0.15">
      <c r="A194" s="377">
        <v>42924</v>
      </c>
      <c r="B194" s="457" t="s">
        <v>34</v>
      </c>
      <c r="C194" s="361"/>
      <c r="D194" s="348"/>
      <c r="E194" s="348"/>
      <c r="F194" s="362"/>
      <c r="G194" s="348"/>
      <c r="H194" s="363"/>
      <c r="I194" s="363"/>
      <c r="J194" s="364">
        <f t="shared" si="49"/>
        <v>0</v>
      </c>
      <c r="K194" s="348"/>
      <c r="L194" s="348"/>
      <c r="M194" s="365">
        <f t="shared" si="51"/>
        <v>0</v>
      </c>
      <c r="N194" s="366">
        <f t="shared" si="70"/>
        <v>0</v>
      </c>
      <c r="O194" s="349">
        <f t="shared" si="70"/>
        <v>0</v>
      </c>
      <c r="P194" s="353">
        <f t="shared" si="70"/>
        <v>0</v>
      </c>
      <c r="Q194" s="368">
        <f t="shared" si="69"/>
        <v>11578322</v>
      </c>
      <c r="R194" s="367">
        <f t="shared" si="69"/>
        <v>5905291</v>
      </c>
      <c r="S194" s="369">
        <f t="shared" si="69"/>
        <v>17776680.739999998</v>
      </c>
      <c r="T194" s="370">
        <f>N194/'2018'!N194-1</f>
        <v>-1</v>
      </c>
      <c r="U194" s="371">
        <f>O194/'2018'!O194-1</f>
        <v>-1</v>
      </c>
      <c r="V194" s="371">
        <f>P194/'2018'!P194-1</f>
        <v>-1</v>
      </c>
      <c r="W194" s="371">
        <f>Q194/'2018'!Q194-1</f>
        <v>-4.5832866344499346E-2</v>
      </c>
      <c r="X194" s="371">
        <f>R194/'2018'!R194-1</f>
        <v>-6.1906959417759699E-2</v>
      </c>
      <c r="Y194" s="372">
        <f>S194/'2018'!S194-1</f>
        <v>-5.1277562161309631E-2</v>
      </c>
      <c r="Z194" s="373"/>
      <c r="AA194" s="374">
        <f t="shared" si="50"/>
        <v>1157.8322000000001</v>
      </c>
      <c r="AB194" s="375"/>
      <c r="AC194" s="365"/>
      <c r="AD194" s="375">
        <f t="shared" si="52"/>
        <v>11871389.739999998</v>
      </c>
      <c r="AE194" s="348">
        <f t="shared" si="65"/>
        <v>76209.22</v>
      </c>
      <c r="AF194" s="348">
        <f t="shared" si="65"/>
        <v>43161.64</v>
      </c>
      <c r="AG194" s="365">
        <f t="shared" si="54"/>
        <v>173696.87999999837</v>
      </c>
      <c r="AH194" s="357"/>
      <c r="AI194" s="358"/>
      <c r="AJ194" s="358"/>
      <c r="AK194" s="358"/>
      <c r="AL194" s="358"/>
      <c r="AM194" s="358"/>
      <c r="AN194" s="358"/>
      <c r="AO194" s="358"/>
      <c r="AP194" s="358"/>
      <c r="AQ194" s="358"/>
      <c r="AR194" s="358"/>
      <c r="AS194" s="358"/>
      <c r="AT194" s="358"/>
      <c r="AU194" s="358"/>
      <c r="AV194" s="358"/>
      <c r="AW194" s="358"/>
      <c r="AX194" s="358"/>
      <c r="AY194" s="358"/>
      <c r="AZ194" s="358"/>
      <c r="BA194" s="358"/>
      <c r="BB194" s="358"/>
      <c r="BC194" s="358"/>
    </row>
    <row r="195" spans="1:55" s="376" customFormat="1" ht="15" customHeight="1" x14ac:dyDescent="0.15">
      <c r="A195" s="377">
        <v>42925</v>
      </c>
      <c r="B195" s="457" t="s">
        <v>35</v>
      </c>
      <c r="C195" s="361"/>
      <c r="D195" s="348"/>
      <c r="E195" s="348"/>
      <c r="F195" s="362"/>
      <c r="G195" s="348"/>
      <c r="H195" s="363"/>
      <c r="I195" s="363"/>
      <c r="J195" s="364">
        <f t="shared" si="49"/>
        <v>0</v>
      </c>
      <c r="K195" s="348"/>
      <c r="L195" s="348"/>
      <c r="M195" s="365">
        <f t="shared" si="51"/>
        <v>0</v>
      </c>
      <c r="N195" s="366">
        <f t="shared" si="70"/>
        <v>0</v>
      </c>
      <c r="O195" s="349">
        <f t="shared" si="70"/>
        <v>0</v>
      </c>
      <c r="P195" s="353">
        <f t="shared" si="70"/>
        <v>0</v>
      </c>
      <c r="Q195" s="368">
        <f t="shared" si="69"/>
        <v>11578322</v>
      </c>
      <c r="R195" s="367">
        <f t="shared" si="69"/>
        <v>5905291</v>
      </c>
      <c r="S195" s="369">
        <f t="shared" si="69"/>
        <v>17776680.739999998</v>
      </c>
      <c r="T195" s="370">
        <f>N195/'2018'!N195-1</f>
        <v>-1</v>
      </c>
      <c r="U195" s="371">
        <f>O195/'2018'!O195-1</f>
        <v>-1</v>
      </c>
      <c r="V195" s="371">
        <f>P195/'2018'!P195-1</f>
        <v>-1</v>
      </c>
      <c r="W195" s="371">
        <f>Q195/'2018'!Q195-1</f>
        <v>-5.1679258308981013E-2</v>
      </c>
      <c r="X195" s="371">
        <f>R195/'2018'!R195-1</f>
        <v>-6.9093210626790191E-2</v>
      </c>
      <c r="Y195" s="372">
        <f>S195/'2018'!S195-1</f>
        <v>-5.7710428746783338E-2</v>
      </c>
      <c r="Z195" s="373"/>
      <c r="AA195" s="374">
        <f t="shared" si="50"/>
        <v>1157.8322000000001</v>
      </c>
      <c r="AB195" s="375"/>
      <c r="AC195" s="365"/>
      <c r="AD195" s="375">
        <f t="shared" si="52"/>
        <v>11871389.739999998</v>
      </c>
      <c r="AE195" s="348">
        <f t="shared" si="65"/>
        <v>76209.22</v>
      </c>
      <c r="AF195" s="348">
        <f t="shared" si="65"/>
        <v>43161.64</v>
      </c>
      <c r="AG195" s="365">
        <f t="shared" si="54"/>
        <v>173696.87999999837</v>
      </c>
      <c r="AH195" s="357"/>
      <c r="AI195" s="358"/>
      <c r="AJ195" s="358"/>
      <c r="AK195" s="358"/>
      <c r="AL195" s="358"/>
      <c r="AM195" s="358"/>
      <c r="AN195" s="358"/>
      <c r="AO195" s="358"/>
      <c r="AP195" s="358"/>
      <c r="AQ195" s="358"/>
      <c r="AR195" s="358"/>
      <c r="AS195" s="358"/>
      <c r="AT195" s="358"/>
      <c r="AU195" s="358"/>
      <c r="AV195" s="358"/>
      <c r="AW195" s="358"/>
      <c r="AX195" s="358"/>
      <c r="AY195" s="358"/>
      <c r="AZ195" s="358"/>
      <c r="BA195" s="358"/>
      <c r="BB195" s="358"/>
      <c r="BC195" s="358"/>
    </row>
    <row r="196" spans="1:55" s="376" customFormat="1" ht="15" customHeight="1" x14ac:dyDescent="0.15">
      <c r="A196" s="377">
        <v>42926</v>
      </c>
      <c r="B196" s="457" t="s">
        <v>36</v>
      </c>
      <c r="C196" s="361"/>
      <c r="D196" s="348"/>
      <c r="E196" s="348"/>
      <c r="F196" s="362"/>
      <c r="G196" s="348"/>
      <c r="H196" s="363"/>
      <c r="I196" s="363"/>
      <c r="J196" s="364">
        <f t="shared" si="49"/>
        <v>0</v>
      </c>
      <c r="K196" s="348"/>
      <c r="L196" s="348"/>
      <c r="M196" s="365">
        <f t="shared" si="51"/>
        <v>0</v>
      </c>
      <c r="N196" s="366">
        <f t="shared" si="70"/>
        <v>0</v>
      </c>
      <c r="O196" s="349">
        <f t="shared" si="70"/>
        <v>0</v>
      </c>
      <c r="P196" s="353">
        <f t="shared" si="70"/>
        <v>0</v>
      </c>
      <c r="Q196" s="368">
        <f t="shared" si="69"/>
        <v>11578322</v>
      </c>
      <c r="R196" s="367">
        <f t="shared" si="69"/>
        <v>5905291</v>
      </c>
      <c r="S196" s="369">
        <f t="shared" si="69"/>
        <v>17776680.739999998</v>
      </c>
      <c r="T196" s="370">
        <f>N196/'2018'!N196-1</f>
        <v>-1</v>
      </c>
      <c r="U196" s="371">
        <f>O196/'2018'!O196-1</f>
        <v>-1</v>
      </c>
      <c r="V196" s="371">
        <f>P196/'2018'!P196-1</f>
        <v>-1</v>
      </c>
      <c r="W196" s="371">
        <f>Q196/'2018'!Q196-1</f>
        <v>-5.7428430499165573E-2</v>
      </c>
      <c r="X196" s="371">
        <f>R196/'2018'!R196-1</f>
        <v>-7.6364976922774885E-2</v>
      </c>
      <c r="Y196" s="372">
        <f>S196/'2018'!S196-1</f>
        <v>-6.4099761830828883E-2</v>
      </c>
      <c r="Z196" s="373"/>
      <c r="AA196" s="374">
        <f t="shared" si="50"/>
        <v>1157.8322000000001</v>
      </c>
      <c r="AB196" s="375"/>
      <c r="AC196" s="365"/>
      <c r="AD196" s="375">
        <f t="shared" si="52"/>
        <v>11871389.739999998</v>
      </c>
      <c r="AE196" s="348">
        <f t="shared" si="65"/>
        <v>76209.22</v>
      </c>
      <c r="AF196" s="348">
        <f t="shared" si="65"/>
        <v>43161.64</v>
      </c>
      <c r="AG196" s="365">
        <f t="shared" si="54"/>
        <v>173696.87999999837</v>
      </c>
      <c r="AH196" s="357"/>
      <c r="AI196" s="358"/>
      <c r="AJ196" s="358"/>
      <c r="AK196" s="358"/>
      <c r="AL196" s="358"/>
      <c r="AM196" s="358"/>
      <c r="AN196" s="358"/>
      <c r="AO196" s="358"/>
      <c r="AP196" s="358"/>
      <c r="AQ196" s="358"/>
      <c r="AR196" s="358"/>
      <c r="AS196" s="358"/>
      <c r="AT196" s="358"/>
      <c r="AU196" s="358"/>
      <c r="AV196" s="358"/>
      <c r="AW196" s="358"/>
      <c r="AX196" s="358"/>
      <c r="AY196" s="358"/>
      <c r="AZ196" s="358"/>
      <c r="BA196" s="358"/>
      <c r="BB196" s="358"/>
      <c r="BC196" s="358"/>
    </row>
    <row r="197" spans="1:55" s="376" customFormat="1" ht="15" customHeight="1" x14ac:dyDescent="0.15">
      <c r="A197" s="377">
        <v>42927</v>
      </c>
      <c r="B197" s="182" t="s">
        <v>37</v>
      </c>
      <c r="C197" s="361"/>
      <c r="D197" s="348"/>
      <c r="E197" s="348"/>
      <c r="F197" s="362"/>
      <c r="G197" s="348"/>
      <c r="H197" s="363"/>
      <c r="I197" s="363"/>
      <c r="J197" s="364">
        <f t="shared" ref="J197:J260" si="71">E197-D197</f>
        <v>0</v>
      </c>
      <c r="K197" s="348"/>
      <c r="L197" s="348"/>
      <c r="M197" s="365">
        <f t="shared" si="51"/>
        <v>0</v>
      </c>
      <c r="N197" s="366">
        <f t="shared" si="70"/>
        <v>0</v>
      </c>
      <c r="O197" s="349">
        <f t="shared" si="70"/>
        <v>0</v>
      </c>
      <c r="P197" s="353">
        <f t="shared" si="70"/>
        <v>0</v>
      </c>
      <c r="Q197" s="368">
        <f t="shared" si="69"/>
        <v>11578322</v>
      </c>
      <c r="R197" s="367">
        <f t="shared" si="69"/>
        <v>5905291</v>
      </c>
      <c r="S197" s="369">
        <f t="shared" si="69"/>
        <v>17776680.739999998</v>
      </c>
      <c r="T197" s="370">
        <f>N197/'2018'!N197-1</f>
        <v>-1</v>
      </c>
      <c r="U197" s="371">
        <f>O197/'2018'!O197-1</f>
        <v>-1</v>
      </c>
      <c r="V197" s="371">
        <f>P197/'2018'!P197-1</f>
        <v>-1</v>
      </c>
      <c r="W197" s="371">
        <f>Q197/'2018'!Q197-1</f>
        <v>-6.3267793836946029E-2</v>
      </c>
      <c r="X197" s="371">
        <f>R197/'2018'!R197-1</f>
        <v>-8.1901540852435395E-2</v>
      </c>
      <c r="Y197" s="372">
        <f>S197/'2018'!S197-1</f>
        <v>-6.9930335772417029E-2</v>
      </c>
      <c r="Z197" s="373"/>
      <c r="AA197" s="374">
        <f t="shared" ref="AA197:AA260" si="72">Q197/10000-Z197</f>
        <v>1157.8322000000001</v>
      </c>
      <c r="AB197" s="375"/>
      <c r="AC197" s="365"/>
      <c r="AD197" s="375">
        <f t="shared" si="52"/>
        <v>11871389.739999998</v>
      </c>
      <c r="AE197" s="348">
        <f t="shared" si="65"/>
        <v>76209.22</v>
      </c>
      <c r="AF197" s="348">
        <f t="shared" si="65"/>
        <v>43161.64</v>
      </c>
      <c r="AG197" s="365">
        <f t="shared" si="54"/>
        <v>173696.87999999837</v>
      </c>
      <c r="AH197" s="357"/>
      <c r="AI197" s="358"/>
      <c r="AJ197" s="358"/>
      <c r="AK197" s="358"/>
      <c r="AL197" s="358"/>
      <c r="AM197" s="358"/>
      <c r="AN197" s="358"/>
      <c r="AO197" s="358"/>
      <c r="AP197" s="358"/>
      <c r="AQ197" s="358"/>
      <c r="AR197" s="358"/>
      <c r="AS197" s="358"/>
      <c r="AT197" s="358"/>
      <c r="AU197" s="358"/>
      <c r="AV197" s="358"/>
      <c r="AW197" s="358"/>
      <c r="AX197" s="358"/>
      <c r="AY197" s="358"/>
      <c r="AZ197" s="358"/>
      <c r="BA197" s="358"/>
      <c r="BB197" s="358"/>
      <c r="BC197" s="358"/>
    </row>
    <row r="198" spans="1:55" s="376" customFormat="1" ht="15" customHeight="1" x14ac:dyDescent="0.15">
      <c r="A198" s="377">
        <v>42928</v>
      </c>
      <c r="B198" s="457" t="s">
        <v>38</v>
      </c>
      <c r="C198" s="361"/>
      <c r="D198" s="348"/>
      <c r="E198" s="348"/>
      <c r="F198" s="362"/>
      <c r="G198" s="348"/>
      <c r="H198" s="363"/>
      <c r="I198" s="363"/>
      <c r="J198" s="364">
        <f t="shared" si="71"/>
        <v>0</v>
      </c>
      <c r="K198" s="348"/>
      <c r="L198" s="348"/>
      <c r="M198" s="365">
        <f t="shared" ref="M198:M261" si="73">J198-K198-L198-C198</f>
        <v>0</v>
      </c>
      <c r="N198" s="366">
        <f t="shared" si="70"/>
        <v>0</v>
      </c>
      <c r="O198" s="349">
        <f t="shared" si="70"/>
        <v>0</v>
      </c>
      <c r="P198" s="353">
        <f t="shared" si="70"/>
        <v>0</v>
      </c>
      <c r="Q198" s="368">
        <f t="shared" si="69"/>
        <v>11578322</v>
      </c>
      <c r="R198" s="367">
        <f t="shared" si="69"/>
        <v>5905291</v>
      </c>
      <c r="S198" s="369">
        <f t="shared" si="69"/>
        <v>17776680.739999998</v>
      </c>
      <c r="T198" s="370">
        <f>N198/'2018'!N198-1</f>
        <v>-1</v>
      </c>
      <c r="U198" s="371">
        <f>O198/'2018'!O198-1</f>
        <v>-1</v>
      </c>
      <c r="V198" s="371">
        <f>P198/'2018'!P198-1</f>
        <v>-1</v>
      </c>
      <c r="W198" s="371">
        <f>Q198/'2018'!Q198-1</f>
        <v>-6.8897572574593058E-2</v>
      </c>
      <c r="X198" s="371">
        <f>R198/'2018'!R198-1</f>
        <v>-8.8518757760907341E-2</v>
      </c>
      <c r="Y198" s="372">
        <f>S198/'2018'!S198-1</f>
        <v>-7.5964302886358359E-2</v>
      </c>
      <c r="Z198" s="373"/>
      <c r="AA198" s="374">
        <f t="shared" si="72"/>
        <v>1157.8322000000001</v>
      </c>
      <c r="AB198" s="375"/>
      <c r="AC198" s="365"/>
      <c r="AD198" s="375">
        <f t="shared" ref="AD198:AD261" si="74">S198-R198</f>
        <v>11871389.739999998</v>
      </c>
      <c r="AE198" s="348">
        <f t="shared" si="65"/>
        <v>76209.22</v>
      </c>
      <c r="AF198" s="348">
        <f t="shared" si="65"/>
        <v>43161.64</v>
      </c>
      <c r="AG198" s="365">
        <f t="shared" si="54"/>
        <v>173696.87999999837</v>
      </c>
      <c r="AH198" s="357"/>
      <c r="AI198" s="358"/>
      <c r="AJ198" s="358"/>
      <c r="AK198" s="358"/>
      <c r="AL198" s="358"/>
      <c r="AM198" s="358"/>
      <c r="AN198" s="358"/>
      <c r="AO198" s="358"/>
      <c r="AP198" s="358"/>
      <c r="AQ198" s="358"/>
      <c r="AR198" s="358"/>
      <c r="AS198" s="358"/>
      <c r="AT198" s="358"/>
      <c r="AU198" s="358"/>
      <c r="AV198" s="358"/>
      <c r="AW198" s="358"/>
      <c r="AX198" s="358"/>
      <c r="AY198" s="358"/>
      <c r="AZ198" s="358"/>
      <c r="BA198" s="358"/>
      <c r="BB198" s="358"/>
      <c r="BC198" s="358"/>
    </row>
    <row r="199" spans="1:55" s="376" customFormat="1" ht="15" customHeight="1" x14ac:dyDescent="0.15">
      <c r="A199" s="377">
        <v>42929</v>
      </c>
      <c r="B199" s="457" t="s">
        <v>39</v>
      </c>
      <c r="C199" s="361"/>
      <c r="D199" s="348"/>
      <c r="E199" s="348"/>
      <c r="F199" s="362"/>
      <c r="G199" s="348"/>
      <c r="H199" s="363"/>
      <c r="I199" s="363"/>
      <c r="J199" s="364">
        <f t="shared" si="71"/>
        <v>0</v>
      </c>
      <c r="K199" s="348"/>
      <c r="L199" s="348"/>
      <c r="M199" s="365">
        <f t="shared" si="73"/>
        <v>0</v>
      </c>
      <c r="N199" s="366">
        <f t="shared" si="70"/>
        <v>0</v>
      </c>
      <c r="O199" s="349">
        <f t="shared" si="70"/>
        <v>0</v>
      </c>
      <c r="P199" s="353">
        <f t="shared" si="70"/>
        <v>0</v>
      </c>
      <c r="Q199" s="368">
        <f t="shared" si="69"/>
        <v>11578322</v>
      </c>
      <c r="R199" s="367">
        <f t="shared" si="69"/>
        <v>5905291</v>
      </c>
      <c r="S199" s="369">
        <f t="shared" si="69"/>
        <v>17776680.739999998</v>
      </c>
      <c r="T199" s="370">
        <f>N199/'2018'!N199-1</f>
        <v>-1</v>
      </c>
      <c r="U199" s="371">
        <f>O199/'2018'!O199-1</f>
        <v>-1</v>
      </c>
      <c r="V199" s="371">
        <f>P199/'2018'!P199-1</f>
        <v>-1</v>
      </c>
      <c r="W199" s="371">
        <f>Q199/'2018'!Q199-1</f>
        <v>-7.4507433509748644E-2</v>
      </c>
      <c r="X199" s="371">
        <f>R199/'2018'!R199-1</f>
        <v>-9.5656455209252145E-2</v>
      </c>
      <c r="Y199" s="372">
        <f>S199/'2018'!S199-1</f>
        <v>-8.2155218013622466E-2</v>
      </c>
      <c r="Z199" s="373"/>
      <c r="AA199" s="374">
        <f t="shared" si="72"/>
        <v>1157.8322000000001</v>
      </c>
      <c r="AB199" s="375"/>
      <c r="AC199" s="365"/>
      <c r="AD199" s="375">
        <f t="shared" si="74"/>
        <v>11871389.739999998</v>
      </c>
      <c r="AE199" s="348">
        <f t="shared" ref="AE199:AF214" si="75">AE198+K199</f>
        <v>76209.22</v>
      </c>
      <c r="AF199" s="348">
        <f t="shared" si="75"/>
        <v>43161.64</v>
      </c>
      <c r="AG199" s="365">
        <f t="shared" ref="AG199:AG262" si="76">AD199-Q199-AE199-AF199</f>
        <v>173696.87999999837</v>
      </c>
      <c r="AH199" s="357"/>
      <c r="AI199" s="358"/>
      <c r="AJ199" s="358"/>
      <c r="AK199" s="358"/>
      <c r="AL199" s="358"/>
      <c r="AM199" s="358"/>
      <c r="AN199" s="358"/>
      <c r="AO199" s="358"/>
      <c r="AP199" s="358"/>
      <c r="AQ199" s="358"/>
      <c r="AR199" s="358"/>
      <c r="AS199" s="358"/>
      <c r="AT199" s="358"/>
      <c r="AU199" s="358"/>
      <c r="AV199" s="358"/>
      <c r="AW199" s="358"/>
      <c r="AX199" s="358"/>
      <c r="AY199" s="358"/>
      <c r="AZ199" s="358"/>
      <c r="BA199" s="358"/>
      <c r="BB199" s="358"/>
      <c r="BC199" s="358"/>
    </row>
    <row r="200" spans="1:55" s="376" customFormat="1" ht="15" customHeight="1" x14ac:dyDescent="0.15">
      <c r="A200" s="377">
        <v>42930</v>
      </c>
      <c r="B200" s="457" t="s">
        <v>1</v>
      </c>
      <c r="C200" s="361"/>
      <c r="D200" s="348"/>
      <c r="E200" s="348"/>
      <c r="F200" s="362"/>
      <c r="G200" s="348"/>
      <c r="H200" s="363"/>
      <c r="I200" s="363"/>
      <c r="J200" s="364">
        <f t="shared" si="71"/>
        <v>0</v>
      </c>
      <c r="K200" s="348"/>
      <c r="L200" s="348"/>
      <c r="M200" s="365">
        <f t="shared" si="73"/>
        <v>0</v>
      </c>
      <c r="N200" s="366">
        <f t="shared" si="70"/>
        <v>0</v>
      </c>
      <c r="O200" s="349">
        <f t="shared" si="70"/>
        <v>0</v>
      </c>
      <c r="P200" s="353">
        <f t="shared" si="70"/>
        <v>0</v>
      </c>
      <c r="Q200" s="368">
        <f t="shared" si="69"/>
        <v>11578322</v>
      </c>
      <c r="R200" s="367">
        <f t="shared" si="69"/>
        <v>5905291</v>
      </c>
      <c r="S200" s="369">
        <f t="shared" si="69"/>
        <v>17776680.739999998</v>
      </c>
      <c r="T200" s="370">
        <f>N200/'2018'!N200-1</f>
        <v>-1</v>
      </c>
      <c r="U200" s="371">
        <f>O200/'2018'!O200-1</f>
        <v>-1</v>
      </c>
      <c r="V200" s="371">
        <f>P200/'2018'!P200-1</f>
        <v>-1</v>
      </c>
      <c r="W200" s="371">
        <f>Q200/'2018'!Q200-1</f>
        <v>-7.9892190331301127E-2</v>
      </c>
      <c r="X200" s="371">
        <f>R200/'2018'!R200-1</f>
        <v>-0.10274254006311645</v>
      </c>
      <c r="Y200" s="372">
        <f>S200/'2018'!S200-1</f>
        <v>-8.817739886438547E-2</v>
      </c>
      <c r="Z200" s="373"/>
      <c r="AA200" s="374">
        <f t="shared" si="72"/>
        <v>1157.8322000000001</v>
      </c>
      <c r="AB200" s="375"/>
      <c r="AC200" s="365"/>
      <c r="AD200" s="375">
        <f t="shared" si="74"/>
        <v>11871389.739999998</v>
      </c>
      <c r="AE200" s="348">
        <f t="shared" si="75"/>
        <v>76209.22</v>
      </c>
      <c r="AF200" s="348">
        <f t="shared" si="75"/>
        <v>43161.64</v>
      </c>
      <c r="AG200" s="365">
        <f t="shared" si="76"/>
        <v>173696.87999999837</v>
      </c>
      <c r="AH200" s="357"/>
      <c r="AI200" s="358"/>
      <c r="AJ200" s="358"/>
      <c r="AK200" s="358"/>
      <c r="AL200" s="358"/>
      <c r="AM200" s="358"/>
      <c r="AN200" s="358"/>
      <c r="AO200" s="358"/>
      <c r="AP200" s="358"/>
      <c r="AQ200" s="358"/>
      <c r="AR200" s="358"/>
      <c r="AS200" s="358"/>
      <c r="AT200" s="358"/>
      <c r="AU200" s="358"/>
      <c r="AV200" s="358"/>
      <c r="AW200" s="358"/>
      <c r="AX200" s="358"/>
      <c r="AY200" s="358"/>
      <c r="AZ200" s="358"/>
      <c r="BA200" s="358"/>
      <c r="BB200" s="358"/>
      <c r="BC200" s="358"/>
    </row>
    <row r="201" spans="1:55" s="376" customFormat="1" ht="15" customHeight="1" x14ac:dyDescent="0.15">
      <c r="A201" s="377">
        <v>42931</v>
      </c>
      <c r="B201" s="457" t="s">
        <v>34</v>
      </c>
      <c r="C201" s="361"/>
      <c r="D201" s="348"/>
      <c r="E201" s="348"/>
      <c r="F201" s="362"/>
      <c r="G201" s="348"/>
      <c r="H201" s="363"/>
      <c r="I201" s="363"/>
      <c r="J201" s="364">
        <f t="shared" si="71"/>
        <v>0</v>
      </c>
      <c r="K201" s="348"/>
      <c r="L201" s="348"/>
      <c r="M201" s="365">
        <f t="shared" si="73"/>
        <v>0</v>
      </c>
      <c r="N201" s="366">
        <f t="shared" si="70"/>
        <v>0</v>
      </c>
      <c r="O201" s="349">
        <f t="shared" si="70"/>
        <v>0</v>
      </c>
      <c r="P201" s="353">
        <f t="shared" si="70"/>
        <v>0</v>
      </c>
      <c r="Q201" s="368">
        <f t="shared" si="69"/>
        <v>11578322</v>
      </c>
      <c r="R201" s="367">
        <f t="shared" si="69"/>
        <v>5905291</v>
      </c>
      <c r="S201" s="369">
        <f t="shared" si="69"/>
        <v>17776680.739999998</v>
      </c>
      <c r="T201" s="370">
        <f>N201/'2018'!N201-1</f>
        <v>-1</v>
      </c>
      <c r="U201" s="371">
        <f>O201/'2018'!O201-1</f>
        <v>-1</v>
      </c>
      <c r="V201" s="371">
        <f>P201/'2018'!P201-1</f>
        <v>-1</v>
      </c>
      <c r="W201" s="371">
        <f>Q201/'2018'!Q201-1</f>
        <v>-8.4667411793184488E-2</v>
      </c>
      <c r="X201" s="371">
        <f>R201/'2018'!R201-1</f>
        <v>-0.10990174583302303</v>
      </c>
      <c r="Y201" s="372">
        <f>S201/'2018'!S201-1</f>
        <v>-9.3824885838822425E-2</v>
      </c>
      <c r="Z201" s="373"/>
      <c r="AA201" s="374">
        <f t="shared" si="72"/>
        <v>1157.8322000000001</v>
      </c>
      <c r="AB201" s="375"/>
      <c r="AC201" s="365"/>
      <c r="AD201" s="375">
        <f t="shared" si="74"/>
        <v>11871389.739999998</v>
      </c>
      <c r="AE201" s="348">
        <f t="shared" si="75"/>
        <v>76209.22</v>
      </c>
      <c r="AF201" s="348">
        <f t="shared" si="75"/>
        <v>43161.64</v>
      </c>
      <c r="AG201" s="365">
        <f t="shared" si="76"/>
        <v>173696.87999999837</v>
      </c>
      <c r="AH201" s="357"/>
      <c r="AI201" s="358"/>
      <c r="AJ201" s="358"/>
      <c r="AK201" s="358"/>
      <c r="AL201" s="358"/>
      <c r="AM201" s="358"/>
      <c r="AN201" s="358"/>
      <c r="AO201" s="358"/>
      <c r="AP201" s="358"/>
      <c r="AQ201" s="358"/>
      <c r="AR201" s="358"/>
      <c r="AS201" s="358"/>
      <c r="AT201" s="358"/>
      <c r="AU201" s="358"/>
      <c r="AV201" s="358"/>
      <c r="AW201" s="358"/>
      <c r="AX201" s="358"/>
      <c r="AY201" s="358"/>
      <c r="AZ201" s="358"/>
      <c r="BA201" s="358"/>
      <c r="BB201" s="358"/>
      <c r="BC201" s="358"/>
    </row>
    <row r="202" spans="1:55" s="376" customFormat="1" ht="15" customHeight="1" x14ac:dyDescent="0.15">
      <c r="A202" s="377">
        <v>42932</v>
      </c>
      <c r="B202" s="457" t="s">
        <v>35</v>
      </c>
      <c r="C202" s="361"/>
      <c r="D202" s="348"/>
      <c r="E202" s="348"/>
      <c r="F202" s="362"/>
      <c r="G202" s="348"/>
      <c r="H202" s="363"/>
      <c r="I202" s="363"/>
      <c r="J202" s="364">
        <f t="shared" si="71"/>
        <v>0</v>
      </c>
      <c r="K202" s="348"/>
      <c r="L202" s="348"/>
      <c r="M202" s="365">
        <f t="shared" si="73"/>
        <v>0</v>
      </c>
      <c r="N202" s="366">
        <f t="shared" si="70"/>
        <v>0</v>
      </c>
      <c r="O202" s="349">
        <f t="shared" si="70"/>
        <v>0</v>
      </c>
      <c r="P202" s="353">
        <f t="shared" si="70"/>
        <v>0</v>
      </c>
      <c r="Q202" s="368">
        <f t="shared" si="69"/>
        <v>11578322</v>
      </c>
      <c r="R202" s="367">
        <f t="shared" si="69"/>
        <v>5905291</v>
      </c>
      <c r="S202" s="369">
        <f t="shared" si="69"/>
        <v>17776680.739999998</v>
      </c>
      <c r="T202" s="370">
        <f>N202/'2018'!N202-1</f>
        <v>-1</v>
      </c>
      <c r="U202" s="371">
        <f>O202/'2018'!O202-1</f>
        <v>-1</v>
      </c>
      <c r="V202" s="371">
        <f>P202/'2018'!P202-1</f>
        <v>-1</v>
      </c>
      <c r="W202" s="371">
        <f>Q202/'2018'!Q202-1</f>
        <v>-9.0118154828538244E-2</v>
      </c>
      <c r="X202" s="371">
        <f>R202/'2018'!R202-1</f>
        <v>-0.11675979742564246</v>
      </c>
      <c r="Y202" s="372">
        <f>S202/'2018'!S202-1</f>
        <v>-9.9806636289160089E-2</v>
      </c>
      <c r="Z202" s="373"/>
      <c r="AA202" s="374">
        <f t="shared" si="72"/>
        <v>1157.8322000000001</v>
      </c>
      <c r="AB202" s="375"/>
      <c r="AC202" s="365"/>
      <c r="AD202" s="375">
        <f t="shared" si="74"/>
        <v>11871389.739999998</v>
      </c>
      <c r="AE202" s="348">
        <f t="shared" si="75"/>
        <v>76209.22</v>
      </c>
      <c r="AF202" s="348">
        <f t="shared" si="75"/>
        <v>43161.64</v>
      </c>
      <c r="AG202" s="365">
        <f t="shared" si="76"/>
        <v>173696.87999999837</v>
      </c>
      <c r="AH202" s="357"/>
      <c r="AI202" s="358"/>
      <c r="AJ202" s="358"/>
      <c r="AK202" s="358"/>
      <c r="AL202" s="358"/>
      <c r="AM202" s="358"/>
      <c r="AN202" s="358"/>
      <c r="AO202" s="358"/>
      <c r="AP202" s="358"/>
      <c r="AQ202" s="358"/>
      <c r="AR202" s="358"/>
      <c r="AS202" s="358"/>
      <c r="AT202" s="358"/>
      <c r="AU202" s="358"/>
      <c r="AV202" s="358"/>
      <c r="AW202" s="358"/>
      <c r="AX202" s="358"/>
      <c r="AY202" s="358"/>
      <c r="AZ202" s="358"/>
      <c r="BA202" s="358"/>
      <c r="BB202" s="358"/>
      <c r="BC202" s="358"/>
    </row>
    <row r="203" spans="1:55" s="376" customFormat="1" ht="15" customHeight="1" x14ac:dyDescent="0.15">
      <c r="A203" s="377">
        <v>42933</v>
      </c>
      <c r="B203" s="457" t="s">
        <v>36</v>
      </c>
      <c r="C203" s="361"/>
      <c r="D203" s="348"/>
      <c r="E203" s="348"/>
      <c r="F203" s="362"/>
      <c r="G203" s="348"/>
      <c r="H203" s="363"/>
      <c r="I203" s="363"/>
      <c r="J203" s="364">
        <f t="shared" si="71"/>
        <v>0</v>
      </c>
      <c r="K203" s="348"/>
      <c r="L203" s="348"/>
      <c r="M203" s="365">
        <f t="shared" si="73"/>
        <v>0</v>
      </c>
      <c r="N203" s="366">
        <f t="shared" si="70"/>
        <v>0</v>
      </c>
      <c r="O203" s="349">
        <f t="shared" si="70"/>
        <v>0</v>
      </c>
      <c r="P203" s="353">
        <f t="shared" si="70"/>
        <v>0</v>
      </c>
      <c r="Q203" s="368">
        <f t="shared" ref="Q203:S216" si="77">Q$186+N203</f>
        <v>11578322</v>
      </c>
      <c r="R203" s="367">
        <f t="shared" si="77"/>
        <v>5905291</v>
      </c>
      <c r="S203" s="369">
        <f t="shared" si="77"/>
        <v>17776680.739999998</v>
      </c>
      <c r="T203" s="370">
        <f>N203/'2018'!N203-1</f>
        <v>-1</v>
      </c>
      <c r="U203" s="371">
        <f>O203/'2018'!O203-1</f>
        <v>-1</v>
      </c>
      <c r="V203" s="371">
        <f>P203/'2018'!P203-1</f>
        <v>-1</v>
      </c>
      <c r="W203" s="371">
        <f>Q203/'2018'!Q203-1</f>
        <v>-9.5845730488775538E-2</v>
      </c>
      <c r="X203" s="371">
        <f>R203/'2018'!R203-1</f>
        <v>-0.12353522198103928</v>
      </c>
      <c r="Y203" s="372">
        <f>S203/'2018'!S203-1</f>
        <v>-0.10592987438995949</v>
      </c>
      <c r="Z203" s="373"/>
      <c r="AA203" s="374">
        <f t="shared" si="72"/>
        <v>1157.8322000000001</v>
      </c>
      <c r="AB203" s="375"/>
      <c r="AC203" s="365"/>
      <c r="AD203" s="375">
        <f t="shared" si="74"/>
        <v>11871389.739999998</v>
      </c>
      <c r="AE203" s="348">
        <f t="shared" si="75"/>
        <v>76209.22</v>
      </c>
      <c r="AF203" s="348">
        <f t="shared" si="75"/>
        <v>43161.64</v>
      </c>
      <c r="AG203" s="365">
        <f t="shared" si="76"/>
        <v>173696.87999999837</v>
      </c>
      <c r="AH203" s="357"/>
      <c r="AI203" s="358"/>
      <c r="AJ203" s="358"/>
      <c r="AK203" s="358"/>
      <c r="AL203" s="358"/>
      <c r="AM203" s="358"/>
      <c r="AN203" s="358"/>
      <c r="AO203" s="358"/>
      <c r="AP203" s="358"/>
      <c r="AQ203" s="358"/>
      <c r="AR203" s="358"/>
      <c r="AS203" s="358"/>
      <c r="AT203" s="358"/>
      <c r="AU203" s="358"/>
      <c r="AV203" s="358"/>
      <c r="AW203" s="358"/>
      <c r="AX203" s="358"/>
      <c r="AY203" s="358"/>
      <c r="AZ203" s="358"/>
      <c r="BA203" s="358"/>
      <c r="BB203" s="358"/>
      <c r="BC203" s="358"/>
    </row>
    <row r="204" spans="1:55" s="376" customFormat="1" ht="15" customHeight="1" x14ac:dyDescent="0.15">
      <c r="A204" s="377">
        <v>42934</v>
      </c>
      <c r="B204" s="182" t="s">
        <v>37</v>
      </c>
      <c r="C204" s="361"/>
      <c r="D204" s="348"/>
      <c r="E204" s="348"/>
      <c r="F204" s="362"/>
      <c r="G204" s="348"/>
      <c r="H204" s="363"/>
      <c r="I204" s="363"/>
      <c r="J204" s="364">
        <f t="shared" si="71"/>
        <v>0</v>
      </c>
      <c r="K204" s="348"/>
      <c r="L204" s="348"/>
      <c r="M204" s="365">
        <f t="shared" si="73"/>
        <v>0</v>
      </c>
      <c r="N204" s="366">
        <f t="shared" ref="N204:P216" si="78">C204+N203</f>
        <v>0</v>
      </c>
      <c r="O204" s="349">
        <f t="shared" si="78"/>
        <v>0</v>
      </c>
      <c r="P204" s="353">
        <f t="shared" si="78"/>
        <v>0</v>
      </c>
      <c r="Q204" s="368">
        <f t="shared" si="77"/>
        <v>11578322</v>
      </c>
      <c r="R204" s="367">
        <f t="shared" si="77"/>
        <v>5905291</v>
      </c>
      <c r="S204" s="369">
        <f t="shared" si="77"/>
        <v>17776680.739999998</v>
      </c>
      <c r="T204" s="370">
        <f>N204/'2018'!N204-1</f>
        <v>-1</v>
      </c>
      <c r="U204" s="371">
        <f>O204/'2018'!O204-1</f>
        <v>-1</v>
      </c>
      <c r="V204" s="371">
        <f>P204/'2018'!P204-1</f>
        <v>-1</v>
      </c>
      <c r="W204" s="371">
        <f>Q204/'2018'!Q204-1</f>
        <v>-0.10139586330731454</v>
      </c>
      <c r="X204" s="371">
        <f>R204/'2018'!R204-1</f>
        <v>-0.13030868470272894</v>
      </c>
      <c r="Y204" s="372">
        <f>S204/'2018'!S204-1</f>
        <v>-0.11194699407402287</v>
      </c>
      <c r="Z204" s="373"/>
      <c r="AA204" s="374">
        <f t="shared" si="72"/>
        <v>1157.8322000000001</v>
      </c>
      <c r="AB204" s="375"/>
      <c r="AC204" s="365"/>
      <c r="AD204" s="375">
        <f t="shared" si="74"/>
        <v>11871389.739999998</v>
      </c>
      <c r="AE204" s="348">
        <f t="shared" si="75"/>
        <v>76209.22</v>
      </c>
      <c r="AF204" s="348">
        <f t="shared" si="75"/>
        <v>43161.64</v>
      </c>
      <c r="AG204" s="365">
        <f t="shared" si="76"/>
        <v>173696.87999999837</v>
      </c>
      <c r="AH204" s="357"/>
      <c r="AI204" s="358"/>
      <c r="AJ204" s="358"/>
      <c r="AK204" s="358"/>
      <c r="AL204" s="358"/>
      <c r="AM204" s="358"/>
      <c r="AN204" s="358"/>
      <c r="AO204" s="358"/>
      <c r="AP204" s="358"/>
      <c r="AQ204" s="358"/>
      <c r="AR204" s="358"/>
      <c r="AS204" s="358"/>
      <c r="AT204" s="358"/>
      <c r="AU204" s="358"/>
      <c r="AV204" s="358"/>
      <c r="AW204" s="358"/>
      <c r="AX204" s="358"/>
      <c r="AY204" s="358"/>
      <c r="AZ204" s="358"/>
      <c r="BA204" s="358"/>
      <c r="BB204" s="358"/>
      <c r="BC204" s="358"/>
    </row>
    <row r="205" spans="1:55" s="376" customFormat="1" ht="15" customHeight="1" x14ac:dyDescent="0.15">
      <c r="A205" s="377">
        <v>42935</v>
      </c>
      <c r="B205" s="457" t="s">
        <v>38</v>
      </c>
      <c r="C205" s="361"/>
      <c r="D205" s="348"/>
      <c r="E205" s="348"/>
      <c r="F205" s="362"/>
      <c r="G205" s="348"/>
      <c r="H205" s="363"/>
      <c r="I205" s="363"/>
      <c r="J205" s="364">
        <f t="shared" si="71"/>
        <v>0</v>
      </c>
      <c r="K205" s="348"/>
      <c r="L205" s="348"/>
      <c r="M205" s="365">
        <f t="shared" si="73"/>
        <v>0</v>
      </c>
      <c r="N205" s="366">
        <f t="shared" si="78"/>
        <v>0</v>
      </c>
      <c r="O205" s="349">
        <f t="shared" si="78"/>
        <v>0</v>
      </c>
      <c r="P205" s="353">
        <f t="shared" si="78"/>
        <v>0</v>
      </c>
      <c r="Q205" s="368">
        <f t="shared" si="77"/>
        <v>11578322</v>
      </c>
      <c r="R205" s="367">
        <f t="shared" si="77"/>
        <v>5905291</v>
      </c>
      <c r="S205" s="369">
        <f t="shared" si="77"/>
        <v>17776680.739999998</v>
      </c>
      <c r="T205" s="370">
        <f>N205/'2018'!N205-1</f>
        <v>-1</v>
      </c>
      <c r="U205" s="371">
        <f>O205/'2018'!O205-1</f>
        <v>-1</v>
      </c>
      <c r="V205" s="371">
        <f>P205/'2018'!P205-1</f>
        <v>-1</v>
      </c>
      <c r="W205" s="371">
        <f>Q205/'2018'!Q205-1</f>
        <v>-0.106693532495993</v>
      </c>
      <c r="X205" s="371">
        <f>R205/'2018'!R205-1</f>
        <v>-0.13750085624929076</v>
      </c>
      <c r="Y205" s="372">
        <f>S205/'2018'!S205-1</f>
        <v>-0.11793623198457348</v>
      </c>
      <c r="Z205" s="373"/>
      <c r="AA205" s="374">
        <f t="shared" si="72"/>
        <v>1157.8322000000001</v>
      </c>
      <c r="AB205" s="375"/>
      <c r="AC205" s="365"/>
      <c r="AD205" s="375">
        <f t="shared" si="74"/>
        <v>11871389.739999998</v>
      </c>
      <c r="AE205" s="348">
        <f t="shared" si="75"/>
        <v>76209.22</v>
      </c>
      <c r="AF205" s="348">
        <f t="shared" si="75"/>
        <v>43161.64</v>
      </c>
      <c r="AG205" s="365">
        <f t="shared" si="76"/>
        <v>173696.87999999837</v>
      </c>
      <c r="AH205" s="357"/>
      <c r="AI205" s="358"/>
      <c r="AJ205" s="358"/>
      <c r="AK205" s="358"/>
      <c r="AL205" s="358"/>
      <c r="AM205" s="358"/>
      <c r="AN205" s="358"/>
      <c r="AO205" s="358"/>
      <c r="AP205" s="358"/>
      <c r="AQ205" s="358"/>
      <c r="AR205" s="358"/>
      <c r="AS205" s="358"/>
      <c r="AT205" s="358"/>
      <c r="AU205" s="358"/>
      <c r="AV205" s="358"/>
      <c r="AW205" s="358"/>
      <c r="AX205" s="358"/>
      <c r="AY205" s="358"/>
      <c r="AZ205" s="358"/>
      <c r="BA205" s="358"/>
      <c r="BB205" s="358"/>
      <c r="BC205" s="358"/>
    </row>
    <row r="206" spans="1:55" s="376" customFormat="1" ht="15" customHeight="1" x14ac:dyDescent="0.15">
      <c r="A206" s="377">
        <v>42936</v>
      </c>
      <c r="B206" s="457" t="s">
        <v>39</v>
      </c>
      <c r="C206" s="361"/>
      <c r="D206" s="348"/>
      <c r="E206" s="348"/>
      <c r="F206" s="362"/>
      <c r="G206" s="348"/>
      <c r="H206" s="363"/>
      <c r="I206" s="363"/>
      <c r="J206" s="364">
        <f t="shared" si="71"/>
        <v>0</v>
      </c>
      <c r="K206" s="348"/>
      <c r="L206" s="348"/>
      <c r="M206" s="365">
        <f t="shared" si="73"/>
        <v>0</v>
      </c>
      <c r="N206" s="366">
        <f t="shared" si="78"/>
        <v>0</v>
      </c>
      <c r="O206" s="349">
        <f t="shared" si="78"/>
        <v>0</v>
      </c>
      <c r="P206" s="353">
        <f t="shared" si="78"/>
        <v>0</v>
      </c>
      <c r="Q206" s="368">
        <f t="shared" si="77"/>
        <v>11578322</v>
      </c>
      <c r="R206" s="367">
        <f t="shared" si="77"/>
        <v>5905291</v>
      </c>
      <c r="S206" s="369">
        <f t="shared" si="77"/>
        <v>17776680.739999998</v>
      </c>
      <c r="T206" s="370">
        <f>N206/'2018'!N206-1</f>
        <v>-1</v>
      </c>
      <c r="U206" s="371">
        <f>O206/'2018'!O206-1</f>
        <v>-1</v>
      </c>
      <c r="V206" s="371">
        <f>P206/'2018'!P206-1</f>
        <v>-1</v>
      </c>
      <c r="W206" s="371">
        <f>Q206/'2018'!Q206-1</f>
        <v>-0.11201138017265067</v>
      </c>
      <c r="X206" s="371">
        <f>R206/'2018'!R206-1</f>
        <v>-0.14450044475092505</v>
      </c>
      <c r="Y206" s="372">
        <f>S206/'2018'!S206-1</f>
        <v>-0.12384647773013979</v>
      </c>
      <c r="Z206" s="373"/>
      <c r="AA206" s="374">
        <f t="shared" si="72"/>
        <v>1157.8322000000001</v>
      </c>
      <c r="AB206" s="375"/>
      <c r="AC206" s="365"/>
      <c r="AD206" s="375">
        <f t="shared" si="74"/>
        <v>11871389.739999998</v>
      </c>
      <c r="AE206" s="348">
        <f t="shared" si="75"/>
        <v>76209.22</v>
      </c>
      <c r="AF206" s="348">
        <f t="shared" si="75"/>
        <v>43161.64</v>
      </c>
      <c r="AG206" s="365">
        <f t="shared" si="76"/>
        <v>173696.87999999837</v>
      </c>
      <c r="AH206" s="357"/>
      <c r="AI206" s="358"/>
      <c r="AJ206" s="358"/>
      <c r="AK206" s="358"/>
      <c r="AL206" s="358"/>
      <c r="AM206" s="358"/>
      <c r="AN206" s="358"/>
      <c r="AO206" s="358"/>
      <c r="AP206" s="358"/>
      <c r="AQ206" s="358"/>
      <c r="AR206" s="358"/>
      <c r="AS206" s="358"/>
      <c r="AT206" s="358"/>
      <c r="AU206" s="358"/>
      <c r="AV206" s="358"/>
      <c r="AW206" s="358"/>
      <c r="AX206" s="358"/>
      <c r="AY206" s="358"/>
      <c r="AZ206" s="358"/>
      <c r="BA206" s="358"/>
      <c r="BB206" s="358"/>
      <c r="BC206" s="358"/>
    </row>
    <row r="207" spans="1:55" s="376" customFormat="1" ht="15" customHeight="1" x14ac:dyDescent="0.15">
      <c r="A207" s="377">
        <v>42937</v>
      </c>
      <c r="B207" s="457" t="s">
        <v>1</v>
      </c>
      <c r="C207" s="361"/>
      <c r="D207" s="348"/>
      <c r="E207" s="348"/>
      <c r="F207" s="362"/>
      <c r="G207" s="348"/>
      <c r="H207" s="363"/>
      <c r="I207" s="363"/>
      <c r="J207" s="364">
        <f t="shared" si="71"/>
        <v>0</v>
      </c>
      <c r="K207" s="348"/>
      <c r="L207" s="348"/>
      <c r="M207" s="365">
        <f t="shared" si="73"/>
        <v>0</v>
      </c>
      <c r="N207" s="366">
        <f t="shared" si="78"/>
        <v>0</v>
      </c>
      <c r="O207" s="349">
        <f t="shared" si="78"/>
        <v>0</v>
      </c>
      <c r="P207" s="353">
        <f t="shared" si="78"/>
        <v>0</v>
      </c>
      <c r="Q207" s="368">
        <f t="shared" si="77"/>
        <v>11578322</v>
      </c>
      <c r="R207" s="367">
        <f t="shared" si="77"/>
        <v>5905291</v>
      </c>
      <c r="S207" s="369">
        <f t="shared" si="77"/>
        <v>17776680.739999998</v>
      </c>
      <c r="T207" s="370">
        <f>N207/'2018'!N207-1</f>
        <v>-1</v>
      </c>
      <c r="U207" s="371">
        <f>O207/'2018'!O207-1</f>
        <v>-1</v>
      </c>
      <c r="V207" s="371">
        <f>P207/'2018'!P207-1</f>
        <v>-1</v>
      </c>
      <c r="W207" s="371">
        <f>Q207/'2018'!Q207-1</f>
        <v>-0.11699431332087384</v>
      </c>
      <c r="X207" s="371">
        <f>R207/'2018'!R207-1</f>
        <v>-0.1511249448006845</v>
      </c>
      <c r="Y207" s="372">
        <f>S207/'2018'!S207-1</f>
        <v>-0.12940078287478052</v>
      </c>
      <c r="Z207" s="373"/>
      <c r="AA207" s="374">
        <f t="shared" si="72"/>
        <v>1157.8322000000001</v>
      </c>
      <c r="AB207" s="375"/>
      <c r="AC207" s="365"/>
      <c r="AD207" s="375">
        <f t="shared" si="74"/>
        <v>11871389.739999998</v>
      </c>
      <c r="AE207" s="348">
        <f t="shared" si="75"/>
        <v>76209.22</v>
      </c>
      <c r="AF207" s="348">
        <f t="shared" si="75"/>
        <v>43161.64</v>
      </c>
      <c r="AG207" s="365">
        <f t="shared" si="76"/>
        <v>173696.87999999837</v>
      </c>
      <c r="AH207" s="357"/>
      <c r="AI207" s="358"/>
      <c r="AJ207" s="358"/>
      <c r="AK207" s="358"/>
      <c r="AL207" s="358"/>
      <c r="AM207" s="358"/>
      <c r="AN207" s="358"/>
      <c r="AO207" s="358"/>
      <c r="AP207" s="358"/>
      <c r="AQ207" s="358"/>
      <c r="AR207" s="358"/>
      <c r="AS207" s="358"/>
      <c r="AT207" s="358"/>
      <c r="AU207" s="358"/>
      <c r="AV207" s="358"/>
      <c r="AW207" s="358"/>
      <c r="AX207" s="358"/>
      <c r="AY207" s="358"/>
      <c r="AZ207" s="358"/>
      <c r="BA207" s="358"/>
      <c r="BB207" s="358"/>
      <c r="BC207" s="358"/>
    </row>
    <row r="208" spans="1:55" s="376" customFormat="1" ht="15" customHeight="1" x14ac:dyDescent="0.15">
      <c r="A208" s="377">
        <v>42938</v>
      </c>
      <c r="B208" s="457" t="s">
        <v>34</v>
      </c>
      <c r="C208" s="361"/>
      <c r="D208" s="348"/>
      <c r="E208" s="348"/>
      <c r="F208" s="362"/>
      <c r="G208" s="348"/>
      <c r="H208" s="363"/>
      <c r="I208" s="363"/>
      <c r="J208" s="364">
        <f t="shared" si="71"/>
        <v>0</v>
      </c>
      <c r="K208" s="348"/>
      <c r="L208" s="348"/>
      <c r="M208" s="365">
        <f t="shared" si="73"/>
        <v>0</v>
      </c>
      <c r="N208" s="366">
        <f t="shared" si="78"/>
        <v>0</v>
      </c>
      <c r="O208" s="349">
        <f t="shared" si="78"/>
        <v>0</v>
      </c>
      <c r="P208" s="353">
        <f t="shared" si="78"/>
        <v>0</v>
      </c>
      <c r="Q208" s="368">
        <f t="shared" si="77"/>
        <v>11578322</v>
      </c>
      <c r="R208" s="367">
        <f t="shared" si="77"/>
        <v>5905291</v>
      </c>
      <c r="S208" s="369">
        <f t="shared" si="77"/>
        <v>17776680.739999998</v>
      </c>
      <c r="T208" s="370">
        <f>N208/'2018'!N208-1</f>
        <v>-1</v>
      </c>
      <c r="U208" s="371">
        <f>O208/'2018'!O208-1</f>
        <v>-1</v>
      </c>
      <c r="V208" s="371">
        <f>P208/'2018'!P208-1</f>
        <v>-1</v>
      </c>
      <c r="W208" s="371">
        <f>Q208/'2018'!Q208-1</f>
        <v>-0.12160900852989676</v>
      </c>
      <c r="X208" s="371">
        <f>R208/'2018'!R208-1</f>
        <v>-0.15678776672858485</v>
      </c>
      <c r="Y208" s="372">
        <f>S208/'2018'!S208-1</f>
        <v>-0.13436922787514527</v>
      </c>
      <c r="Z208" s="373"/>
      <c r="AA208" s="374">
        <f t="shared" si="72"/>
        <v>1157.8322000000001</v>
      </c>
      <c r="AB208" s="375"/>
      <c r="AC208" s="365"/>
      <c r="AD208" s="375">
        <f t="shared" si="74"/>
        <v>11871389.739999998</v>
      </c>
      <c r="AE208" s="348">
        <f t="shared" si="75"/>
        <v>76209.22</v>
      </c>
      <c r="AF208" s="348">
        <f t="shared" si="75"/>
        <v>43161.64</v>
      </c>
      <c r="AG208" s="365">
        <f t="shared" si="76"/>
        <v>173696.87999999837</v>
      </c>
      <c r="AH208" s="357"/>
      <c r="AI208" s="358"/>
      <c r="AJ208" s="358"/>
      <c r="AK208" s="358"/>
      <c r="AL208" s="358"/>
      <c r="AM208" s="358"/>
      <c r="AN208" s="358"/>
      <c r="AO208" s="358"/>
      <c r="AP208" s="358"/>
      <c r="AQ208" s="358"/>
      <c r="AR208" s="358"/>
      <c r="AS208" s="358"/>
      <c r="AT208" s="358"/>
      <c r="AU208" s="358"/>
      <c r="AV208" s="358"/>
      <c r="AW208" s="358"/>
      <c r="AX208" s="358"/>
      <c r="AY208" s="358"/>
      <c r="AZ208" s="358"/>
      <c r="BA208" s="358"/>
      <c r="BB208" s="358"/>
      <c r="BC208" s="358"/>
    </row>
    <row r="209" spans="1:55" s="376" customFormat="1" ht="15" customHeight="1" x14ac:dyDescent="0.15">
      <c r="A209" s="377">
        <v>42939</v>
      </c>
      <c r="B209" s="457" t="s">
        <v>35</v>
      </c>
      <c r="C209" s="361"/>
      <c r="D209" s="348"/>
      <c r="E209" s="348"/>
      <c r="F209" s="362"/>
      <c r="G209" s="348"/>
      <c r="H209" s="363"/>
      <c r="I209" s="363"/>
      <c r="J209" s="364">
        <f t="shared" si="71"/>
        <v>0</v>
      </c>
      <c r="K209" s="348"/>
      <c r="L209" s="348"/>
      <c r="M209" s="365">
        <f t="shared" si="73"/>
        <v>0</v>
      </c>
      <c r="N209" s="366">
        <f t="shared" si="78"/>
        <v>0</v>
      </c>
      <c r="O209" s="349">
        <f t="shared" si="78"/>
        <v>0</v>
      </c>
      <c r="P209" s="353">
        <f t="shared" si="78"/>
        <v>0</v>
      </c>
      <c r="Q209" s="368">
        <f t="shared" si="77"/>
        <v>11578322</v>
      </c>
      <c r="R209" s="367">
        <f t="shared" si="77"/>
        <v>5905291</v>
      </c>
      <c r="S209" s="369">
        <f t="shared" si="77"/>
        <v>17776680.739999998</v>
      </c>
      <c r="T209" s="370">
        <f>N209/'2018'!N209-1</f>
        <v>-1</v>
      </c>
      <c r="U209" s="371">
        <f>O209/'2018'!O209-1</f>
        <v>-1</v>
      </c>
      <c r="V209" s="371">
        <f>P209/'2018'!P209-1</f>
        <v>-1</v>
      </c>
      <c r="W209" s="371">
        <f>Q209/'2018'!Q209-1</f>
        <v>-0.12655429670452778</v>
      </c>
      <c r="X209" s="371">
        <f>R209/'2018'!R209-1</f>
        <v>-0.16311543236881654</v>
      </c>
      <c r="Y209" s="372">
        <f>S209/'2018'!S209-1</f>
        <v>-0.13976689603431047</v>
      </c>
      <c r="Z209" s="373"/>
      <c r="AA209" s="374">
        <f t="shared" si="72"/>
        <v>1157.8322000000001</v>
      </c>
      <c r="AB209" s="375"/>
      <c r="AC209" s="413"/>
      <c r="AD209" s="375">
        <f t="shared" si="74"/>
        <v>11871389.739999998</v>
      </c>
      <c r="AE209" s="348">
        <f t="shared" si="75"/>
        <v>76209.22</v>
      </c>
      <c r="AF209" s="348">
        <f t="shared" si="75"/>
        <v>43161.64</v>
      </c>
      <c r="AG209" s="365">
        <f t="shared" si="76"/>
        <v>173696.87999999837</v>
      </c>
      <c r="AH209" s="357"/>
      <c r="AI209" s="358"/>
      <c r="AJ209" s="358"/>
      <c r="AK209" s="358"/>
      <c r="AL209" s="358"/>
      <c r="AM209" s="358"/>
      <c r="AN209" s="358"/>
      <c r="AO209" s="358"/>
      <c r="AP209" s="358"/>
      <c r="AQ209" s="358"/>
      <c r="AR209" s="358"/>
      <c r="AS209" s="358"/>
      <c r="AT209" s="358"/>
      <c r="AU209" s="358"/>
      <c r="AV209" s="358"/>
      <c r="AW209" s="358"/>
      <c r="AX209" s="358"/>
      <c r="AY209" s="358"/>
      <c r="AZ209" s="358"/>
      <c r="BA209" s="358"/>
      <c r="BB209" s="358"/>
      <c r="BC209" s="358"/>
    </row>
    <row r="210" spans="1:55" s="376" customFormat="1" ht="15" customHeight="1" x14ac:dyDescent="0.15">
      <c r="A210" s="377">
        <v>42940</v>
      </c>
      <c r="B210" s="457" t="s">
        <v>36</v>
      </c>
      <c r="C210" s="361"/>
      <c r="D210" s="348"/>
      <c r="E210" s="348"/>
      <c r="F210" s="362"/>
      <c r="G210" s="348"/>
      <c r="H210" s="363"/>
      <c r="I210" s="363"/>
      <c r="J210" s="364">
        <f t="shared" si="71"/>
        <v>0</v>
      </c>
      <c r="K210" s="348"/>
      <c r="L210" s="348"/>
      <c r="M210" s="365">
        <f t="shared" si="73"/>
        <v>0</v>
      </c>
      <c r="N210" s="366">
        <f t="shared" si="78"/>
        <v>0</v>
      </c>
      <c r="O210" s="349">
        <f t="shared" si="78"/>
        <v>0</v>
      </c>
      <c r="P210" s="353">
        <f t="shared" si="78"/>
        <v>0</v>
      </c>
      <c r="Q210" s="368">
        <f t="shared" si="77"/>
        <v>11578322</v>
      </c>
      <c r="R210" s="367">
        <f t="shared" si="77"/>
        <v>5905291</v>
      </c>
      <c r="S210" s="369">
        <f t="shared" si="77"/>
        <v>17776680.739999998</v>
      </c>
      <c r="T210" s="370">
        <f>N210/'2018'!N210-1</f>
        <v>-1</v>
      </c>
      <c r="U210" s="371">
        <f>O210/'2018'!O210-1</f>
        <v>-1</v>
      </c>
      <c r="V210" s="371">
        <f>P210/'2018'!P210-1</f>
        <v>-1</v>
      </c>
      <c r="W210" s="371">
        <f>Q210/'2018'!Q210-1</f>
        <v>-0.13159984141525038</v>
      </c>
      <c r="X210" s="371">
        <f>R210/'2018'!R210-1</f>
        <v>-0.16958619024496768</v>
      </c>
      <c r="Y210" s="372">
        <f>S210/'2018'!S210-1</f>
        <v>-0.14528086938054408</v>
      </c>
      <c r="Z210" s="373"/>
      <c r="AA210" s="374">
        <f t="shared" si="72"/>
        <v>1157.8322000000001</v>
      </c>
      <c r="AB210" s="375"/>
      <c r="AC210" s="365"/>
      <c r="AD210" s="375">
        <f t="shared" si="74"/>
        <v>11871389.739999998</v>
      </c>
      <c r="AE210" s="348">
        <f t="shared" si="75"/>
        <v>76209.22</v>
      </c>
      <c r="AF210" s="348">
        <f t="shared" si="75"/>
        <v>43161.64</v>
      </c>
      <c r="AG210" s="365">
        <f t="shared" si="76"/>
        <v>173696.87999999837</v>
      </c>
      <c r="AH210" s="357"/>
      <c r="AI210" s="358"/>
      <c r="AJ210" s="358"/>
      <c r="AK210" s="358"/>
      <c r="AL210" s="358"/>
      <c r="AM210" s="358"/>
      <c r="AN210" s="358"/>
      <c r="AO210" s="358"/>
      <c r="AP210" s="358"/>
      <c r="AQ210" s="358"/>
      <c r="AR210" s="358"/>
      <c r="AS210" s="358"/>
      <c r="AT210" s="358"/>
      <c r="AU210" s="358"/>
      <c r="AV210" s="358"/>
      <c r="AW210" s="358"/>
      <c r="AX210" s="358"/>
      <c r="AY210" s="358"/>
      <c r="AZ210" s="358"/>
      <c r="BA210" s="358"/>
      <c r="BB210" s="358"/>
      <c r="BC210" s="358"/>
    </row>
    <row r="211" spans="1:55" s="376" customFormat="1" ht="15" customHeight="1" x14ac:dyDescent="0.15">
      <c r="A211" s="377">
        <v>42941</v>
      </c>
      <c r="B211" s="182" t="s">
        <v>37</v>
      </c>
      <c r="C211" s="361"/>
      <c r="D211" s="348"/>
      <c r="E211" s="348"/>
      <c r="F211" s="362"/>
      <c r="G211" s="348"/>
      <c r="H211" s="363"/>
      <c r="I211" s="363"/>
      <c r="J211" s="364">
        <f t="shared" si="71"/>
        <v>0</v>
      </c>
      <c r="K211" s="348"/>
      <c r="L211" s="348"/>
      <c r="M211" s="365">
        <f t="shared" si="73"/>
        <v>0</v>
      </c>
      <c r="N211" s="366">
        <f t="shared" si="78"/>
        <v>0</v>
      </c>
      <c r="O211" s="349">
        <f t="shared" si="78"/>
        <v>0</v>
      </c>
      <c r="P211" s="353">
        <f t="shared" si="78"/>
        <v>0</v>
      </c>
      <c r="Q211" s="368">
        <f t="shared" si="77"/>
        <v>11578322</v>
      </c>
      <c r="R211" s="367">
        <f t="shared" si="77"/>
        <v>5905291</v>
      </c>
      <c r="S211" s="369">
        <f t="shared" si="77"/>
        <v>17776680.739999998</v>
      </c>
      <c r="T211" s="370">
        <f>N211/'2018'!N211-1</f>
        <v>-1</v>
      </c>
      <c r="U211" s="371">
        <f>O211/'2018'!O211-1</f>
        <v>-1</v>
      </c>
      <c r="V211" s="371">
        <f>P211/'2018'!P211-1</f>
        <v>-1</v>
      </c>
      <c r="W211" s="371">
        <f>Q211/'2018'!Q211-1</f>
        <v>-0.13691361347850295</v>
      </c>
      <c r="X211" s="371">
        <f>R211/'2018'!R211-1</f>
        <v>-0.17606526859995064</v>
      </c>
      <c r="Y211" s="372">
        <f>S211/'2018'!S211-1</f>
        <v>-0.15098071149709313</v>
      </c>
      <c r="Z211" s="373"/>
      <c r="AA211" s="374">
        <f t="shared" si="72"/>
        <v>1157.8322000000001</v>
      </c>
      <c r="AB211" s="375"/>
      <c r="AC211" s="365"/>
      <c r="AD211" s="375">
        <f t="shared" si="74"/>
        <v>11871389.739999998</v>
      </c>
      <c r="AE211" s="348">
        <f t="shared" si="75"/>
        <v>76209.22</v>
      </c>
      <c r="AF211" s="348">
        <f t="shared" si="75"/>
        <v>43161.64</v>
      </c>
      <c r="AG211" s="365">
        <f t="shared" si="76"/>
        <v>173696.87999999837</v>
      </c>
      <c r="AH211" s="357"/>
      <c r="AI211" s="358"/>
      <c r="AJ211" s="358"/>
      <c r="AK211" s="358"/>
      <c r="AL211" s="358"/>
      <c r="AM211" s="358"/>
      <c r="AN211" s="358"/>
      <c r="AO211" s="358"/>
      <c r="AP211" s="358"/>
      <c r="AQ211" s="358"/>
      <c r="AR211" s="358"/>
      <c r="AS211" s="358"/>
      <c r="AT211" s="358"/>
      <c r="AU211" s="358"/>
      <c r="AV211" s="358"/>
      <c r="AW211" s="358"/>
      <c r="AX211" s="358"/>
      <c r="AY211" s="358"/>
      <c r="AZ211" s="358"/>
      <c r="BA211" s="358"/>
      <c r="BB211" s="358"/>
      <c r="BC211" s="358"/>
    </row>
    <row r="212" spans="1:55" s="376" customFormat="1" ht="15" customHeight="1" x14ac:dyDescent="0.15">
      <c r="A212" s="377">
        <v>42942</v>
      </c>
      <c r="B212" s="457" t="s">
        <v>38</v>
      </c>
      <c r="C212" s="361"/>
      <c r="D212" s="348"/>
      <c r="E212" s="348"/>
      <c r="F212" s="362"/>
      <c r="G212" s="348"/>
      <c r="H212" s="363"/>
      <c r="I212" s="363"/>
      <c r="J212" s="364">
        <f t="shared" si="71"/>
        <v>0</v>
      </c>
      <c r="K212" s="348"/>
      <c r="L212" s="348"/>
      <c r="M212" s="365">
        <f t="shared" si="73"/>
        <v>0</v>
      </c>
      <c r="N212" s="366">
        <f t="shared" si="78"/>
        <v>0</v>
      </c>
      <c r="O212" s="349">
        <f t="shared" si="78"/>
        <v>0</v>
      </c>
      <c r="P212" s="353">
        <f t="shared" si="78"/>
        <v>0</v>
      </c>
      <c r="Q212" s="368">
        <f t="shared" si="77"/>
        <v>11578322</v>
      </c>
      <c r="R212" s="367">
        <f t="shared" si="77"/>
        <v>5905291</v>
      </c>
      <c r="S212" s="369">
        <f t="shared" si="77"/>
        <v>17776680.739999998</v>
      </c>
      <c r="T212" s="370">
        <f>N212/'2018'!N212-1</f>
        <v>-1</v>
      </c>
      <c r="U212" s="371">
        <f>O212/'2018'!O212-1</f>
        <v>-1</v>
      </c>
      <c r="V212" s="371">
        <f>P212/'2018'!P212-1</f>
        <v>-1</v>
      </c>
      <c r="W212" s="371">
        <f>Q212/'2018'!Q212-1</f>
        <v>-0.14203587195126655</v>
      </c>
      <c r="X212" s="371">
        <f>R212/'2018'!R212-1</f>
        <v>-0.18275652811116727</v>
      </c>
      <c r="Y212" s="372">
        <f>S212/'2018'!S212-1</f>
        <v>-0.15662772374463674</v>
      </c>
      <c r="Z212" s="373"/>
      <c r="AA212" s="374">
        <f t="shared" si="72"/>
        <v>1157.8322000000001</v>
      </c>
      <c r="AB212" s="375"/>
      <c r="AC212" s="365"/>
      <c r="AD212" s="375">
        <f t="shared" si="74"/>
        <v>11871389.739999998</v>
      </c>
      <c r="AE212" s="348">
        <f t="shared" si="75"/>
        <v>76209.22</v>
      </c>
      <c r="AF212" s="348">
        <f t="shared" si="75"/>
        <v>43161.64</v>
      </c>
      <c r="AG212" s="365">
        <f t="shared" si="76"/>
        <v>173696.87999999837</v>
      </c>
      <c r="AH212" s="357"/>
      <c r="AI212" s="358"/>
      <c r="AJ212" s="358"/>
      <c r="AK212" s="358"/>
      <c r="AL212" s="358"/>
      <c r="AM212" s="358"/>
      <c r="AN212" s="358"/>
      <c r="AO212" s="358"/>
      <c r="AP212" s="358"/>
      <c r="AQ212" s="358"/>
      <c r="AR212" s="358"/>
      <c r="AS212" s="358"/>
      <c r="AT212" s="358"/>
      <c r="AU212" s="358"/>
      <c r="AV212" s="358"/>
      <c r="AW212" s="358"/>
      <c r="AX212" s="358"/>
      <c r="AY212" s="358"/>
      <c r="AZ212" s="358"/>
      <c r="BA212" s="358"/>
      <c r="BB212" s="358"/>
      <c r="BC212" s="358"/>
    </row>
    <row r="213" spans="1:55" s="376" customFormat="1" ht="15" customHeight="1" x14ac:dyDescent="0.15">
      <c r="A213" s="377">
        <v>42943</v>
      </c>
      <c r="B213" s="457" t="s">
        <v>39</v>
      </c>
      <c r="C213" s="361"/>
      <c r="D213" s="348"/>
      <c r="E213" s="348"/>
      <c r="F213" s="362"/>
      <c r="G213" s="348"/>
      <c r="H213" s="363"/>
      <c r="I213" s="363"/>
      <c r="J213" s="364">
        <f t="shared" si="71"/>
        <v>0</v>
      </c>
      <c r="K213" s="348"/>
      <c r="L213" s="348"/>
      <c r="M213" s="365">
        <f t="shared" si="73"/>
        <v>0</v>
      </c>
      <c r="N213" s="366">
        <f t="shared" si="78"/>
        <v>0</v>
      </c>
      <c r="O213" s="349">
        <f t="shared" si="78"/>
        <v>0</v>
      </c>
      <c r="P213" s="353">
        <f t="shared" si="78"/>
        <v>0</v>
      </c>
      <c r="Q213" s="368">
        <f t="shared" si="77"/>
        <v>11578322</v>
      </c>
      <c r="R213" s="367">
        <f t="shared" si="77"/>
        <v>5905291</v>
      </c>
      <c r="S213" s="369">
        <f t="shared" si="77"/>
        <v>17776680.739999998</v>
      </c>
      <c r="T213" s="370">
        <f>N213/'2018'!N213-1</f>
        <v>-1</v>
      </c>
      <c r="U213" s="371">
        <f>O213/'2018'!O213-1</f>
        <v>-1</v>
      </c>
      <c r="V213" s="371">
        <f>P213/'2018'!P213-1</f>
        <v>-1</v>
      </c>
      <c r="W213" s="371">
        <f>Q213/'2018'!Q213-1</f>
        <v>-0.14688590701049742</v>
      </c>
      <c r="X213" s="371">
        <f>R213/'2018'!R213-1</f>
        <v>-0.18908194180655402</v>
      </c>
      <c r="Y213" s="372">
        <f>S213/'2018'!S213-1</f>
        <v>-0.16210668185593691</v>
      </c>
      <c r="Z213" s="373"/>
      <c r="AA213" s="374">
        <f t="shared" si="72"/>
        <v>1157.8322000000001</v>
      </c>
      <c r="AB213" s="375"/>
      <c r="AC213" s="365"/>
      <c r="AD213" s="375">
        <f t="shared" si="74"/>
        <v>11871389.739999998</v>
      </c>
      <c r="AE213" s="348">
        <f t="shared" si="75"/>
        <v>76209.22</v>
      </c>
      <c r="AF213" s="348">
        <f t="shared" si="75"/>
        <v>43161.64</v>
      </c>
      <c r="AG213" s="365">
        <f t="shared" si="76"/>
        <v>173696.87999999837</v>
      </c>
      <c r="AH213" s="357"/>
      <c r="AI213" s="358"/>
      <c r="AJ213" s="358"/>
      <c r="AK213" s="358"/>
      <c r="AL213" s="358"/>
      <c r="AM213" s="358"/>
      <c r="AN213" s="358"/>
      <c r="AO213" s="358"/>
      <c r="AP213" s="358"/>
      <c r="AQ213" s="358"/>
      <c r="AR213" s="358"/>
      <c r="AS213" s="358"/>
      <c r="AT213" s="358"/>
      <c r="AU213" s="358"/>
      <c r="AV213" s="358"/>
      <c r="AW213" s="358"/>
      <c r="AX213" s="358"/>
      <c r="AY213" s="358"/>
      <c r="AZ213" s="358"/>
      <c r="BA213" s="358"/>
      <c r="BB213" s="358"/>
      <c r="BC213" s="358"/>
    </row>
    <row r="214" spans="1:55" s="376" customFormat="1" ht="15" customHeight="1" x14ac:dyDescent="0.15">
      <c r="A214" s="377">
        <v>42944</v>
      </c>
      <c r="B214" s="457" t="s">
        <v>1</v>
      </c>
      <c r="C214" s="361"/>
      <c r="D214" s="348"/>
      <c r="E214" s="348"/>
      <c r="F214" s="362"/>
      <c r="G214" s="348"/>
      <c r="H214" s="363"/>
      <c r="I214" s="363"/>
      <c r="J214" s="364">
        <f t="shared" si="71"/>
        <v>0</v>
      </c>
      <c r="K214" s="348"/>
      <c r="L214" s="348"/>
      <c r="M214" s="365">
        <f t="shared" si="73"/>
        <v>0</v>
      </c>
      <c r="N214" s="366">
        <f t="shared" si="78"/>
        <v>0</v>
      </c>
      <c r="O214" s="349">
        <f t="shared" si="78"/>
        <v>0</v>
      </c>
      <c r="P214" s="353">
        <f t="shared" si="78"/>
        <v>0</v>
      </c>
      <c r="Q214" s="368">
        <f t="shared" si="77"/>
        <v>11578322</v>
      </c>
      <c r="R214" s="367">
        <f t="shared" si="77"/>
        <v>5905291</v>
      </c>
      <c r="S214" s="369">
        <f t="shared" si="77"/>
        <v>17776680.739999998</v>
      </c>
      <c r="T214" s="370">
        <f>N214/'2018'!N214-1</f>
        <v>-1</v>
      </c>
      <c r="U214" s="371">
        <f>O214/'2018'!O214-1</f>
        <v>-1</v>
      </c>
      <c r="V214" s="371">
        <f>P214/'2018'!P214-1</f>
        <v>-1</v>
      </c>
      <c r="W214" s="371">
        <f>Q214/'2018'!Q214-1</f>
        <v>-0.1517909182468743</v>
      </c>
      <c r="X214" s="371">
        <f>R214/'2018'!R214-1</f>
        <v>-0.19524965859416699</v>
      </c>
      <c r="Y214" s="372">
        <f>S214/'2018'!S214-1</f>
        <v>-0.16756781133731602</v>
      </c>
      <c r="Z214" s="373"/>
      <c r="AA214" s="374">
        <f t="shared" si="72"/>
        <v>1157.8322000000001</v>
      </c>
      <c r="AB214" s="375"/>
      <c r="AC214" s="365"/>
      <c r="AD214" s="375">
        <f t="shared" si="74"/>
        <v>11871389.739999998</v>
      </c>
      <c r="AE214" s="348">
        <f t="shared" si="75"/>
        <v>76209.22</v>
      </c>
      <c r="AF214" s="348">
        <f t="shared" si="75"/>
        <v>43161.64</v>
      </c>
      <c r="AG214" s="365">
        <f t="shared" si="76"/>
        <v>173696.87999999837</v>
      </c>
      <c r="AH214" s="357"/>
      <c r="AI214" s="358"/>
      <c r="AJ214" s="358"/>
      <c r="AK214" s="358"/>
      <c r="AL214" s="358"/>
      <c r="AM214" s="358"/>
      <c r="AN214" s="358"/>
      <c r="AO214" s="358"/>
      <c r="AP214" s="358"/>
      <c r="AQ214" s="358"/>
      <c r="AR214" s="358"/>
      <c r="AS214" s="358"/>
      <c r="AT214" s="358"/>
      <c r="AU214" s="358"/>
      <c r="AV214" s="358"/>
      <c r="AW214" s="358"/>
      <c r="AX214" s="358"/>
      <c r="AY214" s="358"/>
      <c r="AZ214" s="358"/>
      <c r="BA214" s="358"/>
      <c r="BB214" s="358"/>
      <c r="BC214" s="358"/>
    </row>
    <row r="215" spans="1:55" s="376" customFormat="1" ht="15" customHeight="1" x14ac:dyDescent="0.15">
      <c r="A215" s="377">
        <v>42945</v>
      </c>
      <c r="B215" s="457" t="s">
        <v>34</v>
      </c>
      <c r="C215" s="361"/>
      <c r="D215" s="348"/>
      <c r="E215" s="348"/>
      <c r="F215" s="362"/>
      <c r="G215" s="348"/>
      <c r="H215" s="363"/>
      <c r="I215" s="363"/>
      <c r="J215" s="364">
        <f t="shared" si="71"/>
        <v>0</v>
      </c>
      <c r="K215" s="348"/>
      <c r="L215" s="348"/>
      <c r="M215" s="365">
        <f t="shared" si="73"/>
        <v>0</v>
      </c>
      <c r="N215" s="366">
        <f t="shared" si="78"/>
        <v>0</v>
      </c>
      <c r="O215" s="349">
        <f t="shared" si="78"/>
        <v>0</v>
      </c>
      <c r="P215" s="353">
        <f t="shared" si="78"/>
        <v>0</v>
      </c>
      <c r="Q215" s="368">
        <f t="shared" si="77"/>
        <v>11578322</v>
      </c>
      <c r="R215" s="367">
        <f t="shared" si="77"/>
        <v>5905291</v>
      </c>
      <c r="S215" s="369">
        <f t="shared" si="77"/>
        <v>17776680.739999998</v>
      </c>
      <c r="T215" s="370">
        <f>N215/'2018'!N215-1</f>
        <v>-1</v>
      </c>
      <c r="U215" s="371">
        <f>O215/'2018'!O215-1</f>
        <v>-1</v>
      </c>
      <c r="V215" s="371">
        <f>P215/'2018'!P215-1</f>
        <v>-1</v>
      </c>
      <c r="W215" s="371">
        <f>Q215/'2018'!Q215-1</f>
        <v>-0.15641292679269658</v>
      </c>
      <c r="X215" s="371">
        <f>R215/'2018'!R215-1</f>
        <v>-0.20117214264022254</v>
      </c>
      <c r="Y215" s="372">
        <f>S215/'2018'!S215-1</f>
        <v>-0.17282028836146868</v>
      </c>
      <c r="Z215" s="373"/>
      <c r="AA215" s="374">
        <f t="shared" si="72"/>
        <v>1157.8322000000001</v>
      </c>
      <c r="AB215" s="375"/>
      <c r="AC215" s="365"/>
      <c r="AD215" s="375">
        <f t="shared" si="74"/>
        <v>11871389.739999998</v>
      </c>
      <c r="AE215" s="348">
        <f t="shared" ref="AE215:AF230" si="79">AE214+K215</f>
        <v>76209.22</v>
      </c>
      <c r="AF215" s="348">
        <f t="shared" si="79"/>
        <v>43161.64</v>
      </c>
      <c r="AG215" s="365">
        <f t="shared" si="76"/>
        <v>173696.87999999837</v>
      </c>
      <c r="AH215" s="357"/>
      <c r="AI215" s="358"/>
      <c r="AJ215" s="358"/>
      <c r="AK215" s="358"/>
      <c r="AL215" s="358"/>
      <c r="AM215" s="358"/>
      <c r="AN215" s="358"/>
      <c r="AO215" s="358"/>
      <c r="AP215" s="358"/>
      <c r="AQ215" s="358"/>
      <c r="AR215" s="358"/>
      <c r="AS215" s="358"/>
      <c r="AT215" s="358"/>
      <c r="AU215" s="358"/>
      <c r="AV215" s="358"/>
      <c r="AW215" s="358"/>
      <c r="AX215" s="358"/>
      <c r="AY215" s="358"/>
      <c r="AZ215" s="358"/>
      <c r="BA215" s="358"/>
      <c r="BB215" s="358"/>
      <c r="BC215" s="358"/>
    </row>
    <row r="216" spans="1:55" s="376" customFormat="1" ht="15" customHeight="1" x14ac:dyDescent="0.15">
      <c r="A216" s="377">
        <v>42946</v>
      </c>
      <c r="B216" s="457" t="s">
        <v>35</v>
      </c>
      <c r="C216" s="361"/>
      <c r="D216" s="348"/>
      <c r="E216" s="348"/>
      <c r="F216" s="362"/>
      <c r="G216" s="348"/>
      <c r="H216" s="363"/>
      <c r="I216" s="363"/>
      <c r="J216" s="364">
        <f t="shared" si="71"/>
        <v>0</v>
      </c>
      <c r="K216" s="348"/>
      <c r="L216" s="348"/>
      <c r="M216" s="365">
        <f t="shared" si="73"/>
        <v>0</v>
      </c>
      <c r="N216" s="366">
        <f t="shared" si="78"/>
        <v>0</v>
      </c>
      <c r="O216" s="349">
        <f t="shared" si="78"/>
        <v>0</v>
      </c>
      <c r="P216" s="353">
        <f t="shared" si="78"/>
        <v>0</v>
      </c>
      <c r="Q216" s="368">
        <f t="shared" si="77"/>
        <v>11578322</v>
      </c>
      <c r="R216" s="367">
        <f t="shared" si="77"/>
        <v>5905291</v>
      </c>
      <c r="S216" s="369">
        <f t="shared" si="77"/>
        <v>17776680.739999998</v>
      </c>
      <c r="T216" s="370">
        <f>N216/'2018'!N216-1</f>
        <v>-1</v>
      </c>
      <c r="U216" s="371">
        <f>O216/'2018'!O216-1</f>
        <v>-1</v>
      </c>
      <c r="V216" s="371">
        <f>P216/'2018'!P216-1</f>
        <v>-1</v>
      </c>
      <c r="W216" s="371">
        <f>Q216/'2018'!Q216-1</f>
        <v>-0.1612637487019617</v>
      </c>
      <c r="X216" s="371">
        <f>R216/'2018'!R216-1</f>
        <v>-0.20747199648701253</v>
      </c>
      <c r="Y216" s="372">
        <f>S216/'2018'!S216-1</f>
        <v>-0.17824495388847017</v>
      </c>
      <c r="Z216" s="373"/>
      <c r="AA216" s="374">
        <f t="shared" si="72"/>
        <v>1157.8322000000001</v>
      </c>
      <c r="AB216" s="375"/>
      <c r="AC216" s="365"/>
      <c r="AD216" s="375">
        <f t="shared" si="74"/>
        <v>11871389.739999998</v>
      </c>
      <c r="AE216" s="348">
        <f t="shared" si="79"/>
        <v>76209.22</v>
      </c>
      <c r="AF216" s="348">
        <f t="shared" si="79"/>
        <v>43161.64</v>
      </c>
      <c r="AG216" s="365">
        <f t="shared" si="76"/>
        <v>173696.87999999837</v>
      </c>
      <c r="AH216" s="357"/>
      <c r="AI216" s="358"/>
      <c r="AJ216" s="358"/>
      <c r="AK216" s="358"/>
      <c r="AL216" s="358"/>
      <c r="AM216" s="358"/>
      <c r="AN216" s="358"/>
      <c r="AO216" s="358"/>
      <c r="AP216" s="358"/>
      <c r="AQ216" s="358"/>
      <c r="AR216" s="358"/>
      <c r="AS216" s="358"/>
      <c r="AT216" s="358"/>
      <c r="AU216" s="358"/>
      <c r="AV216" s="358"/>
      <c r="AW216" s="358"/>
      <c r="AX216" s="358"/>
      <c r="AY216" s="358"/>
      <c r="AZ216" s="358"/>
      <c r="BA216" s="358"/>
      <c r="BB216" s="358"/>
      <c r="BC216" s="358"/>
    </row>
    <row r="217" spans="1:55" s="376" customFormat="1" ht="15" customHeight="1" x14ac:dyDescent="0.15">
      <c r="A217" s="403">
        <v>42947</v>
      </c>
      <c r="B217" s="380" t="s">
        <v>36</v>
      </c>
      <c r="C217" s="381"/>
      <c r="D217" s="382"/>
      <c r="E217" s="382"/>
      <c r="F217" s="383"/>
      <c r="G217" s="382"/>
      <c r="H217" s="384"/>
      <c r="I217" s="384"/>
      <c r="J217" s="385">
        <f t="shared" si="71"/>
        <v>0</v>
      </c>
      <c r="K217" s="382"/>
      <c r="L217" s="382"/>
      <c r="M217" s="386">
        <f t="shared" si="73"/>
        <v>0</v>
      </c>
      <c r="N217" s="387">
        <f t="shared" ref="N217" si="80">C217+N216</f>
        <v>0</v>
      </c>
      <c r="O217" s="404">
        <f t="shared" ref="O217" si="81">D217+O216</f>
        <v>0</v>
      </c>
      <c r="P217" s="389">
        <f t="shared" ref="P217" si="82">E217+P216</f>
        <v>0</v>
      </c>
      <c r="Q217" s="390">
        <f>[6]表2、统调口径电量!$I$10</f>
        <v>13879287.720000001</v>
      </c>
      <c r="R217" s="388">
        <f>[6]表2、统调口径电量!$I$14</f>
        <v>7519553</v>
      </c>
      <c r="S217" s="391">
        <f>[6]表2、统调口径电量!$I$3</f>
        <v>21771111.719999999</v>
      </c>
      <c r="T217" s="392">
        <f>N217/'2018'!N217-1</f>
        <v>-1</v>
      </c>
      <c r="U217" s="393">
        <f>O217/'2018'!O217-1</f>
        <v>-1</v>
      </c>
      <c r="V217" s="393">
        <f>P217/'2018'!P217-1</f>
        <v>-1</v>
      </c>
      <c r="W217" s="393">
        <f>Q217/'2018'!Q217-1</f>
        <v>0</v>
      </c>
      <c r="X217" s="393">
        <f>R217/'2018'!R217-1</f>
        <v>0</v>
      </c>
      <c r="Y217" s="394">
        <f>S217/'2018'!S217-1</f>
        <v>0</v>
      </c>
      <c r="Z217" s="395"/>
      <c r="AA217" s="396">
        <f>[6]表2、统调口径电量!$I$11/10000</f>
        <v>1318.498703</v>
      </c>
      <c r="AB217" s="397"/>
      <c r="AC217" s="386"/>
      <c r="AD217" s="414">
        <f t="shared" si="74"/>
        <v>14251558.719999999</v>
      </c>
      <c r="AE217" s="382">
        <f t="shared" si="79"/>
        <v>76209.22</v>
      </c>
      <c r="AF217" s="382">
        <f t="shared" si="79"/>
        <v>43161.64</v>
      </c>
      <c r="AG217" s="386">
        <f t="shared" si="76"/>
        <v>252900.13999999815</v>
      </c>
      <c r="AH217" s="357"/>
      <c r="AI217" s="358"/>
      <c r="AJ217" s="358"/>
      <c r="AK217" s="358"/>
      <c r="AL217" s="358"/>
      <c r="AM217" s="358"/>
      <c r="AN217" s="358"/>
      <c r="AO217" s="358"/>
      <c r="AP217" s="358"/>
      <c r="AQ217" s="358"/>
      <c r="AR217" s="358"/>
      <c r="AS217" s="358"/>
      <c r="AT217" s="358"/>
      <c r="AU217" s="358"/>
      <c r="AV217" s="358"/>
      <c r="AW217" s="358"/>
      <c r="AX217" s="358"/>
      <c r="AY217" s="358"/>
      <c r="AZ217" s="358"/>
      <c r="BA217" s="358"/>
      <c r="BB217" s="358"/>
      <c r="BC217" s="358"/>
    </row>
    <row r="218" spans="1:55" s="376" customFormat="1" ht="15" customHeight="1" x14ac:dyDescent="0.15">
      <c r="A218" s="377">
        <v>42948</v>
      </c>
      <c r="B218" s="182" t="s">
        <v>37</v>
      </c>
      <c r="C218" s="361"/>
      <c r="D218" s="348"/>
      <c r="E218" s="348"/>
      <c r="F218" s="362"/>
      <c r="G218" s="348"/>
      <c r="H218" s="363"/>
      <c r="I218" s="363"/>
      <c r="J218" s="364">
        <f t="shared" si="71"/>
        <v>0</v>
      </c>
      <c r="K218" s="348"/>
      <c r="L218" s="348"/>
      <c r="M218" s="365">
        <f t="shared" si="73"/>
        <v>0</v>
      </c>
      <c r="N218" s="366">
        <f>C218</f>
        <v>0</v>
      </c>
      <c r="O218" s="349">
        <f>D218</f>
        <v>0</v>
      </c>
      <c r="P218" s="353">
        <f>E218</f>
        <v>0</v>
      </c>
      <c r="Q218" s="368">
        <f>Q$217+N218</f>
        <v>13879287.720000001</v>
      </c>
      <c r="R218" s="367">
        <f>R$217+O218</f>
        <v>7519553</v>
      </c>
      <c r="S218" s="369">
        <f>S$217+P218</f>
        <v>21771111.719999999</v>
      </c>
      <c r="T218" s="370">
        <f>N218/'2018'!N218-1</f>
        <v>-1</v>
      </c>
      <c r="U218" s="371">
        <f>O218/'2018'!O218-1</f>
        <v>-1</v>
      </c>
      <c r="V218" s="371">
        <f>P218/'2018'!P218-1</f>
        <v>-1</v>
      </c>
      <c r="W218" s="371">
        <f>Q218/'2018'!Q218-1</f>
        <v>-5.0181060440630532E-3</v>
      </c>
      <c r="X218" s="371">
        <f>R218/'2018'!R218-1</f>
        <v>-7.831341357182664E-3</v>
      </c>
      <c r="Y218" s="372">
        <f>S218/'2018'!S218-1</f>
        <v>-6.065929648331525E-3</v>
      </c>
      <c r="Z218" s="373"/>
      <c r="AA218" s="374">
        <f t="shared" si="72"/>
        <v>1387.928772</v>
      </c>
      <c r="AB218" s="375"/>
      <c r="AC218" s="365"/>
      <c r="AD218" s="375">
        <f t="shared" si="74"/>
        <v>14251558.719999999</v>
      </c>
      <c r="AE218" s="348">
        <f t="shared" si="79"/>
        <v>76209.22</v>
      </c>
      <c r="AF218" s="348">
        <f t="shared" si="79"/>
        <v>43161.64</v>
      </c>
      <c r="AG218" s="365">
        <f t="shared" si="76"/>
        <v>252900.13999999815</v>
      </c>
      <c r="AH218" s="357"/>
      <c r="AI218" s="358"/>
      <c r="AJ218" s="358"/>
      <c r="AK218" s="358"/>
      <c r="AL218" s="358"/>
      <c r="AM218" s="358"/>
      <c r="AN218" s="358"/>
      <c r="AO218" s="358"/>
      <c r="AP218" s="358"/>
      <c r="AQ218" s="358"/>
      <c r="AR218" s="358"/>
      <c r="AS218" s="358"/>
      <c r="AT218" s="358"/>
      <c r="AU218" s="358"/>
      <c r="AV218" s="358"/>
      <c r="AW218" s="358"/>
      <c r="AX218" s="358"/>
      <c r="AY218" s="358"/>
      <c r="AZ218" s="358"/>
      <c r="BA218" s="358"/>
      <c r="BB218" s="358"/>
      <c r="BC218" s="358"/>
    </row>
    <row r="219" spans="1:55" s="376" customFormat="1" ht="15" customHeight="1" x14ac:dyDescent="0.15">
      <c r="A219" s="377">
        <v>42949</v>
      </c>
      <c r="B219" s="457" t="s">
        <v>38</v>
      </c>
      <c r="C219" s="361"/>
      <c r="D219" s="348"/>
      <c r="E219" s="348"/>
      <c r="F219" s="362"/>
      <c r="G219" s="348"/>
      <c r="H219" s="363"/>
      <c r="I219" s="363"/>
      <c r="J219" s="364">
        <f t="shared" si="71"/>
        <v>0</v>
      </c>
      <c r="K219" s="348"/>
      <c r="L219" s="348"/>
      <c r="M219" s="365">
        <f t="shared" si="73"/>
        <v>0</v>
      </c>
      <c r="N219" s="366">
        <f t="shared" ref="N219:P234" si="83">N218+C219</f>
        <v>0</v>
      </c>
      <c r="O219" s="349">
        <f t="shared" si="83"/>
        <v>0</v>
      </c>
      <c r="P219" s="353">
        <f t="shared" si="83"/>
        <v>0</v>
      </c>
      <c r="Q219" s="368">
        <f t="shared" ref="Q219:S247" si="84">Q$217+N219</f>
        <v>13879287.720000001</v>
      </c>
      <c r="R219" s="367">
        <f t="shared" si="84"/>
        <v>7519553</v>
      </c>
      <c r="S219" s="369">
        <f t="shared" si="84"/>
        <v>21771111.719999999</v>
      </c>
      <c r="T219" s="370">
        <f>N219/'2018'!N219-1</f>
        <v>-1</v>
      </c>
      <c r="U219" s="371">
        <f>O219/'2018'!O219-1</f>
        <v>-1</v>
      </c>
      <c r="V219" s="371">
        <f>P219/'2018'!P219-1</f>
        <v>-1</v>
      </c>
      <c r="W219" s="371">
        <f>Q219/'2018'!Q219-1</f>
        <v>-1.0009121707687307E-2</v>
      </c>
      <c r="X219" s="371">
        <f>R219/'2018'!R219-1</f>
        <v>-1.5538913857545467E-2</v>
      </c>
      <c r="Y219" s="372">
        <f>S219/'2018'!S219-1</f>
        <v>-1.207763045884247E-2</v>
      </c>
      <c r="Z219" s="373"/>
      <c r="AA219" s="374">
        <f t="shared" si="72"/>
        <v>1387.928772</v>
      </c>
      <c r="AB219" s="375"/>
      <c r="AC219" s="365"/>
      <c r="AD219" s="375">
        <f t="shared" si="74"/>
        <v>14251558.719999999</v>
      </c>
      <c r="AE219" s="348">
        <f t="shared" si="79"/>
        <v>76209.22</v>
      </c>
      <c r="AF219" s="348">
        <f t="shared" si="79"/>
        <v>43161.64</v>
      </c>
      <c r="AG219" s="365">
        <f t="shared" si="76"/>
        <v>252900.13999999815</v>
      </c>
      <c r="AH219" s="357"/>
      <c r="AI219" s="358"/>
      <c r="AJ219" s="358"/>
      <c r="AK219" s="358"/>
      <c r="AL219" s="358"/>
      <c r="AM219" s="358"/>
      <c r="AN219" s="358"/>
      <c r="AO219" s="358"/>
      <c r="AP219" s="358"/>
      <c r="AQ219" s="358"/>
      <c r="AR219" s="358"/>
      <c r="AS219" s="358"/>
      <c r="AT219" s="358"/>
      <c r="AU219" s="358"/>
      <c r="AV219" s="358"/>
      <c r="AW219" s="358"/>
      <c r="AX219" s="358"/>
      <c r="AY219" s="358"/>
      <c r="AZ219" s="358"/>
      <c r="BA219" s="358"/>
      <c r="BB219" s="358"/>
      <c r="BC219" s="358"/>
    </row>
    <row r="220" spans="1:55" s="376" customFormat="1" ht="15" customHeight="1" x14ac:dyDescent="0.15">
      <c r="A220" s="377">
        <v>42950</v>
      </c>
      <c r="B220" s="457" t="s">
        <v>39</v>
      </c>
      <c r="C220" s="361"/>
      <c r="D220" s="348"/>
      <c r="E220" s="348"/>
      <c r="F220" s="362"/>
      <c r="G220" s="348"/>
      <c r="H220" s="363"/>
      <c r="I220" s="363"/>
      <c r="J220" s="364">
        <f t="shared" si="71"/>
        <v>0</v>
      </c>
      <c r="K220" s="348"/>
      <c r="L220" s="348"/>
      <c r="M220" s="365">
        <f t="shared" si="73"/>
        <v>0</v>
      </c>
      <c r="N220" s="366">
        <f t="shared" si="83"/>
        <v>0</v>
      </c>
      <c r="O220" s="349">
        <f t="shared" si="83"/>
        <v>0</v>
      </c>
      <c r="P220" s="353">
        <f t="shared" si="83"/>
        <v>0</v>
      </c>
      <c r="Q220" s="368">
        <f t="shared" si="84"/>
        <v>13879287.720000001</v>
      </c>
      <c r="R220" s="367">
        <f t="shared" si="84"/>
        <v>7519553</v>
      </c>
      <c r="S220" s="369">
        <f t="shared" si="84"/>
        <v>21771111.719999999</v>
      </c>
      <c r="T220" s="370">
        <f>N220/'2018'!N220-1</f>
        <v>-1</v>
      </c>
      <c r="U220" s="371">
        <f>O220/'2018'!O220-1</f>
        <v>-1</v>
      </c>
      <c r="V220" s="371">
        <f>P220/'2018'!P220-1</f>
        <v>-1</v>
      </c>
      <c r="W220" s="371">
        <f>Q220/'2018'!Q220-1</f>
        <v>-1.4737878373842661E-2</v>
      </c>
      <c r="X220" s="371">
        <f>R220/'2018'!R220-1</f>
        <v>-2.2693445418343283E-2</v>
      </c>
      <c r="Y220" s="372">
        <f>S220/'2018'!S220-1</f>
        <v>-1.7748296215087223E-2</v>
      </c>
      <c r="Z220" s="373"/>
      <c r="AA220" s="374">
        <f t="shared" si="72"/>
        <v>1387.928772</v>
      </c>
      <c r="AB220" s="375"/>
      <c r="AC220" s="365"/>
      <c r="AD220" s="375">
        <f t="shared" si="74"/>
        <v>14251558.719999999</v>
      </c>
      <c r="AE220" s="348">
        <f t="shared" si="79"/>
        <v>76209.22</v>
      </c>
      <c r="AF220" s="348">
        <f t="shared" si="79"/>
        <v>43161.64</v>
      </c>
      <c r="AG220" s="365">
        <f t="shared" si="76"/>
        <v>252900.13999999815</v>
      </c>
      <c r="AH220" s="357"/>
      <c r="AI220" s="358"/>
      <c r="AJ220" s="358"/>
      <c r="AK220" s="358"/>
      <c r="AL220" s="358"/>
      <c r="AM220" s="358"/>
      <c r="AN220" s="358"/>
      <c r="AO220" s="358"/>
      <c r="AP220" s="358"/>
      <c r="AQ220" s="358"/>
      <c r="AR220" s="358"/>
      <c r="AS220" s="358"/>
      <c r="AT220" s="358"/>
      <c r="AU220" s="358"/>
      <c r="AV220" s="358"/>
      <c r="AW220" s="358"/>
      <c r="AX220" s="358"/>
      <c r="AY220" s="358"/>
      <c r="AZ220" s="358"/>
      <c r="BA220" s="358"/>
      <c r="BB220" s="358"/>
      <c r="BC220" s="358"/>
    </row>
    <row r="221" spans="1:55" s="376" customFormat="1" ht="15" customHeight="1" x14ac:dyDescent="0.15">
      <c r="A221" s="377">
        <v>42951</v>
      </c>
      <c r="B221" s="457" t="s">
        <v>1</v>
      </c>
      <c r="C221" s="361"/>
      <c r="D221" s="348"/>
      <c r="E221" s="348"/>
      <c r="F221" s="362"/>
      <c r="G221" s="348"/>
      <c r="H221" s="363"/>
      <c r="I221" s="363"/>
      <c r="J221" s="364">
        <f t="shared" si="71"/>
        <v>0</v>
      </c>
      <c r="K221" s="348"/>
      <c r="L221" s="348"/>
      <c r="M221" s="365">
        <f t="shared" si="73"/>
        <v>0</v>
      </c>
      <c r="N221" s="366">
        <f t="shared" si="83"/>
        <v>0</v>
      </c>
      <c r="O221" s="349">
        <f t="shared" si="83"/>
        <v>0</v>
      </c>
      <c r="P221" s="353">
        <f t="shared" si="83"/>
        <v>0</v>
      </c>
      <c r="Q221" s="368">
        <f t="shared" si="84"/>
        <v>13879287.720000001</v>
      </c>
      <c r="R221" s="367">
        <f t="shared" si="84"/>
        <v>7519553</v>
      </c>
      <c r="S221" s="369">
        <f t="shared" si="84"/>
        <v>21771111.719999999</v>
      </c>
      <c r="T221" s="370">
        <f>N221/'2018'!N221-1</f>
        <v>-1</v>
      </c>
      <c r="U221" s="371">
        <f>O221/'2018'!O221-1</f>
        <v>-1</v>
      </c>
      <c r="V221" s="371">
        <f>P221/'2018'!P221-1</f>
        <v>-1</v>
      </c>
      <c r="W221" s="371">
        <f>Q221/'2018'!Q221-1</f>
        <v>-1.9375048825335028E-2</v>
      </c>
      <c r="X221" s="371">
        <f>R221/'2018'!R221-1</f>
        <v>-3.0083640910975817E-2</v>
      </c>
      <c r="Y221" s="372">
        <f>S221/'2018'!S221-1</f>
        <v>-2.3439791793964382E-2</v>
      </c>
      <c r="Z221" s="373"/>
      <c r="AA221" s="374">
        <f t="shared" si="72"/>
        <v>1387.928772</v>
      </c>
      <c r="AB221" s="375"/>
      <c r="AC221" s="365"/>
      <c r="AD221" s="375">
        <f t="shared" si="74"/>
        <v>14251558.719999999</v>
      </c>
      <c r="AE221" s="348">
        <f t="shared" si="79"/>
        <v>76209.22</v>
      </c>
      <c r="AF221" s="348">
        <f t="shared" si="79"/>
        <v>43161.64</v>
      </c>
      <c r="AG221" s="365">
        <f t="shared" si="76"/>
        <v>252900.13999999815</v>
      </c>
      <c r="AH221" s="357"/>
      <c r="AI221" s="358"/>
      <c r="AJ221" s="358"/>
      <c r="AK221" s="358"/>
      <c r="AL221" s="358"/>
      <c r="AM221" s="358"/>
      <c r="AN221" s="358"/>
      <c r="AO221" s="358"/>
      <c r="AP221" s="358"/>
      <c r="AQ221" s="358"/>
      <c r="AR221" s="358"/>
      <c r="AS221" s="358"/>
      <c r="AT221" s="358"/>
      <c r="AU221" s="358"/>
      <c r="AV221" s="358"/>
      <c r="AW221" s="358"/>
      <c r="AX221" s="358"/>
      <c r="AY221" s="358"/>
      <c r="AZ221" s="358"/>
      <c r="BA221" s="358"/>
      <c r="BB221" s="358"/>
      <c r="BC221" s="358"/>
    </row>
    <row r="222" spans="1:55" s="376" customFormat="1" ht="15" customHeight="1" x14ac:dyDescent="0.15">
      <c r="A222" s="377">
        <v>42952</v>
      </c>
      <c r="B222" s="457" t="s">
        <v>34</v>
      </c>
      <c r="C222" s="361"/>
      <c r="D222" s="348"/>
      <c r="E222" s="348"/>
      <c r="F222" s="362"/>
      <c r="G222" s="348"/>
      <c r="H222" s="363"/>
      <c r="I222" s="363"/>
      <c r="J222" s="364">
        <f t="shared" si="71"/>
        <v>0</v>
      </c>
      <c r="K222" s="348"/>
      <c r="L222" s="348"/>
      <c r="M222" s="365">
        <f t="shared" si="73"/>
        <v>0</v>
      </c>
      <c r="N222" s="366">
        <f t="shared" si="83"/>
        <v>0</v>
      </c>
      <c r="O222" s="349">
        <f t="shared" si="83"/>
        <v>0</v>
      </c>
      <c r="P222" s="353">
        <f t="shared" si="83"/>
        <v>0</v>
      </c>
      <c r="Q222" s="368">
        <f t="shared" si="84"/>
        <v>13879287.720000001</v>
      </c>
      <c r="R222" s="367">
        <f t="shared" si="84"/>
        <v>7519553</v>
      </c>
      <c r="S222" s="369">
        <f t="shared" si="84"/>
        <v>21771111.719999999</v>
      </c>
      <c r="T222" s="370">
        <f>N222/'2018'!N222-1</f>
        <v>-1</v>
      </c>
      <c r="U222" s="371">
        <f>O222/'2018'!O222-1</f>
        <v>-1</v>
      </c>
      <c r="V222" s="371">
        <f>P222/'2018'!P222-1</f>
        <v>-1</v>
      </c>
      <c r="W222" s="371">
        <f>Q222/'2018'!Q222-1</f>
        <v>-2.3912625198280413E-2</v>
      </c>
      <c r="X222" s="371">
        <f>R222/'2018'!R222-1</f>
        <v>-3.7408873236750129E-2</v>
      </c>
      <c r="Y222" s="372">
        <f>S222/'2018'!S222-1</f>
        <v>-2.9062506188462733E-2</v>
      </c>
      <c r="Z222" s="373"/>
      <c r="AA222" s="374">
        <f t="shared" si="72"/>
        <v>1387.928772</v>
      </c>
      <c r="AB222" s="375"/>
      <c r="AC222" s="365"/>
      <c r="AD222" s="375">
        <f t="shared" si="74"/>
        <v>14251558.719999999</v>
      </c>
      <c r="AE222" s="348">
        <f t="shared" si="79"/>
        <v>76209.22</v>
      </c>
      <c r="AF222" s="348">
        <f t="shared" si="79"/>
        <v>43161.64</v>
      </c>
      <c r="AG222" s="365">
        <f t="shared" si="76"/>
        <v>252900.13999999815</v>
      </c>
      <c r="AH222" s="357"/>
      <c r="AI222" s="358"/>
      <c r="AJ222" s="358"/>
      <c r="AK222" s="358"/>
      <c r="AL222" s="358"/>
      <c r="AM222" s="358"/>
      <c r="AN222" s="358"/>
      <c r="AO222" s="358"/>
      <c r="AP222" s="358"/>
      <c r="AQ222" s="358"/>
      <c r="AR222" s="358"/>
      <c r="AS222" s="358"/>
      <c r="AT222" s="358"/>
      <c r="AU222" s="358"/>
      <c r="AV222" s="358"/>
      <c r="AW222" s="358"/>
      <c r="AX222" s="358"/>
      <c r="AY222" s="358"/>
      <c r="AZ222" s="358"/>
      <c r="BA222" s="358"/>
      <c r="BB222" s="358"/>
      <c r="BC222" s="358"/>
    </row>
    <row r="223" spans="1:55" s="376" customFormat="1" ht="15" customHeight="1" x14ac:dyDescent="0.15">
      <c r="A223" s="377">
        <v>42953</v>
      </c>
      <c r="B223" s="457" t="s">
        <v>35</v>
      </c>
      <c r="C223" s="361"/>
      <c r="D223" s="348"/>
      <c r="E223" s="348"/>
      <c r="F223" s="362"/>
      <c r="G223" s="348"/>
      <c r="H223" s="363"/>
      <c r="I223" s="363"/>
      <c r="J223" s="364">
        <f t="shared" si="71"/>
        <v>0</v>
      </c>
      <c r="K223" s="348"/>
      <c r="L223" s="348"/>
      <c r="M223" s="365">
        <f t="shared" si="73"/>
        <v>0</v>
      </c>
      <c r="N223" s="366">
        <f t="shared" si="83"/>
        <v>0</v>
      </c>
      <c r="O223" s="349">
        <f t="shared" si="83"/>
        <v>0</v>
      </c>
      <c r="P223" s="353">
        <f t="shared" si="83"/>
        <v>0</v>
      </c>
      <c r="Q223" s="368">
        <f t="shared" si="84"/>
        <v>13879287.720000001</v>
      </c>
      <c r="R223" s="367">
        <f t="shared" si="84"/>
        <v>7519553</v>
      </c>
      <c r="S223" s="369">
        <f t="shared" si="84"/>
        <v>21771111.719999999</v>
      </c>
      <c r="T223" s="370">
        <f>N223/'2018'!N223-1</f>
        <v>-1</v>
      </c>
      <c r="U223" s="371">
        <f>O223/'2018'!O223-1</f>
        <v>-1</v>
      </c>
      <c r="V223" s="371">
        <f>P223/'2018'!P223-1</f>
        <v>-1</v>
      </c>
      <c r="W223" s="371">
        <f>Q223/'2018'!Q223-1</f>
        <v>-2.9125219902881083E-2</v>
      </c>
      <c r="X223" s="371">
        <f>R223/'2018'!R223-1</f>
        <v>-4.4643951811110805E-2</v>
      </c>
      <c r="Y223" s="372">
        <f>S223/'2018'!S223-1</f>
        <v>-3.50893533786798E-2</v>
      </c>
      <c r="Z223" s="373"/>
      <c r="AA223" s="374">
        <f t="shared" si="72"/>
        <v>1387.928772</v>
      </c>
      <c r="AB223" s="375"/>
      <c r="AC223" s="365"/>
      <c r="AD223" s="375">
        <f t="shared" si="74"/>
        <v>14251558.719999999</v>
      </c>
      <c r="AE223" s="348">
        <f t="shared" si="79"/>
        <v>76209.22</v>
      </c>
      <c r="AF223" s="348">
        <f t="shared" si="79"/>
        <v>43161.64</v>
      </c>
      <c r="AG223" s="365">
        <f t="shared" si="76"/>
        <v>252900.13999999815</v>
      </c>
      <c r="AH223" s="357"/>
      <c r="AI223" s="358"/>
      <c r="AJ223" s="358"/>
      <c r="AK223" s="358"/>
      <c r="AL223" s="358"/>
      <c r="AM223" s="358"/>
      <c r="AN223" s="358"/>
      <c r="AO223" s="358"/>
      <c r="AP223" s="358"/>
      <c r="AQ223" s="358"/>
      <c r="AR223" s="358"/>
      <c r="AS223" s="358"/>
      <c r="AT223" s="358"/>
      <c r="AU223" s="358"/>
      <c r="AV223" s="358"/>
      <c r="AW223" s="358"/>
      <c r="AX223" s="358"/>
      <c r="AY223" s="358"/>
      <c r="AZ223" s="358"/>
      <c r="BA223" s="358"/>
      <c r="BB223" s="358"/>
      <c r="BC223" s="358"/>
    </row>
    <row r="224" spans="1:55" s="376" customFormat="1" ht="15" customHeight="1" x14ac:dyDescent="0.15">
      <c r="A224" s="377">
        <v>42954</v>
      </c>
      <c r="B224" s="457" t="s">
        <v>36</v>
      </c>
      <c r="C224" s="361"/>
      <c r="D224" s="348"/>
      <c r="E224" s="348"/>
      <c r="F224" s="362"/>
      <c r="G224" s="348"/>
      <c r="H224" s="363"/>
      <c r="I224" s="363"/>
      <c r="J224" s="364">
        <f t="shared" si="71"/>
        <v>0</v>
      </c>
      <c r="K224" s="348"/>
      <c r="L224" s="348"/>
      <c r="M224" s="365">
        <f t="shared" si="73"/>
        <v>0</v>
      </c>
      <c r="N224" s="366">
        <f t="shared" si="83"/>
        <v>0</v>
      </c>
      <c r="O224" s="349">
        <f t="shared" si="83"/>
        <v>0</v>
      </c>
      <c r="P224" s="353">
        <f t="shared" si="83"/>
        <v>0</v>
      </c>
      <c r="Q224" s="368">
        <f t="shared" si="84"/>
        <v>13879287.720000001</v>
      </c>
      <c r="R224" s="367">
        <f t="shared" si="84"/>
        <v>7519553</v>
      </c>
      <c r="S224" s="369">
        <f t="shared" si="84"/>
        <v>21771111.719999999</v>
      </c>
      <c r="T224" s="370">
        <f>N224/'2018'!N224-1</f>
        <v>-1</v>
      </c>
      <c r="U224" s="371">
        <f>O224/'2018'!O224-1</f>
        <v>-1</v>
      </c>
      <c r="V224" s="371">
        <f>P224/'2018'!P224-1</f>
        <v>-1</v>
      </c>
      <c r="W224" s="371">
        <f>Q224/'2018'!Q224-1</f>
        <v>-3.4460804934313249E-2</v>
      </c>
      <c r="X224" s="371">
        <f>R224/'2018'!R224-1</f>
        <v>-5.1728271211747612E-2</v>
      </c>
      <c r="Y224" s="372">
        <f>S224/'2018'!S224-1</f>
        <v>-4.1128636198078494E-2</v>
      </c>
      <c r="Z224" s="373"/>
      <c r="AA224" s="374">
        <f t="shared" si="72"/>
        <v>1387.928772</v>
      </c>
      <c r="AB224" s="375"/>
      <c r="AC224" s="365"/>
      <c r="AD224" s="375">
        <f t="shared" si="74"/>
        <v>14251558.719999999</v>
      </c>
      <c r="AE224" s="348">
        <f t="shared" si="79"/>
        <v>76209.22</v>
      </c>
      <c r="AF224" s="348">
        <f t="shared" si="79"/>
        <v>43161.64</v>
      </c>
      <c r="AG224" s="365">
        <f t="shared" si="76"/>
        <v>252900.13999999815</v>
      </c>
      <c r="AH224" s="357"/>
      <c r="AI224" s="358"/>
      <c r="AJ224" s="358"/>
      <c r="AK224" s="358"/>
      <c r="AL224" s="358"/>
      <c r="AM224" s="358"/>
      <c r="AN224" s="358"/>
      <c r="AO224" s="358"/>
      <c r="AP224" s="358"/>
      <c r="AQ224" s="358"/>
      <c r="AR224" s="358"/>
      <c r="AS224" s="358"/>
      <c r="AT224" s="358"/>
      <c r="AU224" s="358"/>
      <c r="AV224" s="358"/>
      <c r="AW224" s="358"/>
      <c r="AX224" s="358"/>
      <c r="AY224" s="358"/>
      <c r="AZ224" s="358"/>
      <c r="BA224" s="358"/>
      <c r="BB224" s="358"/>
      <c r="BC224" s="358"/>
    </row>
    <row r="225" spans="1:55" s="376" customFormat="1" ht="15" customHeight="1" x14ac:dyDescent="0.15">
      <c r="A225" s="377">
        <v>42955</v>
      </c>
      <c r="B225" s="182" t="s">
        <v>37</v>
      </c>
      <c r="C225" s="361"/>
      <c r="D225" s="348"/>
      <c r="E225" s="348"/>
      <c r="F225" s="362"/>
      <c r="G225" s="348"/>
      <c r="H225" s="363"/>
      <c r="I225" s="363"/>
      <c r="J225" s="364">
        <f t="shared" si="71"/>
        <v>0</v>
      </c>
      <c r="K225" s="348"/>
      <c r="L225" s="348"/>
      <c r="M225" s="365">
        <f t="shared" si="73"/>
        <v>0</v>
      </c>
      <c r="N225" s="366">
        <f t="shared" si="83"/>
        <v>0</v>
      </c>
      <c r="O225" s="349">
        <f t="shared" si="83"/>
        <v>0</v>
      </c>
      <c r="P225" s="353">
        <f t="shared" si="83"/>
        <v>0</v>
      </c>
      <c r="Q225" s="368">
        <f t="shared" si="84"/>
        <v>13879287.720000001</v>
      </c>
      <c r="R225" s="367">
        <f t="shared" si="84"/>
        <v>7519553</v>
      </c>
      <c r="S225" s="369">
        <f t="shared" si="84"/>
        <v>21771111.719999999</v>
      </c>
      <c r="T225" s="370">
        <f>N225/'2018'!N225-1</f>
        <v>-1</v>
      </c>
      <c r="U225" s="371">
        <f>O225/'2018'!O225-1</f>
        <v>-1</v>
      </c>
      <c r="V225" s="371">
        <f>P225/'2018'!P225-1</f>
        <v>-1</v>
      </c>
      <c r="W225" s="371">
        <f>Q225/'2018'!Q225-1</f>
        <v>-3.9714612558595874E-2</v>
      </c>
      <c r="X225" s="371">
        <f>R225/'2018'!R225-1</f>
        <v>-5.8847435106677004E-2</v>
      </c>
      <c r="Y225" s="372">
        <f>S225/'2018'!S225-1</f>
        <v>-4.7131786156170974E-2</v>
      </c>
      <c r="Z225" s="373"/>
      <c r="AA225" s="374">
        <f t="shared" si="72"/>
        <v>1387.928772</v>
      </c>
      <c r="AB225" s="375"/>
      <c r="AC225" s="365"/>
      <c r="AD225" s="375">
        <f t="shared" si="74"/>
        <v>14251558.719999999</v>
      </c>
      <c r="AE225" s="348">
        <f t="shared" si="79"/>
        <v>76209.22</v>
      </c>
      <c r="AF225" s="348">
        <f t="shared" si="79"/>
        <v>43161.64</v>
      </c>
      <c r="AG225" s="365">
        <f t="shared" si="76"/>
        <v>252900.13999999815</v>
      </c>
      <c r="AH225" s="357"/>
      <c r="AI225" s="358"/>
      <c r="AJ225" s="358"/>
      <c r="AK225" s="358"/>
      <c r="AL225" s="358"/>
      <c r="AM225" s="358"/>
      <c r="AN225" s="358"/>
      <c r="AO225" s="358"/>
      <c r="AP225" s="358"/>
      <c r="AQ225" s="358"/>
      <c r="AR225" s="358"/>
      <c r="AS225" s="358"/>
      <c r="AT225" s="358"/>
      <c r="AU225" s="358"/>
      <c r="AV225" s="358"/>
      <c r="AW225" s="358"/>
      <c r="AX225" s="358"/>
      <c r="AY225" s="358"/>
      <c r="AZ225" s="358"/>
      <c r="BA225" s="358"/>
      <c r="BB225" s="358"/>
      <c r="BC225" s="358"/>
    </row>
    <row r="226" spans="1:55" s="376" customFormat="1" ht="15" customHeight="1" x14ac:dyDescent="0.15">
      <c r="A226" s="377">
        <v>42956</v>
      </c>
      <c r="B226" s="457" t="s">
        <v>38</v>
      </c>
      <c r="C226" s="361"/>
      <c r="D226" s="348"/>
      <c r="E226" s="348"/>
      <c r="F226" s="362"/>
      <c r="G226" s="348"/>
      <c r="H226" s="363"/>
      <c r="I226" s="363"/>
      <c r="J226" s="364">
        <f t="shared" si="71"/>
        <v>0</v>
      </c>
      <c r="K226" s="348"/>
      <c r="L226" s="348"/>
      <c r="M226" s="365">
        <f t="shared" si="73"/>
        <v>0</v>
      </c>
      <c r="N226" s="366">
        <f t="shared" si="83"/>
        <v>0</v>
      </c>
      <c r="O226" s="349">
        <f t="shared" si="83"/>
        <v>0</v>
      </c>
      <c r="P226" s="353">
        <f t="shared" si="83"/>
        <v>0</v>
      </c>
      <c r="Q226" s="368">
        <f t="shared" si="84"/>
        <v>13879287.720000001</v>
      </c>
      <c r="R226" s="367">
        <f t="shared" si="84"/>
        <v>7519553</v>
      </c>
      <c r="S226" s="369">
        <f t="shared" si="84"/>
        <v>21771111.719999999</v>
      </c>
      <c r="T226" s="370">
        <f>N226/'2018'!N226-1</f>
        <v>-1</v>
      </c>
      <c r="U226" s="371">
        <f>O226/'2018'!O226-1</f>
        <v>-1</v>
      </c>
      <c r="V226" s="371">
        <f>P226/'2018'!P226-1</f>
        <v>-1</v>
      </c>
      <c r="W226" s="371">
        <f>Q226/'2018'!Q226-1</f>
        <v>-4.496163291514943E-2</v>
      </c>
      <c r="X226" s="371">
        <f>R226/'2018'!R226-1</f>
        <v>-6.5826034044217385E-2</v>
      </c>
      <c r="Y226" s="372">
        <f>S226/'2018'!S226-1</f>
        <v>-5.3112294618453237E-2</v>
      </c>
      <c r="Z226" s="373"/>
      <c r="AA226" s="374">
        <f t="shared" si="72"/>
        <v>1387.928772</v>
      </c>
      <c r="AB226" s="375"/>
      <c r="AC226" s="365"/>
      <c r="AD226" s="375">
        <f t="shared" si="74"/>
        <v>14251558.719999999</v>
      </c>
      <c r="AE226" s="348">
        <f t="shared" si="79"/>
        <v>76209.22</v>
      </c>
      <c r="AF226" s="348">
        <f t="shared" si="79"/>
        <v>43161.64</v>
      </c>
      <c r="AG226" s="365">
        <f t="shared" si="76"/>
        <v>252900.13999999815</v>
      </c>
      <c r="AH226" s="357"/>
      <c r="AI226" s="358"/>
      <c r="AJ226" s="358"/>
      <c r="AK226" s="358"/>
      <c r="AL226" s="358"/>
      <c r="AM226" s="358"/>
      <c r="AN226" s="358"/>
      <c r="AO226" s="358"/>
      <c r="AP226" s="358"/>
      <c r="AQ226" s="358"/>
      <c r="AR226" s="358"/>
      <c r="AS226" s="358"/>
      <c r="AT226" s="358"/>
      <c r="AU226" s="358"/>
      <c r="AV226" s="358"/>
      <c r="AW226" s="358"/>
      <c r="AX226" s="358"/>
      <c r="AY226" s="358"/>
      <c r="AZ226" s="358"/>
      <c r="BA226" s="358"/>
      <c r="BB226" s="358"/>
      <c r="BC226" s="358"/>
    </row>
    <row r="227" spans="1:55" s="376" customFormat="1" ht="15" customHeight="1" x14ac:dyDescent="0.15">
      <c r="A227" s="377">
        <v>42957</v>
      </c>
      <c r="B227" s="457" t="s">
        <v>39</v>
      </c>
      <c r="C227" s="361"/>
      <c r="D227" s="348"/>
      <c r="E227" s="348"/>
      <c r="F227" s="362"/>
      <c r="G227" s="348"/>
      <c r="H227" s="363"/>
      <c r="I227" s="363"/>
      <c r="J227" s="364">
        <f t="shared" si="71"/>
        <v>0</v>
      </c>
      <c r="K227" s="348"/>
      <c r="L227" s="348"/>
      <c r="M227" s="365">
        <f t="shared" si="73"/>
        <v>0</v>
      </c>
      <c r="N227" s="366">
        <f t="shared" si="83"/>
        <v>0</v>
      </c>
      <c r="O227" s="349">
        <f t="shared" si="83"/>
        <v>0</v>
      </c>
      <c r="P227" s="353">
        <f t="shared" si="83"/>
        <v>0</v>
      </c>
      <c r="Q227" s="368">
        <f t="shared" si="84"/>
        <v>13879287.720000001</v>
      </c>
      <c r="R227" s="367">
        <f t="shared" si="84"/>
        <v>7519553</v>
      </c>
      <c r="S227" s="369">
        <f t="shared" si="84"/>
        <v>21771111.719999999</v>
      </c>
      <c r="T227" s="370">
        <f>N227/'2018'!N227-1</f>
        <v>-1</v>
      </c>
      <c r="U227" s="371">
        <f>O227/'2018'!O227-1</f>
        <v>-1</v>
      </c>
      <c r="V227" s="371">
        <f>P227/'2018'!P227-1</f>
        <v>-1</v>
      </c>
      <c r="W227" s="371">
        <f>Q227/'2018'!Q227-1</f>
        <v>-5.0171646076625165E-2</v>
      </c>
      <c r="X227" s="371">
        <f>R227/'2018'!R227-1</f>
        <v>-7.2676515789237395E-2</v>
      </c>
      <c r="Y227" s="372">
        <f>S227/'2018'!S227-1</f>
        <v>-5.9024341348599352E-2</v>
      </c>
      <c r="Z227" s="373"/>
      <c r="AA227" s="374">
        <f t="shared" si="72"/>
        <v>1387.928772</v>
      </c>
      <c r="AB227" s="375"/>
      <c r="AC227" s="365"/>
      <c r="AD227" s="375">
        <f t="shared" si="74"/>
        <v>14251558.719999999</v>
      </c>
      <c r="AE227" s="348">
        <f t="shared" si="79"/>
        <v>76209.22</v>
      </c>
      <c r="AF227" s="348">
        <f t="shared" si="79"/>
        <v>43161.64</v>
      </c>
      <c r="AG227" s="365">
        <f t="shared" si="76"/>
        <v>252900.13999999815</v>
      </c>
      <c r="AH227" s="357"/>
      <c r="AI227" s="358"/>
      <c r="AJ227" s="358"/>
      <c r="AK227" s="358"/>
      <c r="AL227" s="358"/>
      <c r="AM227" s="358"/>
      <c r="AN227" s="358"/>
      <c r="AO227" s="358"/>
      <c r="AP227" s="358"/>
      <c r="AQ227" s="358"/>
      <c r="AR227" s="358"/>
      <c r="AS227" s="358"/>
      <c r="AT227" s="358"/>
      <c r="AU227" s="358"/>
      <c r="AV227" s="358"/>
      <c r="AW227" s="358"/>
      <c r="AX227" s="358"/>
      <c r="AY227" s="358"/>
      <c r="AZ227" s="358"/>
      <c r="BA227" s="358"/>
      <c r="BB227" s="358"/>
      <c r="BC227" s="358"/>
    </row>
    <row r="228" spans="1:55" s="376" customFormat="1" ht="15" customHeight="1" x14ac:dyDescent="0.15">
      <c r="A228" s="377">
        <v>42958</v>
      </c>
      <c r="B228" s="457" t="s">
        <v>1</v>
      </c>
      <c r="C228" s="361"/>
      <c r="D228" s="348"/>
      <c r="E228" s="348"/>
      <c r="F228" s="362"/>
      <c r="G228" s="348"/>
      <c r="H228" s="363"/>
      <c r="I228" s="363"/>
      <c r="J228" s="364">
        <f t="shared" si="71"/>
        <v>0</v>
      </c>
      <c r="K228" s="348"/>
      <c r="L228" s="348"/>
      <c r="M228" s="365">
        <f t="shared" si="73"/>
        <v>0</v>
      </c>
      <c r="N228" s="366">
        <f t="shared" si="83"/>
        <v>0</v>
      </c>
      <c r="O228" s="349">
        <f t="shared" si="83"/>
        <v>0</v>
      </c>
      <c r="P228" s="353">
        <f t="shared" si="83"/>
        <v>0</v>
      </c>
      <c r="Q228" s="368">
        <f t="shared" si="84"/>
        <v>13879287.720000001</v>
      </c>
      <c r="R228" s="367">
        <f t="shared" si="84"/>
        <v>7519553</v>
      </c>
      <c r="S228" s="369">
        <f t="shared" si="84"/>
        <v>21771111.719999999</v>
      </c>
      <c r="T228" s="370">
        <f>N228/'2018'!N228-1</f>
        <v>-1</v>
      </c>
      <c r="U228" s="371">
        <f>O228/'2018'!O228-1</f>
        <v>-1</v>
      </c>
      <c r="V228" s="371">
        <f>P228/'2018'!P228-1</f>
        <v>-1</v>
      </c>
      <c r="W228" s="371">
        <f>Q228/'2018'!Q228-1</f>
        <v>-5.5229373926262038E-2</v>
      </c>
      <c r="X228" s="371">
        <f>R228/'2018'!R228-1</f>
        <v>-7.9412943954095261E-2</v>
      </c>
      <c r="Y228" s="372">
        <f>S228/'2018'!S228-1</f>
        <v>-6.4790312518969606E-2</v>
      </c>
      <c r="Z228" s="373"/>
      <c r="AA228" s="374">
        <f t="shared" si="72"/>
        <v>1387.928772</v>
      </c>
      <c r="AB228" s="375"/>
      <c r="AC228" s="365"/>
      <c r="AD228" s="375">
        <f t="shared" si="74"/>
        <v>14251558.719999999</v>
      </c>
      <c r="AE228" s="348">
        <f t="shared" si="79"/>
        <v>76209.22</v>
      </c>
      <c r="AF228" s="348">
        <f t="shared" si="79"/>
        <v>43161.64</v>
      </c>
      <c r="AG228" s="365">
        <f t="shared" si="76"/>
        <v>252900.13999999815</v>
      </c>
      <c r="AH228" s="357"/>
      <c r="AI228" s="358"/>
      <c r="AJ228" s="358"/>
      <c r="AK228" s="358"/>
      <c r="AL228" s="358"/>
      <c r="AM228" s="358"/>
      <c r="AN228" s="358"/>
      <c r="AO228" s="358"/>
      <c r="AP228" s="358"/>
      <c r="AQ228" s="358"/>
      <c r="AR228" s="358"/>
      <c r="AS228" s="358"/>
      <c r="AT228" s="358"/>
      <c r="AU228" s="358"/>
      <c r="AV228" s="358"/>
      <c r="AW228" s="358"/>
      <c r="AX228" s="358"/>
      <c r="AY228" s="358"/>
      <c r="AZ228" s="358"/>
      <c r="BA228" s="358"/>
      <c r="BB228" s="358"/>
      <c r="BC228" s="358"/>
    </row>
    <row r="229" spans="1:55" s="376" customFormat="1" ht="15" customHeight="1" x14ac:dyDescent="0.15">
      <c r="A229" s="377">
        <v>42959</v>
      </c>
      <c r="B229" s="457" t="s">
        <v>34</v>
      </c>
      <c r="C229" s="361"/>
      <c r="D229" s="348"/>
      <c r="E229" s="348"/>
      <c r="F229" s="362"/>
      <c r="G229" s="348"/>
      <c r="H229" s="363"/>
      <c r="I229" s="363"/>
      <c r="J229" s="364">
        <f t="shared" si="71"/>
        <v>0</v>
      </c>
      <c r="K229" s="348"/>
      <c r="L229" s="348"/>
      <c r="M229" s="365">
        <f t="shared" si="73"/>
        <v>0</v>
      </c>
      <c r="N229" s="366">
        <f t="shared" si="83"/>
        <v>0</v>
      </c>
      <c r="O229" s="349">
        <f t="shared" si="83"/>
        <v>0</v>
      </c>
      <c r="P229" s="353">
        <f t="shared" si="83"/>
        <v>0</v>
      </c>
      <c r="Q229" s="368">
        <f t="shared" si="84"/>
        <v>13879287.720000001</v>
      </c>
      <c r="R229" s="367">
        <f t="shared" si="84"/>
        <v>7519553</v>
      </c>
      <c r="S229" s="369">
        <f t="shared" si="84"/>
        <v>21771111.719999999</v>
      </c>
      <c r="T229" s="370">
        <f>N229/'2018'!N229-1</f>
        <v>-1</v>
      </c>
      <c r="U229" s="371">
        <f>O229/'2018'!O229-1</f>
        <v>-1</v>
      </c>
      <c r="V229" s="371">
        <f>P229/'2018'!P229-1</f>
        <v>-1</v>
      </c>
      <c r="W229" s="371">
        <f>Q229/'2018'!Q229-1</f>
        <v>-5.9472765199925059E-2</v>
      </c>
      <c r="X229" s="371">
        <f>R229/'2018'!R229-1</f>
        <v>-8.5497895121534495E-2</v>
      </c>
      <c r="Y229" s="372">
        <f>S229/'2018'!S229-1</f>
        <v>-6.9804350134301862E-2</v>
      </c>
      <c r="Z229" s="373"/>
      <c r="AA229" s="374">
        <f t="shared" si="72"/>
        <v>1387.928772</v>
      </c>
      <c r="AB229" s="375"/>
      <c r="AC229" s="365"/>
      <c r="AD229" s="375">
        <f t="shared" si="74"/>
        <v>14251558.719999999</v>
      </c>
      <c r="AE229" s="348">
        <f t="shared" si="79"/>
        <v>76209.22</v>
      </c>
      <c r="AF229" s="348">
        <f t="shared" si="79"/>
        <v>43161.64</v>
      </c>
      <c r="AG229" s="365">
        <f t="shared" si="76"/>
        <v>252900.13999999815</v>
      </c>
      <c r="AH229" s="357"/>
      <c r="AI229" s="358"/>
      <c r="AJ229" s="358"/>
      <c r="AK229" s="358"/>
      <c r="AL229" s="358"/>
      <c r="AM229" s="358"/>
      <c r="AN229" s="358"/>
      <c r="AO229" s="358"/>
      <c r="AP229" s="358"/>
      <c r="AQ229" s="358"/>
      <c r="AR229" s="358"/>
      <c r="AS229" s="358"/>
      <c r="AT229" s="358"/>
      <c r="AU229" s="358"/>
      <c r="AV229" s="358"/>
      <c r="AW229" s="358"/>
      <c r="AX229" s="358"/>
      <c r="AY229" s="358"/>
      <c r="AZ229" s="358"/>
      <c r="BA229" s="358"/>
      <c r="BB229" s="358"/>
      <c r="BC229" s="358"/>
    </row>
    <row r="230" spans="1:55" s="376" customFormat="1" ht="15" customHeight="1" x14ac:dyDescent="0.15">
      <c r="A230" s="377">
        <v>42960</v>
      </c>
      <c r="B230" s="457" t="s">
        <v>35</v>
      </c>
      <c r="C230" s="361"/>
      <c r="D230" s="348"/>
      <c r="E230" s="348"/>
      <c r="F230" s="362"/>
      <c r="G230" s="348"/>
      <c r="H230" s="363"/>
      <c r="I230" s="363"/>
      <c r="J230" s="364">
        <f t="shared" si="71"/>
        <v>0</v>
      </c>
      <c r="K230" s="348"/>
      <c r="L230" s="348"/>
      <c r="M230" s="365">
        <f t="shared" si="73"/>
        <v>0</v>
      </c>
      <c r="N230" s="366">
        <f t="shared" si="83"/>
        <v>0</v>
      </c>
      <c r="O230" s="349">
        <f t="shared" si="83"/>
        <v>0</v>
      </c>
      <c r="P230" s="353">
        <f t="shared" si="83"/>
        <v>0</v>
      </c>
      <c r="Q230" s="368">
        <f t="shared" si="84"/>
        <v>13879287.720000001</v>
      </c>
      <c r="R230" s="367">
        <f t="shared" si="84"/>
        <v>7519553</v>
      </c>
      <c r="S230" s="369">
        <f t="shared" si="84"/>
        <v>21771111.719999999</v>
      </c>
      <c r="T230" s="370">
        <f>N230/'2018'!N230-1</f>
        <v>-1</v>
      </c>
      <c r="U230" s="371">
        <f>O230/'2018'!O230-1</f>
        <v>-1</v>
      </c>
      <c r="V230" s="371">
        <f>P230/'2018'!P230-1</f>
        <v>-1</v>
      </c>
      <c r="W230" s="371">
        <f>Q230/'2018'!Q230-1</f>
        <v>-6.3742570628524065E-2</v>
      </c>
      <c r="X230" s="371">
        <f>R230/'2018'!R230-1</f>
        <v>-9.1797331223085976E-2</v>
      </c>
      <c r="Y230" s="372">
        <f>S230/'2018'!S230-1</f>
        <v>-7.4929124195964758E-2</v>
      </c>
      <c r="Z230" s="373"/>
      <c r="AA230" s="374">
        <f t="shared" si="72"/>
        <v>1387.928772</v>
      </c>
      <c r="AB230" s="375"/>
      <c r="AC230" s="365"/>
      <c r="AD230" s="375">
        <f t="shared" si="74"/>
        <v>14251558.719999999</v>
      </c>
      <c r="AE230" s="348">
        <f t="shared" si="79"/>
        <v>76209.22</v>
      </c>
      <c r="AF230" s="348">
        <f t="shared" si="79"/>
        <v>43161.64</v>
      </c>
      <c r="AG230" s="365">
        <f t="shared" si="76"/>
        <v>252900.13999999815</v>
      </c>
      <c r="AH230" s="357"/>
      <c r="AI230" s="358"/>
      <c r="AJ230" s="358"/>
      <c r="AK230" s="358"/>
      <c r="AL230" s="358"/>
      <c r="AM230" s="358"/>
      <c r="AN230" s="358"/>
      <c r="AO230" s="358"/>
      <c r="AP230" s="358"/>
      <c r="AQ230" s="358"/>
      <c r="AR230" s="358"/>
      <c r="AS230" s="358"/>
      <c r="AT230" s="358"/>
      <c r="AU230" s="358"/>
      <c r="AV230" s="358"/>
      <c r="AW230" s="358"/>
      <c r="AX230" s="358"/>
      <c r="AY230" s="358"/>
      <c r="AZ230" s="358"/>
      <c r="BA230" s="358"/>
      <c r="BB230" s="358"/>
      <c r="BC230" s="358"/>
    </row>
    <row r="231" spans="1:55" s="376" customFormat="1" ht="15" customHeight="1" x14ac:dyDescent="0.15">
      <c r="A231" s="377">
        <v>42961</v>
      </c>
      <c r="B231" s="457" t="s">
        <v>36</v>
      </c>
      <c r="C231" s="361"/>
      <c r="D231" s="348"/>
      <c r="E231" s="348"/>
      <c r="F231" s="362"/>
      <c r="G231" s="348"/>
      <c r="H231" s="363"/>
      <c r="I231" s="363"/>
      <c r="J231" s="364">
        <f t="shared" si="71"/>
        <v>0</v>
      </c>
      <c r="K231" s="348"/>
      <c r="L231" s="348"/>
      <c r="M231" s="365">
        <f t="shared" si="73"/>
        <v>0</v>
      </c>
      <c r="N231" s="366">
        <f t="shared" si="83"/>
        <v>0</v>
      </c>
      <c r="O231" s="349">
        <f t="shared" si="83"/>
        <v>0</v>
      </c>
      <c r="P231" s="353">
        <f t="shared" si="83"/>
        <v>0</v>
      </c>
      <c r="Q231" s="368">
        <f t="shared" si="84"/>
        <v>13879287.720000001</v>
      </c>
      <c r="R231" s="367">
        <f t="shared" si="84"/>
        <v>7519553</v>
      </c>
      <c r="S231" s="369">
        <f t="shared" si="84"/>
        <v>21771111.719999999</v>
      </c>
      <c r="T231" s="370">
        <f>N231/'2018'!N231-1</f>
        <v>-1</v>
      </c>
      <c r="U231" s="371">
        <f>O231/'2018'!O231-1</f>
        <v>-1</v>
      </c>
      <c r="V231" s="371">
        <f>P231/'2018'!P231-1</f>
        <v>-1</v>
      </c>
      <c r="W231" s="371">
        <f>Q231/'2018'!Q231-1</f>
        <v>-6.8154438839277298E-2</v>
      </c>
      <c r="X231" s="371">
        <f>R231/'2018'!R231-1</f>
        <v>-9.8235674766078973E-2</v>
      </c>
      <c r="Y231" s="372">
        <f>S231/'2018'!S231-1</f>
        <v>-8.0184390687785378E-2</v>
      </c>
      <c r="Z231" s="373"/>
      <c r="AA231" s="374">
        <f t="shared" si="72"/>
        <v>1387.928772</v>
      </c>
      <c r="AB231" s="375"/>
      <c r="AC231" s="365"/>
      <c r="AD231" s="375">
        <f t="shared" si="74"/>
        <v>14251558.719999999</v>
      </c>
      <c r="AE231" s="348">
        <f t="shared" ref="AE231:AF246" si="85">AE230+K231</f>
        <v>76209.22</v>
      </c>
      <c r="AF231" s="348">
        <f t="shared" si="85"/>
        <v>43161.64</v>
      </c>
      <c r="AG231" s="365">
        <f t="shared" si="76"/>
        <v>252900.13999999815</v>
      </c>
      <c r="AH231" s="357"/>
      <c r="AI231" s="358"/>
      <c r="AJ231" s="358"/>
      <c r="AK231" s="358"/>
      <c r="AL231" s="358"/>
      <c r="AM231" s="358"/>
      <c r="AN231" s="358"/>
      <c r="AO231" s="358"/>
      <c r="AP231" s="358"/>
      <c r="AQ231" s="358"/>
      <c r="AR231" s="358"/>
      <c r="AS231" s="358"/>
      <c r="AT231" s="358"/>
      <c r="AU231" s="358"/>
      <c r="AV231" s="358"/>
      <c r="AW231" s="358"/>
      <c r="AX231" s="358"/>
      <c r="AY231" s="358"/>
      <c r="AZ231" s="358"/>
      <c r="BA231" s="358"/>
      <c r="BB231" s="358"/>
      <c r="BC231" s="358"/>
    </row>
    <row r="232" spans="1:55" s="376" customFormat="1" ht="15" customHeight="1" x14ac:dyDescent="0.15">
      <c r="A232" s="377">
        <v>42962</v>
      </c>
      <c r="B232" s="182" t="s">
        <v>37</v>
      </c>
      <c r="C232" s="361"/>
      <c r="D232" s="348"/>
      <c r="E232" s="348"/>
      <c r="F232" s="362"/>
      <c r="G232" s="348"/>
      <c r="H232" s="363"/>
      <c r="I232" s="363"/>
      <c r="J232" s="364">
        <f t="shared" si="71"/>
        <v>0</v>
      </c>
      <c r="K232" s="348"/>
      <c r="L232" s="348"/>
      <c r="M232" s="365">
        <f t="shared" si="73"/>
        <v>0</v>
      </c>
      <c r="N232" s="366">
        <f t="shared" si="83"/>
        <v>0</v>
      </c>
      <c r="O232" s="349">
        <f t="shared" si="83"/>
        <v>0</v>
      </c>
      <c r="P232" s="353">
        <f t="shared" si="83"/>
        <v>0</v>
      </c>
      <c r="Q232" s="368">
        <f t="shared" si="84"/>
        <v>13879287.720000001</v>
      </c>
      <c r="R232" s="367">
        <f t="shared" si="84"/>
        <v>7519553</v>
      </c>
      <c r="S232" s="369">
        <f t="shared" si="84"/>
        <v>21771111.719999999</v>
      </c>
      <c r="T232" s="370">
        <f>N232/'2018'!N232-1</f>
        <v>-1</v>
      </c>
      <c r="U232" s="371">
        <f>O232/'2018'!O232-1</f>
        <v>-1</v>
      </c>
      <c r="V232" s="371">
        <f>P232/'2018'!P232-1</f>
        <v>-1</v>
      </c>
      <c r="W232" s="371">
        <f>Q232/'2018'!Q232-1</f>
        <v>-7.2511844979062379E-2</v>
      </c>
      <c r="X232" s="371">
        <f>R232/'2018'!R232-1</f>
        <v>-0.10471621150527111</v>
      </c>
      <c r="Y232" s="372">
        <f>S232/'2018'!S232-1</f>
        <v>-8.5440798335521095E-2</v>
      </c>
      <c r="Z232" s="373"/>
      <c r="AA232" s="374">
        <f t="shared" si="72"/>
        <v>1387.928772</v>
      </c>
      <c r="AB232" s="375"/>
      <c r="AC232" s="365"/>
      <c r="AD232" s="375">
        <f t="shared" si="74"/>
        <v>14251558.719999999</v>
      </c>
      <c r="AE232" s="348">
        <f t="shared" si="85"/>
        <v>76209.22</v>
      </c>
      <c r="AF232" s="348">
        <f t="shared" si="85"/>
        <v>43161.64</v>
      </c>
      <c r="AG232" s="365">
        <f t="shared" si="76"/>
        <v>252900.13999999815</v>
      </c>
      <c r="AH232" s="357"/>
      <c r="AI232" s="358"/>
      <c r="AJ232" s="358"/>
      <c r="AK232" s="358"/>
      <c r="AL232" s="358"/>
      <c r="AM232" s="358"/>
      <c r="AN232" s="358"/>
      <c r="AO232" s="358"/>
      <c r="AP232" s="358"/>
      <c r="AQ232" s="358"/>
      <c r="AR232" s="358"/>
      <c r="AS232" s="358"/>
      <c r="AT232" s="358"/>
      <c r="AU232" s="358"/>
      <c r="AV232" s="358"/>
      <c r="AW232" s="358"/>
      <c r="AX232" s="358"/>
      <c r="AY232" s="358"/>
      <c r="AZ232" s="358"/>
      <c r="BA232" s="358"/>
      <c r="BB232" s="358"/>
      <c r="BC232" s="358"/>
    </row>
    <row r="233" spans="1:55" s="376" customFormat="1" ht="15" customHeight="1" x14ac:dyDescent="0.15">
      <c r="A233" s="377">
        <v>42963</v>
      </c>
      <c r="B233" s="457" t="s">
        <v>38</v>
      </c>
      <c r="C233" s="361"/>
      <c r="D233" s="348"/>
      <c r="E233" s="348"/>
      <c r="F233" s="362"/>
      <c r="G233" s="348"/>
      <c r="H233" s="363"/>
      <c r="I233" s="363"/>
      <c r="J233" s="364">
        <f t="shared" si="71"/>
        <v>0</v>
      </c>
      <c r="K233" s="348"/>
      <c r="L233" s="348"/>
      <c r="M233" s="365">
        <f t="shared" si="73"/>
        <v>0</v>
      </c>
      <c r="N233" s="366">
        <f t="shared" si="83"/>
        <v>0</v>
      </c>
      <c r="O233" s="349">
        <f t="shared" si="83"/>
        <v>0</v>
      </c>
      <c r="P233" s="353">
        <f t="shared" si="83"/>
        <v>0</v>
      </c>
      <c r="Q233" s="368">
        <f t="shared" si="84"/>
        <v>13879287.720000001</v>
      </c>
      <c r="R233" s="367">
        <f t="shared" si="84"/>
        <v>7519553</v>
      </c>
      <c r="S233" s="369">
        <f t="shared" si="84"/>
        <v>21771111.719999999</v>
      </c>
      <c r="T233" s="370">
        <f>N233/'2018'!N233-1</f>
        <v>-1</v>
      </c>
      <c r="U233" s="371">
        <f>O233/'2018'!O233-1</f>
        <v>-1</v>
      </c>
      <c r="V233" s="371">
        <f>P233/'2018'!P233-1</f>
        <v>-1</v>
      </c>
      <c r="W233" s="371">
        <f>Q233/'2018'!Q233-1</f>
        <v>-7.671470933315816E-2</v>
      </c>
      <c r="X233" s="371">
        <f>R233/'2018'!R233-1</f>
        <v>-0.11094683406136774</v>
      </c>
      <c r="Y233" s="372">
        <f>S233/'2018'!S233-1</f>
        <v>-9.0492350848065617E-2</v>
      </c>
      <c r="Z233" s="373"/>
      <c r="AA233" s="374">
        <f t="shared" si="72"/>
        <v>1387.928772</v>
      </c>
      <c r="AB233" s="375"/>
      <c r="AC233" s="365"/>
      <c r="AD233" s="375">
        <f t="shared" si="74"/>
        <v>14251558.719999999</v>
      </c>
      <c r="AE233" s="348">
        <f t="shared" si="85"/>
        <v>76209.22</v>
      </c>
      <c r="AF233" s="348">
        <f t="shared" si="85"/>
        <v>43161.64</v>
      </c>
      <c r="AG233" s="365">
        <f t="shared" si="76"/>
        <v>252900.13999999815</v>
      </c>
      <c r="AH233" s="357"/>
      <c r="AI233" s="358"/>
      <c r="AJ233" s="358"/>
      <c r="AK233" s="358"/>
      <c r="AL233" s="358"/>
      <c r="AM233" s="358"/>
      <c r="AN233" s="358"/>
      <c r="AO233" s="358"/>
      <c r="AP233" s="358"/>
      <c r="AQ233" s="358"/>
      <c r="AR233" s="358"/>
      <c r="AS233" s="358"/>
      <c r="AT233" s="358"/>
      <c r="AU233" s="358"/>
      <c r="AV233" s="358"/>
      <c r="AW233" s="358"/>
      <c r="AX233" s="358"/>
      <c r="AY233" s="358"/>
      <c r="AZ233" s="358"/>
      <c r="BA233" s="358"/>
      <c r="BB233" s="358"/>
      <c r="BC233" s="358"/>
    </row>
    <row r="234" spans="1:55" s="376" customFormat="1" ht="15" customHeight="1" x14ac:dyDescent="0.15">
      <c r="A234" s="377">
        <v>42964</v>
      </c>
      <c r="B234" s="457" t="s">
        <v>39</v>
      </c>
      <c r="C234" s="361"/>
      <c r="D234" s="348"/>
      <c r="E234" s="348"/>
      <c r="F234" s="362"/>
      <c r="G234" s="348"/>
      <c r="H234" s="363"/>
      <c r="I234" s="363"/>
      <c r="J234" s="364">
        <f t="shared" si="71"/>
        <v>0</v>
      </c>
      <c r="K234" s="348"/>
      <c r="L234" s="348"/>
      <c r="M234" s="365">
        <f t="shared" si="73"/>
        <v>0</v>
      </c>
      <c r="N234" s="366">
        <f t="shared" si="83"/>
        <v>0</v>
      </c>
      <c r="O234" s="349">
        <f t="shared" si="83"/>
        <v>0</v>
      </c>
      <c r="P234" s="353">
        <f t="shared" si="83"/>
        <v>0</v>
      </c>
      <c r="Q234" s="368">
        <f t="shared" si="84"/>
        <v>13879287.720000001</v>
      </c>
      <c r="R234" s="367">
        <f t="shared" si="84"/>
        <v>7519553</v>
      </c>
      <c r="S234" s="369">
        <f t="shared" si="84"/>
        <v>21771111.719999999</v>
      </c>
      <c r="T234" s="370">
        <f>N234/'2018'!N234-1</f>
        <v>-1</v>
      </c>
      <c r="U234" s="371">
        <f>O234/'2018'!O234-1</f>
        <v>-1</v>
      </c>
      <c r="V234" s="371">
        <f>P234/'2018'!P234-1</f>
        <v>-1</v>
      </c>
      <c r="W234" s="371">
        <f>Q234/'2018'!Q234-1</f>
        <v>-8.0982325527664489E-2</v>
      </c>
      <c r="X234" s="371">
        <f>R234/'2018'!R234-1</f>
        <v>-0.11663288839684716</v>
      </c>
      <c r="Y234" s="372">
        <f>S234/'2018'!S234-1</f>
        <v>-9.5340995880021762E-2</v>
      </c>
      <c r="Z234" s="373"/>
      <c r="AA234" s="374">
        <f t="shared" si="72"/>
        <v>1387.928772</v>
      </c>
      <c r="AB234" s="375"/>
      <c r="AC234" s="365"/>
      <c r="AD234" s="375">
        <f t="shared" si="74"/>
        <v>14251558.719999999</v>
      </c>
      <c r="AE234" s="348">
        <f t="shared" si="85"/>
        <v>76209.22</v>
      </c>
      <c r="AF234" s="348">
        <f t="shared" si="85"/>
        <v>43161.64</v>
      </c>
      <c r="AG234" s="365">
        <f t="shared" si="76"/>
        <v>252900.13999999815</v>
      </c>
      <c r="AH234" s="357"/>
      <c r="AI234" s="358"/>
      <c r="AJ234" s="358"/>
      <c r="AK234" s="358"/>
      <c r="AL234" s="358"/>
      <c r="AM234" s="358"/>
      <c r="AN234" s="358"/>
      <c r="AO234" s="358"/>
      <c r="AP234" s="358"/>
      <c r="AQ234" s="358"/>
      <c r="AR234" s="358"/>
      <c r="AS234" s="358"/>
      <c r="AT234" s="358"/>
      <c r="AU234" s="358"/>
      <c r="AV234" s="358"/>
      <c r="AW234" s="358"/>
      <c r="AX234" s="358"/>
      <c r="AY234" s="358"/>
      <c r="AZ234" s="358"/>
      <c r="BA234" s="358"/>
      <c r="BB234" s="358"/>
      <c r="BC234" s="358"/>
    </row>
    <row r="235" spans="1:55" s="376" customFormat="1" ht="15" customHeight="1" x14ac:dyDescent="0.15">
      <c r="A235" s="377">
        <v>42965</v>
      </c>
      <c r="B235" s="457" t="s">
        <v>1</v>
      </c>
      <c r="C235" s="361"/>
      <c r="D235" s="348"/>
      <c r="E235" s="348"/>
      <c r="F235" s="362"/>
      <c r="G235" s="348"/>
      <c r="H235" s="363"/>
      <c r="I235" s="363"/>
      <c r="J235" s="364">
        <f t="shared" si="71"/>
        <v>0</v>
      </c>
      <c r="K235" s="348"/>
      <c r="L235" s="348"/>
      <c r="M235" s="365">
        <f t="shared" si="73"/>
        <v>0</v>
      </c>
      <c r="N235" s="366">
        <f t="shared" ref="N235:P247" si="86">N234+C235</f>
        <v>0</v>
      </c>
      <c r="O235" s="349">
        <f t="shared" si="86"/>
        <v>0</v>
      </c>
      <c r="P235" s="353">
        <f t="shared" si="86"/>
        <v>0</v>
      </c>
      <c r="Q235" s="368">
        <f t="shared" si="84"/>
        <v>13879287.720000001</v>
      </c>
      <c r="R235" s="367">
        <f t="shared" si="84"/>
        <v>7519553</v>
      </c>
      <c r="S235" s="369">
        <f t="shared" si="84"/>
        <v>21771111.719999999</v>
      </c>
      <c r="T235" s="370">
        <f>N235/'2018'!N235-1</f>
        <v>-1</v>
      </c>
      <c r="U235" s="371">
        <f>O235/'2018'!O235-1</f>
        <v>-1</v>
      </c>
      <c r="V235" s="371">
        <f>P235/'2018'!P235-1</f>
        <v>-1</v>
      </c>
      <c r="W235" s="371">
        <f>Q235/'2018'!Q235-1</f>
        <v>-8.5172322950226143E-2</v>
      </c>
      <c r="X235" s="371">
        <f>R235/'2018'!R235-1</f>
        <v>-0.12154046568833321</v>
      </c>
      <c r="Y235" s="372">
        <f>S235/'2018'!S235-1</f>
        <v>-0.10010448208281542</v>
      </c>
      <c r="Z235" s="373"/>
      <c r="AA235" s="374">
        <f t="shared" si="72"/>
        <v>1387.928772</v>
      </c>
      <c r="AB235" s="375"/>
      <c r="AC235" s="365"/>
      <c r="AD235" s="375">
        <f t="shared" si="74"/>
        <v>14251558.719999999</v>
      </c>
      <c r="AE235" s="348">
        <f t="shared" si="85"/>
        <v>76209.22</v>
      </c>
      <c r="AF235" s="348">
        <f t="shared" si="85"/>
        <v>43161.64</v>
      </c>
      <c r="AG235" s="365">
        <f t="shared" si="76"/>
        <v>252900.13999999815</v>
      </c>
      <c r="AH235" s="357"/>
      <c r="AI235" s="358"/>
      <c r="AJ235" s="358"/>
      <c r="AK235" s="358"/>
      <c r="AL235" s="358"/>
      <c r="AM235" s="358"/>
      <c r="AN235" s="358"/>
      <c r="AO235" s="358"/>
      <c r="AP235" s="358"/>
      <c r="AQ235" s="358"/>
      <c r="AR235" s="358"/>
      <c r="AS235" s="358"/>
      <c r="AT235" s="358"/>
      <c r="AU235" s="358"/>
      <c r="AV235" s="358"/>
      <c r="AW235" s="358"/>
      <c r="AX235" s="358"/>
      <c r="AY235" s="358"/>
      <c r="AZ235" s="358"/>
      <c r="BA235" s="358"/>
      <c r="BB235" s="358"/>
      <c r="BC235" s="358"/>
    </row>
    <row r="236" spans="1:55" s="376" customFormat="1" ht="15" customHeight="1" x14ac:dyDescent="0.15">
      <c r="A236" s="377">
        <v>42966</v>
      </c>
      <c r="B236" s="457" t="s">
        <v>34</v>
      </c>
      <c r="C236" s="361"/>
      <c r="D236" s="348"/>
      <c r="E236" s="348"/>
      <c r="F236" s="362"/>
      <c r="G236" s="348"/>
      <c r="H236" s="363"/>
      <c r="I236" s="363"/>
      <c r="J236" s="364">
        <f t="shared" si="71"/>
        <v>0</v>
      </c>
      <c r="K236" s="348"/>
      <c r="L236" s="348"/>
      <c r="M236" s="365">
        <f t="shared" si="73"/>
        <v>0</v>
      </c>
      <c r="N236" s="366">
        <f t="shared" si="86"/>
        <v>0</v>
      </c>
      <c r="O236" s="349">
        <f t="shared" si="86"/>
        <v>0</v>
      </c>
      <c r="P236" s="353">
        <f t="shared" si="86"/>
        <v>0</v>
      </c>
      <c r="Q236" s="368">
        <f t="shared" si="84"/>
        <v>13879287.720000001</v>
      </c>
      <c r="R236" s="367">
        <f t="shared" si="84"/>
        <v>7519553</v>
      </c>
      <c r="S236" s="369">
        <f t="shared" si="84"/>
        <v>21771111.719999999</v>
      </c>
      <c r="T236" s="370">
        <f>N236/'2018'!N236-1</f>
        <v>-1</v>
      </c>
      <c r="U236" s="371">
        <f>O236/'2018'!O236-1</f>
        <v>-1</v>
      </c>
      <c r="V236" s="371">
        <f>P236/'2018'!P236-1</f>
        <v>-1</v>
      </c>
      <c r="W236" s="371">
        <f>Q236/'2018'!Q236-1</f>
        <v>-8.8854924337229635E-2</v>
      </c>
      <c r="X236" s="371">
        <f>R236/'2018'!R236-1</f>
        <v>-0.12721544632642068</v>
      </c>
      <c r="Y236" s="372">
        <f>S236/'2018'!S236-1</f>
        <v>-0.10459790085560672</v>
      </c>
      <c r="Z236" s="373"/>
      <c r="AA236" s="374">
        <f t="shared" si="72"/>
        <v>1387.928772</v>
      </c>
      <c r="AB236" s="375"/>
      <c r="AC236" s="365"/>
      <c r="AD236" s="375">
        <f t="shared" si="74"/>
        <v>14251558.719999999</v>
      </c>
      <c r="AE236" s="348">
        <f t="shared" si="85"/>
        <v>76209.22</v>
      </c>
      <c r="AF236" s="348">
        <f t="shared" si="85"/>
        <v>43161.64</v>
      </c>
      <c r="AG236" s="365">
        <f t="shared" si="76"/>
        <v>252900.13999999815</v>
      </c>
      <c r="AH236" s="357"/>
      <c r="AI236" s="358"/>
      <c r="AJ236" s="358"/>
      <c r="AK236" s="358"/>
      <c r="AL236" s="358"/>
      <c r="AM236" s="358"/>
      <c r="AN236" s="358"/>
      <c r="AO236" s="358"/>
      <c r="AP236" s="358"/>
      <c r="AQ236" s="358"/>
      <c r="AR236" s="358"/>
      <c r="AS236" s="358"/>
      <c r="AT236" s="358"/>
      <c r="AU236" s="358"/>
      <c r="AV236" s="358"/>
      <c r="AW236" s="358"/>
      <c r="AX236" s="358"/>
      <c r="AY236" s="358"/>
      <c r="AZ236" s="358"/>
      <c r="BA236" s="358"/>
      <c r="BB236" s="358"/>
      <c r="BC236" s="358"/>
    </row>
    <row r="237" spans="1:55" s="376" customFormat="1" ht="15" customHeight="1" x14ac:dyDescent="0.15">
      <c r="A237" s="377">
        <v>42967</v>
      </c>
      <c r="B237" s="457" t="s">
        <v>35</v>
      </c>
      <c r="C237" s="361"/>
      <c r="D237" s="348"/>
      <c r="E237" s="348"/>
      <c r="F237" s="362"/>
      <c r="G237" s="348"/>
      <c r="H237" s="363"/>
      <c r="I237" s="363"/>
      <c r="J237" s="364">
        <f t="shared" si="71"/>
        <v>0</v>
      </c>
      <c r="K237" s="348"/>
      <c r="L237" s="348"/>
      <c r="M237" s="365">
        <f t="shared" si="73"/>
        <v>0</v>
      </c>
      <c r="N237" s="366">
        <f t="shared" si="86"/>
        <v>0</v>
      </c>
      <c r="O237" s="349">
        <f t="shared" si="86"/>
        <v>0</v>
      </c>
      <c r="P237" s="353">
        <f t="shared" si="86"/>
        <v>0</v>
      </c>
      <c r="Q237" s="368">
        <f t="shared" si="84"/>
        <v>13879287.720000001</v>
      </c>
      <c r="R237" s="367">
        <f t="shared" si="84"/>
        <v>7519553</v>
      </c>
      <c r="S237" s="369">
        <f t="shared" si="84"/>
        <v>21771111.719999999</v>
      </c>
      <c r="T237" s="370">
        <f>N237/'2018'!N237-1</f>
        <v>-1</v>
      </c>
      <c r="U237" s="371">
        <f>O237/'2018'!O237-1</f>
        <v>-1</v>
      </c>
      <c r="V237" s="371">
        <f>P237/'2018'!P237-1</f>
        <v>-1</v>
      </c>
      <c r="W237" s="371">
        <f>Q237/'2018'!Q237-1</f>
        <v>-9.3139899956645622E-2</v>
      </c>
      <c r="X237" s="371">
        <f>R237/'2018'!R237-1</f>
        <v>-0.13292526893598533</v>
      </c>
      <c r="Y237" s="372">
        <f>S237/'2018'!S237-1</f>
        <v>-0.10951247053098989</v>
      </c>
      <c r="Z237" s="373"/>
      <c r="AA237" s="374">
        <f t="shared" si="72"/>
        <v>1387.928772</v>
      </c>
      <c r="AB237" s="375"/>
      <c r="AC237" s="365"/>
      <c r="AD237" s="375">
        <f t="shared" si="74"/>
        <v>14251558.719999999</v>
      </c>
      <c r="AE237" s="348">
        <f t="shared" si="85"/>
        <v>76209.22</v>
      </c>
      <c r="AF237" s="348">
        <f t="shared" si="85"/>
        <v>43161.64</v>
      </c>
      <c r="AG237" s="365">
        <f t="shared" si="76"/>
        <v>252900.13999999815</v>
      </c>
      <c r="AH237" s="357"/>
      <c r="AI237" s="358"/>
      <c r="AJ237" s="358"/>
      <c r="AK237" s="358"/>
      <c r="AL237" s="358"/>
      <c r="AM237" s="358"/>
      <c r="AN237" s="358"/>
      <c r="AO237" s="358"/>
      <c r="AP237" s="358"/>
      <c r="AQ237" s="358"/>
      <c r="AR237" s="358"/>
      <c r="AS237" s="358"/>
      <c r="AT237" s="358"/>
      <c r="AU237" s="358"/>
      <c r="AV237" s="358"/>
      <c r="AW237" s="358"/>
      <c r="AX237" s="358"/>
      <c r="AY237" s="358"/>
      <c r="AZ237" s="358"/>
      <c r="BA237" s="358"/>
      <c r="BB237" s="358"/>
      <c r="BC237" s="358"/>
    </row>
    <row r="238" spans="1:55" s="376" customFormat="1" ht="15" customHeight="1" x14ac:dyDescent="0.15">
      <c r="A238" s="377">
        <v>42968</v>
      </c>
      <c r="B238" s="457" t="s">
        <v>36</v>
      </c>
      <c r="C238" s="361"/>
      <c r="D238" s="348"/>
      <c r="E238" s="348"/>
      <c r="F238" s="362"/>
      <c r="G238" s="348"/>
      <c r="H238" s="363"/>
      <c r="I238" s="363"/>
      <c r="J238" s="364">
        <f t="shared" si="71"/>
        <v>0</v>
      </c>
      <c r="K238" s="348"/>
      <c r="L238" s="348"/>
      <c r="M238" s="365">
        <f t="shared" si="73"/>
        <v>0</v>
      </c>
      <c r="N238" s="366">
        <f t="shared" si="86"/>
        <v>0</v>
      </c>
      <c r="O238" s="349">
        <f t="shared" si="86"/>
        <v>0</v>
      </c>
      <c r="P238" s="353">
        <f t="shared" si="86"/>
        <v>0</v>
      </c>
      <c r="Q238" s="368">
        <f t="shared" si="84"/>
        <v>13879287.720000001</v>
      </c>
      <c r="R238" s="367">
        <f t="shared" si="84"/>
        <v>7519553</v>
      </c>
      <c r="S238" s="369">
        <f t="shared" si="84"/>
        <v>21771111.719999999</v>
      </c>
      <c r="T238" s="370">
        <f>N238/'2018'!N238-1</f>
        <v>-1</v>
      </c>
      <c r="U238" s="371">
        <f>O238/'2018'!O238-1</f>
        <v>-1</v>
      </c>
      <c r="V238" s="371">
        <f>P238/'2018'!P238-1</f>
        <v>-1</v>
      </c>
      <c r="W238" s="371">
        <f>Q238/'2018'!Q238-1</f>
        <v>-9.7474680511619671E-2</v>
      </c>
      <c r="X238" s="371">
        <f>R238/'2018'!R238-1</f>
        <v>-0.13858741474716041</v>
      </c>
      <c r="Y238" s="372">
        <f>S238/'2018'!S238-1</f>
        <v>-0.11441953315971376</v>
      </c>
      <c r="Z238" s="373"/>
      <c r="AA238" s="374">
        <f t="shared" si="72"/>
        <v>1387.928772</v>
      </c>
      <c r="AB238" s="375"/>
      <c r="AC238" s="365"/>
      <c r="AD238" s="375">
        <f t="shared" si="74"/>
        <v>14251558.719999999</v>
      </c>
      <c r="AE238" s="348">
        <f t="shared" si="85"/>
        <v>76209.22</v>
      </c>
      <c r="AF238" s="348">
        <f t="shared" si="85"/>
        <v>43161.64</v>
      </c>
      <c r="AG238" s="365">
        <f t="shared" si="76"/>
        <v>252900.13999999815</v>
      </c>
      <c r="AH238" s="357"/>
      <c r="AI238" s="358"/>
      <c r="AJ238" s="358"/>
      <c r="AK238" s="358"/>
      <c r="AL238" s="358"/>
      <c r="AM238" s="358"/>
      <c r="AN238" s="358"/>
      <c r="AO238" s="358"/>
      <c r="AP238" s="358"/>
      <c r="AQ238" s="358"/>
      <c r="AR238" s="358"/>
      <c r="AS238" s="358"/>
      <c r="AT238" s="358"/>
      <c r="AU238" s="358"/>
      <c r="AV238" s="358"/>
      <c r="AW238" s="358"/>
      <c r="AX238" s="358"/>
      <c r="AY238" s="358"/>
      <c r="AZ238" s="358"/>
      <c r="BA238" s="358"/>
      <c r="BB238" s="358"/>
      <c r="BC238" s="358"/>
    </row>
    <row r="239" spans="1:55" s="376" customFormat="1" ht="15" customHeight="1" x14ac:dyDescent="0.15">
      <c r="A239" s="377">
        <v>42969</v>
      </c>
      <c r="B239" s="182" t="s">
        <v>37</v>
      </c>
      <c r="C239" s="361"/>
      <c r="D239" s="348"/>
      <c r="E239" s="348"/>
      <c r="F239" s="362"/>
      <c r="G239" s="348"/>
      <c r="H239" s="363"/>
      <c r="I239" s="363"/>
      <c r="J239" s="364">
        <f t="shared" si="71"/>
        <v>0</v>
      </c>
      <c r="K239" s="348"/>
      <c r="L239" s="348"/>
      <c r="M239" s="365">
        <f t="shared" si="73"/>
        <v>0</v>
      </c>
      <c r="N239" s="366">
        <f t="shared" si="86"/>
        <v>0</v>
      </c>
      <c r="O239" s="349">
        <f t="shared" si="86"/>
        <v>0</v>
      </c>
      <c r="P239" s="353">
        <f t="shared" si="86"/>
        <v>0</v>
      </c>
      <c r="Q239" s="368">
        <f t="shared" si="84"/>
        <v>13879287.720000001</v>
      </c>
      <c r="R239" s="367">
        <f t="shared" si="84"/>
        <v>7519553</v>
      </c>
      <c r="S239" s="369">
        <f t="shared" si="84"/>
        <v>21771111.719999999</v>
      </c>
      <c r="T239" s="370">
        <f>N239/'2018'!N239-1</f>
        <v>-1</v>
      </c>
      <c r="U239" s="371">
        <f>O239/'2018'!O239-1</f>
        <v>-1</v>
      </c>
      <c r="V239" s="371">
        <f>P239/'2018'!P239-1</f>
        <v>-1</v>
      </c>
      <c r="W239" s="371">
        <f>Q239/'2018'!Q239-1</f>
        <v>-0.10169688510198704</v>
      </c>
      <c r="X239" s="371">
        <f>R239/'2018'!R239-1</f>
        <v>-0.14426803027468349</v>
      </c>
      <c r="Y239" s="372">
        <f>S239/'2018'!S239-1</f>
        <v>-0.11924530473460904</v>
      </c>
      <c r="Z239" s="373"/>
      <c r="AA239" s="374">
        <f t="shared" si="72"/>
        <v>1387.928772</v>
      </c>
      <c r="AB239" s="375"/>
      <c r="AC239" s="365"/>
      <c r="AD239" s="375">
        <f t="shared" si="74"/>
        <v>14251558.719999999</v>
      </c>
      <c r="AE239" s="348">
        <f t="shared" si="85"/>
        <v>76209.22</v>
      </c>
      <c r="AF239" s="348">
        <f t="shared" si="85"/>
        <v>43161.64</v>
      </c>
      <c r="AG239" s="365">
        <f t="shared" si="76"/>
        <v>252900.13999999815</v>
      </c>
      <c r="AH239" s="357"/>
      <c r="AI239" s="358"/>
      <c r="AJ239" s="358"/>
      <c r="AK239" s="358"/>
      <c r="AL239" s="358"/>
      <c r="AM239" s="358"/>
      <c r="AN239" s="358"/>
      <c r="AO239" s="358"/>
      <c r="AP239" s="358"/>
      <c r="AQ239" s="358"/>
      <c r="AR239" s="358"/>
      <c r="AS239" s="358"/>
      <c r="AT239" s="358"/>
      <c r="AU239" s="358"/>
      <c r="AV239" s="358"/>
      <c r="AW239" s="358"/>
      <c r="AX239" s="358"/>
      <c r="AY239" s="358"/>
      <c r="AZ239" s="358"/>
      <c r="BA239" s="358"/>
      <c r="BB239" s="358"/>
      <c r="BC239" s="358"/>
    </row>
    <row r="240" spans="1:55" s="376" customFormat="1" ht="15" customHeight="1" x14ac:dyDescent="0.15">
      <c r="A240" s="377">
        <v>42970</v>
      </c>
      <c r="B240" s="457" t="s">
        <v>38</v>
      </c>
      <c r="C240" s="361"/>
      <c r="D240" s="348"/>
      <c r="E240" s="348"/>
      <c r="F240" s="362"/>
      <c r="G240" s="348"/>
      <c r="H240" s="363"/>
      <c r="I240" s="363"/>
      <c r="J240" s="364">
        <f t="shared" si="71"/>
        <v>0</v>
      </c>
      <c r="K240" s="348"/>
      <c r="L240" s="348"/>
      <c r="M240" s="365">
        <f t="shared" si="73"/>
        <v>0</v>
      </c>
      <c r="N240" s="366">
        <f t="shared" si="86"/>
        <v>0</v>
      </c>
      <c r="O240" s="349">
        <f t="shared" si="86"/>
        <v>0</v>
      </c>
      <c r="P240" s="353">
        <f t="shared" si="86"/>
        <v>0</v>
      </c>
      <c r="Q240" s="368">
        <f t="shared" si="84"/>
        <v>13879287.720000001</v>
      </c>
      <c r="R240" s="367">
        <f t="shared" si="84"/>
        <v>7519553</v>
      </c>
      <c r="S240" s="369">
        <f t="shared" si="84"/>
        <v>21771111.719999999</v>
      </c>
      <c r="T240" s="370">
        <f>N240/'2018'!N240-1</f>
        <v>-1</v>
      </c>
      <c r="U240" s="371">
        <f>O240/'2018'!O240-1</f>
        <v>-1</v>
      </c>
      <c r="V240" s="371">
        <f>P240/'2018'!P240-1</f>
        <v>-1</v>
      </c>
      <c r="W240" s="371">
        <f>Q240/'2018'!Q240-1</f>
        <v>-0.10566060370007246</v>
      </c>
      <c r="X240" s="371">
        <f>R240/'2018'!R240-1</f>
        <v>-0.14997915516470361</v>
      </c>
      <c r="Y240" s="372">
        <f>S240/'2018'!S240-1</f>
        <v>-0.12391023177104488</v>
      </c>
      <c r="Z240" s="373"/>
      <c r="AA240" s="374">
        <f t="shared" si="72"/>
        <v>1387.928772</v>
      </c>
      <c r="AB240" s="375"/>
      <c r="AC240" s="365"/>
      <c r="AD240" s="375">
        <f t="shared" si="74"/>
        <v>14251558.719999999</v>
      </c>
      <c r="AE240" s="348">
        <f t="shared" si="85"/>
        <v>76209.22</v>
      </c>
      <c r="AF240" s="348">
        <f t="shared" si="85"/>
        <v>43161.64</v>
      </c>
      <c r="AG240" s="365">
        <f t="shared" si="76"/>
        <v>252900.13999999815</v>
      </c>
      <c r="AH240" s="357"/>
      <c r="AI240" s="358"/>
      <c r="AJ240" s="358"/>
      <c r="AK240" s="358"/>
      <c r="AL240" s="358"/>
      <c r="AM240" s="358"/>
      <c r="AN240" s="358"/>
      <c r="AO240" s="358"/>
      <c r="AP240" s="358"/>
      <c r="AQ240" s="358"/>
      <c r="AR240" s="358"/>
      <c r="AS240" s="358"/>
      <c r="AT240" s="358"/>
      <c r="AU240" s="358"/>
      <c r="AV240" s="358"/>
      <c r="AW240" s="358"/>
      <c r="AX240" s="358"/>
      <c r="AY240" s="358"/>
      <c r="AZ240" s="358"/>
      <c r="BA240" s="358"/>
      <c r="BB240" s="358"/>
      <c r="BC240" s="358"/>
    </row>
    <row r="241" spans="1:55" s="376" customFormat="1" ht="15" customHeight="1" x14ac:dyDescent="0.15">
      <c r="A241" s="377">
        <v>42971</v>
      </c>
      <c r="B241" s="457" t="s">
        <v>39</v>
      </c>
      <c r="C241" s="361"/>
      <c r="D241" s="348"/>
      <c r="E241" s="348"/>
      <c r="F241" s="362"/>
      <c r="G241" s="348"/>
      <c r="H241" s="363"/>
      <c r="I241" s="363"/>
      <c r="J241" s="364">
        <f t="shared" si="71"/>
        <v>0</v>
      </c>
      <c r="K241" s="348"/>
      <c r="L241" s="348"/>
      <c r="M241" s="365">
        <f t="shared" si="73"/>
        <v>0</v>
      </c>
      <c r="N241" s="366">
        <f t="shared" si="86"/>
        <v>0</v>
      </c>
      <c r="O241" s="349">
        <f t="shared" si="86"/>
        <v>0</v>
      </c>
      <c r="P241" s="353">
        <f t="shared" si="86"/>
        <v>0</v>
      </c>
      <c r="Q241" s="368">
        <f t="shared" si="84"/>
        <v>13879287.720000001</v>
      </c>
      <c r="R241" s="367">
        <f t="shared" si="84"/>
        <v>7519553</v>
      </c>
      <c r="S241" s="369">
        <f t="shared" si="84"/>
        <v>21771111.719999999</v>
      </c>
      <c r="T241" s="370">
        <f>N241/'2018'!N241-1</f>
        <v>-1</v>
      </c>
      <c r="U241" s="371">
        <f>O241/'2018'!O241-1</f>
        <v>-1</v>
      </c>
      <c r="V241" s="371">
        <f>P241/'2018'!P241-1</f>
        <v>-1</v>
      </c>
      <c r="W241" s="371">
        <f>Q241/'2018'!Q241-1</f>
        <v>-0.10919768678447206</v>
      </c>
      <c r="X241" s="371">
        <f>R241/'2018'!R241-1</f>
        <v>-0.15548017568404271</v>
      </c>
      <c r="Y241" s="372">
        <f>S241/'2018'!S241-1</f>
        <v>-0.12825452017832617</v>
      </c>
      <c r="Z241" s="373"/>
      <c r="AA241" s="374">
        <f t="shared" si="72"/>
        <v>1387.928772</v>
      </c>
      <c r="AB241" s="375"/>
      <c r="AC241" s="365"/>
      <c r="AD241" s="375">
        <f t="shared" si="74"/>
        <v>14251558.719999999</v>
      </c>
      <c r="AE241" s="348">
        <f t="shared" si="85"/>
        <v>76209.22</v>
      </c>
      <c r="AF241" s="348">
        <f t="shared" si="85"/>
        <v>43161.64</v>
      </c>
      <c r="AG241" s="365">
        <f t="shared" si="76"/>
        <v>252900.13999999815</v>
      </c>
      <c r="AH241" s="357"/>
      <c r="AI241" s="358"/>
      <c r="AJ241" s="358"/>
      <c r="AK241" s="358"/>
      <c r="AL241" s="358"/>
      <c r="AM241" s="358"/>
      <c r="AN241" s="358"/>
      <c r="AO241" s="358"/>
      <c r="AP241" s="358"/>
      <c r="AQ241" s="358"/>
      <c r="AR241" s="358"/>
      <c r="AS241" s="358"/>
      <c r="AT241" s="358"/>
      <c r="AU241" s="358"/>
      <c r="AV241" s="358"/>
      <c r="AW241" s="358"/>
      <c r="AX241" s="358"/>
      <c r="AY241" s="358"/>
      <c r="AZ241" s="358"/>
      <c r="BA241" s="358"/>
      <c r="BB241" s="358"/>
      <c r="BC241" s="358"/>
    </row>
    <row r="242" spans="1:55" s="376" customFormat="1" ht="15" customHeight="1" x14ac:dyDescent="0.15">
      <c r="A242" s="377">
        <v>42972</v>
      </c>
      <c r="B242" s="457" t="s">
        <v>1</v>
      </c>
      <c r="C242" s="361"/>
      <c r="D242" s="348"/>
      <c r="E242" s="348"/>
      <c r="F242" s="362"/>
      <c r="G242" s="348"/>
      <c r="H242" s="363"/>
      <c r="I242" s="363"/>
      <c r="J242" s="364">
        <f t="shared" si="71"/>
        <v>0</v>
      </c>
      <c r="K242" s="348"/>
      <c r="L242" s="348"/>
      <c r="M242" s="365">
        <f t="shared" si="73"/>
        <v>0</v>
      </c>
      <c r="N242" s="366">
        <f t="shared" si="86"/>
        <v>0</v>
      </c>
      <c r="O242" s="349">
        <f t="shared" si="86"/>
        <v>0</v>
      </c>
      <c r="P242" s="353">
        <f t="shared" si="86"/>
        <v>0</v>
      </c>
      <c r="Q242" s="368">
        <f t="shared" si="84"/>
        <v>13879287.720000001</v>
      </c>
      <c r="R242" s="367">
        <f t="shared" si="84"/>
        <v>7519553</v>
      </c>
      <c r="S242" s="369">
        <f t="shared" si="84"/>
        <v>21771111.719999999</v>
      </c>
      <c r="T242" s="370">
        <f>N242/'2018'!N242-1</f>
        <v>-1</v>
      </c>
      <c r="U242" s="371">
        <f>O242/'2018'!O242-1</f>
        <v>-1</v>
      </c>
      <c r="V242" s="371">
        <f>P242/'2018'!P242-1</f>
        <v>-1</v>
      </c>
      <c r="W242" s="371">
        <f>Q242/'2018'!Q242-1</f>
        <v>-0.11236722199618399</v>
      </c>
      <c r="X242" s="371">
        <f>R242/'2018'!R242-1</f>
        <v>-0.16079367745441986</v>
      </c>
      <c r="Y242" s="372">
        <f>S242/'2018'!S242-1</f>
        <v>-0.13229546652291213</v>
      </c>
      <c r="Z242" s="373"/>
      <c r="AA242" s="374">
        <f t="shared" si="72"/>
        <v>1387.928772</v>
      </c>
      <c r="AB242" s="375"/>
      <c r="AC242" s="365"/>
      <c r="AD242" s="375">
        <f t="shared" si="74"/>
        <v>14251558.719999999</v>
      </c>
      <c r="AE242" s="348">
        <f t="shared" si="85"/>
        <v>76209.22</v>
      </c>
      <c r="AF242" s="348">
        <f t="shared" si="85"/>
        <v>43161.64</v>
      </c>
      <c r="AG242" s="365">
        <f t="shared" si="76"/>
        <v>252900.13999999815</v>
      </c>
      <c r="AH242" s="357"/>
      <c r="AI242" s="358"/>
      <c r="AJ242" s="358"/>
      <c r="AK242" s="358"/>
      <c r="AL242" s="358"/>
      <c r="AM242" s="358"/>
      <c r="AN242" s="358"/>
      <c r="AO242" s="358"/>
      <c r="AP242" s="358"/>
      <c r="AQ242" s="358"/>
      <c r="AR242" s="358"/>
      <c r="AS242" s="358"/>
      <c r="AT242" s="358"/>
      <c r="AU242" s="358"/>
      <c r="AV242" s="358"/>
      <c r="AW242" s="358"/>
      <c r="AX242" s="358"/>
      <c r="AY242" s="358"/>
      <c r="AZ242" s="358"/>
      <c r="BA242" s="358"/>
      <c r="BB242" s="358"/>
      <c r="BC242" s="358"/>
    </row>
    <row r="243" spans="1:55" s="376" customFormat="1" ht="15" customHeight="1" x14ac:dyDescent="0.15">
      <c r="A243" s="377">
        <v>42973</v>
      </c>
      <c r="B243" s="457" t="s">
        <v>34</v>
      </c>
      <c r="C243" s="361"/>
      <c r="D243" s="348"/>
      <c r="E243" s="348"/>
      <c r="F243" s="362"/>
      <c r="G243" s="348"/>
      <c r="H243" s="363"/>
      <c r="I243" s="363"/>
      <c r="J243" s="364">
        <f t="shared" si="71"/>
        <v>0</v>
      </c>
      <c r="K243" s="348"/>
      <c r="L243" s="348"/>
      <c r="M243" s="365">
        <f t="shared" si="73"/>
        <v>0</v>
      </c>
      <c r="N243" s="366">
        <f t="shared" si="86"/>
        <v>0</v>
      </c>
      <c r="O243" s="349">
        <f t="shared" si="86"/>
        <v>0</v>
      </c>
      <c r="P243" s="353">
        <f t="shared" si="86"/>
        <v>0</v>
      </c>
      <c r="Q243" s="368">
        <f t="shared" si="84"/>
        <v>13879287.720000001</v>
      </c>
      <c r="R243" s="367">
        <f t="shared" si="84"/>
        <v>7519553</v>
      </c>
      <c r="S243" s="369">
        <f t="shared" si="84"/>
        <v>21771111.719999999</v>
      </c>
      <c r="T243" s="370">
        <f>N243/'2018'!N243-1</f>
        <v>-1</v>
      </c>
      <c r="U243" s="371">
        <f>O243/'2018'!O243-1</f>
        <v>-1</v>
      </c>
      <c r="V243" s="371">
        <f>P243/'2018'!P243-1</f>
        <v>-1</v>
      </c>
      <c r="W243" s="371">
        <f>Q243/'2018'!Q243-1</f>
        <v>-0.11530872543398907</v>
      </c>
      <c r="X243" s="371">
        <f>R243/'2018'!R243-1</f>
        <v>-0.16588652453947983</v>
      </c>
      <c r="Y243" s="372">
        <f>S243/'2018'!S243-1</f>
        <v>-0.13614048225894337</v>
      </c>
      <c r="Z243" s="373"/>
      <c r="AA243" s="374">
        <f t="shared" si="72"/>
        <v>1387.928772</v>
      </c>
      <c r="AB243" s="375"/>
      <c r="AC243" s="365"/>
      <c r="AD243" s="375">
        <f t="shared" si="74"/>
        <v>14251558.719999999</v>
      </c>
      <c r="AE243" s="348">
        <f t="shared" si="85"/>
        <v>76209.22</v>
      </c>
      <c r="AF243" s="348">
        <f t="shared" si="85"/>
        <v>43161.64</v>
      </c>
      <c r="AG243" s="365">
        <f t="shared" si="76"/>
        <v>252900.13999999815</v>
      </c>
      <c r="AH243" s="357"/>
      <c r="AI243" s="358"/>
      <c r="AJ243" s="358"/>
      <c r="AK243" s="358"/>
      <c r="AL243" s="358"/>
      <c r="AM243" s="358"/>
      <c r="AN243" s="358"/>
      <c r="AO243" s="358"/>
      <c r="AP243" s="358"/>
      <c r="AQ243" s="358"/>
      <c r="AR243" s="358"/>
      <c r="AS243" s="358"/>
      <c r="AT243" s="358"/>
      <c r="AU243" s="358"/>
      <c r="AV243" s="358"/>
      <c r="AW243" s="358"/>
      <c r="AX243" s="358"/>
      <c r="AY243" s="358"/>
      <c r="AZ243" s="358"/>
      <c r="BA243" s="358"/>
      <c r="BB243" s="358"/>
      <c r="BC243" s="358"/>
    </row>
    <row r="244" spans="1:55" s="376" customFormat="1" ht="15" customHeight="1" x14ac:dyDescent="0.15">
      <c r="A244" s="377">
        <v>42974</v>
      </c>
      <c r="B244" s="457" t="s">
        <v>35</v>
      </c>
      <c r="C244" s="361"/>
      <c r="D244" s="348"/>
      <c r="E244" s="348"/>
      <c r="F244" s="362"/>
      <c r="G244" s="348"/>
      <c r="H244" s="363"/>
      <c r="I244" s="363"/>
      <c r="J244" s="364">
        <f t="shared" si="71"/>
        <v>0</v>
      </c>
      <c r="K244" s="348"/>
      <c r="L244" s="348"/>
      <c r="M244" s="365">
        <f t="shared" si="73"/>
        <v>0</v>
      </c>
      <c r="N244" s="366">
        <f t="shared" si="86"/>
        <v>0</v>
      </c>
      <c r="O244" s="349">
        <f t="shared" si="86"/>
        <v>0</v>
      </c>
      <c r="P244" s="353">
        <f t="shared" si="86"/>
        <v>0</v>
      </c>
      <c r="Q244" s="368">
        <f t="shared" si="84"/>
        <v>13879287.720000001</v>
      </c>
      <c r="R244" s="367">
        <f t="shared" si="84"/>
        <v>7519553</v>
      </c>
      <c r="S244" s="369">
        <f t="shared" si="84"/>
        <v>21771111.719999999</v>
      </c>
      <c r="T244" s="370">
        <f>N244/'2018'!N244-1</f>
        <v>-1</v>
      </c>
      <c r="U244" s="371">
        <f>O244/'2018'!O244-1</f>
        <v>-1</v>
      </c>
      <c r="V244" s="371">
        <f>P244/'2018'!P244-1</f>
        <v>-1</v>
      </c>
      <c r="W244" s="371">
        <f>Q244/'2018'!Q244-1</f>
        <v>-0.11878454302188035</v>
      </c>
      <c r="X244" s="371">
        <f>R244/'2018'!R244-1</f>
        <v>-0.17093027153206641</v>
      </c>
      <c r="Y244" s="372">
        <f>S244/'2018'!S244-1</f>
        <v>-0.14031234167618667</v>
      </c>
      <c r="Z244" s="373"/>
      <c r="AA244" s="374">
        <f t="shared" si="72"/>
        <v>1387.928772</v>
      </c>
      <c r="AB244" s="375"/>
      <c r="AC244" s="365"/>
      <c r="AD244" s="375">
        <f t="shared" si="74"/>
        <v>14251558.719999999</v>
      </c>
      <c r="AE244" s="348">
        <f t="shared" si="85"/>
        <v>76209.22</v>
      </c>
      <c r="AF244" s="348">
        <f t="shared" si="85"/>
        <v>43161.64</v>
      </c>
      <c r="AG244" s="365">
        <f t="shared" si="76"/>
        <v>252900.13999999815</v>
      </c>
      <c r="AH244" s="357"/>
      <c r="AI244" s="358"/>
      <c r="AJ244" s="358"/>
      <c r="AK244" s="358"/>
      <c r="AL244" s="358"/>
      <c r="AM244" s="358"/>
      <c r="AN244" s="358"/>
      <c r="AO244" s="358"/>
      <c r="AP244" s="358"/>
      <c r="AQ244" s="358"/>
      <c r="AR244" s="358"/>
      <c r="AS244" s="358"/>
      <c r="AT244" s="358"/>
      <c r="AU244" s="358"/>
      <c r="AV244" s="358"/>
      <c r="AW244" s="358"/>
      <c r="AX244" s="358"/>
      <c r="AY244" s="358"/>
      <c r="AZ244" s="358"/>
      <c r="BA244" s="358"/>
      <c r="BB244" s="358"/>
      <c r="BC244" s="358"/>
    </row>
    <row r="245" spans="1:55" s="376" customFormat="1" ht="15" customHeight="1" x14ac:dyDescent="0.15">
      <c r="A245" s="377">
        <v>42975</v>
      </c>
      <c r="B245" s="457" t="s">
        <v>36</v>
      </c>
      <c r="C245" s="361"/>
      <c r="D245" s="348"/>
      <c r="E245" s="348"/>
      <c r="F245" s="362"/>
      <c r="G245" s="348"/>
      <c r="H245" s="363"/>
      <c r="I245" s="363"/>
      <c r="J245" s="364">
        <f t="shared" si="71"/>
        <v>0</v>
      </c>
      <c r="K245" s="348"/>
      <c r="L245" s="348"/>
      <c r="M245" s="365">
        <f t="shared" si="73"/>
        <v>0</v>
      </c>
      <c r="N245" s="366">
        <f t="shared" si="86"/>
        <v>0</v>
      </c>
      <c r="O245" s="349">
        <f t="shared" si="86"/>
        <v>0</v>
      </c>
      <c r="P245" s="353">
        <f t="shared" si="86"/>
        <v>0</v>
      </c>
      <c r="Q245" s="368">
        <f t="shared" si="84"/>
        <v>13879287.720000001</v>
      </c>
      <c r="R245" s="367">
        <f t="shared" si="84"/>
        <v>7519553</v>
      </c>
      <c r="S245" s="369">
        <f t="shared" si="84"/>
        <v>21771111.719999999</v>
      </c>
      <c r="T245" s="370">
        <f>N245/'2018'!N245-1</f>
        <v>-1</v>
      </c>
      <c r="U245" s="371">
        <f>O245/'2018'!O245-1</f>
        <v>-1</v>
      </c>
      <c r="V245" s="371">
        <f>P245/'2018'!P245-1</f>
        <v>-1</v>
      </c>
      <c r="W245" s="371">
        <f>Q245/'2018'!Q245-1</f>
        <v>-0.12235054891367625</v>
      </c>
      <c r="X245" s="371">
        <f>R245/'2018'!R245-1</f>
        <v>-0.17599294643098806</v>
      </c>
      <c r="Y245" s="372">
        <f>S245/'2018'!S245-1</f>
        <v>-0.14454021308195886</v>
      </c>
      <c r="Z245" s="373"/>
      <c r="AA245" s="374">
        <f t="shared" si="72"/>
        <v>1387.928772</v>
      </c>
      <c r="AB245" s="375"/>
      <c r="AC245" s="365"/>
      <c r="AD245" s="375">
        <f t="shared" si="74"/>
        <v>14251558.719999999</v>
      </c>
      <c r="AE245" s="348">
        <f t="shared" si="85"/>
        <v>76209.22</v>
      </c>
      <c r="AF245" s="348">
        <f t="shared" si="85"/>
        <v>43161.64</v>
      </c>
      <c r="AG245" s="365">
        <f t="shared" si="76"/>
        <v>252900.13999999815</v>
      </c>
      <c r="AH245" s="357"/>
      <c r="AI245" s="358"/>
      <c r="AJ245" s="358"/>
      <c r="AK245" s="358"/>
      <c r="AL245" s="358"/>
      <c r="AM245" s="358"/>
      <c r="AN245" s="358"/>
      <c r="AO245" s="358"/>
      <c r="AP245" s="358"/>
      <c r="AQ245" s="358"/>
      <c r="AR245" s="358"/>
      <c r="AS245" s="358"/>
      <c r="AT245" s="358"/>
      <c r="AU245" s="358"/>
      <c r="AV245" s="358"/>
      <c r="AW245" s="358"/>
      <c r="AX245" s="358"/>
      <c r="AY245" s="358"/>
      <c r="AZ245" s="358"/>
      <c r="BA245" s="358"/>
      <c r="BB245" s="358"/>
      <c r="BC245" s="358"/>
    </row>
    <row r="246" spans="1:55" s="376" customFormat="1" ht="15" customHeight="1" x14ac:dyDescent="0.15">
      <c r="A246" s="377">
        <v>42976</v>
      </c>
      <c r="B246" s="182" t="s">
        <v>37</v>
      </c>
      <c r="C246" s="361"/>
      <c r="D246" s="348"/>
      <c r="E246" s="348"/>
      <c r="F246" s="362"/>
      <c r="G246" s="348"/>
      <c r="H246" s="363"/>
      <c r="I246" s="363"/>
      <c r="J246" s="364">
        <f t="shared" si="71"/>
        <v>0</v>
      </c>
      <c r="K246" s="348"/>
      <c r="L246" s="348"/>
      <c r="M246" s="365">
        <f t="shared" si="73"/>
        <v>0</v>
      </c>
      <c r="N246" s="366">
        <f t="shared" si="86"/>
        <v>0</v>
      </c>
      <c r="O246" s="349">
        <f t="shared" si="86"/>
        <v>0</v>
      </c>
      <c r="P246" s="353">
        <f t="shared" si="86"/>
        <v>0</v>
      </c>
      <c r="Q246" s="368">
        <f t="shared" si="84"/>
        <v>13879287.720000001</v>
      </c>
      <c r="R246" s="367">
        <f t="shared" si="84"/>
        <v>7519553</v>
      </c>
      <c r="S246" s="369">
        <f t="shared" si="84"/>
        <v>21771111.719999999</v>
      </c>
      <c r="T246" s="370">
        <f>N246/'2018'!N246-1</f>
        <v>-1</v>
      </c>
      <c r="U246" s="371">
        <f>O246/'2018'!O246-1</f>
        <v>-1</v>
      </c>
      <c r="V246" s="371">
        <f>P246/'2018'!P246-1</f>
        <v>-1</v>
      </c>
      <c r="W246" s="371">
        <f>Q246/'2018'!Q246-1</f>
        <v>-0.12601859228156775</v>
      </c>
      <c r="X246" s="371">
        <f>R246/'2018'!R246-1</f>
        <v>-0.18090307971517694</v>
      </c>
      <c r="Y246" s="372">
        <f>S246/'2018'!S246-1</f>
        <v>-0.14877057163004492</v>
      </c>
      <c r="Z246" s="373"/>
      <c r="AA246" s="374">
        <f t="shared" si="72"/>
        <v>1387.928772</v>
      </c>
      <c r="AB246" s="375"/>
      <c r="AC246" s="365"/>
      <c r="AD246" s="375">
        <f t="shared" si="74"/>
        <v>14251558.719999999</v>
      </c>
      <c r="AE246" s="348">
        <f t="shared" si="85"/>
        <v>76209.22</v>
      </c>
      <c r="AF246" s="348">
        <f t="shared" si="85"/>
        <v>43161.64</v>
      </c>
      <c r="AG246" s="365">
        <f t="shared" si="76"/>
        <v>252900.13999999815</v>
      </c>
      <c r="AH246" s="357"/>
      <c r="AI246" s="358"/>
      <c r="AJ246" s="358"/>
      <c r="AK246" s="358"/>
      <c r="AL246" s="358"/>
      <c r="AM246" s="358"/>
      <c r="AN246" s="358"/>
      <c r="AO246" s="358"/>
      <c r="AP246" s="358"/>
      <c r="AQ246" s="358"/>
      <c r="AR246" s="358"/>
      <c r="AS246" s="358"/>
      <c r="AT246" s="358"/>
      <c r="AU246" s="358"/>
      <c r="AV246" s="358"/>
      <c r="AW246" s="358"/>
      <c r="AX246" s="358"/>
      <c r="AY246" s="358"/>
      <c r="AZ246" s="358"/>
      <c r="BA246" s="358"/>
      <c r="BB246" s="358"/>
      <c r="BC246" s="358"/>
    </row>
    <row r="247" spans="1:55" s="376" customFormat="1" ht="15" customHeight="1" x14ac:dyDescent="0.15">
      <c r="A247" s="377">
        <v>42977</v>
      </c>
      <c r="B247" s="457" t="s">
        <v>38</v>
      </c>
      <c r="C247" s="361"/>
      <c r="D247" s="348"/>
      <c r="E247" s="348"/>
      <c r="F247" s="362"/>
      <c r="G247" s="348"/>
      <c r="H247" s="363"/>
      <c r="I247" s="363"/>
      <c r="J247" s="364">
        <f t="shared" si="71"/>
        <v>0</v>
      </c>
      <c r="K247" s="348"/>
      <c r="L247" s="348"/>
      <c r="M247" s="365">
        <f t="shared" si="73"/>
        <v>0</v>
      </c>
      <c r="N247" s="366">
        <f t="shared" si="86"/>
        <v>0</v>
      </c>
      <c r="O247" s="349">
        <f t="shared" si="86"/>
        <v>0</v>
      </c>
      <c r="P247" s="353">
        <f t="shared" si="86"/>
        <v>0</v>
      </c>
      <c r="Q247" s="368">
        <f>Q$217+N247</f>
        <v>13879287.720000001</v>
      </c>
      <c r="R247" s="367">
        <f t="shared" si="84"/>
        <v>7519553</v>
      </c>
      <c r="S247" s="369">
        <f t="shared" si="84"/>
        <v>21771111.719999999</v>
      </c>
      <c r="T247" s="370">
        <f>N247/'2018'!N247-1</f>
        <v>-1</v>
      </c>
      <c r="U247" s="371">
        <f>O247/'2018'!O247-1</f>
        <v>-1</v>
      </c>
      <c r="V247" s="371">
        <f>P247/'2018'!P247-1</f>
        <v>-1</v>
      </c>
      <c r="W247" s="371">
        <f>Q247/'2018'!Q247-1</f>
        <v>-0.12984839189912178</v>
      </c>
      <c r="X247" s="371">
        <f>R247/'2018'!R247-1</f>
        <v>-0.18550668124609726</v>
      </c>
      <c r="Y247" s="372">
        <f>S247/'2018'!S247-1</f>
        <v>-0.15299963234358005</v>
      </c>
      <c r="Z247" s="373"/>
      <c r="AA247" s="374">
        <f t="shared" si="72"/>
        <v>1387.928772</v>
      </c>
      <c r="AB247" s="375"/>
      <c r="AC247" s="365"/>
      <c r="AD247" s="375">
        <f>S247-R247</f>
        <v>14251558.719999999</v>
      </c>
      <c r="AE247" s="348">
        <f t="shared" ref="AE247:AF262" si="87">AE246+K247</f>
        <v>76209.22</v>
      </c>
      <c r="AF247" s="348">
        <f t="shared" si="87"/>
        <v>43161.64</v>
      </c>
      <c r="AG247" s="365">
        <f t="shared" si="76"/>
        <v>252900.13999999815</v>
      </c>
      <c r="AH247" s="357"/>
      <c r="AI247" s="358"/>
      <c r="AJ247" s="358"/>
      <c r="AK247" s="358"/>
      <c r="AL247" s="358"/>
      <c r="AM247" s="358"/>
      <c r="AN247" s="358"/>
      <c r="AO247" s="358"/>
      <c r="AP247" s="358"/>
      <c r="AQ247" s="358"/>
      <c r="AR247" s="358"/>
      <c r="AS247" s="358"/>
      <c r="AT247" s="358"/>
      <c r="AU247" s="358"/>
      <c r="AV247" s="358"/>
      <c r="AW247" s="358"/>
      <c r="AX247" s="358"/>
      <c r="AY247" s="358"/>
      <c r="AZ247" s="358"/>
      <c r="BA247" s="358"/>
      <c r="BB247" s="358"/>
      <c r="BC247" s="358"/>
    </row>
    <row r="248" spans="1:55" s="376" customFormat="1" ht="15" customHeight="1" x14ac:dyDescent="0.15">
      <c r="A248" s="403">
        <v>42978</v>
      </c>
      <c r="B248" s="380" t="s">
        <v>39</v>
      </c>
      <c r="C248" s="381"/>
      <c r="D248" s="382"/>
      <c r="E248" s="382"/>
      <c r="F248" s="383"/>
      <c r="G248" s="382"/>
      <c r="H248" s="384"/>
      <c r="I248" s="384"/>
      <c r="J248" s="385">
        <f t="shared" si="71"/>
        <v>0</v>
      </c>
      <c r="K248" s="382"/>
      <c r="L248" s="382"/>
      <c r="M248" s="386">
        <f t="shared" si="73"/>
        <v>0</v>
      </c>
      <c r="N248" s="387">
        <f t="shared" ref="N248" si="88">N247+C248</f>
        <v>0</v>
      </c>
      <c r="O248" s="415">
        <f t="shared" ref="O248" si="89">O247+D248</f>
        <v>0</v>
      </c>
      <c r="P248" s="410">
        <f t="shared" ref="P248" si="90">P247+E248</f>
        <v>0</v>
      </c>
      <c r="Q248" s="390">
        <f>[7]表2、统调口径电量!$I$10</f>
        <v>16022161.07</v>
      </c>
      <c r="R248" s="388">
        <f>[7]表2、统调口径电量!$I$14</f>
        <v>9292029.8000000007</v>
      </c>
      <c r="S248" s="391">
        <f>[7]表2、统调口径电量!$I$3</f>
        <v>25831195.739999998</v>
      </c>
      <c r="T248" s="392">
        <f>N248/'2018'!N248-1</f>
        <v>-1</v>
      </c>
      <c r="U248" s="393">
        <f>O248/'2018'!O248-1</f>
        <v>-1</v>
      </c>
      <c r="V248" s="393">
        <f>P248/'2018'!P248-1</f>
        <v>-1</v>
      </c>
      <c r="W248" s="393">
        <f>Q248/'2018'!Q248-1</f>
        <v>0</v>
      </c>
      <c r="X248" s="393">
        <f>R248/'2018'!R248-1</f>
        <v>0</v>
      </c>
      <c r="Y248" s="394">
        <f>S248/'2018'!S248-1</f>
        <v>0</v>
      </c>
      <c r="Z248" s="395"/>
      <c r="AA248" s="396">
        <f t="shared" si="72"/>
        <v>1602.216107</v>
      </c>
      <c r="AB248" s="397"/>
      <c r="AC248" s="386" t="e">
        <f t="shared" ref="AC248" si="91">AA248*10000/AB248</f>
        <v>#DIV/0!</v>
      </c>
      <c r="AD248" s="397">
        <f>[7]表2、统调口径电量!$I$4</f>
        <v>16539165.939999999</v>
      </c>
      <c r="AE248" s="382">
        <f>[7]表2、统调口径电量!$I$13</f>
        <v>151020.45000000001</v>
      </c>
      <c r="AF248" s="382">
        <f>[7]表2、统调口径电量!$I$17</f>
        <v>160719.97</v>
      </c>
      <c r="AG248" s="386">
        <f t="shared" si="76"/>
        <v>205264.44999999917</v>
      </c>
      <c r="AH248" s="379">
        <f>AG248/'2017'!AG248-1</f>
        <v>0.63826400201292999</v>
      </c>
      <c r="AI248" s="358"/>
      <c r="AJ248" s="358"/>
      <c r="AK248" s="358"/>
      <c r="AL248" s="358"/>
      <c r="AM248" s="358"/>
      <c r="AN248" s="358"/>
      <c r="AO248" s="358"/>
      <c r="AP248" s="358"/>
      <c r="AQ248" s="358"/>
      <c r="AR248" s="358"/>
      <c r="AS248" s="358"/>
      <c r="AT248" s="358"/>
      <c r="AU248" s="358"/>
      <c r="AV248" s="358"/>
      <c r="AW248" s="358"/>
      <c r="AX248" s="358"/>
      <c r="AY248" s="358"/>
      <c r="AZ248" s="358"/>
      <c r="BA248" s="358"/>
      <c r="BB248" s="358"/>
      <c r="BC248" s="358"/>
    </row>
    <row r="249" spans="1:55" s="376" customFormat="1" ht="15" customHeight="1" x14ac:dyDescent="0.15">
      <c r="A249" s="377">
        <v>42979</v>
      </c>
      <c r="B249" s="457" t="s">
        <v>1</v>
      </c>
      <c r="C249" s="361"/>
      <c r="D249" s="348"/>
      <c r="E249" s="348"/>
      <c r="F249" s="362"/>
      <c r="G249" s="348"/>
      <c r="H249" s="363"/>
      <c r="I249" s="363"/>
      <c r="J249" s="364">
        <f t="shared" si="71"/>
        <v>0</v>
      </c>
      <c r="K249" s="348"/>
      <c r="L249" s="348"/>
      <c r="M249" s="365">
        <f t="shared" si="73"/>
        <v>0</v>
      </c>
      <c r="N249" s="366">
        <f>C249</f>
        <v>0</v>
      </c>
      <c r="O249" s="349">
        <f>D249</f>
        <v>0</v>
      </c>
      <c r="P249" s="353">
        <f>E249</f>
        <v>0</v>
      </c>
      <c r="Q249" s="368">
        <f>Q$248+N249</f>
        <v>16022161.07</v>
      </c>
      <c r="R249" s="367">
        <f t="shared" ref="Q249:S264" si="92">R$248+O249</f>
        <v>9292029.8000000007</v>
      </c>
      <c r="S249" s="369">
        <f t="shared" si="92"/>
        <v>25831195.739999998</v>
      </c>
      <c r="T249" s="370">
        <f>N249/'2018'!N249-1</f>
        <v>-1</v>
      </c>
      <c r="U249" s="371">
        <f>O249/'2018'!O249-1</f>
        <v>-1</v>
      </c>
      <c r="V249" s="371">
        <f>P249/'2018'!P249-1</f>
        <v>-1</v>
      </c>
      <c r="W249" s="371">
        <f>Q249/'2018'!Q249-1</f>
        <v>-4.0355363236819208E-3</v>
      </c>
      <c r="X249" s="371">
        <f>R249/'2018'!R249-1</f>
        <v>-5.7435992167441663E-3</v>
      </c>
      <c r="Y249" s="372">
        <f>S249/'2018'!S249-1</f>
        <v>-4.6856598073021782E-3</v>
      </c>
      <c r="Z249" s="373"/>
      <c r="AA249" s="374">
        <f t="shared" si="72"/>
        <v>1602.216107</v>
      </c>
      <c r="AB249" s="375"/>
      <c r="AC249" s="365"/>
      <c r="AD249" s="375">
        <f t="shared" si="74"/>
        <v>16539165.939999998</v>
      </c>
      <c r="AE249" s="348">
        <f t="shared" si="87"/>
        <v>151020.45000000001</v>
      </c>
      <c r="AF249" s="348">
        <f t="shared" si="87"/>
        <v>160719.97</v>
      </c>
      <c r="AG249" s="365">
        <f t="shared" si="76"/>
        <v>205264.4499999973</v>
      </c>
      <c r="AH249" s="357"/>
      <c r="AI249" s="358"/>
      <c r="AJ249" s="358"/>
      <c r="AK249" s="358"/>
      <c r="AL249" s="358"/>
      <c r="AM249" s="358"/>
      <c r="AN249" s="358"/>
      <c r="AO249" s="358"/>
      <c r="AP249" s="358"/>
      <c r="AQ249" s="358"/>
      <c r="AR249" s="358"/>
      <c r="AS249" s="358"/>
      <c r="AT249" s="358"/>
      <c r="AU249" s="358"/>
      <c r="AV249" s="358"/>
      <c r="AW249" s="358"/>
      <c r="AX249" s="358"/>
      <c r="AY249" s="358"/>
      <c r="AZ249" s="358"/>
      <c r="BA249" s="358"/>
      <c r="BB249" s="358"/>
      <c r="BC249" s="358"/>
    </row>
    <row r="250" spans="1:55" s="376" customFormat="1" ht="15" customHeight="1" x14ac:dyDescent="0.15">
      <c r="A250" s="377">
        <v>42980</v>
      </c>
      <c r="B250" s="457" t="s">
        <v>34</v>
      </c>
      <c r="C250" s="361"/>
      <c r="D250" s="348"/>
      <c r="E250" s="348"/>
      <c r="F250" s="362"/>
      <c r="G250" s="348"/>
      <c r="H250" s="363"/>
      <c r="I250" s="363"/>
      <c r="J250" s="364">
        <f t="shared" si="71"/>
        <v>0</v>
      </c>
      <c r="K250" s="348"/>
      <c r="L250" s="348"/>
      <c r="M250" s="365">
        <f t="shared" si="73"/>
        <v>0</v>
      </c>
      <c r="N250" s="366">
        <f t="shared" ref="N250:P265" si="93">C250+N249</f>
        <v>0</v>
      </c>
      <c r="O250" s="349">
        <f t="shared" si="93"/>
        <v>0</v>
      </c>
      <c r="P250" s="353">
        <f t="shared" si="93"/>
        <v>0</v>
      </c>
      <c r="Q250" s="368">
        <f>Q$248+N250</f>
        <v>16022161.07</v>
      </c>
      <c r="R250" s="367">
        <f t="shared" si="92"/>
        <v>9292029.8000000007</v>
      </c>
      <c r="S250" s="369">
        <f t="shared" si="92"/>
        <v>25831195.739999998</v>
      </c>
      <c r="T250" s="370">
        <f>N250/'2018'!N250-1</f>
        <v>-1</v>
      </c>
      <c r="U250" s="371">
        <f>O250/'2018'!O250-1</f>
        <v>-1</v>
      </c>
      <c r="V250" s="371">
        <f>P250/'2018'!P250-1</f>
        <v>-1</v>
      </c>
      <c r="W250" s="371">
        <f>Q250/'2018'!Q250-1</f>
        <v>-8.0675576738514776E-3</v>
      </c>
      <c r="X250" s="371">
        <f>R250/'2018'!R250-1</f>
        <v>-1.1336714014676397E-2</v>
      </c>
      <c r="Y250" s="372">
        <f>S250/'2018'!S250-1</f>
        <v>-9.3230542833612207E-3</v>
      </c>
      <c r="Z250" s="373"/>
      <c r="AA250" s="374">
        <f t="shared" si="72"/>
        <v>1602.216107</v>
      </c>
      <c r="AB250" s="375"/>
      <c r="AC250" s="365"/>
      <c r="AD250" s="375">
        <f t="shared" si="74"/>
        <v>16539165.939999998</v>
      </c>
      <c r="AE250" s="348">
        <f t="shared" si="87"/>
        <v>151020.45000000001</v>
      </c>
      <c r="AF250" s="348">
        <f t="shared" si="87"/>
        <v>160719.97</v>
      </c>
      <c r="AG250" s="365">
        <f t="shared" si="76"/>
        <v>205264.4499999973</v>
      </c>
      <c r="AH250" s="357"/>
      <c r="AI250" s="358"/>
      <c r="AJ250" s="358"/>
      <c r="AK250" s="358"/>
      <c r="AL250" s="358"/>
      <c r="AM250" s="358"/>
      <c r="AN250" s="358"/>
      <c r="AO250" s="358"/>
      <c r="AP250" s="358"/>
      <c r="AQ250" s="358"/>
      <c r="AR250" s="358"/>
      <c r="AS250" s="358"/>
      <c r="AT250" s="358"/>
      <c r="AU250" s="358"/>
      <c r="AV250" s="358"/>
      <c r="AW250" s="358"/>
      <c r="AX250" s="358"/>
      <c r="AY250" s="358"/>
      <c r="AZ250" s="358"/>
      <c r="BA250" s="358"/>
      <c r="BB250" s="358"/>
      <c r="BC250" s="358"/>
    </row>
    <row r="251" spans="1:55" s="376" customFormat="1" ht="15" customHeight="1" x14ac:dyDescent="0.15">
      <c r="A251" s="377">
        <v>42981</v>
      </c>
      <c r="B251" s="457" t="s">
        <v>35</v>
      </c>
      <c r="C251" s="361"/>
      <c r="D251" s="348"/>
      <c r="E251" s="348"/>
      <c r="F251" s="362"/>
      <c r="G251" s="348"/>
      <c r="H251" s="363"/>
      <c r="I251" s="363"/>
      <c r="J251" s="364">
        <f t="shared" si="71"/>
        <v>0</v>
      </c>
      <c r="K251" s="348"/>
      <c r="L251" s="348"/>
      <c r="M251" s="365">
        <f t="shared" si="73"/>
        <v>0</v>
      </c>
      <c r="N251" s="366">
        <f t="shared" si="93"/>
        <v>0</v>
      </c>
      <c r="O251" s="349">
        <f t="shared" si="93"/>
        <v>0</v>
      </c>
      <c r="P251" s="353">
        <f t="shared" si="93"/>
        <v>0</v>
      </c>
      <c r="Q251" s="368">
        <f t="shared" si="92"/>
        <v>16022161.07</v>
      </c>
      <c r="R251" s="367">
        <f t="shared" si="92"/>
        <v>9292029.8000000007</v>
      </c>
      <c r="S251" s="369">
        <f t="shared" si="92"/>
        <v>25831195.739999998</v>
      </c>
      <c r="T251" s="370">
        <f>N251/'2018'!N251-1</f>
        <v>-1</v>
      </c>
      <c r="U251" s="371">
        <f>O251/'2018'!O251-1</f>
        <v>-1</v>
      </c>
      <c r="V251" s="371">
        <f>P251/'2018'!P251-1</f>
        <v>-1</v>
      </c>
      <c r="W251" s="371">
        <f>Q251/'2018'!Q251-1</f>
        <v>-1.2439244952562656E-2</v>
      </c>
      <c r="X251" s="371">
        <f>R251/'2018'!R251-1</f>
        <v>-1.7338131088026509E-2</v>
      </c>
      <c r="Y251" s="372">
        <f>S251/'2018'!S251-1</f>
        <v>-1.4331859506257816E-2</v>
      </c>
      <c r="Z251" s="373"/>
      <c r="AA251" s="374">
        <f t="shared" si="72"/>
        <v>1602.216107</v>
      </c>
      <c r="AB251" s="375"/>
      <c r="AC251" s="365"/>
      <c r="AD251" s="375">
        <f t="shared" si="74"/>
        <v>16539165.939999998</v>
      </c>
      <c r="AE251" s="348">
        <f t="shared" si="87"/>
        <v>151020.45000000001</v>
      </c>
      <c r="AF251" s="348">
        <f t="shared" si="87"/>
        <v>160719.97</v>
      </c>
      <c r="AG251" s="365">
        <f t="shared" si="76"/>
        <v>205264.4499999973</v>
      </c>
      <c r="AH251" s="357"/>
      <c r="AI251" s="358"/>
      <c r="AJ251" s="358"/>
      <c r="AK251" s="358"/>
      <c r="AL251" s="358"/>
      <c r="AM251" s="358"/>
      <c r="AN251" s="358"/>
      <c r="AO251" s="358"/>
      <c r="AP251" s="358"/>
      <c r="AQ251" s="358"/>
      <c r="AR251" s="358"/>
      <c r="AS251" s="358"/>
      <c r="AT251" s="358"/>
      <c r="AU251" s="358"/>
      <c r="AV251" s="358"/>
      <c r="AW251" s="358"/>
      <c r="AX251" s="358"/>
      <c r="AY251" s="358"/>
      <c r="AZ251" s="358"/>
      <c r="BA251" s="358"/>
      <c r="BB251" s="358"/>
      <c r="BC251" s="358"/>
    </row>
    <row r="252" spans="1:55" s="376" customFormat="1" ht="15" customHeight="1" x14ac:dyDescent="0.15">
      <c r="A252" s="377">
        <v>42982</v>
      </c>
      <c r="B252" s="457" t="s">
        <v>36</v>
      </c>
      <c r="C252" s="361"/>
      <c r="D252" s="348"/>
      <c r="E252" s="348"/>
      <c r="F252" s="362"/>
      <c r="G252" s="348"/>
      <c r="H252" s="363"/>
      <c r="I252" s="363"/>
      <c r="J252" s="364">
        <f t="shared" si="71"/>
        <v>0</v>
      </c>
      <c r="K252" s="348"/>
      <c r="L252" s="348"/>
      <c r="M252" s="365">
        <f t="shared" si="73"/>
        <v>0</v>
      </c>
      <c r="N252" s="366">
        <f t="shared" si="93"/>
        <v>0</v>
      </c>
      <c r="O252" s="349">
        <f t="shared" si="93"/>
        <v>0</v>
      </c>
      <c r="P252" s="353">
        <f t="shared" si="93"/>
        <v>0</v>
      </c>
      <c r="Q252" s="368">
        <f t="shared" si="92"/>
        <v>16022161.07</v>
      </c>
      <c r="R252" s="367">
        <f t="shared" si="92"/>
        <v>9292029.8000000007</v>
      </c>
      <c r="S252" s="369">
        <f t="shared" si="92"/>
        <v>25831195.739999998</v>
      </c>
      <c r="T252" s="370">
        <f>N252/'2018'!N252-1</f>
        <v>-1</v>
      </c>
      <c r="U252" s="371">
        <f>O252/'2018'!O252-1</f>
        <v>-1</v>
      </c>
      <c r="V252" s="371">
        <f>P252/'2018'!P252-1</f>
        <v>-1</v>
      </c>
      <c r="W252" s="371">
        <f>Q252/'2018'!Q252-1</f>
        <v>-1.6500732175065091E-2</v>
      </c>
      <c r="X252" s="371">
        <f>R252/'2018'!R252-1</f>
        <v>-2.3587761672281493E-2</v>
      </c>
      <c r="Y252" s="372">
        <f>S252/'2018'!S252-1</f>
        <v>-1.9246854616444597E-2</v>
      </c>
      <c r="Z252" s="373"/>
      <c r="AA252" s="374">
        <f t="shared" si="72"/>
        <v>1602.216107</v>
      </c>
      <c r="AB252" s="375"/>
      <c r="AC252" s="365"/>
      <c r="AD252" s="375">
        <f t="shared" si="74"/>
        <v>16539165.939999998</v>
      </c>
      <c r="AE252" s="348">
        <f t="shared" si="87"/>
        <v>151020.45000000001</v>
      </c>
      <c r="AF252" s="348">
        <f t="shared" si="87"/>
        <v>160719.97</v>
      </c>
      <c r="AG252" s="365">
        <f t="shared" si="76"/>
        <v>205264.4499999973</v>
      </c>
      <c r="AH252" s="357"/>
      <c r="AI252" s="358"/>
      <c r="AJ252" s="358"/>
      <c r="AK252" s="358"/>
      <c r="AL252" s="358"/>
      <c r="AM252" s="358"/>
      <c r="AN252" s="358"/>
      <c r="AO252" s="358"/>
      <c r="AP252" s="358"/>
      <c r="AQ252" s="358"/>
      <c r="AR252" s="358"/>
      <c r="AS252" s="358"/>
      <c r="AT252" s="358"/>
      <c r="AU252" s="358"/>
      <c r="AV252" s="358"/>
      <c r="AW252" s="358"/>
      <c r="AX252" s="358"/>
      <c r="AY252" s="358"/>
      <c r="AZ252" s="358"/>
      <c r="BA252" s="358"/>
      <c r="BB252" s="358"/>
      <c r="BC252" s="358"/>
    </row>
    <row r="253" spans="1:55" s="376" customFormat="1" ht="15" customHeight="1" x14ac:dyDescent="0.15">
      <c r="A253" s="377">
        <v>42983</v>
      </c>
      <c r="B253" s="182" t="s">
        <v>37</v>
      </c>
      <c r="C253" s="361"/>
      <c r="D253" s="348"/>
      <c r="E253" s="348"/>
      <c r="F253" s="362"/>
      <c r="G253" s="348"/>
      <c r="H253" s="363"/>
      <c r="I253" s="363"/>
      <c r="J253" s="364">
        <f t="shared" si="71"/>
        <v>0</v>
      </c>
      <c r="K253" s="348"/>
      <c r="L253" s="348"/>
      <c r="M253" s="365">
        <f t="shared" si="73"/>
        <v>0</v>
      </c>
      <c r="N253" s="366">
        <f t="shared" si="93"/>
        <v>0</v>
      </c>
      <c r="O253" s="349">
        <f t="shared" si="93"/>
        <v>0</v>
      </c>
      <c r="P253" s="353">
        <f t="shared" si="93"/>
        <v>0</v>
      </c>
      <c r="Q253" s="368">
        <f t="shared" si="92"/>
        <v>16022161.07</v>
      </c>
      <c r="R253" s="367">
        <f t="shared" si="92"/>
        <v>9292029.8000000007</v>
      </c>
      <c r="S253" s="369">
        <f t="shared" si="92"/>
        <v>25831195.739999998</v>
      </c>
      <c r="T253" s="370">
        <f>N253/'2018'!N253-1</f>
        <v>-1</v>
      </c>
      <c r="U253" s="371">
        <f>O253/'2018'!O253-1</f>
        <v>-1</v>
      </c>
      <c r="V253" s="371">
        <f>P253/'2018'!P253-1</f>
        <v>-1</v>
      </c>
      <c r="W253" s="371">
        <f>Q253/'2018'!Q253-1</f>
        <v>-2.0271289460391473E-2</v>
      </c>
      <c r="X253" s="371">
        <f>R253/'2018'!R253-1</f>
        <v>-2.9772381070439558E-2</v>
      </c>
      <c r="Y253" s="372">
        <f>S253/'2018'!S253-1</f>
        <v>-2.3979926060731516E-2</v>
      </c>
      <c r="Z253" s="373"/>
      <c r="AA253" s="374">
        <f t="shared" si="72"/>
        <v>1602.216107</v>
      </c>
      <c r="AB253" s="375"/>
      <c r="AC253" s="365"/>
      <c r="AD253" s="375">
        <f t="shared" si="74"/>
        <v>16539165.939999998</v>
      </c>
      <c r="AE253" s="348">
        <f t="shared" si="87"/>
        <v>151020.45000000001</v>
      </c>
      <c r="AF253" s="348">
        <f t="shared" si="87"/>
        <v>160719.97</v>
      </c>
      <c r="AG253" s="365">
        <f t="shared" si="76"/>
        <v>205264.4499999973</v>
      </c>
      <c r="AH253" s="357"/>
      <c r="AI253" s="358"/>
      <c r="AJ253" s="358"/>
      <c r="AK253" s="358"/>
      <c r="AL253" s="358"/>
      <c r="AM253" s="358"/>
      <c r="AN253" s="358"/>
      <c r="AO253" s="358"/>
      <c r="AP253" s="358"/>
      <c r="AQ253" s="358"/>
      <c r="AR253" s="358"/>
      <c r="AS253" s="358"/>
      <c r="AT253" s="358"/>
      <c r="AU253" s="358"/>
      <c r="AV253" s="358"/>
      <c r="AW253" s="358"/>
      <c r="AX253" s="358"/>
      <c r="AY253" s="358"/>
      <c r="AZ253" s="358"/>
      <c r="BA253" s="358"/>
      <c r="BB253" s="358"/>
      <c r="BC253" s="358"/>
    </row>
    <row r="254" spans="1:55" s="376" customFormat="1" ht="15" customHeight="1" x14ac:dyDescent="0.15">
      <c r="A254" s="377">
        <v>42984</v>
      </c>
      <c r="B254" s="457" t="s">
        <v>38</v>
      </c>
      <c r="C254" s="361"/>
      <c r="D254" s="348"/>
      <c r="E254" s="348"/>
      <c r="F254" s="362"/>
      <c r="G254" s="348"/>
      <c r="H254" s="363"/>
      <c r="I254" s="363"/>
      <c r="J254" s="364">
        <f t="shared" si="71"/>
        <v>0</v>
      </c>
      <c r="K254" s="348"/>
      <c r="L254" s="348"/>
      <c r="M254" s="365">
        <f t="shared" si="73"/>
        <v>0</v>
      </c>
      <c r="N254" s="366">
        <f t="shared" si="93"/>
        <v>0</v>
      </c>
      <c r="O254" s="349">
        <f t="shared" si="93"/>
        <v>0</v>
      </c>
      <c r="P254" s="353">
        <f t="shared" si="93"/>
        <v>0</v>
      </c>
      <c r="Q254" s="368">
        <f t="shared" si="92"/>
        <v>16022161.07</v>
      </c>
      <c r="R254" s="367">
        <f t="shared" si="92"/>
        <v>9292029.8000000007</v>
      </c>
      <c r="S254" s="369">
        <f t="shared" si="92"/>
        <v>25831195.739999998</v>
      </c>
      <c r="T254" s="370">
        <f>N254/'2018'!N254-1</f>
        <v>-1</v>
      </c>
      <c r="U254" s="371">
        <f>O254/'2018'!O254-1</f>
        <v>-1</v>
      </c>
      <c r="V254" s="371">
        <f>P254/'2018'!P254-1</f>
        <v>-1</v>
      </c>
      <c r="W254" s="371">
        <f>Q254/'2018'!Q254-1</f>
        <v>-2.4565043195252656E-2</v>
      </c>
      <c r="X254" s="371">
        <f>R254/'2018'!R254-1</f>
        <v>-3.545471095508379E-2</v>
      </c>
      <c r="Y254" s="372">
        <f>S254/'2018'!S254-1</f>
        <v>-2.8848043693140979E-2</v>
      </c>
      <c r="Z254" s="373"/>
      <c r="AA254" s="374">
        <f t="shared" si="72"/>
        <v>1602.216107</v>
      </c>
      <c r="AB254" s="375"/>
      <c r="AC254" s="365"/>
      <c r="AD254" s="375">
        <f t="shared" si="74"/>
        <v>16539165.939999998</v>
      </c>
      <c r="AE254" s="348">
        <f t="shared" si="87"/>
        <v>151020.45000000001</v>
      </c>
      <c r="AF254" s="348">
        <f t="shared" si="87"/>
        <v>160719.97</v>
      </c>
      <c r="AG254" s="365">
        <f t="shared" si="76"/>
        <v>205264.4499999973</v>
      </c>
      <c r="AH254" s="357"/>
      <c r="AI254" s="358"/>
      <c r="AJ254" s="358"/>
      <c r="AK254" s="358"/>
      <c r="AL254" s="358"/>
      <c r="AM254" s="358"/>
      <c r="AN254" s="358"/>
      <c r="AO254" s="358"/>
      <c r="AP254" s="358"/>
      <c r="AQ254" s="358"/>
      <c r="AR254" s="358"/>
      <c r="AS254" s="358"/>
      <c r="AT254" s="358"/>
      <c r="AU254" s="358"/>
      <c r="AV254" s="358"/>
      <c r="AW254" s="358"/>
      <c r="AX254" s="358"/>
      <c r="AY254" s="358"/>
      <c r="AZ254" s="358"/>
      <c r="BA254" s="358"/>
      <c r="BB254" s="358"/>
      <c r="BC254" s="358"/>
    </row>
    <row r="255" spans="1:55" s="376" customFormat="1" ht="15" customHeight="1" x14ac:dyDescent="0.15">
      <c r="A255" s="377">
        <v>42985</v>
      </c>
      <c r="B255" s="457" t="s">
        <v>39</v>
      </c>
      <c r="C255" s="361"/>
      <c r="D255" s="348"/>
      <c r="E255" s="348"/>
      <c r="F255" s="362"/>
      <c r="G255" s="348"/>
      <c r="H255" s="363"/>
      <c r="I255" s="363"/>
      <c r="J255" s="364">
        <f t="shared" si="71"/>
        <v>0</v>
      </c>
      <c r="K255" s="348"/>
      <c r="L255" s="348"/>
      <c r="M255" s="365">
        <f t="shared" si="73"/>
        <v>0</v>
      </c>
      <c r="N255" s="366">
        <f t="shared" si="93"/>
        <v>0</v>
      </c>
      <c r="O255" s="349">
        <f t="shared" si="93"/>
        <v>0</v>
      </c>
      <c r="P255" s="353">
        <f t="shared" si="93"/>
        <v>0</v>
      </c>
      <c r="Q255" s="368">
        <f t="shared" si="92"/>
        <v>16022161.07</v>
      </c>
      <c r="R255" s="367">
        <f t="shared" si="92"/>
        <v>9292029.8000000007</v>
      </c>
      <c r="S255" s="369">
        <f t="shared" si="92"/>
        <v>25831195.739999998</v>
      </c>
      <c r="T255" s="370">
        <f>N255/'2018'!N255-1</f>
        <v>-1</v>
      </c>
      <c r="U255" s="371">
        <f>O255/'2018'!O255-1</f>
        <v>-1</v>
      </c>
      <c r="V255" s="371">
        <f>P255/'2018'!P255-1</f>
        <v>-1</v>
      </c>
      <c r="W255" s="371">
        <f>Q255/'2018'!Q255-1</f>
        <v>-2.8218027910444032E-2</v>
      </c>
      <c r="X255" s="371">
        <f>R255/'2018'!R255-1</f>
        <v>-4.0814690493199302E-2</v>
      </c>
      <c r="Y255" s="372">
        <f>S255/'2018'!S255-1</f>
        <v>-3.3176891228827388E-2</v>
      </c>
      <c r="Z255" s="373"/>
      <c r="AA255" s="374">
        <f t="shared" si="72"/>
        <v>1602.216107</v>
      </c>
      <c r="AB255" s="375"/>
      <c r="AC255" s="365"/>
      <c r="AD255" s="375">
        <f t="shared" si="74"/>
        <v>16539165.939999998</v>
      </c>
      <c r="AE255" s="348">
        <f t="shared" si="87"/>
        <v>151020.45000000001</v>
      </c>
      <c r="AF255" s="348">
        <f t="shared" si="87"/>
        <v>160719.97</v>
      </c>
      <c r="AG255" s="365">
        <f t="shared" si="76"/>
        <v>205264.4499999973</v>
      </c>
      <c r="AH255" s="357"/>
      <c r="AI255" s="358"/>
      <c r="AJ255" s="358"/>
      <c r="AK255" s="358"/>
      <c r="AL255" s="358"/>
      <c r="AM255" s="358"/>
      <c r="AN255" s="358"/>
      <c r="AO255" s="358"/>
      <c r="AP255" s="358"/>
      <c r="AQ255" s="358"/>
      <c r="AR255" s="358"/>
      <c r="AS255" s="358"/>
      <c r="AT255" s="358"/>
      <c r="AU255" s="358"/>
      <c r="AV255" s="358"/>
      <c r="AW255" s="358"/>
      <c r="AX255" s="358"/>
      <c r="AY255" s="358"/>
      <c r="AZ255" s="358"/>
      <c r="BA255" s="358"/>
      <c r="BB255" s="358"/>
      <c r="BC255" s="358"/>
    </row>
    <row r="256" spans="1:55" s="376" customFormat="1" ht="15" customHeight="1" x14ac:dyDescent="0.15">
      <c r="A256" s="377">
        <v>42986</v>
      </c>
      <c r="B256" s="457" t="s">
        <v>1</v>
      </c>
      <c r="C256" s="361"/>
      <c r="D256" s="348"/>
      <c r="E256" s="348"/>
      <c r="F256" s="362"/>
      <c r="G256" s="348"/>
      <c r="H256" s="363"/>
      <c r="I256" s="363"/>
      <c r="J256" s="364">
        <f t="shared" si="71"/>
        <v>0</v>
      </c>
      <c r="K256" s="348"/>
      <c r="L256" s="348"/>
      <c r="M256" s="365">
        <f t="shared" si="73"/>
        <v>0</v>
      </c>
      <c r="N256" s="366">
        <f t="shared" si="93"/>
        <v>0</v>
      </c>
      <c r="O256" s="349">
        <f t="shared" si="93"/>
        <v>0</v>
      </c>
      <c r="P256" s="353">
        <f t="shared" si="93"/>
        <v>0</v>
      </c>
      <c r="Q256" s="368">
        <f t="shared" si="92"/>
        <v>16022161.07</v>
      </c>
      <c r="R256" s="367">
        <f t="shared" si="92"/>
        <v>9292029.8000000007</v>
      </c>
      <c r="S256" s="369">
        <f t="shared" si="92"/>
        <v>25831195.739999998</v>
      </c>
      <c r="T256" s="370">
        <f>N256/'2018'!N256-1</f>
        <v>-1</v>
      </c>
      <c r="U256" s="371">
        <f>O256/'2018'!O256-1</f>
        <v>-1</v>
      </c>
      <c r="V256" s="371">
        <f>P256/'2018'!P256-1</f>
        <v>-1</v>
      </c>
      <c r="W256" s="371">
        <f>Q256/'2018'!Q256-1</f>
        <v>-3.1046243511123839E-2</v>
      </c>
      <c r="X256" s="371">
        <f>R256/'2018'!R256-1</f>
        <v>-4.6053929318161324E-2</v>
      </c>
      <c r="Y256" s="372">
        <f>S256/'2018'!S256-1</f>
        <v>-3.6950207993355355E-2</v>
      </c>
      <c r="Z256" s="373"/>
      <c r="AA256" s="374">
        <f t="shared" si="72"/>
        <v>1602.216107</v>
      </c>
      <c r="AB256" s="375"/>
      <c r="AC256" s="365"/>
      <c r="AD256" s="375">
        <f t="shared" si="74"/>
        <v>16539165.939999998</v>
      </c>
      <c r="AE256" s="348">
        <f t="shared" si="87"/>
        <v>151020.45000000001</v>
      </c>
      <c r="AF256" s="348">
        <f t="shared" si="87"/>
        <v>160719.97</v>
      </c>
      <c r="AG256" s="365">
        <f t="shared" si="76"/>
        <v>205264.4499999973</v>
      </c>
      <c r="AH256" s="357"/>
      <c r="AI256" s="358"/>
      <c r="AJ256" s="358"/>
      <c r="AK256" s="358"/>
      <c r="AL256" s="358"/>
      <c r="AM256" s="358"/>
      <c r="AN256" s="358"/>
      <c r="AO256" s="358"/>
      <c r="AP256" s="358"/>
      <c r="AQ256" s="358"/>
      <c r="AR256" s="358"/>
      <c r="AS256" s="358"/>
      <c r="AT256" s="358"/>
      <c r="AU256" s="358"/>
      <c r="AV256" s="358"/>
      <c r="AW256" s="358"/>
      <c r="AX256" s="358"/>
      <c r="AY256" s="358"/>
      <c r="AZ256" s="358"/>
      <c r="BA256" s="358"/>
      <c r="BB256" s="358"/>
      <c r="BC256" s="358"/>
    </row>
    <row r="257" spans="1:55" s="376" customFormat="1" ht="15" customHeight="1" x14ac:dyDescent="0.15">
      <c r="A257" s="377">
        <v>42987</v>
      </c>
      <c r="B257" s="457" t="s">
        <v>34</v>
      </c>
      <c r="C257" s="361"/>
      <c r="D257" s="348"/>
      <c r="E257" s="348"/>
      <c r="F257" s="362"/>
      <c r="G257" s="348"/>
      <c r="H257" s="363"/>
      <c r="I257" s="363"/>
      <c r="J257" s="364">
        <f t="shared" si="71"/>
        <v>0</v>
      </c>
      <c r="K257" s="348"/>
      <c r="L257" s="348"/>
      <c r="M257" s="365">
        <f t="shared" si="73"/>
        <v>0</v>
      </c>
      <c r="N257" s="366">
        <f t="shared" si="93"/>
        <v>0</v>
      </c>
      <c r="O257" s="349">
        <f t="shared" si="93"/>
        <v>0</v>
      </c>
      <c r="P257" s="353">
        <f t="shared" si="93"/>
        <v>0</v>
      </c>
      <c r="Q257" s="368">
        <f t="shared" si="92"/>
        <v>16022161.07</v>
      </c>
      <c r="R257" s="367">
        <f t="shared" si="92"/>
        <v>9292029.8000000007</v>
      </c>
      <c r="S257" s="369">
        <f t="shared" si="92"/>
        <v>25831195.739999998</v>
      </c>
      <c r="T257" s="370">
        <f>N257/'2018'!N257-1</f>
        <v>-1</v>
      </c>
      <c r="U257" s="371">
        <f>O257/'2018'!O257-1</f>
        <v>-1</v>
      </c>
      <c r="V257" s="371">
        <f>P257/'2018'!P257-1</f>
        <v>-1</v>
      </c>
      <c r="W257" s="371">
        <f>Q257/'2018'!Q257-1</f>
        <v>-3.3486036279076759E-2</v>
      </c>
      <c r="X257" s="371">
        <f>R257/'2018'!R257-1</f>
        <v>-5.1122984993311027E-2</v>
      </c>
      <c r="Y257" s="372">
        <f>S257/'2018'!S257-1</f>
        <v>-4.0391731275385867E-2</v>
      </c>
      <c r="Z257" s="373"/>
      <c r="AA257" s="374">
        <f t="shared" si="72"/>
        <v>1602.216107</v>
      </c>
      <c r="AB257" s="375"/>
      <c r="AC257" s="365"/>
      <c r="AD257" s="375">
        <f t="shared" si="74"/>
        <v>16539165.939999998</v>
      </c>
      <c r="AE257" s="348">
        <f t="shared" si="87"/>
        <v>151020.45000000001</v>
      </c>
      <c r="AF257" s="348">
        <f t="shared" si="87"/>
        <v>160719.97</v>
      </c>
      <c r="AG257" s="365">
        <f t="shared" si="76"/>
        <v>205264.4499999973</v>
      </c>
      <c r="AH257" s="357"/>
      <c r="AI257" s="358"/>
      <c r="AJ257" s="358"/>
      <c r="AK257" s="358"/>
      <c r="AL257" s="358"/>
      <c r="AM257" s="358"/>
      <c r="AN257" s="358"/>
      <c r="AO257" s="358"/>
      <c r="AP257" s="358"/>
      <c r="AQ257" s="358"/>
      <c r="AR257" s="358"/>
      <c r="AS257" s="358"/>
      <c r="AT257" s="358"/>
      <c r="AU257" s="358"/>
      <c r="AV257" s="358"/>
      <c r="AW257" s="358"/>
      <c r="AX257" s="358"/>
      <c r="AY257" s="358"/>
      <c r="AZ257" s="358"/>
      <c r="BA257" s="358"/>
      <c r="BB257" s="358"/>
      <c r="BC257" s="358"/>
    </row>
    <row r="258" spans="1:55" s="376" customFormat="1" ht="15" customHeight="1" x14ac:dyDescent="0.15">
      <c r="A258" s="377">
        <v>42988</v>
      </c>
      <c r="B258" s="457" t="s">
        <v>35</v>
      </c>
      <c r="C258" s="361"/>
      <c r="D258" s="348"/>
      <c r="E258" s="348"/>
      <c r="F258" s="362"/>
      <c r="G258" s="348"/>
      <c r="H258" s="363"/>
      <c r="I258" s="363"/>
      <c r="J258" s="364">
        <f t="shared" si="71"/>
        <v>0</v>
      </c>
      <c r="K258" s="348"/>
      <c r="L258" s="348"/>
      <c r="M258" s="365">
        <f t="shared" si="73"/>
        <v>0</v>
      </c>
      <c r="N258" s="366">
        <f t="shared" si="93"/>
        <v>0</v>
      </c>
      <c r="O258" s="349">
        <f t="shared" si="93"/>
        <v>0</v>
      </c>
      <c r="P258" s="353">
        <f t="shared" si="93"/>
        <v>0</v>
      </c>
      <c r="Q258" s="368">
        <f t="shared" si="92"/>
        <v>16022161.07</v>
      </c>
      <c r="R258" s="367">
        <f t="shared" si="92"/>
        <v>9292029.8000000007</v>
      </c>
      <c r="S258" s="369">
        <f t="shared" si="92"/>
        <v>25831195.739999998</v>
      </c>
      <c r="T258" s="370">
        <f>N258/'2018'!N258-1</f>
        <v>-1</v>
      </c>
      <c r="U258" s="371">
        <f>O258/'2018'!O258-1</f>
        <v>-1</v>
      </c>
      <c r="V258" s="371">
        <f>P258/'2018'!P258-1</f>
        <v>-1</v>
      </c>
      <c r="W258" s="371">
        <f>Q258/'2018'!Q258-1</f>
        <v>-3.6267484842284148E-2</v>
      </c>
      <c r="X258" s="371">
        <f>R258/'2018'!R258-1</f>
        <v>-5.6285886691010756E-2</v>
      </c>
      <c r="Y258" s="372">
        <f>S258/'2018'!S258-1</f>
        <v>-4.4075515479954142E-2</v>
      </c>
      <c r="Z258" s="373"/>
      <c r="AA258" s="374">
        <f t="shared" si="72"/>
        <v>1602.216107</v>
      </c>
      <c r="AB258" s="375"/>
      <c r="AC258" s="365"/>
      <c r="AD258" s="375">
        <f t="shared" si="74"/>
        <v>16539165.939999998</v>
      </c>
      <c r="AE258" s="348">
        <f t="shared" si="87"/>
        <v>151020.45000000001</v>
      </c>
      <c r="AF258" s="348">
        <f t="shared" si="87"/>
        <v>160719.97</v>
      </c>
      <c r="AG258" s="365">
        <f t="shared" si="76"/>
        <v>205264.4499999973</v>
      </c>
      <c r="AH258" s="357"/>
      <c r="AI258" s="358"/>
      <c r="AJ258" s="358"/>
      <c r="AK258" s="358"/>
      <c r="AL258" s="358"/>
      <c r="AM258" s="358"/>
      <c r="AN258" s="358"/>
      <c r="AO258" s="358"/>
      <c r="AP258" s="358"/>
      <c r="AQ258" s="358"/>
      <c r="AR258" s="358"/>
      <c r="AS258" s="358"/>
      <c r="AT258" s="358"/>
      <c r="AU258" s="358"/>
      <c r="AV258" s="358"/>
      <c r="AW258" s="358"/>
      <c r="AX258" s="358"/>
      <c r="AY258" s="358"/>
      <c r="AZ258" s="358"/>
      <c r="BA258" s="358"/>
      <c r="BB258" s="358"/>
      <c r="BC258" s="358"/>
    </row>
    <row r="259" spans="1:55" s="376" customFormat="1" ht="15" customHeight="1" x14ac:dyDescent="0.15">
      <c r="A259" s="377">
        <v>42989</v>
      </c>
      <c r="B259" s="457" t="s">
        <v>36</v>
      </c>
      <c r="C259" s="361"/>
      <c r="D259" s="348"/>
      <c r="E259" s="348"/>
      <c r="F259" s="362"/>
      <c r="G259" s="348"/>
      <c r="H259" s="363"/>
      <c r="I259" s="363"/>
      <c r="J259" s="364">
        <f t="shared" si="71"/>
        <v>0</v>
      </c>
      <c r="K259" s="348"/>
      <c r="L259" s="348"/>
      <c r="M259" s="365">
        <f t="shared" si="73"/>
        <v>0</v>
      </c>
      <c r="N259" s="366">
        <f t="shared" si="93"/>
        <v>0</v>
      </c>
      <c r="O259" s="349">
        <f t="shared" si="93"/>
        <v>0</v>
      </c>
      <c r="P259" s="353">
        <f t="shared" si="93"/>
        <v>0</v>
      </c>
      <c r="Q259" s="368">
        <f t="shared" si="92"/>
        <v>16022161.07</v>
      </c>
      <c r="R259" s="367">
        <f t="shared" si="92"/>
        <v>9292029.8000000007</v>
      </c>
      <c r="S259" s="369">
        <f t="shared" si="92"/>
        <v>25831195.739999998</v>
      </c>
      <c r="T259" s="370">
        <f>N259/'2018'!N259-1</f>
        <v>-1</v>
      </c>
      <c r="U259" s="371">
        <f>O259/'2018'!O259-1</f>
        <v>-1</v>
      </c>
      <c r="V259" s="371">
        <f>P259/'2018'!P259-1</f>
        <v>-1</v>
      </c>
      <c r="W259" s="371">
        <f>Q259/'2018'!Q259-1</f>
        <v>-3.9166437420531941E-2</v>
      </c>
      <c r="X259" s="371">
        <f>R259/'2018'!R259-1</f>
        <v>-6.1442682007618932E-2</v>
      </c>
      <c r="Y259" s="372">
        <f>S259/'2018'!S259-1</f>
        <v>-4.7814598380740314E-2</v>
      </c>
      <c r="Z259" s="373"/>
      <c r="AA259" s="374">
        <f t="shared" si="72"/>
        <v>1602.216107</v>
      </c>
      <c r="AB259" s="375"/>
      <c r="AC259" s="365"/>
      <c r="AD259" s="375">
        <f t="shared" si="74"/>
        <v>16539165.939999998</v>
      </c>
      <c r="AE259" s="348">
        <f t="shared" si="87"/>
        <v>151020.45000000001</v>
      </c>
      <c r="AF259" s="348">
        <f t="shared" si="87"/>
        <v>160719.97</v>
      </c>
      <c r="AG259" s="365">
        <f t="shared" si="76"/>
        <v>205264.4499999973</v>
      </c>
      <c r="AH259" s="357"/>
      <c r="AI259" s="358"/>
      <c r="AJ259" s="358"/>
      <c r="AK259" s="358"/>
      <c r="AL259" s="358"/>
      <c r="AM259" s="358"/>
      <c r="AN259" s="358"/>
      <c r="AO259" s="358"/>
      <c r="AP259" s="358"/>
      <c r="AQ259" s="358"/>
      <c r="AR259" s="358"/>
      <c r="AS259" s="358"/>
      <c r="AT259" s="358"/>
      <c r="AU259" s="358"/>
      <c r="AV259" s="358"/>
      <c r="AW259" s="358"/>
      <c r="AX259" s="358"/>
      <c r="AY259" s="358"/>
      <c r="AZ259" s="358"/>
      <c r="BA259" s="358"/>
      <c r="BB259" s="358"/>
      <c r="BC259" s="358"/>
    </row>
    <row r="260" spans="1:55" s="376" customFormat="1" ht="15" customHeight="1" x14ac:dyDescent="0.15">
      <c r="A260" s="377">
        <v>42990</v>
      </c>
      <c r="B260" s="182" t="s">
        <v>37</v>
      </c>
      <c r="C260" s="361"/>
      <c r="D260" s="348"/>
      <c r="E260" s="348"/>
      <c r="F260" s="362"/>
      <c r="G260" s="348"/>
      <c r="H260" s="363"/>
      <c r="I260" s="363"/>
      <c r="J260" s="364">
        <f t="shared" si="71"/>
        <v>0</v>
      </c>
      <c r="K260" s="348"/>
      <c r="L260" s="348"/>
      <c r="M260" s="365">
        <f t="shared" si="73"/>
        <v>0</v>
      </c>
      <c r="N260" s="366">
        <f t="shared" si="93"/>
        <v>0</v>
      </c>
      <c r="O260" s="349">
        <f t="shared" si="93"/>
        <v>0</v>
      </c>
      <c r="P260" s="353">
        <f t="shared" si="93"/>
        <v>0</v>
      </c>
      <c r="Q260" s="368">
        <f t="shared" si="92"/>
        <v>16022161.07</v>
      </c>
      <c r="R260" s="367">
        <f t="shared" si="92"/>
        <v>9292029.8000000007</v>
      </c>
      <c r="S260" s="369">
        <f t="shared" si="92"/>
        <v>25831195.739999998</v>
      </c>
      <c r="T260" s="370">
        <f>N260/'2018'!N260-1</f>
        <v>-1</v>
      </c>
      <c r="U260" s="371">
        <f>O260/'2018'!O260-1</f>
        <v>-1</v>
      </c>
      <c r="V260" s="371">
        <f>P260/'2018'!P260-1</f>
        <v>-1</v>
      </c>
      <c r="W260" s="371">
        <f>Q260/'2018'!Q260-1</f>
        <v>-4.1969872226189753E-2</v>
      </c>
      <c r="X260" s="371">
        <f>R260/'2018'!R260-1</f>
        <v>-6.6678908682357374E-2</v>
      </c>
      <c r="Y260" s="372">
        <f>S260/'2018'!S260-1</f>
        <v>-5.1542653871582633E-2</v>
      </c>
      <c r="Z260" s="373"/>
      <c r="AA260" s="374">
        <f t="shared" si="72"/>
        <v>1602.216107</v>
      </c>
      <c r="AB260" s="375"/>
      <c r="AC260" s="365"/>
      <c r="AD260" s="375">
        <f t="shared" si="74"/>
        <v>16539165.939999998</v>
      </c>
      <c r="AE260" s="348">
        <f t="shared" si="87"/>
        <v>151020.45000000001</v>
      </c>
      <c r="AF260" s="348">
        <f t="shared" si="87"/>
        <v>160719.97</v>
      </c>
      <c r="AG260" s="365">
        <f t="shared" si="76"/>
        <v>205264.4499999973</v>
      </c>
      <c r="AH260" s="357"/>
      <c r="AI260" s="358"/>
      <c r="AJ260" s="358"/>
      <c r="AK260" s="358"/>
      <c r="AL260" s="358"/>
      <c r="AM260" s="358"/>
      <c r="AN260" s="358"/>
      <c r="AO260" s="358"/>
      <c r="AP260" s="358"/>
      <c r="AQ260" s="358"/>
      <c r="AR260" s="358"/>
      <c r="AS260" s="358"/>
      <c r="AT260" s="358"/>
      <c r="AU260" s="358"/>
      <c r="AV260" s="358"/>
      <c r="AW260" s="358"/>
      <c r="AX260" s="358"/>
      <c r="AY260" s="358"/>
      <c r="AZ260" s="358"/>
      <c r="BA260" s="358"/>
      <c r="BB260" s="358"/>
      <c r="BC260" s="358"/>
    </row>
    <row r="261" spans="1:55" s="376" customFormat="1" ht="15" customHeight="1" x14ac:dyDescent="0.15">
      <c r="A261" s="377">
        <v>42991</v>
      </c>
      <c r="B261" s="457" t="s">
        <v>38</v>
      </c>
      <c r="C261" s="361"/>
      <c r="D261" s="348"/>
      <c r="E261" s="348"/>
      <c r="F261" s="362"/>
      <c r="G261" s="348"/>
      <c r="H261" s="363"/>
      <c r="I261" s="363"/>
      <c r="J261" s="364">
        <f t="shared" ref="J261:J324" si="94">E261-D261</f>
        <v>0</v>
      </c>
      <c r="K261" s="348"/>
      <c r="L261" s="348"/>
      <c r="M261" s="365">
        <f t="shared" si="73"/>
        <v>0</v>
      </c>
      <c r="N261" s="366">
        <f t="shared" si="93"/>
        <v>0</v>
      </c>
      <c r="O261" s="349">
        <f t="shared" si="93"/>
        <v>0</v>
      </c>
      <c r="P261" s="353">
        <f t="shared" si="93"/>
        <v>0</v>
      </c>
      <c r="Q261" s="368">
        <f t="shared" si="92"/>
        <v>16022161.07</v>
      </c>
      <c r="R261" s="367">
        <f t="shared" si="92"/>
        <v>9292029.8000000007</v>
      </c>
      <c r="S261" s="369">
        <f t="shared" si="92"/>
        <v>25831195.739999998</v>
      </c>
      <c r="T261" s="370">
        <f>N261/'2018'!N261-1</f>
        <v>-1</v>
      </c>
      <c r="U261" s="371">
        <f>O261/'2018'!O261-1</f>
        <v>-1</v>
      </c>
      <c r="V261" s="371">
        <f>P261/'2018'!P261-1</f>
        <v>-1</v>
      </c>
      <c r="W261" s="371">
        <f>Q261/'2018'!Q261-1</f>
        <v>-4.4844408247406764E-2</v>
      </c>
      <c r="X261" s="371">
        <f>R261/'2018'!R261-1</f>
        <v>-7.1885216021918663E-2</v>
      </c>
      <c r="Y261" s="372">
        <f>S261/'2018'!S261-1</f>
        <v>-5.5405940318518088E-2</v>
      </c>
      <c r="Z261" s="373"/>
      <c r="AA261" s="374">
        <f t="shared" ref="AA261:AA324" si="95">Q261/10000-Z261</f>
        <v>1602.216107</v>
      </c>
      <c r="AB261" s="375"/>
      <c r="AC261" s="365"/>
      <c r="AD261" s="375">
        <f t="shared" si="74"/>
        <v>16539165.939999998</v>
      </c>
      <c r="AE261" s="348">
        <f t="shared" si="87"/>
        <v>151020.45000000001</v>
      </c>
      <c r="AF261" s="348">
        <f t="shared" si="87"/>
        <v>160719.97</v>
      </c>
      <c r="AG261" s="365">
        <f t="shared" si="76"/>
        <v>205264.4499999973</v>
      </c>
      <c r="AH261" s="357"/>
      <c r="AI261" s="358"/>
      <c r="AJ261" s="358"/>
      <c r="AK261" s="358"/>
      <c r="AL261" s="358"/>
      <c r="AM261" s="358"/>
      <c r="AN261" s="358"/>
      <c r="AO261" s="358"/>
      <c r="AP261" s="358"/>
      <c r="AQ261" s="358"/>
      <c r="AR261" s="358"/>
      <c r="AS261" s="358"/>
      <c r="AT261" s="358"/>
      <c r="AU261" s="358"/>
      <c r="AV261" s="358"/>
      <c r="AW261" s="358"/>
      <c r="AX261" s="358"/>
      <c r="AY261" s="358"/>
      <c r="AZ261" s="358"/>
      <c r="BA261" s="358"/>
      <c r="BB261" s="358"/>
      <c r="BC261" s="358"/>
    </row>
    <row r="262" spans="1:55" s="376" customFormat="1" ht="15" customHeight="1" x14ac:dyDescent="0.15">
      <c r="A262" s="377">
        <v>42992</v>
      </c>
      <c r="B262" s="457" t="s">
        <v>39</v>
      </c>
      <c r="C262" s="361"/>
      <c r="D262" s="348"/>
      <c r="E262" s="348"/>
      <c r="F262" s="362"/>
      <c r="G262" s="348"/>
      <c r="H262" s="363"/>
      <c r="I262" s="363"/>
      <c r="J262" s="364">
        <f t="shared" si="94"/>
        <v>0</v>
      </c>
      <c r="K262" s="348"/>
      <c r="L262" s="348"/>
      <c r="M262" s="365">
        <f t="shared" ref="M262:M325" si="96">J262-K262-L262-C262</f>
        <v>0</v>
      </c>
      <c r="N262" s="366">
        <f t="shared" si="93"/>
        <v>0</v>
      </c>
      <c r="O262" s="349">
        <f t="shared" si="93"/>
        <v>0</v>
      </c>
      <c r="P262" s="353">
        <f t="shared" si="93"/>
        <v>0</v>
      </c>
      <c r="Q262" s="368">
        <f t="shared" si="92"/>
        <v>16022161.07</v>
      </c>
      <c r="R262" s="367">
        <f t="shared" si="92"/>
        <v>9292029.8000000007</v>
      </c>
      <c r="S262" s="369">
        <f t="shared" si="92"/>
        <v>25831195.739999998</v>
      </c>
      <c r="T262" s="370">
        <f>N262/'2018'!N262-1</f>
        <v>-1</v>
      </c>
      <c r="U262" s="371">
        <f>O262/'2018'!O262-1</f>
        <v>-1</v>
      </c>
      <c r="V262" s="371">
        <f>P262/'2018'!P262-1</f>
        <v>-1</v>
      </c>
      <c r="W262" s="371">
        <f>Q262/'2018'!Q262-1</f>
        <v>-4.789924285795244E-2</v>
      </c>
      <c r="X262" s="371">
        <f>R262/'2018'!R262-1</f>
        <v>-7.6977651487428078E-2</v>
      </c>
      <c r="Y262" s="372">
        <f>S262/'2018'!S262-1</f>
        <v>-5.9425087931326726E-2</v>
      </c>
      <c r="Z262" s="373"/>
      <c r="AA262" s="374">
        <f t="shared" si="95"/>
        <v>1602.216107</v>
      </c>
      <c r="AB262" s="375"/>
      <c r="AC262" s="365"/>
      <c r="AD262" s="375">
        <f t="shared" ref="AD262:AD325" si="97">S262-R262</f>
        <v>16539165.939999998</v>
      </c>
      <c r="AE262" s="348">
        <f t="shared" si="87"/>
        <v>151020.45000000001</v>
      </c>
      <c r="AF262" s="348">
        <f t="shared" si="87"/>
        <v>160719.97</v>
      </c>
      <c r="AG262" s="365">
        <f t="shared" si="76"/>
        <v>205264.4499999973</v>
      </c>
      <c r="AH262" s="357"/>
      <c r="AI262" s="358"/>
      <c r="AJ262" s="358"/>
      <c r="AK262" s="358"/>
      <c r="AL262" s="358"/>
      <c r="AM262" s="358"/>
      <c r="AN262" s="358"/>
      <c r="AO262" s="358"/>
      <c r="AP262" s="358"/>
      <c r="AQ262" s="358"/>
      <c r="AR262" s="358"/>
      <c r="AS262" s="358"/>
      <c r="AT262" s="358"/>
      <c r="AU262" s="358"/>
      <c r="AV262" s="358"/>
      <c r="AW262" s="358"/>
      <c r="AX262" s="358"/>
      <c r="AY262" s="358"/>
      <c r="AZ262" s="358"/>
      <c r="BA262" s="358"/>
      <c r="BB262" s="358"/>
      <c r="BC262" s="358"/>
    </row>
    <row r="263" spans="1:55" s="376" customFormat="1" ht="15" customHeight="1" x14ac:dyDescent="0.15">
      <c r="A263" s="377">
        <v>42993</v>
      </c>
      <c r="B263" s="457" t="s">
        <v>1</v>
      </c>
      <c r="C263" s="361"/>
      <c r="D263" s="348"/>
      <c r="E263" s="348"/>
      <c r="F263" s="362"/>
      <c r="G263" s="348"/>
      <c r="H263" s="363"/>
      <c r="I263" s="363"/>
      <c r="J263" s="364">
        <f t="shared" si="94"/>
        <v>0</v>
      </c>
      <c r="K263" s="348"/>
      <c r="L263" s="348"/>
      <c r="M263" s="365">
        <f t="shared" si="96"/>
        <v>0</v>
      </c>
      <c r="N263" s="366">
        <f t="shared" si="93"/>
        <v>0</v>
      </c>
      <c r="O263" s="349">
        <f t="shared" si="93"/>
        <v>0</v>
      </c>
      <c r="P263" s="353">
        <f t="shared" si="93"/>
        <v>0</v>
      </c>
      <c r="Q263" s="368">
        <f t="shared" si="92"/>
        <v>16022161.07</v>
      </c>
      <c r="R263" s="367">
        <f t="shared" si="92"/>
        <v>9292029.8000000007</v>
      </c>
      <c r="S263" s="369">
        <f t="shared" si="92"/>
        <v>25831195.739999998</v>
      </c>
      <c r="T263" s="370">
        <f>N263/'2018'!N263-1</f>
        <v>-1</v>
      </c>
      <c r="U263" s="371">
        <f>O263/'2018'!O263-1</f>
        <v>-1</v>
      </c>
      <c r="V263" s="371">
        <f>P263/'2018'!P263-1</f>
        <v>-1</v>
      </c>
      <c r="W263" s="371">
        <f>Q263/'2018'!Q263-1</f>
        <v>-5.0894121167259998E-2</v>
      </c>
      <c r="X263" s="371">
        <f>R263/'2018'!R263-1</f>
        <v>-8.2143905821549734E-2</v>
      </c>
      <c r="Y263" s="372">
        <f>S263/'2018'!S263-1</f>
        <v>-6.3447939198521985E-2</v>
      </c>
      <c r="Z263" s="373"/>
      <c r="AA263" s="374">
        <f t="shared" si="95"/>
        <v>1602.216107</v>
      </c>
      <c r="AB263" s="375"/>
      <c r="AC263" s="365"/>
      <c r="AD263" s="375">
        <f t="shared" si="97"/>
        <v>16539165.939999998</v>
      </c>
      <c r="AE263" s="348">
        <f t="shared" ref="AE263:AF278" si="98">AE262+K263</f>
        <v>151020.45000000001</v>
      </c>
      <c r="AF263" s="348">
        <f t="shared" si="98"/>
        <v>160719.97</v>
      </c>
      <c r="AG263" s="365">
        <f t="shared" ref="AG263:AG326" si="99">AD263-Q263-AE263-AF263</f>
        <v>205264.4499999973</v>
      </c>
      <c r="AH263" s="357"/>
      <c r="AI263" s="358"/>
      <c r="AJ263" s="358"/>
      <c r="AK263" s="358"/>
      <c r="AL263" s="358"/>
      <c r="AM263" s="358"/>
      <c r="AN263" s="358"/>
      <c r="AO263" s="358"/>
      <c r="AP263" s="358"/>
      <c r="AQ263" s="358"/>
      <c r="AR263" s="358"/>
      <c r="AS263" s="358"/>
      <c r="AT263" s="358"/>
      <c r="AU263" s="358"/>
      <c r="AV263" s="358"/>
      <c r="AW263" s="358"/>
      <c r="AX263" s="358"/>
      <c r="AY263" s="358"/>
      <c r="AZ263" s="358"/>
      <c r="BA263" s="358"/>
      <c r="BB263" s="358"/>
      <c r="BC263" s="358"/>
    </row>
    <row r="264" spans="1:55" s="376" customFormat="1" ht="15" customHeight="1" x14ac:dyDescent="0.15">
      <c r="A264" s="377">
        <v>42994</v>
      </c>
      <c r="B264" s="457" t="s">
        <v>34</v>
      </c>
      <c r="C264" s="361"/>
      <c r="D264" s="348"/>
      <c r="E264" s="348"/>
      <c r="F264" s="362"/>
      <c r="G264" s="348"/>
      <c r="H264" s="363"/>
      <c r="I264" s="363"/>
      <c r="J264" s="364">
        <f t="shared" si="94"/>
        <v>0</v>
      </c>
      <c r="K264" s="348"/>
      <c r="L264" s="348"/>
      <c r="M264" s="365">
        <f t="shared" si="96"/>
        <v>0</v>
      </c>
      <c r="N264" s="366">
        <f t="shared" si="93"/>
        <v>0</v>
      </c>
      <c r="O264" s="349">
        <f t="shared" si="93"/>
        <v>0</v>
      </c>
      <c r="P264" s="353">
        <f t="shared" si="93"/>
        <v>0</v>
      </c>
      <c r="Q264" s="368">
        <f t="shared" si="92"/>
        <v>16022161.07</v>
      </c>
      <c r="R264" s="367">
        <f t="shared" si="92"/>
        <v>9292029.8000000007</v>
      </c>
      <c r="S264" s="369">
        <f t="shared" si="92"/>
        <v>25831195.739999998</v>
      </c>
      <c r="T264" s="370">
        <f>N264/'2018'!N264-1</f>
        <v>-1</v>
      </c>
      <c r="U264" s="371">
        <f>O264/'2018'!O264-1</f>
        <v>-1</v>
      </c>
      <c r="V264" s="371">
        <f>P264/'2018'!P264-1</f>
        <v>-1</v>
      </c>
      <c r="W264" s="371">
        <f>Q264/'2018'!Q264-1</f>
        <v>-5.3732421477986958E-2</v>
      </c>
      <c r="X264" s="371">
        <f>R264/'2018'!R264-1</f>
        <v>-8.7058767446042684E-2</v>
      </c>
      <c r="Y264" s="372">
        <f>S264/'2018'!S264-1</f>
        <v>-6.7288667525760792E-2</v>
      </c>
      <c r="Z264" s="373"/>
      <c r="AA264" s="374">
        <f t="shared" si="95"/>
        <v>1602.216107</v>
      </c>
      <c r="AB264" s="375"/>
      <c r="AC264" s="365"/>
      <c r="AD264" s="375">
        <f t="shared" si="97"/>
        <v>16539165.939999998</v>
      </c>
      <c r="AE264" s="348">
        <f t="shared" si="98"/>
        <v>151020.45000000001</v>
      </c>
      <c r="AF264" s="348">
        <f t="shared" si="98"/>
        <v>160719.97</v>
      </c>
      <c r="AG264" s="365">
        <f t="shared" si="99"/>
        <v>205264.4499999973</v>
      </c>
      <c r="AH264" s="357"/>
      <c r="AI264" s="358"/>
      <c r="AJ264" s="358"/>
      <c r="AK264" s="358"/>
      <c r="AL264" s="358"/>
      <c r="AM264" s="358"/>
      <c r="AN264" s="358"/>
      <c r="AO264" s="358"/>
      <c r="AP264" s="358"/>
      <c r="AQ264" s="358"/>
      <c r="AR264" s="358"/>
      <c r="AS264" s="358"/>
      <c r="AT264" s="358"/>
      <c r="AU264" s="358"/>
      <c r="AV264" s="358"/>
      <c r="AW264" s="358"/>
      <c r="AX264" s="358"/>
      <c r="AY264" s="358"/>
      <c r="AZ264" s="358"/>
      <c r="BA264" s="358"/>
      <c r="BB264" s="358"/>
      <c r="BC264" s="358"/>
    </row>
    <row r="265" spans="1:55" s="376" customFormat="1" ht="15" customHeight="1" x14ac:dyDescent="0.15">
      <c r="A265" s="377">
        <v>42995</v>
      </c>
      <c r="B265" s="457" t="s">
        <v>35</v>
      </c>
      <c r="C265" s="361"/>
      <c r="D265" s="348"/>
      <c r="E265" s="348"/>
      <c r="F265" s="362"/>
      <c r="G265" s="348"/>
      <c r="H265" s="363"/>
      <c r="I265" s="363"/>
      <c r="J265" s="364">
        <f t="shared" si="94"/>
        <v>0</v>
      </c>
      <c r="K265" s="348"/>
      <c r="L265" s="348"/>
      <c r="M265" s="365">
        <f t="shared" si="96"/>
        <v>0</v>
      </c>
      <c r="N265" s="366">
        <f t="shared" si="93"/>
        <v>0</v>
      </c>
      <c r="O265" s="349">
        <f t="shared" si="93"/>
        <v>0</v>
      </c>
      <c r="P265" s="353">
        <f t="shared" si="93"/>
        <v>0</v>
      </c>
      <c r="Q265" s="368">
        <f t="shared" ref="Q265:S277" si="100">Q$248+N265</f>
        <v>16022161.07</v>
      </c>
      <c r="R265" s="367">
        <f t="shared" si="100"/>
        <v>9292029.8000000007</v>
      </c>
      <c r="S265" s="369">
        <f t="shared" si="100"/>
        <v>25831195.739999998</v>
      </c>
      <c r="T265" s="370">
        <f>N265/'2018'!N265-1</f>
        <v>-1</v>
      </c>
      <c r="U265" s="371">
        <f>O265/'2018'!O265-1</f>
        <v>-1</v>
      </c>
      <c r="V265" s="371">
        <f>P265/'2018'!P265-1</f>
        <v>-1</v>
      </c>
      <c r="W265" s="371">
        <f>Q265/'2018'!Q265-1</f>
        <v>-5.6590627216589695E-2</v>
      </c>
      <c r="X265" s="371">
        <f>R265/'2018'!R265-1</f>
        <v>-9.1986673237071215E-2</v>
      </c>
      <c r="Y265" s="372">
        <f>S265/'2018'!S265-1</f>
        <v>-7.1130858171486344E-2</v>
      </c>
      <c r="Z265" s="373"/>
      <c r="AA265" s="374">
        <f t="shared" si="95"/>
        <v>1602.216107</v>
      </c>
      <c r="AB265" s="375"/>
      <c r="AC265" s="365"/>
      <c r="AD265" s="375">
        <f t="shared" si="97"/>
        <v>16539165.939999998</v>
      </c>
      <c r="AE265" s="348">
        <f t="shared" si="98"/>
        <v>151020.45000000001</v>
      </c>
      <c r="AF265" s="348">
        <f t="shared" si="98"/>
        <v>160719.97</v>
      </c>
      <c r="AG265" s="365">
        <f t="shared" si="99"/>
        <v>205264.4499999973</v>
      </c>
      <c r="AH265" s="357"/>
      <c r="AI265" s="358"/>
      <c r="AJ265" s="358"/>
      <c r="AK265" s="358"/>
      <c r="AL265" s="358"/>
      <c r="AM265" s="358"/>
      <c r="AN265" s="358"/>
      <c r="AO265" s="358"/>
      <c r="AP265" s="358"/>
      <c r="AQ265" s="358"/>
      <c r="AR265" s="358"/>
      <c r="AS265" s="358"/>
      <c r="AT265" s="358"/>
      <c r="AU265" s="358"/>
      <c r="AV265" s="358"/>
      <c r="AW265" s="358"/>
      <c r="AX265" s="358"/>
      <c r="AY265" s="358"/>
      <c r="AZ265" s="358"/>
      <c r="BA265" s="358"/>
      <c r="BB265" s="358"/>
      <c r="BC265" s="358"/>
    </row>
    <row r="266" spans="1:55" s="376" customFormat="1" ht="15" customHeight="1" x14ac:dyDescent="0.15">
      <c r="A266" s="377">
        <v>42996</v>
      </c>
      <c r="B266" s="457" t="s">
        <v>36</v>
      </c>
      <c r="C266" s="361"/>
      <c r="D266" s="348"/>
      <c r="E266" s="348"/>
      <c r="F266" s="362"/>
      <c r="G266" s="348"/>
      <c r="H266" s="363"/>
      <c r="I266" s="363"/>
      <c r="J266" s="364">
        <f t="shared" si="94"/>
        <v>0</v>
      </c>
      <c r="K266" s="348"/>
      <c r="L266" s="348"/>
      <c r="M266" s="365">
        <f t="shared" si="96"/>
        <v>0</v>
      </c>
      <c r="N266" s="366">
        <f t="shared" ref="N266:P277" si="101">C266+N265</f>
        <v>0</v>
      </c>
      <c r="O266" s="349">
        <f t="shared" si="101"/>
        <v>0</v>
      </c>
      <c r="P266" s="353">
        <f t="shared" si="101"/>
        <v>0</v>
      </c>
      <c r="Q266" s="368">
        <f t="shared" si="100"/>
        <v>16022161.07</v>
      </c>
      <c r="R266" s="367">
        <f t="shared" si="100"/>
        <v>9292029.8000000007</v>
      </c>
      <c r="S266" s="369">
        <f t="shared" si="100"/>
        <v>25831195.739999998</v>
      </c>
      <c r="T266" s="370">
        <f>N266/'2018'!N266-1</f>
        <v>-1</v>
      </c>
      <c r="U266" s="371">
        <f>O266/'2018'!O266-1</f>
        <v>-1</v>
      </c>
      <c r="V266" s="371">
        <f>P266/'2018'!P266-1</f>
        <v>-1</v>
      </c>
      <c r="W266" s="371">
        <f>Q266/'2018'!Q266-1</f>
        <v>-5.9596021009399758E-2</v>
      </c>
      <c r="X266" s="371">
        <f>R266/'2018'!R266-1</f>
        <v>-9.7052283575826293E-2</v>
      </c>
      <c r="Y266" s="372">
        <f>S266/'2018'!S266-1</f>
        <v>-7.5106636897473544E-2</v>
      </c>
      <c r="Z266" s="373"/>
      <c r="AA266" s="374">
        <f t="shared" si="95"/>
        <v>1602.216107</v>
      </c>
      <c r="AB266" s="375"/>
      <c r="AC266" s="365"/>
      <c r="AD266" s="375">
        <f t="shared" si="97"/>
        <v>16539165.939999998</v>
      </c>
      <c r="AE266" s="348">
        <f t="shared" si="98"/>
        <v>151020.45000000001</v>
      </c>
      <c r="AF266" s="348">
        <f t="shared" si="98"/>
        <v>160719.97</v>
      </c>
      <c r="AG266" s="365">
        <f t="shared" si="99"/>
        <v>205264.4499999973</v>
      </c>
      <c r="AH266" s="357"/>
      <c r="AI266" s="358"/>
      <c r="AJ266" s="358"/>
      <c r="AK266" s="358"/>
      <c r="AL266" s="358"/>
      <c r="AM266" s="358"/>
      <c r="AN266" s="358"/>
      <c r="AO266" s="358"/>
      <c r="AP266" s="358"/>
      <c r="AQ266" s="358"/>
      <c r="AR266" s="358"/>
      <c r="AS266" s="358"/>
      <c r="AT266" s="358"/>
      <c r="AU266" s="358"/>
      <c r="AV266" s="358"/>
      <c r="AW266" s="358"/>
      <c r="AX266" s="358"/>
      <c r="AY266" s="358"/>
      <c r="AZ266" s="358"/>
      <c r="BA266" s="358"/>
      <c r="BB266" s="358"/>
      <c r="BC266" s="358"/>
    </row>
    <row r="267" spans="1:55" s="376" customFormat="1" ht="15" customHeight="1" x14ac:dyDescent="0.15">
      <c r="A267" s="377">
        <v>42997</v>
      </c>
      <c r="B267" s="182" t="s">
        <v>37</v>
      </c>
      <c r="C267" s="361"/>
      <c r="D267" s="348"/>
      <c r="E267" s="348"/>
      <c r="F267" s="362"/>
      <c r="G267" s="348"/>
      <c r="H267" s="363"/>
      <c r="I267" s="363"/>
      <c r="J267" s="364">
        <f t="shared" si="94"/>
        <v>0</v>
      </c>
      <c r="K267" s="348"/>
      <c r="L267" s="348"/>
      <c r="M267" s="365">
        <f t="shared" si="96"/>
        <v>0</v>
      </c>
      <c r="N267" s="366">
        <f t="shared" si="101"/>
        <v>0</v>
      </c>
      <c r="O267" s="349">
        <f t="shared" si="101"/>
        <v>0</v>
      </c>
      <c r="P267" s="353">
        <f t="shared" si="101"/>
        <v>0</v>
      </c>
      <c r="Q267" s="368">
        <f t="shared" si="100"/>
        <v>16022161.07</v>
      </c>
      <c r="R267" s="367">
        <f t="shared" si="100"/>
        <v>9292029.8000000007</v>
      </c>
      <c r="S267" s="369">
        <f t="shared" si="100"/>
        <v>25831195.739999998</v>
      </c>
      <c r="T267" s="370">
        <f>N267/'2018'!N267-1</f>
        <v>-1</v>
      </c>
      <c r="U267" s="371">
        <f>O267/'2018'!O267-1</f>
        <v>-1</v>
      </c>
      <c r="V267" s="371">
        <f>P267/'2018'!P267-1</f>
        <v>-1</v>
      </c>
      <c r="W267" s="371">
        <f>Q267/'2018'!Q267-1</f>
        <v>-6.3052670014952517E-2</v>
      </c>
      <c r="X267" s="371">
        <f>R267/'2018'!R267-1</f>
        <v>-0.10191996562950867</v>
      </c>
      <c r="Y267" s="372">
        <f>S267/'2018'!S267-1</f>
        <v>-7.9242536519213091E-2</v>
      </c>
      <c r="Z267" s="373"/>
      <c r="AA267" s="374">
        <f t="shared" si="95"/>
        <v>1602.216107</v>
      </c>
      <c r="AB267" s="375"/>
      <c r="AC267" s="365"/>
      <c r="AD267" s="375">
        <f t="shared" si="97"/>
        <v>16539165.939999998</v>
      </c>
      <c r="AE267" s="348">
        <f t="shared" si="98"/>
        <v>151020.45000000001</v>
      </c>
      <c r="AF267" s="348">
        <f t="shared" si="98"/>
        <v>160719.97</v>
      </c>
      <c r="AG267" s="365">
        <f t="shared" si="99"/>
        <v>205264.4499999973</v>
      </c>
      <c r="AH267" s="357"/>
      <c r="AI267" s="358"/>
      <c r="AJ267" s="358"/>
      <c r="AK267" s="358"/>
      <c r="AL267" s="358"/>
      <c r="AM267" s="358"/>
      <c r="AN267" s="358"/>
      <c r="AO267" s="358"/>
      <c r="AP267" s="358"/>
      <c r="AQ267" s="358"/>
      <c r="AR267" s="358"/>
      <c r="AS267" s="358"/>
      <c r="AT267" s="358"/>
      <c r="AU267" s="358"/>
      <c r="AV267" s="358"/>
      <c r="AW267" s="358"/>
      <c r="AX267" s="358"/>
      <c r="AY267" s="358"/>
      <c r="AZ267" s="358"/>
      <c r="BA267" s="358"/>
      <c r="BB267" s="358"/>
      <c r="BC267" s="358"/>
    </row>
    <row r="268" spans="1:55" s="376" customFormat="1" ht="15" customHeight="1" x14ac:dyDescent="0.15">
      <c r="A268" s="377">
        <v>42998</v>
      </c>
      <c r="B268" s="457" t="s">
        <v>38</v>
      </c>
      <c r="C268" s="361"/>
      <c r="D268" s="348"/>
      <c r="E268" s="348"/>
      <c r="F268" s="362"/>
      <c r="G268" s="348"/>
      <c r="H268" s="363"/>
      <c r="I268" s="363"/>
      <c r="J268" s="364">
        <f t="shared" si="94"/>
        <v>0</v>
      </c>
      <c r="K268" s="348"/>
      <c r="L268" s="348"/>
      <c r="M268" s="365">
        <f t="shared" si="96"/>
        <v>0</v>
      </c>
      <c r="N268" s="366">
        <f t="shared" si="101"/>
        <v>0</v>
      </c>
      <c r="O268" s="349">
        <f t="shared" si="101"/>
        <v>0</v>
      </c>
      <c r="P268" s="353">
        <f t="shared" si="101"/>
        <v>0</v>
      </c>
      <c r="Q268" s="368">
        <f t="shared" si="100"/>
        <v>16022161.07</v>
      </c>
      <c r="R268" s="367">
        <f t="shared" si="100"/>
        <v>9292029.8000000007</v>
      </c>
      <c r="S268" s="369">
        <f t="shared" si="100"/>
        <v>25831195.739999998</v>
      </c>
      <c r="T268" s="370">
        <f>N268/'2018'!N268-1</f>
        <v>-1</v>
      </c>
      <c r="U268" s="371">
        <f>O268/'2018'!O268-1</f>
        <v>-1</v>
      </c>
      <c r="V268" s="371">
        <f>P268/'2018'!P268-1</f>
        <v>-1</v>
      </c>
      <c r="W268" s="371">
        <f>Q268/'2018'!Q268-1</f>
        <v>-6.645751194070959E-2</v>
      </c>
      <c r="X268" s="371">
        <f>R268/'2018'!R268-1</f>
        <v>-0.10687745598300225</v>
      </c>
      <c r="Y268" s="372">
        <f>S268/'2018'!S268-1</f>
        <v>-8.3380579393715459E-2</v>
      </c>
      <c r="Z268" s="373"/>
      <c r="AA268" s="374">
        <f t="shared" si="95"/>
        <v>1602.216107</v>
      </c>
      <c r="AB268" s="375"/>
      <c r="AC268" s="365"/>
      <c r="AD268" s="375">
        <f t="shared" si="97"/>
        <v>16539165.939999998</v>
      </c>
      <c r="AE268" s="348">
        <f t="shared" si="98"/>
        <v>151020.45000000001</v>
      </c>
      <c r="AF268" s="348">
        <f t="shared" si="98"/>
        <v>160719.97</v>
      </c>
      <c r="AG268" s="365">
        <f t="shared" si="99"/>
        <v>205264.4499999973</v>
      </c>
      <c r="AH268" s="357"/>
      <c r="AI268" s="358"/>
      <c r="AJ268" s="358"/>
      <c r="AK268" s="358"/>
      <c r="AL268" s="358"/>
      <c r="AM268" s="358"/>
      <c r="AN268" s="358"/>
      <c r="AO268" s="358"/>
      <c r="AP268" s="358"/>
      <c r="AQ268" s="358"/>
      <c r="AR268" s="358"/>
      <c r="AS268" s="358"/>
      <c r="AT268" s="358"/>
      <c r="AU268" s="358"/>
      <c r="AV268" s="358"/>
      <c r="AW268" s="358"/>
      <c r="AX268" s="358"/>
      <c r="AY268" s="358"/>
      <c r="AZ268" s="358"/>
      <c r="BA268" s="358"/>
      <c r="BB268" s="358"/>
      <c r="BC268" s="358"/>
    </row>
    <row r="269" spans="1:55" s="376" customFormat="1" ht="15" customHeight="1" x14ac:dyDescent="0.15">
      <c r="A269" s="377">
        <v>42999</v>
      </c>
      <c r="B269" s="457" t="s">
        <v>39</v>
      </c>
      <c r="C269" s="361"/>
      <c r="D269" s="348"/>
      <c r="E269" s="348"/>
      <c r="F269" s="362"/>
      <c r="G269" s="348"/>
      <c r="H269" s="363"/>
      <c r="I269" s="363"/>
      <c r="J269" s="364">
        <f t="shared" si="94"/>
        <v>0</v>
      </c>
      <c r="K269" s="348"/>
      <c r="L269" s="348"/>
      <c r="M269" s="365">
        <f t="shared" si="96"/>
        <v>0</v>
      </c>
      <c r="N269" s="366">
        <f t="shared" si="101"/>
        <v>0</v>
      </c>
      <c r="O269" s="349">
        <f t="shared" si="101"/>
        <v>0</v>
      </c>
      <c r="P269" s="353">
        <f t="shared" si="101"/>
        <v>0</v>
      </c>
      <c r="Q269" s="368">
        <f t="shared" si="100"/>
        <v>16022161.07</v>
      </c>
      <c r="R269" s="367">
        <f t="shared" si="100"/>
        <v>9292029.8000000007</v>
      </c>
      <c r="S269" s="369">
        <f t="shared" si="100"/>
        <v>25831195.739999998</v>
      </c>
      <c r="T269" s="370">
        <f>N269/'2018'!N269-1</f>
        <v>-1</v>
      </c>
      <c r="U269" s="371">
        <f>O269/'2018'!O269-1</f>
        <v>-1</v>
      </c>
      <c r="V269" s="371">
        <f>P269/'2018'!P269-1</f>
        <v>-1</v>
      </c>
      <c r="W269" s="371">
        <f>Q269/'2018'!Q269-1</f>
        <v>-6.9395224210206941E-2</v>
      </c>
      <c r="X269" s="371">
        <f>R269/'2018'!R269-1</f>
        <v>-0.11174765592755309</v>
      </c>
      <c r="Y269" s="372">
        <f>S269/'2018'!S269-1</f>
        <v>-8.7236052679107501E-2</v>
      </c>
      <c r="Z269" s="373"/>
      <c r="AA269" s="374">
        <f t="shared" si="95"/>
        <v>1602.216107</v>
      </c>
      <c r="AB269" s="375"/>
      <c r="AC269" s="365"/>
      <c r="AD269" s="375">
        <f t="shared" si="97"/>
        <v>16539165.939999998</v>
      </c>
      <c r="AE269" s="348">
        <f t="shared" si="98"/>
        <v>151020.45000000001</v>
      </c>
      <c r="AF269" s="348">
        <f t="shared" si="98"/>
        <v>160719.97</v>
      </c>
      <c r="AG269" s="365">
        <f t="shared" si="99"/>
        <v>205264.4499999973</v>
      </c>
      <c r="AH269" s="357"/>
      <c r="AI269" s="358"/>
      <c r="AJ269" s="358"/>
      <c r="AK269" s="358"/>
      <c r="AL269" s="358"/>
      <c r="AM269" s="358"/>
      <c r="AN269" s="358"/>
      <c r="AO269" s="358"/>
      <c r="AP269" s="358"/>
      <c r="AQ269" s="358"/>
      <c r="AR269" s="358"/>
      <c r="AS269" s="358"/>
      <c r="AT269" s="358"/>
      <c r="AU269" s="358"/>
      <c r="AV269" s="358"/>
      <c r="AW269" s="358"/>
      <c r="AX269" s="358"/>
      <c r="AY269" s="358"/>
      <c r="AZ269" s="358"/>
      <c r="BA269" s="358"/>
      <c r="BB269" s="358"/>
      <c r="BC269" s="358"/>
    </row>
    <row r="270" spans="1:55" s="376" customFormat="1" ht="15" customHeight="1" x14ac:dyDescent="0.15">
      <c r="A270" s="377">
        <v>43000</v>
      </c>
      <c r="B270" s="457" t="s">
        <v>1</v>
      </c>
      <c r="C270" s="361"/>
      <c r="D270" s="348"/>
      <c r="E270" s="348"/>
      <c r="F270" s="362"/>
      <c r="G270" s="348"/>
      <c r="H270" s="363"/>
      <c r="I270" s="363"/>
      <c r="J270" s="364">
        <f t="shared" si="94"/>
        <v>0</v>
      </c>
      <c r="K270" s="348"/>
      <c r="L270" s="348"/>
      <c r="M270" s="365">
        <f t="shared" si="96"/>
        <v>0</v>
      </c>
      <c r="N270" s="366">
        <f t="shared" si="101"/>
        <v>0</v>
      </c>
      <c r="O270" s="349">
        <f t="shared" si="101"/>
        <v>0</v>
      </c>
      <c r="P270" s="353">
        <f t="shared" si="101"/>
        <v>0</v>
      </c>
      <c r="Q270" s="368">
        <f t="shared" si="100"/>
        <v>16022161.07</v>
      </c>
      <c r="R270" s="367">
        <f t="shared" si="100"/>
        <v>9292029.8000000007</v>
      </c>
      <c r="S270" s="369">
        <f t="shared" si="100"/>
        <v>25831195.739999998</v>
      </c>
      <c r="T270" s="370">
        <f>N270/'2018'!N270-1</f>
        <v>-1</v>
      </c>
      <c r="U270" s="371">
        <f>O270/'2018'!O270-1</f>
        <v>-1</v>
      </c>
      <c r="V270" s="371">
        <f>P270/'2018'!P270-1</f>
        <v>-1</v>
      </c>
      <c r="W270" s="371">
        <f>Q270/'2018'!Q270-1</f>
        <v>-7.2274594866281294E-2</v>
      </c>
      <c r="X270" s="371">
        <f>R270/'2018'!R270-1</f>
        <v>-0.11598089824653113</v>
      </c>
      <c r="Y270" s="372">
        <f>S270/'2018'!S270-1</f>
        <v>-9.0809175933245223E-2</v>
      </c>
      <c r="Z270" s="373"/>
      <c r="AA270" s="374">
        <f t="shared" si="95"/>
        <v>1602.216107</v>
      </c>
      <c r="AB270" s="375"/>
      <c r="AC270" s="365"/>
      <c r="AD270" s="375">
        <f t="shared" si="97"/>
        <v>16539165.939999998</v>
      </c>
      <c r="AE270" s="348">
        <f t="shared" si="98"/>
        <v>151020.45000000001</v>
      </c>
      <c r="AF270" s="348">
        <f t="shared" si="98"/>
        <v>160719.97</v>
      </c>
      <c r="AG270" s="365">
        <f t="shared" si="99"/>
        <v>205264.4499999973</v>
      </c>
      <c r="AH270" s="357"/>
      <c r="AI270" s="358"/>
      <c r="AJ270" s="358"/>
      <c r="AK270" s="358"/>
      <c r="AL270" s="358"/>
      <c r="AM270" s="358"/>
      <c r="AN270" s="358"/>
      <c r="AO270" s="358"/>
      <c r="AP270" s="358"/>
      <c r="AQ270" s="358"/>
      <c r="AR270" s="358"/>
      <c r="AS270" s="358"/>
      <c r="AT270" s="358"/>
      <c r="AU270" s="358"/>
      <c r="AV270" s="358"/>
      <c r="AW270" s="358"/>
      <c r="AX270" s="358"/>
      <c r="AY270" s="358"/>
      <c r="AZ270" s="358"/>
      <c r="BA270" s="358"/>
      <c r="BB270" s="358"/>
      <c r="BC270" s="358"/>
    </row>
    <row r="271" spans="1:55" s="376" customFormat="1" ht="15" customHeight="1" x14ac:dyDescent="0.15">
      <c r="A271" s="377">
        <v>43001</v>
      </c>
      <c r="B271" s="457" t="s">
        <v>34</v>
      </c>
      <c r="C271" s="361"/>
      <c r="D271" s="348"/>
      <c r="E271" s="348"/>
      <c r="F271" s="362"/>
      <c r="G271" s="348"/>
      <c r="H271" s="363"/>
      <c r="I271" s="363"/>
      <c r="J271" s="364">
        <f t="shared" si="94"/>
        <v>0</v>
      </c>
      <c r="K271" s="348"/>
      <c r="L271" s="348"/>
      <c r="M271" s="365">
        <f t="shared" si="96"/>
        <v>0</v>
      </c>
      <c r="N271" s="366">
        <f t="shared" si="101"/>
        <v>0</v>
      </c>
      <c r="O271" s="349">
        <f t="shared" si="101"/>
        <v>0</v>
      </c>
      <c r="P271" s="353">
        <f t="shared" si="101"/>
        <v>0</v>
      </c>
      <c r="Q271" s="368">
        <f t="shared" si="100"/>
        <v>16022161.07</v>
      </c>
      <c r="R271" s="367">
        <f t="shared" si="100"/>
        <v>9292029.8000000007</v>
      </c>
      <c r="S271" s="369">
        <f t="shared" si="100"/>
        <v>25831195.739999998</v>
      </c>
      <c r="T271" s="370">
        <f>N271/'2018'!N271-1</f>
        <v>-1</v>
      </c>
      <c r="U271" s="371">
        <f>O271/'2018'!O271-1</f>
        <v>-1</v>
      </c>
      <c r="V271" s="371">
        <f>P271/'2018'!P271-1</f>
        <v>-1</v>
      </c>
      <c r="W271" s="371">
        <f>Q271/'2018'!Q271-1</f>
        <v>-7.4712436934745718E-2</v>
      </c>
      <c r="X271" s="371">
        <f>R271/'2018'!R271-1</f>
        <v>-0.11999291829546843</v>
      </c>
      <c r="Y271" s="372">
        <f>S271/'2018'!S271-1</f>
        <v>-9.4016592457948356E-2</v>
      </c>
      <c r="Z271" s="373"/>
      <c r="AA271" s="374">
        <f t="shared" si="95"/>
        <v>1602.216107</v>
      </c>
      <c r="AB271" s="375"/>
      <c r="AC271" s="365"/>
      <c r="AD271" s="375">
        <f t="shared" si="97"/>
        <v>16539165.939999998</v>
      </c>
      <c r="AE271" s="348">
        <f t="shared" si="98"/>
        <v>151020.45000000001</v>
      </c>
      <c r="AF271" s="348">
        <f t="shared" si="98"/>
        <v>160719.97</v>
      </c>
      <c r="AG271" s="365">
        <f t="shared" si="99"/>
        <v>205264.4499999973</v>
      </c>
      <c r="AH271" s="357"/>
      <c r="AI271" s="358"/>
      <c r="AJ271" s="358"/>
      <c r="AK271" s="358"/>
      <c r="AL271" s="358"/>
      <c r="AM271" s="358"/>
      <c r="AN271" s="358"/>
      <c r="AO271" s="358"/>
      <c r="AP271" s="358"/>
      <c r="AQ271" s="358"/>
      <c r="AR271" s="358"/>
      <c r="AS271" s="358"/>
      <c r="AT271" s="358"/>
      <c r="AU271" s="358"/>
      <c r="AV271" s="358"/>
      <c r="AW271" s="358"/>
      <c r="AX271" s="358"/>
      <c r="AY271" s="358"/>
      <c r="AZ271" s="358"/>
      <c r="BA271" s="358"/>
      <c r="BB271" s="358"/>
      <c r="BC271" s="358"/>
    </row>
    <row r="272" spans="1:55" s="376" customFormat="1" ht="15" customHeight="1" x14ac:dyDescent="0.15">
      <c r="A272" s="377">
        <v>43002</v>
      </c>
      <c r="B272" s="457" t="s">
        <v>35</v>
      </c>
      <c r="C272" s="361"/>
      <c r="D272" s="348"/>
      <c r="E272" s="348"/>
      <c r="F272" s="362"/>
      <c r="G272" s="348"/>
      <c r="H272" s="363"/>
      <c r="I272" s="363"/>
      <c r="J272" s="364">
        <f t="shared" si="94"/>
        <v>0</v>
      </c>
      <c r="K272" s="348"/>
      <c r="L272" s="348"/>
      <c r="M272" s="365">
        <f t="shared" si="96"/>
        <v>0</v>
      </c>
      <c r="N272" s="366">
        <f t="shared" si="101"/>
        <v>0</v>
      </c>
      <c r="O272" s="349">
        <f t="shared" si="101"/>
        <v>0</v>
      </c>
      <c r="P272" s="353">
        <f t="shared" si="101"/>
        <v>0</v>
      </c>
      <c r="Q272" s="368">
        <f t="shared" si="100"/>
        <v>16022161.07</v>
      </c>
      <c r="R272" s="367">
        <f t="shared" si="100"/>
        <v>9292029.8000000007</v>
      </c>
      <c r="S272" s="369">
        <f t="shared" si="100"/>
        <v>25831195.739999998</v>
      </c>
      <c r="T272" s="370">
        <f>N272/'2018'!N272-1</f>
        <v>-1</v>
      </c>
      <c r="U272" s="371">
        <f>O272/'2018'!O272-1</f>
        <v>-1</v>
      </c>
      <c r="V272" s="371">
        <f>P272/'2018'!P272-1</f>
        <v>-1</v>
      </c>
      <c r="W272" s="371">
        <f>Q272/'2018'!Q272-1</f>
        <v>-7.6030474579926954E-2</v>
      </c>
      <c r="X272" s="371">
        <f>R272/'2018'!R272-1</f>
        <v>-0.12355388741653794</v>
      </c>
      <c r="Y272" s="372">
        <f>S272/'2018'!S272-1</f>
        <v>-9.6411096532788898E-2</v>
      </c>
      <c r="Z272" s="373"/>
      <c r="AA272" s="374">
        <f t="shared" si="95"/>
        <v>1602.216107</v>
      </c>
      <c r="AB272" s="375"/>
      <c r="AC272" s="365"/>
      <c r="AD272" s="375">
        <f t="shared" si="97"/>
        <v>16539165.939999998</v>
      </c>
      <c r="AE272" s="348">
        <f t="shared" si="98"/>
        <v>151020.45000000001</v>
      </c>
      <c r="AF272" s="348">
        <f t="shared" si="98"/>
        <v>160719.97</v>
      </c>
      <c r="AG272" s="365">
        <f t="shared" si="99"/>
        <v>205264.4499999973</v>
      </c>
      <c r="AH272" s="357"/>
      <c r="AI272" s="358"/>
      <c r="AJ272" s="358"/>
      <c r="AK272" s="358"/>
      <c r="AL272" s="358"/>
      <c r="AM272" s="358"/>
      <c r="AN272" s="358"/>
      <c r="AO272" s="358"/>
      <c r="AP272" s="358"/>
      <c r="AQ272" s="358"/>
      <c r="AR272" s="358"/>
      <c r="AS272" s="358"/>
      <c r="AT272" s="358"/>
      <c r="AU272" s="358"/>
      <c r="AV272" s="358"/>
      <c r="AW272" s="358"/>
      <c r="AX272" s="358"/>
      <c r="AY272" s="358"/>
      <c r="AZ272" s="358"/>
      <c r="BA272" s="358"/>
      <c r="BB272" s="358"/>
      <c r="BC272" s="358"/>
    </row>
    <row r="273" spans="1:55" s="376" customFormat="1" ht="15" customHeight="1" x14ac:dyDescent="0.15">
      <c r="A273" s="377">
        <v>43003</v>
      </c>
      <c r="B273" s="457" t="s">
        <v>36</v>
      </c>
      <c r="C273" s="361"/>
      <c r="D273" s="348"/>
      <c r="E273" s="348"/>
      <c r="F273" s="362"/>
      <c r="G273" s="348"/>
      <c r="H273" s="363"/>
      <c r="I273" s="363"/>
      <c r="J273" s="364">
        <f t="shared" si="94"/>
        <v>0</v>
      </c>
      <c r="K273" s="348"/>
      <c r="L273" s="348"/>
      <c r="M273" s="365">
        <f t="shared" si="96"/>
        <v>0</v>
      </c>
      <c r="N273" s="366">
        <f t="shared" si="101"/>
        <v>0</v>
      </c>
      <c r="O273" s="349">
        <f t="shared" si="101"/>
        <v>0</v>
      </c>
      <c r="P273" s="353">
        <f t="shared" si="101"/>
        <v>0</v>
      </c>
      <c r="Q273" s="368">
        <f t="shared" si="100"/>
        <v>16022161.07</v>
      </c>
      <c r="R273" s="367">
        <f t="shared" si="100"/>
        <v>9292029.8000000007</v>
      </c>
      <c r="S273" s="369">
        <f t="shared" si="100"/>
        <v>25831195.739999998</v>
      </c>
      <c r="T273" s="370">
        <f>N273/'2018'!N273-1</f>
        <v>-1</v>
      </c>
      <c r="U273" s="371">
        <f>O273/'2018'!O273-1</f>
        <v>-1</v>
      </c>
      <c r="V273" s="371">
        <f>P273/'2018'!P273-1</f>
        <v>-1</v>
      </c>
      <c r="W273" s="371">
        <f>Q273/'2018'!Q273-1</f>
        <v>-7.7814849193160063E-2</v>
      </c>
      <c r="X273" s="371">
        <f>R273/'2018'!R273-1</f>
        <v>-0.12775765498153535</v>
      </c>
      <c r="Y273" s="372">
        <f>S273/'2018'!S273-1</f>
        <v>-9.9330590091273541E-2</v>
      </c>
      <c r="Z273" s="373"/>
      <c r="AA273" s="374">
        <f t="shared" si="95"/>
        <v>1602.216107</v>
      </c>
      <c r="AB273" s="375"/>
      <c r="AC273" s="365"/>
      <c r="AD273" s="375">
        <f t="shared" si="97"/>
        <v>16539165.939999998</v>
      </c>
      <c r="AE273" s="348">
        <f t="shared" si="98"/>
        <v>151020.45000000001</v>
      </c>
      <c r="AF273" s="348">
        <f t="shared" si="98"/>
        <v>160719.97</v>
      </c>
      <c r="AG273" s="365">
        <f t="shared" si="99"/>
        <v>205264.4499999973</v>
      </c>
      <c r="AH273" s="357"/>
      <c r="AI273" s="358"/>
      <c r="AJ273" s="358"/>
      <c r="AK273" s="358"/>
      <c r="AL273" s="358"/>
      <c r="AM273" s="358"/>
      <c r="AN273" s="358"/>
      <c r="AO273" s="358"/>
      <c r="AP273" s="358"/>
      <c r="AQ273" s="358"/>
      <c r="AR273" s="358"/>
      <c r="AS273" s="358"/>
      <c r="AT273" s="358"/>
      <c r="AU273" s="358"/>
      <c r="AV273" s="358"/>
      <c r="AW273" s="358"/>
      <c r="AX273" s="358"/>
      <c r="AY273" s="358"/>
      <c r="AZ273" s="358"/>
      <c r="BA273" s="358"/>
      <c r="BB273" s="358"/>
      <c r="BC273" s="358"/>
    </row>
    <row r="274" spans="1:55" s="376" customFormat="1" ht="15" customHeight="1" x14ac:dyDescent="0.15">
      <c r="A274" s="377">
        <v>43004</v>
      </c>
      <c r="B274" s="182" t="s">
        <v>37</v>
      </c>
      <c r="C274" s="361"/>
      <c r="D274" s="348"/>
      <c r="E274" s="348"/>
      <c r="F274" s="362"/>
      <c r="G274" s="348"/>
      <c r="H274" s="363"/>
      <c r="I274" s="363"/>
      <c r="J274" s="364">
        <f t="shared" si="94"/>
        <v>0</v>
      </c>
      <c r="K274" s="348"/>
      <c r="L274" s="348"/>
      <c r="M274" s="365">
        <f t="shared" si="96"/>
        <v>0</v>
      </c>
      <c r="N274" s="366">
        <f t="shared" si="101"/>
        <v>0</v>
      </c>
      <c r="O274" s="349">
        <f t="shared" si="101"/>
        <v>0</v>
      </c>
      <c r="P274" s="353">
        <f t="shared" si="101"/>
        <v>0</v>
      </c>
      <c r="Q274" s="368">
        <f t="shared" si="100"/>
        <v>16022161.07</v>
      </c>
      <c r="R274" s="367">
        <f t="shared" si="100"/>
        <v>9292029.8000000007</v>
      </c>
      <c r="S274" s="369">
        <f t="shared" si="100"/>
        <v>25831195.739999998</v>
      </c>
      <c r="T274" s="370">
        <f>N274/'2018'!N274-1</f>
        <v>-1</v>
      </c>
      <c r="U274" s="371">
        <f>O274/'2018'!O274-1</f>
        <v>-1</v>
      </c>
      <c r="V274" s="371">
        <f>P274/'2018'!P274-1</f>
        <v>-1</v>
      </c>
      <c r="W274" s="371">
        <f>Q274/'2018'!Q274-1</f>
        <v>-7.9882794165394788E-2</v>
      </c>
      <c r="X274" s="371">
        <f>R274/'2018'!R274-1</f>
        <v>-0.1320417024414976</v>
      </c>
      <c r="Y274" s="372">
        <f>S274/'2018'!S274-1</f>
        <v>-0.10245768670097066</v>
      </c>
      <c r="Z274" s="373"/>
      <c r="AA274" s="374">
        <f t="shared" si="95"/>
        <v>1602.216107</v>
      </c>
      <c r="AB274" s="375"/>
      <c r="AC274" s="365"/>
      <c r="AD274" s="375">
        <f t="shared" si="97"/>
        <v>16539165.939999998</v>
      </c>
      <c r="AE274" s="348">
        <f t="shared" si="98"/>
        <v>151020.45000000001</v>
      </c>
      <c r="AF274" s="348">
        <f t="shared" si="98"/>
        <v>160719.97</v>
      </c>
      <c r="AG274" s="365">
        <f t="shared" si="99"/>
        <v>205264.4499999973</v>
      </c>
      <c r="AH274" s="357"/>
      <c r="AI274" s="358"/>
      <c r="AJ274" s="358"/>
      <c r="AK274" s="358"/>
      <c r="AL274" s="358"/>
      <c r="AM274" s="358"/>
      <c r="AN274" s="358"/>
      <c r="AO274" s="358"/>
      <c r="AP274" s="358"/>
      <c r="AQ274" s="358"/>
      <c r="AR274" s="358"/>
      <c r="AS274" s="358"/>
      <c r="AT274" s="358"/>
      <c r="AU274" s="358"/>
      <c r="AV274" s="358"/>
      <c r="AW274" s="358"/>
      <c r="AX274" s="358"/>
      <c r="AY274" s="358"/>
      <c r="AZ274" s="358"/>
      <c r="BA274" s="358"/>
      <c r="BB274" s="358"/>
      <c r="BC274" s="358"/>
    </row>
    <row r="275" spans="1:55" s="376" customFormat="1" ht="15" customHeight="1" x14ac:dyDescent="0.15">
      <c r="A275" s="377">
        <v>43005</v>
      </c>
      <c r="B275" s="457" t="s">
        <v>38</v>
      </c>
      <c r="C275" s="361"/>
      <c r="D275" s="348"/>
      <c r="E275" s="348"/>
      <c r="F275" s="362"/>
      <c r="G275" s="348"/>
      <c r="H275" s="363"/>
      <c r="I275" s="363"/>
      <c r="J275" s="348">
        <f>E275-D275</f>
        <v>0</v>
      </c>
      <c r="K275" s="348"/>
      <c r="L275" s="348"/>
      <c r="M275" s="365">
        <f>J275-K275-L275-C275</f>
        <v>0</v>
      </c>
      <c r="N275" s="366">
        <f t="shared" si="101"/>
        <v>0</v>
      </c>
      <c r="O275" s="349">
        <f t="shared" si="101"/>
        <v>0</v>
      </c>
      <c r="P275" s="353">
        <f t="shared" si="101"/>
        <v>0</v>
      </c>
      <c r="Q275" s="368">
        <f t="shared" si="100"/>
        <v>16022161.07</v>
      </c>
      <c r="R275" s="367">
        <f t="shared" si="100"/>
        <v>9292029.8000000007</v>
      </c>
      <c r="S275" s="369">
        <f t="shared" si="100"/>
        <v>25831195.739999998</v>
      </c>
      <c r="T275" s="370">
        <f>N275/'2018'!N275-1</f>
        <v>-1</v>
      </c>
      <c r="U275" s="371">
        <f>O275/'2018'!O275-1</f>
        <v>-1</v>
      </c>
      <c r="V275" s="371">
        <f>P275/'2018'!P275-1</f>
        <v>-1</v>
      </c>
      <c r="W275" s="371">
        <f>Q275/'2018'!Q275-1</f>
        <v>-8.1930333197429817E-2</v>
      </c>
      <c r="X275" s="371">
        <f>R275/'2018'!R275-1</f>
        <v>-0.13646262957363642</v>
      </c>
      <c r="Y275" s="372">
        <f>S275/'2018'!S275-1</f>
        <v>-0.10562251149036117</v>
      </c>
      <c r="Z275" s="373"/>
      <c r="AA275" s="374">
        <f t="shared" si="95"/>
        <v>1602.216107</v>
      </c>
      <c r="AB275" s="375"/>
      <c r="AC275" s="365"/>
      <c r="AD275" s="375">
        <f t="shared" si="97"/>
        <v>16539165.939999998</v>
      </c>
      <c r="AE275" s="348">
        <f t="shared" si="98"/>
        <v>151020.45000000001</v>
      </c>
      <c r="AF275" s="348">
        <f t="shared" si="98"/>
        <v>160719.97</v>
      </c>
      <c r="AG275" s="365">
        <f t="shared" si="99"/>
        <v>205264.4499999973</v>
      </c>
      <c r="AH275" s="357"/>
      <c r="AI275" s="358"/>
      <c r="AJ275" s="358"/>
      <c r="AK275" s="358"/>
      <c r="AL275" s="358"/>
      <c r="AM275" s="358"/>
      <c r="AN275" s="358"/>
      <c r="AO275" s="358"/>
      <c r="AP275" s="358"/>
      <c r="AQ275" s="358"/>
      <c r="AR275" s="358"/>
      <c r="AS275" s="358"/>
      <c r="AT275" s="358"/>
      <c r="AU275" s="358"/>
      <c r="AV275" s="358"/>
      <c r="AW275" s="358"/>
      <c r="AX275" s="358"/>
      <c r="AY275" s="358"/>
      <c r="AZ275" s="358"/>
      <c r="BA275" s="358"/>
      <c r="BB275" s="358"/>
      <c r="BC275" s="358"/>
    </row>
    <row r="276" spans="1:55" s="376" customFormat="1" ht="15" customHeight="1" x14ac:dyDescent="0.15">
      <c r="A276" s="377">
        <v>43006</v>
      </c>
      <c r="B276" s="457" t="s">
        <v>39</v>
      </c>
      <c r="C276" s="361"/>
      <c r="D276" s="348"/>
      <c r="E276" s="348"/>
      <c r="F276" s="362"/>
      <c r="G276" s="348"/>
      <c r="H276" s="363"/>
      <c r="I276" s="363"/>
      <c r="J276" s="364">
        <f t="shared" si="94"/>
        <v>0</v>
      </c>
      <c r="K276" s="348"/>
      <c r="L276" s="348"/>
      <c r="M276" s="365">
        <f t="shared" si="96"/>
        <v>0</v>
      </c>
      <c r="N276" s="366">
        <f t="shared" si="101"/>
        <v>0</v>
      </c>
      <c r="O276" s="349">
        <f t="shared" si="101"/>
        <v>0</v>
      </c>
      <c r="P276" s="353">
        <f t="shared" si="101"/>
        <v>0</v>
      </c>
      <c r="Q276" s="368">
        <f t="shared" si="100"/>
        <v>16022161.07</v>
      </c>
      <c r="R276" s="367">
        <f t="shared" si="100"/>
        <v>9292029.8000000007</v>
      </c>
      <c r="S276" s="369">
        <f t="shared" si="100"/>
        <v>25831195.739999998</v>
      </c>
      <c r="T276" s="370">
        <f>N276/'2018'!N276-1</f>
        <v>-1</v>
      </c>
      <c r="U276" s="371">
        <f>O276/'2018'!O276-1</f>
        <v>-1</v>
      </c>
      <c r="V276" s="371">
        <f>P276/'2018'!P276-1</f>
        <v>-1</v>
      </c>
      <c r="W276" s="371">
        <f>Q276/'2018'!Q276-1</f>
        <v>-8.4016907048477751E-2</v>
      </c>
      <c r="X276" s="371">
        <f>R276/'2018'!R276-1</f>
        <v>-0.14073594158532299</v>
      </c>
      <c r="Y276" s="372">
        <f>S276/'2018'!S276-1</f>
        <v>-0.10876242049327245</v>
      </c>
      <c r="Z276" s="373"/>
      <c r="AA276" s="374">
        <f t="shared" si="95"/>
        <v>1602.216107</v>
      </c>
      <c r="AB276" s="375"/>
      <c r="AC276" s="365"/>
      <c r="AD276" s="375">
        <f t="shared" si="97"/>
        <v>16539165.939999998</v>
      </c>
      <c r="AE276" s="348">
        <f t="shared" si="98"/>
        <v>151020.45000000001</v>
      </c>
      <c r="AF276" s="348">
        <f t="shared" si="98"/>
        <v>160719.97</v>
      </c>
      <c r="AG276" s="365">
        <f t="shared" si="99"/>
        <v>205264.4499999973</v>
      </c>
      <c r="AH276" s="357"/>
      <c r="AI276" s="358"/>
      <c r="AJ276" s="358"/>
      <c r="AK276" s="358"/>
      <c r="AL276" s="358"/>
      <c r="AM276" s="358"/>
      <c r="AN276" s="358"/>
      <c r="AO276" s="358"/>
      <c r="AP276" s="358"/>
      <c r="AQ276" s="358"/>
      <c r="AR276" s="358"/>
      <c r="AS276" s="358"/>
      <c r="AT276" s="358"/>
      <c r="AU276" s="358"/>
      <c r="AV276" s="358"/>
      <c r="AW276" s="358"/>
      <c r="AX276" s="358"/>
      <c r="AY276" s="358"/>
      <c r="AZ276" s="358"/>
      <c r="BA276" s="358"/>
      <c r="BB276" s="358"/>
      <c r="BC276" s="358"/>
    </row>
    <row r="277" spans="1:55" s="376" customFormat="1" ht="15" customHeight="1" x14ac:dyDescent="0.15">
      <c r="A277" s="377">
        <v>43007</v>
      </c>
      <c r="B277" s="457" t="s">
        <v>1</v>
      </c>
      <c r="C277" s="361"/>
      <c r="D277" s="348"/>
      <c r="E277" s="348"/>
      <c r="F277" s="362"/>
      <c r="G277" s="348"/>
      <c r="H277" s="363"/>
      <c r="I277" s="363"/>
      <c r="J277" s="364">
        <f t="shared" si="94"/>
        <v>0</v>
      </c>
      <c r="K277" s="348"/>
      <c r="L277" s="348"/>
      <c r="M277" s="365">
        <f t="shared" si="96"/>
        <v>0</v>
      </c>
      <c r="N277" s="366">
        <f t="shared" si="101"/>
        <v>0</v>
      </c>
      <c r="O277" s="349">
        <f t="shared" si="101"/>
        <v>0</v>
      </c>
      <c r="P277" s="353">
        <f t="shared" si="101"/>
        <v>0</v>
      </c>
      <c r="Q277" s="368">
        <f t="shared" si="100"/>
        <v>16022161.07</v>
      </c>
      <c r="R277" s="367">
        <f t="shared" si="100"/>
        <v>9292029.8000000007</v>
      </c>
      <c r="S277" s="369">
        <f t="shared" si="100"/>
        <v>25831195.739999998</v>
      </c>
      <c r="T277" s="370">
        <f>N277/'2018'!N277-1</f>
        <v>-1</v>
      </c>
      <c r="U277" s="371">
        <f>O277/'2018'!O277-1</f>
        <v>-1</v>
      </c>
      <c r="V277" s="371">
        <f>P277/'2018'!P277-1</f>
        <v>-1</v>
      </c>
      <c r="W277" s="371">
        <f>Q277/'2018'!Q277-1</f>
        <v>-8.6156724997539125E-2</v>
      </c>
      <c r="X277" s="371">
        <f>R277/'2018'!R277-1</f>
        <v>-0.14458375405893342</v>
      </c>
      <c r="Y277" s="372">
        <f>S277/'2018'!S277-1</f>
        <v>-0.11177698681395531</v>
      </c>
      <c r="Z277" s="373"/>
      <c r="AA277" s="374">
        <f t="shared" si="95"/>
        <v>1602.216107</v>
      </c>
      <c r="AB277" s="375"/>
      <c r="AC277" s="365"/>
      <c r="AD277" s="375">
        <f t="shared" si="97"/>
        <v>16539165.939999998</v>
      </c>
      <c r="AE277" s="348">
        <f t="shared" si="98"/>
        <v>151020.45000000001</v>
      </c>
      <c r="AF277" s="348">
        <f t="shared" si="98"/>
        <v>160719.97</v>
      </c>
      <c r="AG277" s="365">
        <f t="shared" si="99"/>
        <v>205264.4499999973</v>
      </c>
      <c r="AH277" s="357"/>
      <c r="AI277" s="358"/>
      <c r="AJ277" s="358"/>
      <c r="AK277" s="358"/>
      <c r="AL277" s="358"/>
      <c r="AM277" s="358"/>
      <c r="AN277" s="358"/>
      <c r="AO277" s="358"/>
      <c r="AP277" s="358"/>
      <c r="AQ277" s="358"/>
      <c r="AR277" s="358"/>
      <c r="AS277" s="358"/>
      <c r="AT277" s="358"/>
      <c r="AU277" s="358"/>
      <c r="AV277" s="358"/>
      <c r="AW277" s="358"/>
      <c r="AX277" s="358"/>
      <c r="AY277" s="358"/>
      <c r="AZ277" s="358"/>
      <c r="BA277" s="358"/>
      <c r="BB277" s="358"/>
      <c r="BC277" s="358"/>
    </row>
    <row r="278" spans="1:55" s="376" customFormat="1" ht="15" customHeight="1" x14ac:dyDescent="0.15">
      <c r="A278" s="400">
        <v>43008</v>
      </c>
      <c r="B278" s="380" t="s">
        <v>34</v>
      </c>
      <c r="C278" s="381"/>
      <c r="D278" s="382"/>
      <c r="E278" s="382"/>
      <c r="F278" s="383"/>
      <c r="G278" s="382"/>
      <c r="H278" s="384"/>
      <c r="I278" s="384"/>
      <c r="J278" s="385">
        <f t="shared" si="94"/>
        <v>0</v>
      </c>
      <c r="K278" s="382"/>
      <c r="L278" s="382"/>
      <c r="M278" s="386">
        <f t="shared" si="96"/>
        <v>0</v>
      </c>
      <c r="N278" s="387">
        <f t="shared" ref="N278" si="102">C278+N277</f>
        <v>0</v>
      </c>
      <c r="O278" s="404">
        <f t="shared" ref="O278" si="103">D278+O277</f>
        <v>0</v>
      </c>
      <c r="P278" s="410">
        <f t="shared" ref="P278" si="104">E278+P277</f>
        <v>0</v>
      </c>
      <c r="Q278" s="390">
        <f>[8]表2、统调口径电量!$I$10</f>
        <v>17568633.300000001</v>
      </c>
      <c r="R278" s="388">
        <f>[8]表2、统调口径电量!$I$14</f>
        <v>10914439.800000001</v>
      </c>
      <c r="S278" s="391">
        <f>[8]表2、统调口径电量!$I$3</f>
        <v>29178671.43</v>
      </c>
      <c r="T278" s="392">
        <f>N278/'2018'!N278-1</f>
        <v>-1</v>
      </c>
      <c r="U278" s="393">
        <f>O278/'2018'!O278-1</f>
        <v>-1</v>
      </c>
      <c r="V278" s="393">
        <f>P278/'2018'!P278-1</f>
        <v>-1</v>
      </c>
      <c r="W278" s="393">
        <f>Q278/'2018'!Q278-1</f>
        <v>0</v>
      </c>
      <c r="X278" s="393">
        <f>R278/'2018'!R278-1</f>
        <v>0</v>
      </c>
      <c r="Y278" s="409">
        <f>S278/'2018'!S278-1</f>
        <v>0</v>
      </c>
      <c r="Z278" s="395"/>
      <c r="AA278" s="396">
        <f t="shared" si="95"/>
        <v>1756.8633300000001</v>
      </c>
      <c r="AB278" s="397"/>
      <c r="AC278" s="386" t="e">
        <f t="shared" ref="AC278:AC309" si="105">AA278*10000/AB278</f>
        <v>#DIV/0!</v>
      </c>
      <c r="AD278" s="397">
        <f t="shared" si="97"/>
        <v>18264231.629999999</v>
      </c>
      <c r="AE278" s="382">
        <f t="shared" si="98"/>
        <v>151020.45000000001</v>
      </c>
      <c r="AF278" s="382">
        <f t="shared" si="98"/>
        <v>160719.97</v>
      </c>
      <c r="AG278" s="386">
        <f t="shared" si="99"/>
        <v>383857.90999999829</v>
      </c>
      <c r="AH278" s="357"/>
      <c r="AI278" s="358"/>
      <c r="AJ278" s="358"/>
      <c r="AK278" s="358"/>
      <c r="AL278" s="358"/>
      <c r="AM278" s="358"/>
      <c r="AN278" s="358"/>
      <c r="AO278" s="358"/>
      <c r="AP278" s="358"/>
      <c r="AQ278" s="358"/>
      <c r="AR278" s="358"/>
      <c r="AS278" s="358"/>
      <c r="AT278" s="358"/>
      <c r="AU278" s="358"/>
      <c r="AV278" s="358"/>
      <c r="AW278" s="358"/>
      <c r="AX278" s="358"/>
      <c r="AY278" s="358"/>
      <c r="AZ278" s="358"/>
      <c r="BA278" s="358"/>
      <c r="BB278" s="358"/>
      <c r="BC278" s="358"/>
    </row>
    <row r="279" spans="1:55" s="376" customFormat="1" ht="15" customHeight="1" x14ac:dyDescent="0.15">
      <c r="A279" s="400">
        <v>43009</v>
      </c>
      <c r="B279" s="457" t="s">
        <v>35</v>
      </c>
      <c r="C279" s="361"/>
      <c r="D279" s="348"/>
      <c r="E279" s="348"/>
      <c r="F279" s="362"/>
      <c r="G279" s="348"/>
      <c r="H279" s="363"/>
      <c r="I279" s="363"/>
      <c r="J279" s="364">
        <f t="shared" si="94"/>
        <v>0</v>
      </c>
      <c r="K279" s="348"/>
      <c r="L279" s="348"/>
      <c r="M279" s="365">
        <f t="shared" si="96"/>
        <v>0</v>
      </c>
      <c r="N279" s="366">
        <f>C279</f>
        <v>0</v>
      </c>
      <c r="O279" s="349">
        <f>D279</f>
        <v>0</v>
      </c>
      <c r="P279" s="353">
        <f>E279</f>
        <v>0</v>
      </c>
      <c r="Q279" s="368">
        <f>Q$278+N279</f>
        <v>17568633.300000001</v>
      </c>
      <c r="R279" s="367">
        <f>R$278+O279</f>
        <v>10914439.800000001</v>
      </c>
      <c r="S279" s="369">
        <f>S$278+P279</f>
        <v>29178671.43</v>
      </c>
      <c r="T279" s="370">
        <f>N279/'2018'!N279-1</f>
        <v>-1</v>
      </c>
      <c r="U279" s="371">
        <f>O279/'2018'!O279-1</f>
        <v>-1</v>
      </c>
      <c r="V279" s="371">
        <f>P279/'2018'!P279-1</f>
        <v>-1</v>
      </c>
      <c r="W279" s="371">
        <f>Q279/'2018'!Q279-1</f>
        <v>-1.6645711262014418E-3</v>
      </c>
      <c r="X279" s="371">
        <f>R279/'2018'!R279-1</f>
        <v>-2.6309414949011733E-3</v>
      </c>
      <c r="Y279" s="372">
        <f>S279/'2018'!S279-1</f>
        <v>-2.2394213681510289E-3</v>
      </c>
      <c r="Z279" s="373"/>
      <c r="AA279" s="374">
        <f t="shared" si="95"/>
        <v>1756.8633300000001</v>
      </c>
      <c r="AB279" s="375"/>
      <c r="AC279" s="365"/>
      <c r="AD279" s="375">
        <f t="shared" si="97"/>
        <v>18264231.629999999</v>
      </c>
      <c r="AE279" s="348">
        <f t="shared" ref="AE279:AF294" si="106">AE278+K279</f>
        <v>151020.45000000001</v>
      </c>
      <c r="AF279" s="348">
        <f t="shared" si="106"/>
        <v>160719.97</v>
      </c>
      <c r="AG279" s="365">
        <f t="shared" si="99"/>
        <v>383857.90999999829</v>
      </c>
      <c r="AH279" s="357"/>
      <c r="AI279" s="358"/>
      <c r="AJ279" s="358"/>
      <c r="AK279" s="358"/>
      <c r="AL279" s="358"/>
      <c r="AM279" s="358"/>
      <c r="AN279" s="358"/>
      <c r="AO279" s="358"/>
      <c r="AP279" s="358"/>
      <c r="AQ279" s="358"/>
      <c r="AR279" s="358"/>
      <c r="AS279" s="358"/>
      <c r="AT279" s="358"/>
      <c r="AU279" s="358"/>
      <c r="AV279" s="358"/>
      <c r="AW279" s="358"/>
      <c r="AX279" s="358"/>
      <c r="AY279" s="358"/>
      <c r="AZ279" s="358"/>
      <c r="BA279" s="358"/>
      <c r="BB279" s="358"/>
      <c r="BC279" s="358"/>
    </row>
    <row r="280" spans="1:55" s="376" customFormat="1" ht="15" customHeight="1" x14ac:dyDescent="0.15">
      <c r="A280" s="400">
        <v>43010</v>
      </c>
      <c r="B280" s="457" t="s">
        <v>36</v>
      </c>
      <c r="C280" s="361"/>
      <c r="D280" s="348"/>
      <c r="E280" s="348"/>
      <c r="F280" s="362"/>
      <c r="G280" s="348"/>
      <c r="H280" s="363"/>
      <c r="I280" s="363"/>
      <c r="J280" s="364">
        <f t="shared" si="94"/>
        <v>0</v>
      </c>
      <c r="K280" s="348"/>
      <c r="L280" s="348"/>
      <c r="M280" s="365">
        <f t="shared" si="96"/>
        <v>0</v>
      </c>
      <c r="N280" s="366">
        <f t="shared" ref="N280:P295" si="107">C280+N279</f>
        <v>0</v>
      </c>
      <c r="O280" s="349">
        <f t="shared" si="107"/>
        <v>0</v>
      </c>
      <c r="P280" s="353">
        <f t="shared" si="107"/>
        <v>0</v>
      </c>
      <c r="Q280" s="368">
        <f t="shared" ref="Q280:S308" si="108">Q$278+N280</f>
        <v>17568633.300000001</v>
      </c>
      <c r="R280" s="367">
        <f t="shared" si="108"/>
        <v>10914439.800000001</v>
      </c>
      <c r="S280" s="369">
        <f t="shared" si="108"/>
        <v>29178671.43</v>
      </c>
      <c r="T280" s="370">
        <f>N280/'2018'!N280-1</f>
        <v>-1</v>
      </c>
      <c r="U280" s="371">
        <f>O280/'2018'!O280-1</f>
        <v>-1</v>
      </c>
      <c r="V280" s="371">
        <f>P280/'2018'!P280-1</f>
        <v>-1</v>
      </c>
      <c r="W280" s="371">
        <f>Q280/'2018'!Q280-1</f>
        <v>-3.4358328923558279E-3</v>
      </c>
      <c r="X280" s="371">
        <f>R280/'2018'!R280-1</f>
        <v>-5.1995687585387751E-3</v>
      </c>
      <c r="Y280" s="372">
        <f>S280/'2018'!S280-1</f>
        <v>-4.512819137925006E-3</v>
      </c>
      <c r="Z280" s="373"/>
      <c r="AA280" s="374">
        <f t="shared" si="95"/>
        <v>1756.8633300000001</v>
      </c>
      <c r="AB280" s="375"/>
      <c r="AC280" s="365"/>
      <c r="AD280" s="375">
        <f t="shared" si="97"/>
        <v>18264231.629999999</v>
      </c>
      <c r="AE280" s="348">
        <f t="shared" si="106"/>
        <v>151020.45000000001</v>
      </c>
      <c r="AF280" s="348">
        <f t="shared" si="106"/>
        <v>160719.97</v>
      </c>
      <c r="AG280" s="365">
        <f t="shared" si="99"/>
        <v>383857.90999999829</v>
      </c>
      <c r="AH280" s="357"/>
      <c r="AI280" s="358"/>
      <c r="AJ280" s="358"/>
      <c r="AK280" s="358"/>
      <c r="AL280" s="358"/>
      <c r="AM280" s="358"/>
      <c r="AN280" s="358"/>
      <c r="AO280" s="358"/>
      <c r="AP280" s="358"/>
      <c r="AQ280" s="358"/>
      <c r="AR280" s="358"/>
      <c r="AS280" s="358"/>
      <c r="AT280" s="358"/>
      <c r="AU280" s="358"/>
      <c r="AV280" s="358"/>
      <c r="AW280" s="358"/>
      <c r="AX280" s="358"/>
      <c r="AY280" s="358"/>
      <c r="AZ280" s="358"/>
      <c r="BA280" s="358"/>
      <c r="BB280" s="358"/>
      <c r="BC280" s="358"/>
    </row>
    <row r="281" spans="1:55" s="376" customFormat="1" ht="15" customHeight="1" x14ac:dyDescent="0.15">
      <c r="A281" s="400">
        <v>43011</v>
      </c>
      <c r="B281" s="182" t="s">
        <v>37</v>
      </c>
      <c r="C281" s="361"/>
      <c r="D281" s="348"/>
      <c r="E281" s="348"/>
      <c r="F281" s="362"/>
      <c r="G281" s="348"/>
      <c r="H281" s="363"/>
      <c r="I281" s="363"/>
      <c r="J281" s="364">
        <f t="shared" si="94"/>
        <v>0</v>
      </c>
      <c r="K281" s="348"/>
      <c r="L281" s="348"/>
      <c r="M281" s="365">
        <f t="shared" si="96"/>
        <v>0</v>
      </c>
      <c r="N281" s="366">
        <f t="shared" si="107"/>
        <v>0</v>
      </c>
      <c r="O281" s="349">
        <f t="shared" si="107"/>
        <v>0</v>
      </c>
      <c r="P281" s="353">
        <f t="shared" si="107"/>
        <v>0</v>
      </c>
      <c r="Q281" s="368">
        <f t="shared" si="108"/>
        <v>17568633.300000001</v>
      </c>
      <c r="R281" s="367">
        <f t="shared" si="108"/>
        <v>10914439.800000001</v>
      </c>
      <c r="S281" s="369">
        <f t="shared" si="108"/>
        <v>29178671.43</v>
      </c>
      <c r="T281" s="370">
        <f>N281/'2018'!N281-1</f>
        <v>-1</v>
      </c>
      <c r="U281" s="371">
        <f>O281/'2018'!O281-1</f>
        <v>-1</v>
      </c>
      <c r="V281" s="371">
        <f>P281/'2018'!P281-1</f>
        <v>-1</v>
      </c>
      <c r="W281" s="371">
        <f>Q281/'2018'!Q281-1</f>
        <v>-5.7741455963095101E-3</v>
      </c>
      <c r="X281" s="371">
        <f>R281/'2018'!R281-1</f>
        <v>-7.8073163452985206E-3</v>
      </c>
      <c r="Y281" s="372">
        <f>S281/'2018'!S281-1</f>
        <v>-7.1456443124539026E-3</v>
      </c>
      <c r="Z281" s="373"/>
      <c r="AA281" s="374">
        <f t="shared" si="95"/>
        <v>1756.8633300000001</v>
      </c>
      <c r="AB281" s="375"/>
      <c r="AC281" s="365"/>
      <c r="AD281" s="375">
        <f t="shared" si="97"/>
        <v>18264231.629999999</v>
      </c>
      <c r="AE281" s="348">
        <f t="shared" si="106"/>
        <v>151020.45000000001</v>
      </c>
      <c r="AF281" s="348">
        <f t="shared" si="106"/>
        <v>160719.97</v>
      </c>
      <c r="AG281" s="365">
        <f t="shared" si="99"/>
        <v>383857.90999999829</v>
      </c>
      <c r="AH281" s="357"/>
      <c r="AI281" s="358"/>
      <c r="AJ281" s="358"/>
      <c r="AK281" s="358"/>
      <c r="AL281" s="358"/>
      <c r="AM281" s="358"/>
      <c r="AN281" s="358"/>
      <c r="AO281" s="358"/>
      <c r="AP281" s="358"/>
      <c r="AQ281" s="358"/>
      <c r="AR281" s="358"/>
      <c r="AS281" s="358"/>
      <c r="AT281" s="358"/>
      <c r="AU281" s="358"/>
      <c r="AV281" s="358"/>
      <c r="AW281" s="358"/>
      <c r="AX281" s="358"/>
      <c r="AY281" s="358"/>
      <c r="AZ281" s="358"/>
      <c r="BA281" s="358"/>
      <c r="BB281" s="358"/>
      <c r="BC281" s="358"/>
    </row>
    <row r="282" spans="1:55" s="376" customFormat="1" ht="15" customHeight="1" x14ac:dyDescent="0.15">
      <c r="A282" s="400">
        <v>43012</v>
      </c>
      <c r="B282" s="457" t="s">
        <v>38</v>
      </c>
      <c r="C282" s="361"/>
      <c r="D282" s="348"/>
      <c r="E282" s="348"/>
      <c r="F282" s="362"/>
      <c r="G282" s="348"/>
      <c r="H282" s="363"/>
      <c r="I282" s="363"/>
      <c r="J282" s="364">
        <f t="shared" si="94"/>
        <v>0</v>
      </c>
      <c r="K282" s="348"/>
      <c r="L282" s="348"/>
      <c r="M282" s="365">
        <f t="shared" si="96"/>
        <v>0</v>
      </c>
      <c r="N282" s="366">
        <f t="shared" si="107"/>
        <v>0</v>
      </c>
      <c r="O282" s="349">
        <f t="shared" si="107"/>
        <v>0</v>
      </c>
      <c r="P282" s="353">
        <f t="shared" si="107"/>
        <v>0</v>
      </c>
      <c r="Q282" s="368">
        <f t="shared" si="108"/>
        <v>17568633.300000001</v>
      </c>
      <c r="R282" s="367">
        <f t="shared" si="108"/>
        <v>10914439.800000001</v>
      </c>
      <c r="S282" s="369">
        <f t="shared" si="108"/>
        <v>29178671.43</v>
      </c>
      <c r="T282" s="370">
        <f>N282/'2018'!N282-1</f>
        <v>-1</v>
      </c>
      <c r="U282" s="371">
        <f>O282/'2018'!O282-1</f>
        <v>-1</v>
      </c>
      <c r="V282" s="371">
        <f>P282/'2018'!P282-1</f>
        <v>-1</v>
      </c>
      <c r="W282" s="371">
        <f>Q282/'2018'!Q282-1</f>
        <v>-8.4317513157912138E-3</v>
      </c>
      <c r="X282" s="371">
        <f>R282/'2018'!R282-1</f>
        <v>-1.0721824192429286E-2</v>
      </c>
      <c r="Y282" s="372">
        <f>S282/'2018'!S282-1</f>
        <v>-1.0097297675202288E-2</v>
      </c>
      <c r="Z282" s="373"/>
      <c r="AA282" s="374">
        <f t="shared" si="95"/>
        <v>1756.8633300000001</v>
      </c>
      <c r="AB282" s="375"/>
      <c r="AC282" s="365"/>
      <c r="AD282" s="375">
        <f t="shared" si="97"/>
        <v>18264231.629999999</v>
      </c>
      <c r="AE282" s="348">
        <f t="shared" si="106"/>
        <v>151020.45000000001</v>
      </c>
      <c r="AF282" s="348">
        <f t="shared" si="106"/>
        <v>160719.97</v>
      </c>
      <c r="AG282" s="365">
        <f t="shared" si="99"/>
        <v>383857.90999999829</v>
      </c>
      <c r="AH282" s="357"/>
      <c r="AI282" s="358"/>
      <c r="AJ282" s="358"/>
      <c r="AK282" s="358"/>
      <c r="AL282" s="358"/>
      <c r="AM282" s="358"/>
      <c r="AN282" s="358"/>
      <c r="AO282" s="358"/>
      <c r="AP282" s="358"/>
      <c r="AQ282" s="358"/>
      <c r="AR282" s="358"/>
      <c r="AS282" s="358"/>
      <c r="AT282" s="358"/>
      <c r="AU282" s="358"/>
      <c r="AV282" s="358"/>
      <c r="AW282" s="358"/>
      <c r="AX282" s="358"/>
      <c r="AY282" s="358"/>
      <c r="AZ282" s="358"/>
      <c r="BA282" s="358"/>
      <c r="BB282" s="358"/>
      <c r="BC282" s="358"/>
    </row>
    <row r="283" spans="1:55" s="376" customFormat="1" ht="15" customHeight="1" x14ac:dyDescent="0.15">
      <c r="A283" s="400">
        <v>43013</v>
      </c>
      <c r="B283" s="457" t="s">
        <v>39</v>
      </c>
      <c r="C283" s="361"/>
      <c r="D283" s="348"/>
      <c r="E283" s="348"/>
      <c r="F283" s="362"/>
      <c r="G283" s="348"/>
      <c r="H283" s="363"/>
      <c r="I283" s="363"/>
      <c r="J283" s="364">
        <f t="shared" si="94"/>
        <v>0</v>
      </c>
      <c r="K283" s="348"/>
      <c r="L283" s="416"/>
      <c r="M283" s="365">
        <f t="shared" si="96"/>
        <v>0</v>
      </c>
      <c r="N283" s="366">
        <f t="shared" si="107"/>
        <v>0</v>
      </c>
      <c r="O283" s="349">
        <f t="shared" si="107"/>
        <v>0</v>
      </c>
      <c r="P283" s="353">
        <f t="shared" si="107"/>
        <v>0</v>
      </c>
      <c r="Q283" s="368">
        <f t="shared" si="108"/>
        <v>17568633.300000001</v>
      </c>
      <c r="R283" s="367">
        <f t="shared" si="108"/>
        <v>10914439.800000001</v>
      </c>
      <c r="S283" s="369">
        <f t="shared" si="108"/>
        <v>29178671.43</v>
      </c>
      <c r="T283" s="370">
        <f>N283/'2018'!N283-1</f>
        <v>-1</v>
      </c>
      <c r="U283" s="371">
        <f>O283/'2018'!O283-1</f>
        <v>-1</v>
      </c>
      <c r="V283" s="371">
        <f>P283/'2018'!P283-1</f>
        <v>-1</v>
      </c>
      <c r="W283" s="371">
        <f>Q283/'2018'!Q283-1</f>
        <v>-1.1199473280083971E-2</v>
      </c>
      <c r="X283" s="371">
        <f>R283/'2018'!R283-1</f>
        <v>-1.3855343341512172E-2</v>
      </c>
      <c r="Y283" s="372">
        <f>S283/'2018'!S283-1</f>
        <v>-1.3210493557894942E-2</v>
      </c>
      <c r="Z283" s="373"/>
      <c r="AA283" s="374">
        <f t="shared" si="95"/>
        <v>1756.8633300000001</v>
      </c>
      <c r="AB283" s="375"/>
      <c r="AC283" s="365"/>
      <c r="AD283" s="375">
        <f t="shared" si="97"/>
        <v>18264231.629999999</v>
      </c>
      <c r="AE283" s="348">
        <f t="shared" si="106"/>
        <v>151020.45000000001</v>
      </c>
      <c r="AF283" s="348">
        <f t="shared" si="106"/>
        <v>160719.97</v>
      </c>
      <c r="AG283" s="365">
        <f t="shared" si="99"/>
        <v>383857.90999999829</v>
      </c>
      <c r="AH283" s="357"/>
      <c r="AI283" s="358"/>
      <c r="AJ283" s="358"/>
      <c r="AK283" s="358"/>
      <c r="AL283" s="358"/>
      <c r="AM283" s="358"/>
      <c r="AN283" s="358"/>
      <c r="AO283" s="358"/>
      <c r="AP283" s="358"/>
      <c r="AQ283" s="358"/>
      <c r="AR283" s="358"/>
      <c r="AS283" s="358"/>
      <c r="AT283" s="358"/>
      <c r="AU283" s="358"/>
      <c r="AV283" s="358"/>
      <c r="AW283" s="358"/>
      <c r="AX283" s="358"/>
      <c r="AY283" s="358"/>
      <c r="AZ283" s="358"/>
      <c r="BA283" s="358"/>
      <c r="BB283" s="358"/>
      <c r="BC283" s="358"/>
    </row>
    <row r="284" spans="1:55" s="376" customFormat="1" ht="15" customHeight="1" x14ac:dyDescent="0.15">
      <c r="A284" s="400">
        <v>43014</v>
      </c>
      <c r="B284" s="457" t="s">
        <v>1</v>
      </c>
      <c r="C284" s="361"/>
      <c r="D284" s="348"/>
      <c r="E284" s="348"/>
      <c r="F284" s="362"/>
      <c r="G284" s="348"/>
      <c r="H284" s="363"/>
      <c r="I284" s="363"/>
      <c r="J284" s="364">
        <f t="shared" si="94"/>
        <v>0</v>
      </c>
      <c r="K284" s="348"/>
      <c r="L284" s="416"/>
      <c r="M284" s="365">
        <f t="shared" si="96"/>
        <v>0</v>
      </c>
      <c r="N284" s="366">
        <f t="shared" si="107"/>
        <v>0</v>
      </c>
      <c r="O284" s="349">
        <f t="shared" si="107"/>
        <v>0</v>
      </c>
      <c r="P284" s="353">
        <f t="shared" si="107"/>
        <v>0</v>
      </c>
      <c r="Q284" s="368">
        <f t="shared" si="108"/>
        <v>17568633.300000001</v>
      </c>
      <c r="R284" s="367">
        <f t="shared" si="108"/>
        <v>10914439.800000001</v>
      </c>
      <c r="S284" s="369">
        <f t="shared" si="108"/>
        <v>29178671.43</v>
      </c>
      <c r="T284" s="370">
        <f>N284/'2018'!N284-1</f>
        <v>-1</v>
      </c>
      <c r="U284" s="371">
        <f>O284/'2018'!O284-1</f>
        <v>-1</v>
      </c>
      <c r="V284" s="371">
        <f>P284/'2018'!P284-1</f>
        <v>-1</v>
      </c>
      <c r="W284" s="371">
        <f>Q284/'2018'!Q284-1</f>
        <v>-1.3900426942486499E-2</v>
      </c>
      <c r="X284" s="371">
        <f>R284/'2018'!R284-1</f>
        <v>-1.72124954531927E-2</v>
      </c>
      <c r="Y284" s="372">
        <f>S284/'2018'!S284-1</f>
        <v>-1.6377520612268048E-2</v>
      </c>
      <c r="Z284" s="373"/>
      <c r="AA284" s="374">
        <f t="shared" si="95"/>
        <v>1756.8633300000001</v>
      </c>
      <c r="AB284" s="375"/>
      <c r="AC284" s="365"/>
      <c r="AD284" s="375">
        <f t="shared" si="97"/>
        <v>18264231.629999999</v>
      </c>
      <c r="AE284" s="348">
        <f t="shared" si="106"/>
        <v>151020.45000000001</v>
      </c>
      <c r="AF284" s="348">
        <f t="shared" si="106"/>
        <v>160719.97</v>
      </c>
      <c r="AG284" s="365">
        <f t="shared" si="99"/>
        <v>383857.90999999829</v>
      </c>
      <c r="AH284" s="357"/>
      <c r="AI284" s="358"/>
      <c r="AJ284" s="358"/>
      <c r="AK284" s="358"/>
      <c r="AL284" s="358"/>
      <c r="AM284" s="358"/>
      <c r="AN284" s="358"/>
      <c r="AO284" s="358"/>
      <c r="AP284" s="358"/>
      <c r="AQ284" s="358"/>
      <c r="AR284" s="358"/>
      <c r="AS284" s="358"/>
      <c r="AT284" s="358"/>
      <c r="AU284" s="358"/>
      <c r="AV284" s="358"/>
      <c r="AW284" s="358"/>
      <c r="AX284" s="358"/>
      <c r="AY284" s="358"/>
      <c r="AZ284" s="358"/>
      <c r="BA284" s="358"/>
      <c r="BB284" s="358"/>
      <c r="BC284" s="358"/>
    </row>
    <row r="285" spans="1:55" s="376" customFormat="1" ht="15" customHeight="1" x14ac:dyDescent="0.15">
      <c r="A285" s="377">
        <v>43015</v>
      </c>
      <c r="B285" s="457" t="s">
        <v>34</v>
      </c>
      <c r="C285" s="361"/>
      <c r="D285" s="348"/>
      <c r="E285" s="348"/>
      <c r="F285" s="362"/>
      <c r="G285" s="348"/>
      <c r="H285" s="363"/>
      <c r="I285" s="363"/>
      <c r="J285" s="364">
        <f t="shared" si="94"/>
        <v>0</v>
      </c>
      <c r="K285" s="348"/>
      <c r="L285" s="416"/>
      <c r="M285" s="365">
        <f t="shared" si="96"/>
        <v>0</v>
      </c>
      <c r="N285" s="366">
        <f t="shared" si="107"/>
        <v>0</v>
      </c>
      <c r="O285" s="349">
        <f t="shared" si="107"/>
        <v>0</v>
      </c>
      <c r="P285" s="353">
        <f t="shared" si="107"/>
        <v>0</v>
      </c>
      <c r="Q285" s="368">
        <f t="shared" si="108"/>
        <v>17568633.300000001</v>
      </c>
      <c r="R285" s="367">
        <f t="shared" si="108"/>
        <v>10914439.800000001</v>
      </c>
      <c r="S285" s="369">
        <f t="shared" si="108"/>
        <v>29178671.43</v>
      </c>
      <c r="T285" s="370">
        <f>N285/'2018'!N285-1</f>
        <v>-1</v>
      </c>
      <c r="U285" s="371">
        <f>O285/'2018'!O285-1</f>
        <v>-1</v>
      </c>
      <c r="V285" s="371">
        <f>P285/'2018'!P285-1</f>
        <v>-1</v>
      </c>
      <c r="W285" s="371">
        <f>Q285/'2018'!Q285-1</f>
        <v>-1.6588867122608986E-2</v>
      </c>
      <c r="X285" s="371">
        <f>R285/'2018'!R285-1</f>
        <v>-2.0691521843450467E-2</v>
      </c>
      <c r="Y285" s="372">
        <f>S285/'2018'!S285-1</f>
        <v>-1.9556965783415925E-2</v>
      </c>
      <c r="Z285" s="373"/>
      <c r="AA285" s="374">
        <f t="shared" si="95"/>
        <v>1756.8633300000001</v>
      </c>
      <c r="AB285" s="375"/>
      <c r="AC285" s="365"/>
      <c r="AD285" s="375">
        <f t="shared" si="97"/>
        <v>18264231.629999999</v>
      </c>
      <c r="AE285" s="348">
        <f t="shared" si="106"/>
        <v>151020.45000000001</v>
      </c>
      <c r="AF285" s="348">
        <f t="shared" si="106"/>
        <v>160719.97</v>
      </c>
      <c r="AG285" s="365">
        <f t="shared" si="99"/>
        <v>383857.90999999829</v>
      </c>
      <c r="AH285" s="357"/>
      <c r="AI285" s="358"/>
      <c r="AJ285" s="358"/>
      <c r="AK285" s="358"/>
      <c r="AL285" s="358"/>
      <c r="AM285" s="358"/>
      <c r="AN285" s="358"/>
      <c r="AO285" s="358"/>
      <c r="AP285" s="358"/>
      <c r="AQ285" s="358"/>
      <c r="AR285" s="358"/>
      <c r="AS285" s="358"/>
      <c r="AT285" s="358"/>
      <c r="AU285" s="358"/>
      <c r="AV285" s="358"/>
      <c r="AW285" s="358"/>
      <c r="AX285" s="358"/>
      <c r="AY285" s="358"/>
      <c r="AZ285" s="358"/>
      <c r="BA285" s="358"/>
      <c r="BB285" s="358"/>
      <c r="BC285" s="358"/>
    </row>
    <row r="286" spans="1:55" s="376" customFormat="1" ht="15" customHeight="1" x14ac:dyDescent="0.15">
      <c r="A286" s="377">
        <v>43016</v>
      </c>
      <c r="B286" s="457" t="s">
        <v>35</v>
      </c>
      <c r="C286" s="361"/>
      <c r="D286" s="348"/>
      <c r="E286" s="348"/>
      <c r="F286" s="362"/>
      <c r="G286" s="348"/>
      <c r="H286" s="363"/>
      <c r="I286" s="363"/>
      <c r="J286" s="364">
        <f t="shared" si="94"/>
        <v>0</v>
      </c>
      <c r="K286" s="348"/>
      <c r="L286" s="416"/>
      <c r="M286" s="365">
        <f t="shared" si="96"/>
        <v>0</v>
      </c>
      <c r="N286" s="366">
        <f t="shared" si="107"/>
        <v>0</v>
      </c>
      <c r="O286" s="349">
        <f t="shared" si="107"/>
        <v>0</v>
      </c>
      <c r="P286" s="353">
        <f t="shared" si="107"/>
        <v>0</v>
      </c>
      <c r="Q286" s="368">
        <f t="shared" si="108"/>
        <v>17568633.300000001</v>
      </c>
      <c r="R286" s="367">
        <f t="shared" si="108"/>
        <v>10914439.800000001</v>
      </c>
      <c r="S286" s="369">
        <f t="shared" si="108"/>
        <v>29178671.43</v>
      </c>
      <c r="T286" s="370">
        <f>N286/'2018'!N286-1</f>
        <v>-1</v>
      </c>
      <c r="U286" s="371">
        <f>O286/'2018'!O286-1</f>
        <v>-1</v>
      </c>
      <c r="V286" s="371">
        <f>P286/'2018'!P286-1</f>
        <v>-1</v>
      </c>
      <c r="W286" s="371">
        <f>Q286/'2018'!Q286-1</f>
        <v>-1.9319677215750675E-2</v>
      </c>
      <c r="X286" s="371">
        <f>R286/'2018'!R286-1</f>
        <v>-2.4468375457964764E-2</v>
      </c>
      <c r="Y286" s="372">
        <f>S286/'2018'!S286-1</f>
        <v>-2.2862312322137091E-2</v>
      </c>
      <c r="Z286" s="373"/>
      <c r="AA286" s="374">
        <f t="shared" si="95"/>
        <v>1756.8633300000001</v>
      </c>
      <c r="AB286" s="375"/>
      <c r="AC286" s="365"/>
      <c r="AD286" s="375">
        <f t="shared" si="97"/>
        <v>18264231.629999999</v>
      </c>
      <c r="AE286" s="348">
        <f t="shared" si="106"/>
        <v>151020.45000000001</v>
      </c>
      <c r="AF286" s="348">
        <f t="shared" si="106"/>
        <v>160719.97</v>
      </c>
      <c r="AG286" s="365">
        <f t="shared" si="99"/>
        <v>383857.90999999829</v>
      </c>
      <c r="AH286" s="357"/>
      <c r="AI286" s="358"/>
      <c r="AJ286" s="358"/>
      <c r="AK286" s="358"/>
      <c r="AL286" s="358"/>
      <c r="AM286" s="358"/>
      <c r="AN286" s="358"/>
      <c r="AO286" s="358"/>
      <c r="AP286" s="358"/>
      <c r="AQ286" s="358"/>
      <c r="AR286" s="358"/>
      <c r="AS286" s="358"/>
      <c r="AT286" s="358"/>
      <c r="AU286" s="358"/>
      <c r="AV286" s="358"/>
      <c r="AW286" s="358"/>
      <c r="AX286" s="358"/>
      <c r="AY286" s="358"/>
      <c r="AZ286" s="358"/>
      <c r="BA286" s="358"/>
      <c r="BB286" s="358"/>
      <c r="BC286" s="358"/>
    </row>
    <row r="287" spans="1:55" s="376" customFormat="1" ht="15" customHeight="1" x14ac:dyDescent="0.15">
      <c r="A287" s="377">
        <v>43017</v>
      </c>
      <c r="B287" s="457" t="s">
        <v>36</v>
      </c>
      <c r="C287" s="361"/>
      <c r="D287" s="348"/>
      <c r="E287" s="348"/>
      <c r="F287" s="362"/>
      <c r="G287" s="348"/>
      <c r="H287" s="363"/>
      <c r="I287" s="363"/>
      <c r="J287" s="364">
        <f t="shared" si="94"/>
        <v>0</v>
      </c>
      <c r="K287" s="348"/>
      <c r="L287" s="416"/>
      <c r="M287" s="365">
        <f t="shared" si="96"/>
        <v>0</v>
      </c>
      <c r="N287" s="366">
        <f t="shared" si="107"/>
        <v>0</v>
      </c>
      <c r="O287" s="349">
        <f t="shared" si="107"/>
        <v>0</v>
      </c>
      <c r="P287" s="353">
        <f t="shared" si="107"/>
        <v>0</v>
      </c>
      <c r="Q287" s="368">
        <f t="shared" si="108"/>
        <v>17568633.300000001</v>
      </c>
      <c r="R287" s="367">
        <f t="shared" si="108"/>
        <v>10914439.800000001</v>
      </c>
      <c r="S287" s="369">
        <f t="shared" si="108"/>
        <v>29178671.43</v>
      </c>
      <c r="T287" s="370">
        <f>N287/'2018'!N287-1</f>
        <v>-1</v>
      </c>
      <c r="U287" s="371">
        <f>O287/'2018'!O287-1</f>
        <v>-1</v>
      </c>
      <c r="V287" s="371">
        <f>P287/'2018'!P287-1</f>
        <v>-1</v>
      </c>
      <c r="W287" s="371">
        <f>Q287/'2018'!Q287-1</f>
        <v>-2.2290070169250442E-2</v>
      </c>
      <c r="X287" s="371">
        <f>R287/'2018'!R287-1</f>
        <v>-2.8281616892040673E-2</v>
      </c>
      <c r="Y287" s="372">
        <f>S287/'2018'!S287-1</f>
        <v>-2.6241548972390505E-2</v>
      </c>
      <c r="Z287" s="373"/>
      <c r="AA287" s="374">
        <f t="shared" si="95"/>
        <v>1756.8633300000001</v>
      </c>
      <c r="AB287" s="375"/>
      <c r="AC287" s="365"/>
      <c r="AD287" s="375">
        <f t="shared" si="97"/>
        <v>18264231.629999999</v>
      </c>
      <c r="AE287" s="348">
        <f t="shared" si="106"/>
        <v>151020.45000000001</v>
      </c>
      <c r="AF287" s="348">
        <f t="shared" si="106"/>
        <v>160719.97</v>
      </c>
      <c r="AG287" s="365">
        <f t="shared" si="99"/>
        <v>383857.90999999829</v>
      </c>
      <c r="AH287" s="357"/>
      <c r="AI287" s="358"/>
      <c r="AJ287" s="358"/>
      <c r="AK287" s="358"/>
      <c r="AL287" s="358"/>
      <c r="AM287" s="358"/>
      <c r="AN287" s="358"/>
      <c r="AO287" s="358"/>
      <c r="AP287" s="358"/>
      <c r="AQ287" s="358"/>
      <c r="AR287" s="358"/>
      <c r="AS287" s="358"/>
      <c r="AT287" s="358"/>
      <c r="AU287" s="358"/>
      <c r="AV287" s="358"/>
      <c r="AW287" s="358"/>
      <c r="AX287" s="358"/>
      <c r="AY287" s="358"/>
      <c r="AZ287" s="358"/>
      <c r="BA287" s="358"/>
      <c r="BB287" s="358"/>
      <c r="BC287" s="358"/>
    </row>
    <row r="288" spans="1:55" s="376" customFormat="1" ht="15" customHeight="1" x14ac:dyDescent="0.15">
      <c r="A288" s="377">
        <v>43018</v>
      </c>
      <c r="B288" s="182" t="s">
        <v>37</v>
      </c>
      <c r="C288" s="361"/>
      <c r="D288" s="348"/>
      <c r="E288" s="348"/>
      <c r="F288" s="362"/>
      <c r="G288" s="348"/>
      <c r="H288" s="363"/>
      <c r="I288" s="363"/>
      <c r="J288" s="364">
        <f t="shared" si="94"/>
        <v>0</v>
      </c>
      <c r="K288" s="348"/>
      <c r="L288" s="416"/>
      <c r="M288" s="365">
        <f t="shared" si="96"/>
        <v>0</v>
      </c>
      <c r="N288" s="366">
        <f t="shared" si="107"/>
        <v>0</v>
      </c>
      <c r="O288" s="349">
        <f t="shared" si="107"/>
        <v>0</v>
      </c>
      <c r="P288" s="353">
        <f t="shared" si="107"/>
        <v>0</v>
      </c>
      <c r="Q288" s="368">
        <f t="shared" si="108"/>
        <v>17568633.300000001</v>
      </c>
      <c r="R288" s="367">
        <f t="shared" si="108"/>
        <v>10914439.800000001</v>
      </c>
      <c r="S288" s="369">
        <f t="shared" si="108"/>
        <v>29178671.43</v>
      </c>
      <c r="T288" s="370">
        <f>N288/'2018'!N288-1</f>
        <v>-1</v>
      </c>
      <c r="U288" s="371">
        <f>O288/'2018'!O288-1</f>
        <v>-1</v>
      </c>
      <c r="V288" s="371">
        <f>P288/'2018'!P288-1</f>
        <v>-1</v>
      </c>
      <c r="W288" s="371">
        <f>Q288/'2018'!Q288-1</f>
        <v>-2.5119957445090213E-2</v>
      </c>
      <c r="X288" s="371">
        <f>R288/'2018'!R288-1</f>
        <v>-3.2172194262401033E-2</v>
      </c>
      <c r="Y288" s="372">
        <f>S288/'2018'!S288-1</f>
        <v>-2.9572287528807917E-2</v>
      </c>
      <c r="Z288" s="373"/>
      <c r="AA288" s="374">
        <f t="shared" si="95"/>
        <v>1756.8633300000001</v>
      </c>
      <c r="AB288" s="375"/>
      <c r="AC288" s="365"/>
      <c r="AD288" s="375">
        <f t="shared" si="97"/>
        <v>18264231.629999999</v>
      </c>
      <c r="AE288" s="348">
        <f t="shared" si="106"/>
        <v>151020.45000000001</v>
      </c>
      <c r="AF288" s="348">
        <f t="shared" si="106"/>
        <v>160719.97</v>
      </c>
      <c r="AG288" s="365">
        <f t="shared" si="99"/>
        <v>383857.90999999829</v>
      </c>
      <c r="AH288" s="357"/>
      <c r="AI288" s="358"/>
      <c r="AJ288" s="358"/>
      <c r="AK288" s="358"/>
      <c r="AL288" s="358"/>
      <c r="AM288" s="358"/>
      <c r="AN288" s="358"/>
      <c r="AO288" s="358"/>
      <c r="AP288" s="358"/>
      <c r="AQ288" s="358"/>
      <c r="AR288" s="358"/>
      <c r="AS288" s="358"/>
      <c r="AT288" s="358"/>
      <c r="AU288" s="358"/>
      <c r="AV288" s="358"/>
      <c r="AW288" s="358"/>
      <c r="AX288" s="358"/>
      <c r="AY288" s="358"/>
      <c r="AZ288" s="358"/>
      <c r="BA288" s="358"/>
      <c r="BB288" s="358"/>
      <c r="BC288" s="358"/>
    </row>
    <row r="289" spans="1:55" s="376" customFormat="1" x14ac:dyDescent="0.15">
      <c r="A289" s="377">
        <v>43019</v>
      </c>
      <c r="B289" s="457" t="s">
        <v>38</v>
      </c>
      <c r="C289" s="361"/>
      <c r="D289" s="348"/>
      <c r="E289" s="348"/>
      <c r="F289" s="362"/>
      <c r="G289" s="348"/>
      <c r="H289" s="363"/>
      <c r="I289" s="363"/>
      <c r="J289" s="364">
        <f t="shared" si="94"/>
        <v>0</v>
      </c>
      <c r="K289" s="348"/>
      <c r="L289" s="416"/>
      <c r="M289" s="365">
        <f t="shared" si="96"/>
        <v>0</v>
      </c>
      <c r="N289" s="366">
        <f t="shared" si="107"/>
        <v>0</v>
      </c>
      <c r="O289" s="349">
        <f t="shared" si="107"/>
        <v>0</v>
      </c>
      <c r="P289" s="353">
        <f t="shared" si="107"/>
        <v>0</v>
      </c>
      <c r="Q289" s="368">
        <f t="shared" si="108"/>
        <v>17568633.300000001</v>
      </c>
      <c r="R289" s="367">
        <f t="shared" si="108"/>
        <v>10914439.800000001</v>
      </c>
      <c r="S289" s="369">
        <f t="shared" si="108"/>
        <v>29178671.43</v>
      </c>
      <c r="T289" s="370">
        <f>N289/'2018'!N289-1</f>
        <v>-1</v>
      </c>
      <c r="U289" s="371">
        <f>O289/'2018'!O289-1</f>
        <v>-1</v>
      </c>
      <c r="V289" s="371">
        <f>P289/'2018'!P289-1</f>
        <v>-1</v>
      </c>
      <c r="W289" s="371">
        <f>Q289/'2018'!Q289-1</f>
        <v>-2.7553807621441662E-2</v>
      </c>
      <c r="X289" s="371">
        <f>R289/'2018'!R289-1</f>
        <v>-3.616709218489822E-2</v>
      </c>
      <c r="Y289" s="372">
        <f>S289/'2018'!S289-1</f>
        <v>-3.2780873550832257E-2</v>
      </c>
      <c r="Z289" s="373"/>
      <c r="AA289" s="374">
        <f t="shared" si="95"/>
        <v>1756.8633300000001</v>
      </c>
      <c r="AB289" s="375"/>
      <c r="AC289" s="365"/>
      <c r="AD289" s="375">
        <f t="shared" si="97"/>
        <v>18264231.629999999</v>
      </c>
      <c r="AE289" s="348">
        <f t="shared" si="106"/>
        <v>151020.45000000001</v>
      </c>
      <c r="AF289" s="348">
        <f t="shared" si="106"/>
        <v>160719.97</v>
      </c>
      <c r="AG289" s="365">
        <f t="shared" si="99"/>
        <v>383857.90999999829</v>
      </c>
      <c r="AH289" s="357"/>
      <c r="AI289" s="358"/>
      <c r="AJ289" s="358"/>
      <c r="AK289" s="358"/>
      <c r="AL289" s="358"/>
      <c r="AM289" s="358"/>
      <c r="AN289" s="358"/>
      <c r="AO289" s="358"/>
      <c r="AP289" s="358"/>
      <c r="AQ289" s="358"/>
      <c r="AR289" s="358"/>
      <c r="AS289" s="358"/>
      <c r="AT289" s="358"/>
      <c r="AU289" s="358"/>
      <c r="AV289" s="358"/>
      <c r="AW289" s="358"/>
      <c r="AX289" s="358"/>
      <c r="AY289" s="358"/>
      <c r="AZ289" s="358"/>
      <c r="BA289" s="358"/>
      <c r="BB289" s="358"/>
      <c r="BC289" s="358"/>
    </row>
    <row r="290" spans="1:55" s="376" customFormat="1" ht="15" customHeight="1" x14ac:dyDescent="0.15">
      <c r="A290" s="377">
        <v>43020</v>
      </c>
      <c r="B290" s="457" t="s">
        <v>39</v>
      </c>
      <c r="C290" s="361"/>
      <c r="D290" s="348"/>
      <c r="E290" s="348"/>
      <c r="F290" s="362"/>
      <c r="G290" s="348"/>
      <c r="H290" s="363"/>
      <c r="I290" s="363"/>
      <c r="J290" s="364">
        <f t="shared" si="94"/>
        <v>0</v>
      </c>
      <c r="K290" s="348"/>
      <c r="L290" s="416"/>
      <c r="M290" s="365">
        <f t="shared" si="96"/>
        <v>0</v>
      </c>
      <c r="N290" s="366">
        <f t="shared" si="107"/>
        <v>0</v>
      </c>
      <c r="O290" s="349">
        <f t="shared" si="107"/>
        <v>0</v>
      </c>
      <c r="P290" s="353">
        <f t="shared" si="107"/>
        <v>0</v>
      </c>
      <c r="Q290" s="368">
        <f t="shared" si="108"/>
        <v>17568633.300000001</v>
      </c>
      <c r="R290" s="367">
        <f t="shared" si="108"/>
        <v>10914439.800000001</v>
      </c>
      <c r="S290" s="369">
        <f t="shared" si="108"/>
        <v>29178671.43</v>
      </c>
      <c r="T290" s="370">
        <f>N290/'2018'!N290-1</f>
        <v>-1</v>
      </c>
      <c r="U290" s="371">
        <f>O290/'2018'!O290-1</f>
        <v>-1</v>
      </c>
      <c r="V290" s="371">
        <f>P290/'2018'!P290-1</f>
        <v>-1</v>
      </c>
      <c r="W290" s="371">
        <f>Q290/'2018'!Q290-1</f>
        <v>-2.9887745415320466E-2</v>
      </c>
      <c r="X290" s="371">
        <f>R290/'2018'!R290-1</f>
        <v>-4.0361318155955783E-2</v>
      </c>
      <c r="Y290" s="372">
        <f>S290/'2018'!S290-1</f>
        <v>-3.6011881596083262E-2</v>
      </c>
      <c r="Z290" s="373"/>
      <c r="AA290" s="374">
        <f t="shared" si="95"/>
        <v>1756.8633300000001</v>
      </c>
      <c r="AB290" s="375"/>
      <c r="AC290" s="365"/>
      <c r="AD290" s="375">
        <f t="shared" si="97"/>
        <v>18264231.629999999</v>
      </c>
      <c r="AE290" s="348">
        <f t="shared" si="106"/>
        <v>151020.45000000001</v>
      </c>
      <c r="AF290" s="348">
        <f t="shared" si="106"/>
        <v>160719.97</v>
      </c>
      <c r="AG290" s="365">
        <f t="shared" si="99"/>
        <v>383857.90999999829</v>
      </c>
      <c r="AH290" s="357"/>
      <c r="AI290" s="358"/>
      <c r="AJ290" s="358"/>
      <c r="AK290" s="358"/>
      <c r="AL290" s="358"/>
      <c r="AM290" s="358"/>
      <c r="AN290" s="358"/>
      <c r="AO290" s="358"/>
      <c r="AP290" s="358"/>
      <c r="AQ290" s="358"/>
      <c r="AR290" s="358"/>
      <c r="AS290" s="358"/>
      <c r="AT290" s="358"/>
      <c r="AU290" s="358"/>
      <c r="AV290" s="358"/>
      <c r="AW290" s="358"/>
      <c r="AX290" s="358"/>
      <c r="AY290" s="358"/>
      <c r="AZ290" s="358"/>
      <c r="BA290" s="358"/>
      <c r="BB290" s="358"/>
      <c r="BC290" s="358"/>
    </row>
    <row r="291" spans="1:55" s="376" customFormat="1" ht="15" customHeight="1" x14ac:dyDescent="0.15">
      <c r="A291" s="377">
        <v>43021</v>
      </c>
      <c r="B291" s="457" t="s">
        <v>1</v>
      </c>
      <c r="C291" s="361"/>
      <c r="D291" s="348"/>
      <c r="E291" s="348"/>
      <c r="F291" s="362"/>
      <c r="G291" s="348"/>
      <c r="H291" s="363"/>
      <c r="I291" s="363"/>
      <c r="J291" s="364">
        <f t="shared" si="94"/>
        <v>0</v>
      </c>
      <c r="K291" s="348"/>
      <c r="L291" s="416"/>
      <c r="M291" s="365">
        <f t="shared" si="96"/>
        <v>0</v>
      </c>
      <c r="N291" s="366">
        <f t="shared" si="107"/>
        <v>0</v>
      </c>
      <c r="O291" s="349">
        <f t="shared" si="107"/>
        <v>0</v>
      </c>
      <c r="P291" s="353">
        <f t="shared" si="107"/>
        <v>0</v>
      </c>
      <c r="Q291" s="368">
        <f t="shared" si="108"/>
        <v>17568633.300000001</v>
      </c>
      <c r="R291" s="367">
        <f t="shared" si="108"/>
        <v>10914439.800000001</v>
      </c>
      <c r="S291" s="369">
        <f t="shared" si="108"/>
        <v>29178671.43</v>
      </c>
      <c r="T291" s="370">
        <f>N291/'2018'!N291-1</f>
        <v>-1</v>
      </c>
      <c r="U291" s="371">
        <f>O291/'2018'!O291-1</f>
        <v>-1</v>
      </c>
      <c r="V291" s="371">
        <f>P291/'2018'!P291-1</f>
        <v>-1</v>
      </c>
      <c r="W291" s="371">
        <f>Q291/'2018'!Q291-1</f>
        <v>-3.1971717401934163E-2</v>
      </c>
      <c r="X291" s="371">
        <f>R291/'2018'!R291-1</f>
        <v>-4.4942592022163552E-2</v>
      </c>
      <c r="Y291" s="372">
        <f>S291/'2018'!S291-1</f>
        <v>-3.9209321606762493E-2</v>
      </c>
      <c r="Z291" s="373"/>
      <c r="AA291" s="374">
        <f t="shared" si="95"/>
        <v>1756.8633300000001</v>
      </c>
      <c r="AB291" s="375"/>
      <c r="AC291" s="365"/>
      <c r="AD291" s="375">
        <f t="shared" si="97"/>
        <v>18264231.629999999</v>
      </c>
      <c r="AE291" s="348">
        <f t="shared" si="106"/>
        <v>151020.45000000001</v>
      </c>
      <c r="AF291" s="348">
        <f t="shared" si="106"/>
        <v>160719.97</v>
      </c>
      <c r="AG291" s="365">
        <f t="shared" si="99"/>
        <v>383857.90999999829</v>
      </c>
      <c r="AH291" s="357"/>
      <c r="AI291" s="358"/>
      <c r="AJ291" s="358"/>
      <c r="AK291" s="358"/>
      <c r="AL291" s="358"/>
      <c r="AM291" s="358"/>
      <c r="AN291" s="358"/>
      <c r="AO291" s="358"/>
      <c r="AP291" s="358"/>
      <c r="AQ291" s="358"/>
      <c r="AR291" s="358"/>
      <c r="AS291" s="358"/>
      <c r="AT291" s="358"/>
      <c r="AU291" s="358"/>
      <c r="AV291" s="358"/>
      <c r="AW291" s="358"/>
      <c r="AX291" s="358"/>
      <c r="AY291" s="358"/>
      <c r="AZ291" s="358"/>
      <c r="BA291" s="358"/>
      <c r="BB291" s="358"/>
      <c r="BC291" s="358"/>
    </row>
    <row r="292" spans="1:55" s="376" customFormat="1" ht="15" customHeight="1" x14ac:dyDescent="0.15">
      <c r="A292" s="377">
        <v>43022</v>
      </c>
      <c r="B292" s="457" t="s">
        <v>34</v>
      </c>
      <c r="C292" s="361"/>
      <c r="D292" s="348"/>
      <c r="E292" s="348"/>
      <c r="F292" s="362"/>
      <c r="G292" s="348"/>
      <c r="H292" s="363"/>
      <c r="I292" s="363"/>
      <c r="J292" s="364">
        <f t="shared" si="94"/>
        <v>0</v>
      </c>
      <c r="K292" s="348"/>
      <c r="L292" s="416"/>
      <c r="M292" s="365">
        <f t="shared" si="96"/>
        <v>0</v>
      </c>
      <c r="N292" s="366">
        <f t="shared" si="107"/>
        <v>0</v>
      </c>
      <c r="O292" s="349">
        <f t="shared" si="107"/>
        <v>0</v>
      </c>
      <c r="P292" s="353">
        <f t="shared" si="107"/>
        <v>0</v>
      </c>
      <c r="Q292" s="368">
        <f t="shared" si="108"/>
        <v>17568633.300000001</v>
      </c>
      <c r="R292" s="367">
        <f t="shared" si="108"/>
        <v>10914439.800000001</v>
      </c>
      <c r="S292" s="369">
        <f t="shared" si="108"/>
        <v>29178671.43</v>
      </c>
      <c r="T292" s="370">
        <f>N292/'2018'!N292-1</f>
        <v>-1</v>
      </c>
      <c r="U292" s="371">
        <f>O292/'2018'!O292-1</f>
        <v>-1</v>
      </c>
      <c r="V292" s="371">
        <f>P292/'2018'!P292-1</f>
        <v>-1</v>
      </c>
      <c r="W292" s="371">
        <f>Q292/'2018'!Q292-1</f>
        <v>-3.3836447836365746E-2</v>
      </c>
      <c r="X292" s="371">
        <f>R292/'2018'!R292-1</f>
        <v>-4.9619463427053256E-2</v>
      </c>
      <c r="Y292" s="372">
        <f>S292/'2018'!S292-1</f>
        <v>-4.2278187920286148E-2</v>
      </c>
      <c r="Z292" s="373"/>
      <c r="AA292" s="374">
        <f t="shared" si="95"/>
        <v>1756.8633300000001</v>
      </c>
      <c r="AB292" s="375"/>
      <c r="AC292" s="365"/>
      <c r="AD292" s="375">
        <f t="shared" si="97"/>
        <v>18264231.629999999</v>
      </c>
      <c r="AE292" s="348">
        <f t="shared" si="106"/>
        <v>151020.45000000001</v>
      </c>
      <c r="AF292" s="348">
        <f t="shared" si="106"/>
        <v>160719.97</v>
      </c>
      <c r="AG292" s="365">
        <f t="shared" si="99"/>
        <v>383857.90999999829</v>
      </c>
      <c r="AH292" s="357"/>
      <c r="AI292" s="358"/>
      <c r="AJ292" s="358"/>
      <c r="AK292" s="358"/>
      <c r="AL292" s="358"/>
      <c r="AM292" s="358"/>
      <c r="AN292" s="358"/>
      <c r="AO292" s="358"/>
      <c r="AP292" s="358"/>
      <c r="AQ292" s="358"/>
      <c r="AR292" s="358"/>
      <c r="AS292" s="358"/>
      <c r="AT292" s="358"/>
      <c r="AU292" s="358"/>
      <c r="AV292" s="358"/>
      <c r="AW292" s="358"/>
      <c r="AX292" s="358"/>
      <c r="AY292" s="358"/>
      <c r="AZ292" s="358"/>
      <c r="BA292" s="358"/>
      <c r="BB292" s="358"/>
      <c r="BC292" s="358"/>
    </row>
    <row r="293" spans="1:55" s="376" customFormat="1" ht="15" customHeight="1" x14ac:dyDescent="0.15">
      <c r="A293" s="377">
        <v>43023</v>
      </c>
      <c r="B293" s="457" t="s">
        <v>35</v>
      </c>
      <c r="C293" s="361"/>
      <c r="D293" s="348"/>
      <c r="E293" s="348"/>
      <c r="F293" s="362"/>
      <c r="G293" s="348"/>
      <c r="H293" s="363"/>
      <c r="I293" s="363"/>
      <c r="J293" s="364">
        <f t="shared" si="94"/>
        <v>0</v>
      </c>
      <c r="K293" s="348"/>
      <c r="L293" s="416"/>
      <c r="M293" s="365">
        <f t="shared" si="96"/>
        <v>0</v>
      </c>
      <c r="N293" s="366">
        <f t="shared" si="107"/>
        <v>0</v>
      </c>
      <c r="O293" s="349">
        <f t="shared" si="107"/>
        <v>0</v>
      </c>
      <c r="P293" s="353">
        <f t="shared" si="107"/>
        <v>0</v>
      </c>
      <c r="Q293" s="368">
        <f t="shared" si="108"/>
        <v>17568633.300000001</v>
      </c>
      <c r="R293" s="367">
        <f t="shared" si="108"/>
        <v>10914439.800000001</v>
      </c>
      <c r="S293" s="369">
        <f t="shared" si="108"/>
        <v>29178671.43</v>
      </c>
      <c r="T293" s="370">
        <f>N293/'2018'!N293-1</f>
        <v>-1</v>
      </c>
      <c r="U293" s="371">
        <f>O293/'2018'!O293-1</f>
        <v>-1</v>
      </c>
      <c r="V293" s="371">
        <f>P293/'2018'!P293-1</f>
        <v>-1</v>
      </c>
      <c r="W293" s="371">
        <f>Q293/'2018'!Q293-1</f>
        <v>-3.6070343325507515E-2</v>
      </c>
      <c r="X293" s="371">
        <f>R293/'2018'!R293-1</f>
        <v>-5.4148140292204605E-2</v>
      </c>
      <c r="Y293" s="372">
        <f>S293/'2018'!S293-1</f>
        <v>-4.5475855898281847E-2</v>
      </c>
      <c r="Z293" s="373"/>
      <c r="AA293" s="374">
        <f t="shared" si="95"/>
        <v>1756.8633300000001</v>
      </c>
      <c r="AB293" s="375"/>
      <c r="AC293" s="365"/>
      <c r="AD293" s="375">
        <f t="shared" si="97"/>
        <v>18264231.629999999</v>
      </c>
      <c r="AE293" s="348">
        <f t="shared" si="106"/>
        <v>151020.45000000001</v>
      </c>
      <c r="AF293" s="348">
        <f t="shared" si="106"/>
        <v>160719.97</v>
      </c>
      <c r="AG293" s="365">
        <f t="shared" si="99"/>
        <v>383857.90999999829</v>
      </c>
      <c r="AH293" s="357"/>
      <c r="AI293" s="358"/>
      <c r="AJ293" s="358"/>
      <c r="AK293" s="358"/>
      <c r="AL293" s="358"/>
      <c r="AM293" s="358"/>
      <c r="AN293" s="358"/>
      <c r="AO293" s="358"/>
      <c r="AP293" s="358"/>
      <c r="AQ293" s="358"/>
      <c r="AR293" s="358"/>
      <c r="AS293" s="358"/>
      <c r="AT293" s="358"/>
      <c r="AU293" s="358"/>
      <c r="AV293" s="358"/>
      <c r="AW293" s="358"/>
      <c r="AX293" s="358"/>
      <c r="AY293" s="358"/>
      <c r="AZ293" s="358"/>
      <c r="BA293" s="358"/>
      <c r="BB293" s="358"/>
      <c r="BC293" s="358"/>
    </row>
    <row r="294" spans="1:55" s="376" customFormat="1" ht="15" customHeight="1" x14ac:dyDescent="0.15">
      <c r="A294" s="377">
        <v>43024</v>
      </c>
      <c r="B294" s="457" t="s">
        <v>36</v>
      </c>
      <c r="C294" s="361"/>
      <c r="D294" s="348"/>
      <c r="E294" s="348"/>
      <c r="F294" s="362"/>
      <c r="G294" s="348"/>
      <c r="H294" s="363"/>
      <c r="I294" s="363"/>
      <c r="J294" s="364">
        <f t="shared" si="94"/>
        <v>0</v>
      </c>
      <c r="K294" s="348"/>
      <c r="L294" s="416"/>
      <c r="M294" s="365">
        <f t="shared" si="96"/>
        <v>0</v>
      </c>
      <c r="N294" s="366">
        <f t="shared" si="107"/>
        <v>0</v>
      </c>
      <c r="O294" s="349">
        <f t="shared" si="107"/>
        <v>0</v>
      </c>
      <c r="P294" s="353">
        <f t="shared" si="107"/>
        <v>0</v>
      </c>
      <c r="Q294" s="368">
        <f t="shared" si="108"/>
        <v>17568633.300000001</v>
      </c>
      <c r="R294" s="367">
        <f t="shared" si="108"/>
        <v>10914439.800000001</v>
      </c>
      <c r="S294" s="369">
        <f t="shared" si="108"/>
        <v>29178671.43</v>
      </c>
      <c r="T294" s="370">
        <f>N294/'2018'!N294-1</f>
        <v>-1</v>
      </c>
      <c r="U294" s="371">
        <f>O294/'2018'!O294-1</f>
        <v>-1</v>
      </c>
      <c r="V294" s="371">
        <f>P294/'2018'!P294-1</f>
        <v>-1</v>
      </c>
      <c r="W294" s="371">
        <f>Q294/'2018'!Q294-1</f>
        <v>-3.8297670222689373E-2</v>
      </c>
      <c r="X294" s="371">
        <f>R294/'2018'!R294-1</f>
        <v>-5.871748327238302E-2</v>
      </c>
      <c r="Y294" s="372">
        <f>S294/'2018'!S294-1</f>
        <v>-4.8678110275305553E-2</v>
      </c>
      <c r="Z294" s="373"/>
      <c r="AA294" s="374">
        <f t="shared" si="95"/>
        <v>1756.8633300000001</v>
      </c>
      <c r="AB294" s="375"/>
      <c r="AC294" s="365"/>
      <c r="AD294" s="375">
        <f t="shared" si="97"/>
        <v>18264231.629999999</v>
      </c>
      <c r="AE294" s="348">
        <f t="shared" si="106"/>
        <v>151020.45000000001</v>
      </c>
      <c r="AF294" s="348">
        <f t="shared" si="106"/>
        <v>160719.97</v>
      </c>
      <c r="AG294" s="365">
        <f t="shared" si="99"/>
        <v>383857.90999999829</v>
      </c>
      <c r="AH294" s="357"/>
      <c r="AI294" s="358"/>
      <c r="AJ294" s="358"/>
      <c r="AK294" s="358"/>
      <c r="AL294" s="358"/>
      <c r="AM294" s="358"/>
      <c r="AN294" s="358"/>
      <c r="AO294" s="358"/>
      <c r="AP294" s="358"/>
      <c r="AQ294" s="358"/>
      <c r="AR294" s="358"/>
      <c r="AS294" s="358"/>
      <c r="AT294" s="358"/>
      <c r="AU294" s="358"/>
      <c r="AV294" s="358"/>
      <c r="AW294" s="358"/>
      <c r="AX294" s="358"/>
      <c r="AY294" s="358"/>
      <c r="AZ294" s="358"/>
      <c r="BA294" s="358"/>
      <c r="BB294" s="358"/>
      <c r="BC294" s="358"/>
    </row>
    <row r="295" spans="1:55" s="376" customFormat="1" ht="15" customHeight="1" x14ac:dyDescent="0.15">
      <c r="A295" s="377">
        <v>43025</v>
      </c>
      <c r="B295" s="182" t="s">
        <v>37</v>
      </c>
      <c r="C295" s="361"/>
      <c r="D295" s="348"/>
      <c r="E295" s="348"/>
      <c r="F295" s="362"/>
      <c r="G295" s="348"/>
      <c r="H295" s="363"/>
      <c r="I295" s="363"/>
      <c r="J295" s="364">
        <f t="shared" si="94"/>
        <v>0</v>
      </c>
      <c r="K295" s="348"/>
      <c r="L295" s="416"/>
      <c r="M295" s="365">
        <f t="shared" si="96"/>
        <v>0</v>
      </c>
      <c r="N295" s="366">
        <f t="shared" si="107"/>
        <v>0</v>
      </c>
      <c r="O295" s="349">
        <f t="shared" si="107"/>
        <v>0</v>
      </c>
      <c r="P295" s="353">
        <f t="shared" si="107"/>
        <v>0</v>
      </c>
      <c r="Q295" s="368">
        <f t="shared" si="108"/>
        <v>17568633.300000001</v>
      </c>
      <c r="R295" s="367">
        <f t="shared" si="108"/>
        <v>10914439.800000001</v>
      </c>
      <c r="S295" s="369">
        <f t="shared" si="108"/>
        <v>29178671.43</v>
      </c>
      <c r="T295" s="370">
        <f>N295/'2018'!N295-1</f>
        <v>-1</v>
      </c>
      <c r="U295" s="371">
        <f>O295/'2018'!O295-1</f>
        <v>-1</v>
      </c>
      <c r="V295" s="371">
        <f>P295/'2018'!P295-1</f>
        <v>-1</v>
      </c>
      <c r="W295" s="371">
        <f>Q295/'2018'!Q295-1</f>
        <v>-4.034413238102208E-2</v>
      </c>
      <c r="X295" s="371">
        <f>R295/'2018'!R295-1</f>
        <v>-6.3328989954732684E-2</v>
      </c>
      <c r="Y295" s="372">
        <f>S295/'2018'!S295-1</f>
        <v>-5.1808266695212657E-2</v>
      </c>
      <c r="Z295" s="373"/>
      <c r="AA295" s="374">
        <f t="shared" si="95"/>
        <v>1756.8633300000001</v>
      </c>
      <c r="AB295" s="375"/>
      <c r="AC295" s="365"/>
      <c r="AD295" s="375">
        <f t="shared" si="97"/>
        <v>18264231.629999999</v>
      </c>
      <c r="AE295" s="348">
        <f t="shared" ref="AE295:AF310" si="109">AE294+K295</f>
        <v>151020.45000000001</v>
      </c>
      <c r="AF295" s="348">
        <f t="shared" si="109"/>
        <v>160719.97</v>
      </c>
      <c r="AG295" s="365">
        <f t="shared" si="99"/>
        <v>383857.90999999829</v>
      </c>
      <c r="AH295" s="357"/>
      <c r="AI295" s="358"/>
      <c r="AJ295" s="358"/>
      <c r="AK295" s="358"/>
      <c r="AL295" s="358"/>
      <c r="AM295" s="358"/>
      <c r="AN295" s="358"/>
      <c r="AO295" s="358"/>
      <c r="AP295" s="358"/>
      <c r="AQ295" s="358"/>
      <c r="AR295" s="358"/>
      <c r="AS295" s="358"/>
      <c r="AT295" s="358"/>
      <c r="AU295" s="358"/>
      <c r="AV295" s="358"/>
      <c r="AW295" s="358"/>
      <c r="AX295" s="358"/>
      <c r="AY295" s="358"/>
      <c r="AZ295" s="358"/>
      <c r="BA295" s="358"/>
      <c r="BB295" s="358"/>
      <c r="BC295" s="358"/>
    </row>
    <row r="296" spans="1:55" s="376" customFormat="1" ht="15" customHeight="1" x14ac:dyDescent="0.15">
      <c r="A296" s="377">
        <v>43026</v>
      </c>
      <c r="B296" s="457" t="s">
        <v>38</v>
      </c>
      <c r="C296" s="361"/>
      <c r="D296" s="348"/>
      <c r="E296" s="348"/>
      <c r="F296" s="362"/>
      <c r="G296" s="348"/>
      <c r="H296" s="363"/>
      <c r="I296" s="363"/>
      <c r="J296" s="364">
        <f t="shared" si="94"/>
        <v>0</v>
      </c>
      <c r="K296" s="348"/>
      <c r="L296" s="416"/>
      <c r="M296" s="365">
        <f t="shared" si="96"/>
        <v>0</v>
      </c>
      <c r="N296" s="366">
        <f t="shared" ref="N296:P308" si="110">C296+N295</f>
        <v>0</v>
      </c>
      <c r="O296" s="349">
        <f t="shared" si="110"/>
        <v>0</v>
      </c>
      <c r="P296" s="353">
        <f t="shared" si="110"/>
        <v>0</v>
      </c>
      <c r="Q296" s="368">
        <f t="shared" si="108"/>
        <v>17568633.300000001</v>
      </c>
      <c r="R296" s="367">
        <f t="shared" si="108"/>
        <v>10914439.800000001</v>
      </c>
      <c r="S296" s="369">
        <f t="shared" si="108"/>
        <v>29178671.43</v>
      </c>
      <c r="T296" s="370">
        <f>N296/'2018'!N296-1</f>
        <v>-1</v>
      </c>
      <c r="U296" s="371">
        <f>O296/'2018'!O296-1</f>
        <v>-1</v>
      </c>
      <c r="V296" s="371">
        <f>P296/'2018'!P296-1</f>
        <v>-1</v>
      </c>
      <c r="W296" s="371">
        <f>Q296/'2018'!Q296-1</f>
        <v>-4.2482685533016484E-2</v>
      </c>
      <c r="X296" s="371">
        <f>R296/'2018'!R296-1</f>
        <v>-6.7770379555567639E-2</v>
      </c>
      <c r="Y296" s="372">
        <f>S296/'2018'!S296-1</f>
        <v>-5.4932983061082519E-2</v>
      </c>
      <c r="Z296" s="373"/>
      <c r="AA296" s="374">
        <f t="shared" si="95"/>
        <v>1756.8633300000001</v>
      </c>
      <c r="AB296" s="375"/>
      <c r="AC296" s="365"/>
      <c r="AD296" s="375">
        <f t="shared" si="97"/>
        <v>18264231.629999999</v>
      </c>
      <c r="AE296" s="348">
        <f t="shared" si="109"/>
        <v>151020.45000000001</v>
      </c>
      <c r="AF296" s="348">
        <f t="shared" si="109"/>
        <v>160719.97</v>
      </c>
      <c r="AG296" s="365">
        <f t="shared" si="99"/>
        <v>383857.90999999829</v>
      </c>
      <c r="AH296" s="357"/>
      <c r="AI296" s="358"/>
      <c r="AJ296" s="358"/>
      <c r="AK296" s="358"/>
      <c r="AL296" s="358"/>
      <c r="AM296" s="358"/>
      <c r="AN296" s="358"/>
      <c r="AO296" s="358"/>
      <c r="AP296" s="358"/>
      <c r="AQ296" s="358"/>
      <c r="AR296" s="358"/>
      <c r="AS296" s="358"/>
      <c r="AT296" s="358"/>
      <c r="AU296" s="358"/>
      <c r="AV296" s="358"/>
      <c r="AW296" s="358"/>
      <c r="AX296" s="358"/>
      <c r="AY296" s="358"/>
      <c r="AZ296" s="358"/>
      <c r="BA296" s="358"/>
      <c r="BB296" s="358"/>
      <c r="BC296" s="358"/>
    </row>
    <row r="297" spans="1:55" s="376" customFormat="1" ht="15" customHeight="1" x14ac:dyDescent="0.15">
      <c r="A297" s="377">
        <v>43027</v>
      </c>
      <c r="B297" s="457" t="s">
        <v>39</v>
      </c>
      <c r="C297" s="361"/>
      <c r="D297" s="348"/>
      <c r="E297" s="348"/>
      <c r="F297" s="362"/>
      <c r="G297" s="348"/>
      <c r="H297" s="363"/>
      <c r="I297" s="363"/>
      <c r="J297" s="364">
        <f t="shared" si="94"/>
        <v>0</v>
      </c>
      <c r="K297" s="348"/>
      <c r="L297" s="416"/>
      <c r="M297" s="365">
        <f t="shared" si="96"/>
        <v>0</v>
      </c>
      <c r="N297" s="366">
        <f t="shared" si="110"/>
        <v>0</v>
      </c>
      <c r="O297" s="349">
        <f t="shared" si="110"/>
        <v>0</v>
      </c>
      <c r="P297" s="353">
        <f t="shared" si="110"/>
        <v>0</v>
      </c>
      <c r="Q297" s="368">
        <f t="shared" si="108"/>
        <v>17568633.300000001</v>
      </c>
      <c r="R297" s="367">
        <f t="shared" si="108"/>
        <v>10914439.800000001</v>
      </c>
      <c r="S297" s="369">
        <f t="shared" si="108"/>
        <v>29178671.43</v>
      </c>
      <c r="T297" s="370">
        <f>N297/'2018'!N297-1</f>
        <v>-1</v>
      </c>
      <c r="U297" s="371">
        <f>O297/'2018'!O297-1</f>
        <v>-1</v>
      </c>
      <c r="V297" s="371">
        <f>P297/'2018'!P297-1</f>
        <v>-1</v>
      </c>
      <c r="W297" s="371">
        <f>Q297/'2018'!Q297-1</f>
        <v>-4.4619002076894509E-2</v>
      </c>
      <c r="X297" s="371">
        <f>R297/'2018'!R297-1</f>
        <v>-7.2217565173664733E-2</v>
      </c>
      <c r="Y297" s="372">
        <f>S297/'2018'!S297-1</f>
        <v>-5.8055751920615184E-2</v>
      </c>
      <c r="Z297" s="373"/>
      <c r="AA297" s="374">
        <f t="shared" si="95"/>
        <v>1756.8633300000001</v>
      </c>
      <c r="AB297" s="375"/>
      <c r="AC297" s="365"/>
      <c r="AD297" s="375">
        <f t="shared" si="97"/>
        <v>18264231.629999999</v>
      </c>
      <c r="AE297" s="348">
        <f t="shared" si="109"/>
        <v>151020.45000000001</v>
      </c>
      <c r="AF297" s="348">
        <f t="shared" si="109"/>
        <v>160719.97</v>
      </c>
      <c r="AG297" s="365">
        <f t="shared" si="99"/>
        <v>383857.90999999829</v>
      </c>
      <c r="AH297" s="357"/>
      <c r="AI297" s="358"/>
      <c r="AJ297" s="358"/>
      <c r="AK297" s="358"/>
      <c r="AL297" s="358"/>
      <c r="AM297" s="358"/>
      <c r="AN297" s="358"/>
      <c r="AO297" s="358"/>
      <c r="AP297" s="358"/>
      <c r="AQ297" s="358"/>
      <c r="AR297" s="358"/>
      <c r="AS297" s="358"/>
      <c r="AT297" s="358"/>
      <c r="AU297" s="358"/>
      <c r="AV297" s="358"/>
      <c r="AW297" s="358"/>
      <c r="AX297" s="358"/>
      <c r="AY297" s="358"/>
      <c r="AZ297" s="358"/>
      <c r="BA297" s="358"/>
      <c r="BB297" s="358"/>
      <c r="BC297" s="358"/>
    </row>
    <row r="298" spans="1:55" s="376" customFormat="1" ht="15" customHeight="1" x14ac:dyDescent="0.15">
      <c r="A298" s="377">
        <v>43028</v>
      </c>
      <c r="B298" s="457" t="s">
        <v>1</v>
      </c>
      <c r="C298" s="361"/>
      <c r="D298" s="348"/>
      <c r="E298" s="348"/>
      <c r="F298" s="362"/>
      <c r="G298" s="348"/>
      <c r="H298" s="363"/>
      <c r="I298" s="363"/>
      <c r="J298" s="364">
        <f t="shared" si="94"/>
        <v>0</v>
      </c>
      <c r="K298" s="348"/>
      <c r="L298" s="416"/>
      <c r="M298" s="365">
        <f t="shared" si="96"/>
        <v>0</v>
      </c>
      <c r="N298" s="366">
        <f t="shared" si="110"/>
        <v>0</v>
      </c>
      <c r="O298" s="349">
        <f t="shared" si="110"/>
        <v>0</v>
      </c>
      <c r="P298" s="353">
        <f t="shared" si="110"/>
        <v>0</v>
      </c>
      <c r="Q298" s="368">
        <f t="shared" si="108"/>
        <v>17568633.300000001</v>
      </c>
      <c r="R298" s="367">
        <f t="shared" si="108"/>
        <v>10914439.800000001</v>
      </c>
      <c r="S298" s="369">
        <f t="shared" si="108"/>
        <v>29178671.43</v>
      </c>
      <c r="T298" s="370">
        <f>N298/'2018'!N298-1</f>
        <v>-1</v>
      </c>
      <c r="U298" s="371">
        <f>O298/'2018'!O298-1</f>
        <v>-1</v>
      </c>
      <c r="V298" s="371">
        <f>P298/'2018'!P298-1</f>
        <v>-1</v>
      </c>
      <c r="W298" s="371">
        <f>Q298/'2018'!Q298-1</f>
        <v>-4.6847017348240039E-2</v>
      </c>
      <c r="X298" s="371">
        <f>R298/'2018'!R298-1</f>
        <v>-7.6518221048769042E-2</v>
      </c>
      <c r="Y298" s="372">
        <f>S298/'2018'!S298-1</f>
        <v>-6.1165050508886765E-2</v>
      </c>
      <c r="Z298" s="373"/>
      <c r="AA298" s="374">
        <f t="shared" si="95"/>
        <v>1756.8633300000001</v>
      </c>
      <c r="AB298" s="375"/>
      <c r="AC298" s="365"/>
      <c r="AD298" s="375">
        <f t="shared" si="97"/>
        <v>18264231.629999999</v>
      </c>
      <c r="AE298" s="348">
        <f t="shared" si="109"/>
        <v>151020.45000000001</v>
      </c>
      <c r="AF298" s="348">
        <f t="shared" si="109"/>
        <v>160719.97</v>
      </c>
      <c r="AG298" s="365">
        <f t="shared" si="99"/>
        <v>383857.90999999829</v>
      </c>
      <c r="AH298" s="357"/>
      <c r="AI298" s="358"/>
      <c r="AJ298" s="358"/>
      <c r="AK298" s="358"/>
      <c r="AL298" s="358"/>
      <c r="AM298" s="358"/>
      <c r="AN298" s="358"/>
      <c r="AO298" s="358"/>
      <c r="AP298" s="358"/>
      <c r="AQ298" s="358"/>
      <c r="AR298" s="358"/>
      <c r="AS298" s="358"/>
      <c r="AT298" s="358"/>
      <c r="AU298" s="358"/>
      <c r="AV298" s="358"/>
      <c r="AW298" s="358"/>
      <c r="AX298" s="358"/>
      <c r="AY298" s="358"/>
      <c r="AZ298" s="358"/>
      <c r="BA298" s="358"/>
      <c r="BB298" s="358"/>
      <c r="BC298" s="358"/>
    </row>
    <row r="299" spans="1:55" s="376" customFormat="1" ht="15" customHeight="1" x14ac:dyDescent="0.15">
      <c r="A299" s="377">
        <v>43029</v>
      </c>
      <c r="B299" s="457" t="s">
        <v>34</v>
      </c>
      <c r="C299" s="361"/>
      <c r="D299" s="348"/>
      <c r="E299" s="348"/>
      <c r="F299" s="362"/>
      <c r="G299" s="348"/>
      <c r="H299" s="363"/>
      <c r="I299" s="363"/>
      <c r="J299" s="364">
        <f t="shared" si="94"/>
        <v>0</v>
      </c>
      <c r="K299" s="348"/>
      <c r="L299" s="416"/>
      <c r="M299" s="365">
        <f t="shared" si="96"/>
        <v>0</v>
      </c>
      <c r="N299" s="366">
        <f t="shared" si="110"/>
        <v>0</v>
      </c>
      <c r="O299" s="349">
        <f t="shared" si="110"/>
        <v>0</v>
      </c>
      <c r="P299" s="353">
        <f t="shared" si="110"/>
        <v>0</v>
      </c>
      <c r="Q299" s="368">
        <f t="shared" si="108"/>
        <v>17568633.300000001</v>
      </c>
      <c r="R299" s="367">
        <f t="shared" si="108"/>
        <v>10914439.800000001</v>
      </c>
      <c r="S299" s="369">
        <f t="shared" si="108"/>
        <v>29178671.43</v>
      </c>
      <c r="T299" s="370">
        <f>N299/'2018'!N299-1</f>
        <v>-1</v>
      </c>
      <c r="U299" s="371">
        <f>O299/'2018'!O299-1</f>
        <v>-1</v>
      </c>
      <c r="V299" s="371">
        <f>P299/'2018'!P299-1</f>
        <v>-1</v>
      </c>
      <c r="W299" s="371">
        <f>Q299/'2018'!Q299-1</f>
        <v>-4.8973603814011057E-2</v>
      </c>
      <c r="X299" s="371">
        <f>R299/'2018'!R299-1</f>
        <v>-8.058947861718746E-2</v>
      </c>
      <c r="Y299" s="372">
        <f>S299/'2018'!S299-1</f>
        <v>-6.4120540748330512E-2</v>
      </c>
      <c r="Z299" s="373"/>
      <c r="AA299" s="374">
        <f t="shared" si="95"/>
        <v>1756.8633300000001</v>
      </c>
      <c r="AB299" s="375"/>
      <c r="AC299" s="365"/>
      <c r="AD299" s="375">
        <f t="shared" si="97"/>
        <v>18264231.629999999</v>
      </c>
      <c r="AE299" s="348">
        <f t="shared" si="109"/>
        <v>151020.45000000001</v>
      </c>
      <c r="AF299" s="348">
        <f t="shared" si="109"/>
        <v>160719.97</v>
      </c>
      <c r="AG299" s="365">
        <f t="shared" si="99"/>
        <v>383857.90999999829</v>
      </c>
      <c r="AH299" s="357"/>
      <c r="AI299" s="358"/>
      <c r="AJ299" s="358"/>
      <c r="AK299" s="358"/>
      <c r="AL299" s="358"/>
      <c r="AM299" s="358"/>
      <c r="AN299" s="358"/>
      <c r="AO299" s="358"/>
      <c r="AP299" s="358"/>
      <c r="AQ299" s="358"/>
      <c r="AR299" s="358"/>
      <c r="AS299" s="358"/>
      <c r="AT299" s="358"/>
      <c r="AU299" s="358"/>
      <c r="AV299" s="358"/>
      <c r="AW299" s="358"/>
      <c r="AX299" s="358"/>
      <c r="AY299" s="358"/>
      <c r="AZ299" s="358"/>
      <c r="BA299" s="358"/>
      <c r="BB299" s="358"/>
      <c r="BC299" s="358"/>
    </row>
    <row r="300" spans="1:55" s="376" customFormat="1" ht="15" customHeight="1" x14ac:dyDescent="0.15">
      <c r="A300" s="377">
        <v>43030</v>
      </c>
      <c r="B300" s="457" t="s">
        <v>35</v>
      </c>
      <c r="C300" s="361"/>
      <c r="D300" s="348"/>
      <c r="E300" s="348"/>
      <c r="F300" s="362"/>
      <c r="G300" s="348"/>
      <c r="H300" s="363"/>
      <c r="I300" s="363"/>
      <c r="J300" s="364">
        <f t="shared" si="94"/>
        <v>0</v>
      </c>
      <c r="K300" s="348"/>
      <c r="L300" s="416"/>
      <c r="M300" s="365">
        <f t="shared" si="96"/>
        <v>0</v>
      </c>
      <c r="N300" s="366">
        <f t="shared" si="110"/>
        <v>0</v>
      </c>
      <c r="O300" s="349">
        <f t="shared" si="110"/>
        <v>0</v>
      </c>
      <c r="P300" s="353">
        <f t="shared" si="110"/>
        <v>0</v>
      </c>
      <c r="Q300" s="368">
        <f t="shared" si="108"/>
        <v>17568633.300000001</v>
      </c>
      <c r="R300" s="367">
        <f t="shared" si="108"/>
        <v>10914439.800000001</v>
      </c>
      <c r="S300" s="369">
        <f t="shared" si="108"/>
        <v>29178671.43</v>
      </c>
      <c r="T300" s="370">
        <f>N300/'2018'!N300-1</f>
        <v>-1</v>
      </c>
      <c r="U300" s="371">
        <f>O300/'2018'!O300-1</f>
        <v>-1</v>
      </c>
      <c r="V300" s="371">
        <f>P300/'2018'!P300-1</f>
        <v>-1</v>
      </c>
      <c r="W300" s="371">
        <f>Q300/'2018'!Q300-1</f>
        <v>-5.1190396923980308E-2</v>
      </c>
      <c r="X300" s="371">
        <f>R300/'2018'!R300-1</f>
        <v>-8.4911646220875103E-2</v>
      </c>
      <c r="Y300" s="372">
        <f>S300/'2018'!S300-1</f>
        <v>-6.7217786757883702E-2</v>
      </c>
      <c r="Z300" s="373"/>
      <c r="AA300" s="374">
        <f t="shared" si="95"/>
        <v>1756.8633300000001</v>
      </c>
      <c r="AB300" s="375"/>
      <c r="AC300" s="365"/>
      <c r="AD300" s="375">
        <f t="shared" si="97"/>
        <v>18264231.629999999</v>
      </c>
      <c r="AE300" s="348">
        <f t="shared" si="109"/>
        <v>151020.45000000001</v>
      </c>
      <c r="AF300" s="348">
        <f t="shared" si="109"/>
        <v>160719.97</v>
      </c>
      <c r="AG300" s="365">
        <f t="shared" si="99"/>
        <v>383857.90999999829</v>
      </c>
      <c r="AH300" s="357"/>
      <c r="AI300" s="358"/>
      <c r="AJ300" s="358"/>
      <c r="AK300" s="358"/>
      <c r="AL300" s="358"/>
      <c r="AM300" s="358"/>
      <c r="AN300" s="358"/>
      <c r="AO300" s="358"/>
      <c r="AP300" s="358"/>
      <c r="AQ300" s="358"/>
      <c r="AR300" s="358"/>
      <c r="AS300" s="358"/>
      <c r="AT300" s="358"/>
      <c r="AU300" s="358"/>
      <c r="AV300" s="358"/>
      <c r="AW300" s="358"/>
      <c r="AX300" s="358"/>
      <c r="AY300" s="358"/>
      <c r="AZ300" s="358"/>
      <c r="BA300" s="358"/>
      <c r="BB300" s="358"/>
      <c r="BC300" s="358"/>
    </row>
    <row r="301" spans="1:55" s="376" customFormat="1" ht="15" customHeight="1" x14ac:dyDescent="0.15">
      <c r="A301" s="377">
        <v>43031</v>
      </c>
      <c r="B301" s="457" t="s">
        <v>36</v>
      </c>
      <c r="C301" s="361"/>
      <c r="D301" s="348"/>
      <c r="E301" s="348"/>
      <c r="F301" s="362"/>
      <c r="G301" s="348"/>
      <c r="H301" s="363"/>
      <c r="I301" s="363"/>
      <c r="J301" s="364">
        <f t="shared" si="94"/>
        <v>0</v>
      </c>
      <c r="K301" s="348"/>
      <c r="L301" s="416"/>
      <c r="M301" s="365">
        <f t="shared" si="96"/>
        <v>0</v>
      </c>
      <c r="N301" s="366">
        <f t="shared" si="110"/>
        <v>0</v>
      </c>
      <c r="O301" s="349">
        <f t="shared" si="110"/>
        <v>0</v>
      </c>
      <c r="P301" s="353">
        <f t="shared" si="110"/>
        <v>0</v>
      </c>
      <c r="Q301" s="368">
        <f t="shared" si="108"/>
        <v>17568633.300000001</v>
      </c>
      <c r="R301" s="367">
        <f t="shared" si="108"/>
        <v>10914439.800000001</v>
      </c>
      <c r="S301" s="369">
        <f t="shared" si="108"/>
        <v>29178671.43</v>
      </c>
      <c r="T301" s="370">
        <f>N301/'2018'!N301-1</f>
        <v>-1</v>
      </c>
      <c r="U301" s="371">
        <f>O301/'2018'!O301-1</f>
        <v>-1</v>
      </c>
      <c r="V301" s="371">
        <f>P301/'2018'!P301-1</f>
        <v>-1</v>
      </c>
      <c r="W301" s="371">
        <f>Q301/'2018'!Q301-1</f>
        <v>-5.3388463996191571E-2</v>
      </c>
      <c r="X301" s="371">
        <f>R301/'2018'!R301-1</f>
        <v>-8.9135902207081452E-2</v>
      </c>
      <c r="Y301" s="372">
        <f>S301/'2018'!S301-1</f>
        <v>-7.028879393585985E-2</v>
      </c>
      <c r="Z301" s="373"/>
      <c r="AA301" s="374">
        <f t="shared" si="95"/>
        <v>1756.8633300000001</v>
      </c>
      <c r="AB301" s="375"/>
      <c r="AC301" s="365"/>
      <c r="AD301" s="375">
        <f t="shared" si="97"/>
        <v>18264231.629999999</v>
      </c>
      <c r="AE301" s="348">
        <f t="shared" si="109"/>
        <v>151020.45000000001</v>
      </c>
      <c r="AF301" s="348">
        <f t="shared" si="109"/>
        <v>160719.97</v>
      </c>
      <c r="AG301" s="365">
        <f t="shared" si="99"/>
        <v>383857.90999999829</v>
      </c>
      <c r="AH301" s="357"/>
      <c r="AI301" s="358"/>
      <c r="AJ301" s="358"/>
      <c r="AK301" s="358"/>
      <c r="AL301" s="358"/>
      <c r="AM301" s="358"/>
      <c r="AN301" s="358"/>
      <c r="AO301" s="358"/>
      <c r="AP301" s="358"/>
      <c r="AQ301" s="358"/>
      <c r="AR301" s="358"/>
      <c r="AS301" s="358"/>
      <c r="AT301" s="358"/>
      <c r="AU301" s="358"/>
      <c r="AV301" s="358"/>
      <c r="AW301" s="358"/>
      <c r="AX301" s="358"/>
      <c r="AY301" s="358"/>
      <c r="AZ301" s="358"/>
      <c r="BA301" s="358"/>
      <c r="BB301" s="358"/>
      <c r="BC301" s="358"/>
    </row>
    <row r="302" spans="1:55" s="376" customFormat="1" ht="15" customHeight="1" x14ac:dyDescent="0.15">
      <c r="A302" s="377">
        <v>43032</v>
      </c>
      <c r="B302" s="182" t="s">
        <v>37</v>
      </c>
      <c r="C302" s="361"/>
      <c r="D302" s="348"/>
      <c r="E302" s="348"/>
      <c r="F302" s="362"/>
      <c r="G302" s="348"/>
      <c r="H302" s="363"/>
      <c r="I302" s="363"/>
      <c r="J302" s="364">
        <f t="shared" si="94"/>
        <v>0</v>
      </c>
      <c r="K302" s="348"/>
      <c r="L302" s="416"/>
      <c r="M302" s="365">
        <f t="shared" si="96"/>
        <v>0</v>
      </c>
      <c r="N302" s="366">
        <f t="shared" si="110"/>
        <v>0</v>
      </c>
      <c r="O302" s="349">
        <f t="shared" si="110"/>
        <v>0</v>
      </c>
      <c r="P302" s="353">
        <f t="shared" si="110"/>
        <v>0</v>
      </c>
      <c r="Q302" s="368">
        <f t="shared" si="108"/>
        <v>17568633.300000001</v>
      </c>
      <c r="R302" s="367">
        <f t="shared" si="108"/>
        <v>10914439.800000001</v>
      </c>
      <c r="S302" s="369">
        <f t="shared" si="108"/>
        <v>29178671.43</v>
      </c>
      <c r="T302" s="370">
        <f>N302/'2018'!N302-1</f>
        <v>-1</v>
      </c>
      <c r="U302" s="371">
        <f>O302/'2018'!O302-1</f>
        <v>-1</v>
      </c>
      <c r="V302" s="371">
        <f>P302/'2018'!P302-1</f>
        <v>-1</v>
      </c>
      <c r="W302" s="371">
        <f>Q302/'2018'!Q302-1</f>
        <v>-5.5544334157571651E-2</v>
      </c>
      <c r="X302" s="371">
        <f>R302/'2018'!R302-1</f>
        <v>-9.3317119255761138E-2</v>
      </c>
      <c r="Y302" s="372">
        <f>S302/'2018'!S302-1</f>
        <v>-7.3325843650750788E-2</v>
      </c>
      <c r="Z302" s="373"/>
      <c r="AA302" s="374">
        <f t="shared" si="95"/>
        <v>1756.8633300000001</v>
      </c>
      <c r="AB302" s="375"/>
      <c r="AC302" s="365"/>
      <c r="AD302" s="375">
        <f t="shared" si="97"/>
        <v>18264231.629999999</v>
      </c>
      <c r="AE302" s="348">
        <f t="shared" si="109"/>
        <v>151020.45000000001</v>
      </c>
      <c r="AF302" s="348">
        <f t="shared" si="109"/>
        <v>160719.97</v>
      </c>
      <c r="AG302" s="365">
        <f t="shared" si="99"/>
        <v>383857.90999999829</v>
      </c>
      <c r="AH302" s="357"/>
      <c r="AI302" s="358"/>
      <c r="AJ302" s="358"/>
      <c r="AK302" s="358"/>
      <c r="AL302" s="358"/>
      <c r="AM302" s="358"/>
      <c r="AN302" s="358"/>
      <c r="AO302" s="358"/>
      <c r="AP302" s="358"/>
      <c r="AQ302" s="358"/>
      <c r="AR302" s="358"/>
      <c r="AS302" s="358"/>
      <c r="AT302" s="358"/>
      <c r="AU302" s="358"/>
      <c r="AV302" s="358"/>
      <c r="AW302" s="358"/>
      <c r="AX302" s="358"/>
      <c r="AY302" s="358"/>
      <c r="AZ302" s="358"/>
      <c r="BA302" s="358"/>
      <c r="BB302" s="358"/>
      <c r="BC302" s="358"/>
    </row>
    <row r="303" spans="1:55" s="376" customFormat="1" ht="15" customHeight="1" x14ac:dyDescent="0.15">
      <c r="A303" s="377">
        <v>43033</v>
      </c>
      <c r="B303" s="457" t="s">
        <v>38</v>
      </c>
      <c r="C303" s="361"/>
      <c r="D303" s="348"/>
      <c r="E303" s="348"/>
      <c r="F303" s="362"/>
      <c r="G303" s="348"/>
      <c r="H303" s="363"/>
      <c r="I303" s="363"/>
      <c r="J303" s="364">
        <f t="shared" si="94"/>
        <v>0</v>
      </c>
      <c r="K303" s="348"/>
      <c r="L303" s="416"/>
      <c r="M303" s="365">
        <f t="shared" si="96"/>
        <v>0</v>
      </c>
      <c r="N303" s="366">
        <f t="shared" si="110"/>
        <v>0</v>
      </c>
      <c r="O303" s="349">
        <f t="shared" si="110"/>
        <v>0</v>
      </c>
      <c r="P303" s="353">
        <f t="shared" si="110"/>
        <v>0</v>
      </c>
      <c r="Q303" s="368">
        <f t="shared" si="108"/>
        <v>17568633.300000001</v>
      </c>
      <c r="R303" s="367">
        <f t="shared" si="108"/>
        <v>10914439.800000001</v>
      </c>
      <c r="S303" s="369">
        <f t="shared" si="108"/>
        <v>29178671.43</v>
      </c>
      <c r="T303" s="370">
        <f>N303/'2018'!N303-1</f>
        <v>-1</v>
      </c>
      <c r="U303" s="371">
        <f>O303/'2018'!O303-1</f>
        <v>-1</v>
      </c>
      <c r="V303" s="371">
        <f>P303/'2018'!P303-1</f>
        <v>-1</v>
      </c>
      <c r="W303" s="371">
        <f>Q303/'2018'!Q303-1</f>
        <v>-5.7792085602595744E-2</v>
      </c>
      <c r="X303" s="371">
        <f>R303/'2018'!R303-1</f>
        <v>-9.7414372520532422E-2</v>
      </c>
      <c r="Y303" s="372">
        <f>S303/'2018'!S303-1</f>
        <v>-7.6374429383867959E-2</v>
      </c>
      <c r="Z303" s="373"/>
      <c r="AA303" s="374">
        <f t="shared" si="95"/>
        <v>1756.8633300000001</v>
      </c>
      <c r="AB303" s="375"/>
      <c r="AC303" s="365"/>
      <c r="AD303" s="375">
        <f t="shared" si="97"/>
        <v>18264231.629999999</v>
      </c>
      <c r="AE303" s="348">
        <f t="shared" si="109"/>
        <v>151020.45000000001</v>
      </c>
      <c r="AF303" s="348">
        <f t="shared" si="109"/>
        <v>160719.97</v>
      </c>
      <c r="AG303" s="365">
        <f t="shared" si="99"/>
        <v>383857.90999999829</v>
      </c>
      <c r="AH303" s="357"/>
      <c r="AI303" s="358"/>
      <c r="AJ303" s="358"/>
      <c r="AK303" s="358"/>
      <c r="AL303" s="358"/>
      <c r="AM303" s="358"/>
      <c r="AN303" s="358"/>
      <c r="AO303" s="358"/>
      <c r="AP303" s="358"/>
      <c r="AQ303" s="358"/>
      <c r="AR303" s="358"/>
      <c r="AS303" s="358"/>
      <c r="AT303" s="358"/>
      <c r="AU303" s="358"/>
      <c r="AV303" s="358"/>
      <c r="AW303" s="358"/>
      <c r="AX303" s="358"/>
      <c r="AY303" s="358"/>
      <c r="AZ303" s="358"/>
      <c r="BA303" s="358"/>
      <c r="BB303" s="358"/>
      <c r="BC303" s="358"/>
    </row>
    <row r="304" spans="1:55" s="376" customFormat="1" ht="15" customHeight="1" x14ac:dyDescent="0.15">
      <c r="A304" s="377">
        <v>43034</v>
      </c>
      <c r="B304" s="457" t="s">
        <v>39</v>
      </c>
      <c r="C304" s="361"/>
      <c r="D304" s="348"/>
      <c r="E304" s="348"/>
      <c r="F304" s="362"/>
      <c r="G304" s="348"/>
      <c r="H304" s="363"/>
      <c r="I304" s="363"/>
      <c r="J304" s="364">
        <f t="shared" si="94"/>
        <v>0</v>
      </c>
      <c r="K304" s="348"/>
      <c r="L304" s="348"/>
      <c r="M304" s="365">
        <f t="shared" si="96"/>
        <v>0</v>
      </c>
      <c r="N304" s="366">
        <f t="shared" si="110"/>
        <v>0</v>
      </c>
      <c r="O304" s="349">
        <f t="shared" si="110"/>
        <v>0</v>
      </c>
      <c r="P304" s="353">
        <f t="shared" si="110"/>
        <v>0</v>
      </c>
      <c r="Q304" s="368">
        <f t="shared" si="108"/>
        <v>17568633.300000001</v>
      </c>
      <c r="R304" s="367">
        <f t="shared" si="108"/>
        <v>10914439.800000001</v>
      </c>
      <c r="S304" s="369">
        <f t="shared" si="108"/>
        <v>29178671.43</v>
      </c>
      <c r="T304" s="370">
        <f>N304/'2018'!N304-1</f>
        <v>-1</v>
      </c>
      <c r="U304" s="371">
        <f>O304/'2018'!O304-1</f>
        <v>-1</v>
      </c>
      <c r="V304" s="371">
        <f>P304/'2018'!P304-1</f>
        <v>-1</v>
      </c>
      <c r="W304" s="371">
        <f>Q304/'2018'!Q304-1</f>
        <v>-6.0012114427650309E-2</v>
      </c>
      <c r="X304" s="371">
        <f>R304/'2018'!R304-1</f>
        <v>-0.10145582494713545</v>
      </c>
      <c r="Y304" s="372">
        <f>S304/'2018'!S304-1</f>
        <v>-7.9387860512365127E-2</v>
      </c>
      <c r="Z304" s="373"/>
      <c r="AA304" s="374">
        <f t="shared" si="95"/>
        <v>1756.8633300000001</v>
      </c>
      <c r="AB304" s="375"/>
      <c r="AC304" s="365"/>
      <c r="AD304" s="375">
        <f t="shared" si="97"/>
        <v>18264231.629999999</v>
      </c>
      <c r="AE304" s="348">
        <f t="shared" si="109"/>
        <v>151020.45000000001</v>
      </c>
      <c r="AF304" s="348">
        <f t="shared" si="109"/>
        <v>160719.97</v>
      </c>
      <c r="AG304" s="365">
        <f t="shared" si="99"/>
        <v>383857.90999999829</v>
      </c>
      <c r="AH304" s="357"/>
      <c r="AI304" s="358"/>
      <c r="AJ304" s="358"/>
      <c r="AK304" s="358"/>
      <c r="AL304" s="358"/>
      <c r="AM304" s="358"/>
      <c r="AN304" s="358"/>
      <c r="AO304" s="358"/>
      <c r="AP304" s="358"/>
      <c r="AQ304" s="358"/>
      <c r="AR304" s="358"/>
      <c r="AS304" s="358"/>
      <c r="AT304" s="358"/>
      <c r="AU304" s="358"/>
      <c r="AV304" s="358"/>
      <c r="AW304" s="358"/>
      <c r="AX304" s="358"/>
      <c r="AY304" s="358"/>
      <c r="AZ304" s="358"/>
      <c r="BA304" s="358"/>
      <c r="BB304" s="358"/>
      <c r="BC304" s="358"/>
    </row>
    <row r="305" spans="1:55" s="376" customFormat="1" ht="15" customHeight="1" x14ac:dyDescent="0.15">
      <c r="A305" s="377">
        <v>43035</v>
      </c>
      <c r="B305" s="457" t="s">
        <v>1</v>
      </c>
      <c r="C305" s="361"/>
      <c r="D305" s="348"/>
      <c r="E305" s="348"/>
      <c r="F305" s="362"/>
      <c r="G305" s="348"/>
      <c r="H305" s="363"/>
      <c r="I305" s="363"/>
      <c r="J305" s="364">
        <f t="shared" si="94"/>
        <v>0</v>
      </c>
      <c r="K305" s="348"/>
      <c r="L305" s="348"/>
      <c r="M305" s="365">
        <f t="shared" si="96"/>
        <v>0</v>
      </c>
      <c r="N305" s="366">
        <f t="shared" si="110"/>
        <v>0</v>
      </c>
      <c r="O305" s="349">
        <f t="shared" si="110"/>
        <v>0</v>
      </c>
      <c r="P305" s="353">
        <f t="shared" si="110"/>
        <v>0</v>
      </c>
      <c r="Q305" s="368">
        <f t="shared" si="108"/>
        <v>17568633.300000001</v>
      </c>
      <c r="R305" s="367">
        <f t="shared" si="108"/>
        <v>10914439.800000001</v>
      </c>
      <c r="S305" s="369">
        <f t="shared" si="108"/>
        <v>29178671.43</v>
      </c>
      <c r="T305" s="370">
        <f>N305/'2018'!N305-1</f>
        <v>-1</v>
      </c>
      <c r="U305" s="371">
        <f>O305/'2018'!O305-1</f>
        <v>-1</v>
      </c>
      <c r="V305" s="371">
        <f>P305/'2018'!P305-1</f>
        <v>-1</v>
      </c>
      <c r="W305" s="371">
        <f>Q305/'2018'!Q305-1</f>
        <v>-6.2094845304159318E-2</v>
      </c>
      <c r="X305" s="371">
        <f>R305/'2018'!R305-1</f>
        <v>-0.1053278652712486</v>
      </c>
      <c r="Y305" s="372">
        <f>S305/'2018'!S305-1</f>
        <v>-8.2274070058706905E-2</v>
      </c>
      <c r="Z305" s="373"/>
      <c r="AA305" s="374">
        <f t="shared" si="95"/>
        <v>1756.8633300000001</v>
      </c>
      <c r="AB305" s="375"/>
      <c r="AC305" s="365"/>
      <c r="AD305" s="375">
        <f t="shared" si="97"/>
        <v>18264231.629999999</v>
      </c>
      <c r="AE305" s="348">
        <f t="shared" si="109"/>
        <v>151020.45000000001</v>
      </c>
      <c r="AF305" s="348">
        <f t="shared" si="109"/>
        <v>160719.97</v>
      </c>
      <c r="AG305" s="365">
        <f t="shared" si="99"/>
        <v>383857.90999999829</v>
      </c>
      <c r="AH305" s="357"/>
      <c r="AI305" s="358"/>
      <c r="AJ305" s="358"/>
      <c r="AK305" s="358"/>
      <c r="AL305" s="358"/>
      <c r="AM305" s="358"/>
      <c r="AN305" s="358"/>
      <c r="AO305" s="358"/>
      <c r="AP305" s="358"/>
      <c r="AQ305" s="358"/>
      <c r="AR305" s="358"/>
      <c r="AS305" s="358"/>
      <c r="AT305" s="358"/>
      <c r="AU305" s="358"/>
      <c r="AV305" s="358"/>
      <c r="AW305" s="358"/>
      <c r="AX305" s="358"/>
      <c r="AY305" s="358"/>
      <c r="AZ305" s="358"/>
      <c r="BA305" s="358"/>
      <c r="BB305" s="358"/>
      <c r="BC305" s="358"/>
    </row>
    <row r="306" spans="1:55" s="376" customFormat="1" ht="15" customHeight="1" x14ac:dyDescent="0.15">
      <c r="A306" s="377">
        <v>43036</v>
      </c>
      <c r="B306" s="457" t="s">
        <v>34</v>
      </c>
      <c r="C306" s="361"/>
      <c r="D306" s="348"/>
      <c r="E306" s="348"/>
      <c r="F306" s="362"/>
      <c r="G306" s="348"/>
      <c r="H306" s="363"/>
      <c r="I306" s="363"/>
      <c r="J306" s="364">
        <f t="shared" si="94"/>
        <v>0</v>
      </c>
      <c r="K306" s="348"/>
      <c r="L306" s="348"/>
      <c r="M306" s="365">
        <f t="shared" si="96"/>
        <v>0</v>
      </c>
      <c r="N306" s="366">
        <f t="shared" si="110"/>
        <v>0</v>
      </c>
      <c r="O306" s="349">
        <f t="shared" si="110"/>
        <v>0</v>
      </c>
      <c r="P306" s="353">
        <f t="shared" si="110"/>
        <v>0</v>
      </c>
      <c r="Q306" s="368">
        <f t="shared" si="108"/>
        <v>17568633.300000001</v>
      </c>
      <c r="R306" s="367">
        <f t="shared" si="108"/>
        <v>10914439.800000001</v>
      </c>
      <c r="S306" s="369">
        <f t="shared" si="108"/>
        <v>29178671.43</v>
      </c>
      <c r="T306" s="370">
        <f>N306/'2018'!N306-1</f>
        <v>-1</v>
      </c>
      <c r="U306" s="371">
        <f>O306/'2018'!O306-1</f>
        <v>-1</v>
      </c>
      <c r="V306" s="371">
        <f>P306/'2018'!P306-1</f>
        <v>-1</v>
      </c>
      <c r="W306" s="371">
        <f>Q306/'2018'!Q306-1</f>
        <v>-6.3932421681772489E-2</v>
      </c>
      <c r="X306" s="371">
        <f>R306/'2018'!R306-1</f>
        <v>-0.1090549090990186</v>
      </c>
      <c r="Y306" s="372">
        <f>S306/'2018'!S306-1</f>
        <v>-8.4988896704896622E-2</v>
      </c>
      <c r="Z306" s="373"/>
      <c r="AA306" s="374">
        <f t="shared" si="95"/>
        <v>1756.8633300000001</v>
      </c>
      <c r="AB306" s="375"/>
      <c r="AC306" s="365"/>
      <c r="AD306" s="375">
        <f t="shared" si="97"/>
        <v>18264231.629999999</v>
      </c>
      <c r="AE306" s="348">
        <f t="shared" si="109"/>
        <v>151020.45000000001</v>
      </c>
      <c r="AF306" s="348">
        <f t="shared" si="109"/>
        <v>160719.97</v>
      </c>
      <c r="AG306" s="365">
        <f t="shared" si="99"/>
        <v>383857.90999999829</v>
      </c>
      <c r="AH306" s="357"/>
      <c r="AI306" s="358"/>
      <c r="AJ306" s="358"/>
      <c r="AK306" s="358"/>
      <c r="AL306" s="358"/>
      <c r="AM306" s="358"/>
      <c r="AN306" s="358"/>
      <c r="AO306" s="358"/>
      <c r="AP306" s="358"/>
      <c r="AQ306" s="358"/>
      <c r="AR306" s="358"/>
      <c r="AS306" s="358"/>
      <c r="AT306" s="358"/>
      <c r="AU306" s="358"/>
      <c r="AV306" s="358"/>
      <c r="AW306" s="358"/>
      <c r="AX306" s="358"/>
      <c r="AY306" s="358"/>
      <c r="AZ306" s="358"/>
      <c r="BA306" s="358"/>
      <c r="BB306" s="358"/>
      <c r="BC306" s="358"/>
    </row>
    <row r="307" spans="1:55" s="376" customFormat="1" ht="15" customHeight="1" x14ac:dyDescent="0.15">
      <c r="A307" s="377">
        <v>43037</v>
      </c>
      <c r="B307" s="457" t="s">
        <v>35</v>
      </c>
      <c r="C307" s="361"/>
      <c r="D307" s="348"/>
      <c r="E307" s="348"/>
      <c r="F307" s="362"/>
      <c r="G307" s="348"/>
      <c r="H307" s="363"/>
      <c r="I307" s="363"/>
      <c r="J307" s="364">
        <f t="shared" si="94"/>
        <v>0</v>
      </c>
      <c r="K307" s="348"/>
      <c r="L307" s="348"/>
      <c r="M307" s="365">
        <f t="shared" si="96"/>
        <v>0</v>
      </c>
      <c r="N307" s="366">
        <f t="shared" si="110"/>
        <v>0</v>
      </c>
      <c r="O307" s="349">
        <f t="shared" si="110"/>
        <v>0</v>
      </c>
      <c r="P307" s="353">
        <f t="shared" si="110"/>
        <v>0</v>
      </c>
      <c r="Q307" s="368">
        <f t="shared" si="108"/>
        <v>17568633.300000001</v>
      </c>
      <c r="R307" s="367">
        <f t="shared" si="108"/>
        <v>10914439.800000001</v>
      </c>
      <c r="S307" s="369">
        <f t="shared" si="108"/>
        <v>29178671.43</v>
      </c>
      <c r="T307" s="370">
        <f>N307/'2018'!N307-1</f>
        <v>-1</v>
      </c>
      <c r="U307" s="371">
        <f>O307/'2018'!O307-1</f>
        <v>-1</v>
      </c>
      <c r="V307" s="371">
        <f>P307/'2018'!P307-1</f>
        <v>-1</v>
      </c>
      <c r="W307" s="371">
        <f>Q307/'2018'!Q307-1</f>
        <v>-6.5835884330596173E-2</v>
      </c>
      <c r="X307" s="371">
        <f>R307/'2018'!R307-1</f>
        <v>-0.11295005141252668</v>
      </c>
      <c r="Y307" s="372">
        <f>S307/'2018'!S307-1</f>
        <v>-8.7828228364002725E-2</v>
      </c>
      <c r="Z307" s="373"/>
      <c r="AA307" s="374">
        <f t="shared" si="95"/>
        <v>1756.8633300000001</v>
      </c>
      <c r="AB307" s="375"/>
      <c r="AC307" s="365"/>
      <c r="AD307" s="375">
        <f t="shared" si="97"/>
        <v>18264231.629999999</v>
      </c>
      <c r="AE307" s="348">
        <f t="shared" si="109"/>
        <v>151020.45000000001</v>
      </c>
      <c r="AF307" s="348">
        <f t="shared" si="109"/>
        <v>160719.97</v>
      </c>
      <c r="AG307" s="365">
        <f t="shared" si="99"/>
        <v>383857.90999999829</v>
      </c>
      <c r="AH307" s="357"/>
      <c r="AI307" s="358"/>
      <c r="AJ307" s="358"/>
      <c r="AK307" s="358"/>
      <c r="AL307" s="358"/>
      <c r="AM307" s="358"/>
      <c r="AN307" s="358"/>
      <c r="AO307" s="358"/>
      <c r="AP307" s="358"/>
      <c r="AQ307" s="358"/>
      <c r="AR307" s="358"/>
      <c r="AS307" s="358"/>
      <c r="AT307" s="358"/>
      <c r="AU307" s="358"/>
      <c r="AV307" s="358"/>
      <c r="AW307" s="358"/>
      <c r="AX307" s="358"/>
      <c r="AY307" s="358"/>
      <c r="AZ307" s="358"/>
      <c r="BA307" s="358"/>
      <c r="BB307" s="358"/>
      <c r="BC307" s="358"/>
    </row>
    <row r="308" spans="1:55" s="376" customFormat="1" ht="15" customHeight="1" x14ac:dyDescent="0.15">
      <c r="A308" s="377">
        <v>43038</v>
      </c>
      <c r="B308" s="457" t="s">
        <v>36</v>
      </c>
      <c r="C308" s="361"/>
      <c r="D308" s="348"/>
      <c r="E308" s="348"/>
      <c r="F308" s="362"/>
      <c r="G308" s="348"/>
      <c r="H308" s="363"/>
      <c r="I308" s="363"/>
      <c r="J308" s="364">
        <f t="shared" si="94"/>
        <v>0</v>
      </c>
      <c r="K308" s="348"/>
      <c r="L308" s="348"/>
      <c r="M308" s="365">
        <f t="shared" si="96"/>
        <v>0</v>
      </c>
      <c r="N308" s="366">
        <f t="shared" si="110"/>
        <v>0</v>
      </c>
      <c r="O308" s="349">
        <f t="shared" si="110"/>
        <v>0</v>
      </c>
      <c r="P308" s="353">
        <f t="shared" si="110"/>
        <v>0</v>
      </c>
      <c r="Q308" s="368">
        <f>Q$278+N308</f>
        <v>17568633.300000001</v>
      </c>
      <c r="R308" s="367">
        <f t="shared" si="108"/>
        <v>10914439.800000001</v>
      </c>
      <c r="S308" s="369">
        <f t="shared" si="108"/>
        <v>29178671.43</v>
      </c>
      <c r="T308" s="370">
        <f>N308/'2018'!N308-1</f>
        <v>-1</v>
      </c>
      <c r="U308" s="371">
        <f>O308/'2018'!O308-1</f>
        <v>-1</v>
      </c>
      <c r="V308" s="371">
        <f>P308/'2018'!P308-1</f>
        <v>-1</v>
      </c>
      <c r="W308" s="371">
        <f>Q308/'2018'!Q308-1</f>
        <v>-6.7790487288111656E-2</v>
      </c>
      <c r="X308" s="371">
        <f>R308/'2018'!R308-1</f>
        <v>-0.11678162366090872</v>
      </c>
      <c r="Y308" s="372">
        <f>S308/'2018'!S308-1</f>
        <v>-9.0695363058156175E-2</v>
      </c>
      <c r="Z308" s="373"/>
      <c r="AA308" s="374">
        <f t="shared" si="95"/>
        <v>1756.8633300000001</v>
      </c>
      <c r="AB308" s="375"/>
      <c r="AC308" s="365"/>
      <c r="AD308" s="375">
        <f t="shared" si="97"/>
        <v>18264231.629999999</v>
      </c>
      <c r="AE308" s="348">
        <f t="shared" si="109"/>
        <v>151020.45000000001</v>
      </c>
      <c r="AF308" s="348">
        <f t="shared" si="109"/>
        <v>160719.97</v>
      </c>
      <c r="AG308" s="365">
        <f t="shared" si="99"/>
        <v>383857.90999999829</v>
      </c>
      <c r="AH308" s="357"/>
      <c r="AI308" s="358"/>
      <c r="AJ308" s="358"/>
      <c r="AK308" s="358"/>
      <c r="AL308" s="358"/>
      <c r="AM308" s="358"/>
      <c r="AN308" s="358"/>
      <c r="AO308" s="358"/>
      <c r="AP308" s="358"/>
      <c r="AQ308" s="358"/>
      <c r="AR308" s="358"/>
      <c r="AS308" s="358"/>
      <c r="AT308" s="358"/>
      <c r="AU308" s="358"/>
      <c r="AV308" s="358"/>
      <c r="AW308" s="358"/>
      <c r="AX308" s="358"/>
      <c r="AY308" s="358"/>
      <c r="AZ308" s="358"/>
      <c r="BA308" s="358"/>
      <c r="BB308" s="358"/>
      <c r="BC308" s="358"/>
    </row>
    <row r="309" spans="1:55" s="376" customFormat="1" ht="15" customHeight="1" x14ac:dyDescent="0.15">
      <c r="A309" s="403">
        <v>43039</v>
      </c>
      <c r="B309" s="275" t="s">
        <v>37</v>
      </c>
      <c r="C309" s="381"/>
      <c r="D309" s="382"/>
      <c r="E309" s="382"/>
      <c r="F309" s="383"/>
      <c r="G309" s="382"/>
      <c r="H309" s="384"/>
      <c r="I309" s="384"/>
      <c r="J309" s="385">
        <f t="shared" si="94"/>
        <v>0</v>
      </c>
      <c r="K309" s="382"/>
      <c r="L309" s="382"/>
      <c r="M309" s="386">
        <f t="shared" si="96"/>
        <v>0</v>
      </c>
      <c r="N309" s="387">
        <f t="shared" ref="N309" si="111">C309+N308</f>
        <v>0</v>
      </c>
      <c r="O309" s="404">
        <f t="shared" ref="O309" si="112">D309+O308</f>
        <v>0</v>
      </c>
      <c r="P309" s="389">
        <f t="shared" ref="P309" si="113">E309+P308</f>
        <v>0</v>
      </c>
      <c r="Q309" s="390">
        <f>[9]表2、统调口径电量!$I$10</f>
        <v>18885074.219999999</v>
      </c>
      <c r="R309" s="388">
        <f>[9]表2、统调口径电量!$I$14</f>
        <v>12411110.800000001</v>
      </c>
      <c r="S309" s="391">
        <f>[9]表2、统调口径电量!$I$3</f>
        <v>32189402.91</v>
      </c>
      <c r="T309" s="417">
        <f>N309/'2018'!N309-1</f>
        <v>-1</v>
      </c>
      <c r="U309" s="408">
        <f>O309/'2018'!O309-1</f>
        <v>-1</v>
      </c>
      <c r="V309" s="408">
        <f>P309/'2018'!P309-1</f>
        <v>-1</v>
      </c>
      <c r="W309" s="408">
        <f>Q309/'2018'!Q309-1</f>
        <v>0</v>
      </c>
      <c r="X309" s="408">
        <f>R309/'2018'!R309-1</f>
        <v>0</v>
      </c>
      <c r="Y309" s="409">
        <f>S309/'2018'!S309-1</f>
        <v>0</v>
      </c>
      <c r="Z309" s="395"/>
      <c r="AA309" s="396">
        <f>[9]表2、统调口径电量!$I$11/10000</f>
        <v>1778.833214</v>
      </c>
      <c r="AB309" s="397"/>
      <c r="AC309" s="386" t="e">
        <f t="shared" si="105"/>
        <v>#DIV/0!</v>
      </c>
      <c r="AD309" s="397">
        <f>[9]表2、统调口径电量!$I$4</f>
        <v>19778292.109999999</v>
      </c>
      <c r="AE309" s="382">
        <f>[9]表2、统调口径电量!$I$13</f>
        <v>194521.13</v>
      </c>
      <c r="AF309" s="382">
        <f>[9]表2、统调口径电量!$I$17</f>
        <v>436642.62</v>
      </c>
      <c r="AG309" s="386">
        <f t="shared" si="99"/>
        <v>262054.1400000006</v>
      </c>
      <c r="AH309" s="357"/>
      <c r="AI309" s="358"/>
      <c r="AJ309" s="358"/>
      <c r="AK309" s="358"/>
      <c r="AL309" s="358"/>
      <c r="AM309" s="358"/>
      <c r="AN309" s="358"/>
      <c r="AO309" s="358"/>
      <c r="AP309" s="358"/>
      <c r="AQ309" s="358"/>
      <c r="AR309" s="358"/>
      <c r="AS309" s="358"/>
      <c r="AT309" s="358"/>
      <c r="AU309" s="358"/>
      <c r="AV309" s="358"/>
      <c r="AW309" s="358"/>
      <c r="AX309" s="358"/>
      <c r="AY309" s="358"/>
      <c r="AZ309" s="358"/>
      <c r="BA309" s="358"/>
      <c r="BB309" s="358"/>
      <c r="BC309" s="358"/>
    </row>
    <row r="310" spans="1:55" s="376" customFormat="1" ht="15" customHeight="1" x14ac:dyDescent="0.15">
      <c r="A310" s="377">
        <v>43040</v>
      </c>
      <c r="B310" s="457" t="s">
        <v>38</v>
      </c>
      <c r="C310" s="361"/>
      <c r="D310" s="348"/>
      <c r="E310" s="348"/>
      <c r="F310" s="362"/>
      <c r="G310" s="348"/>
      <c r="H310" s="363"/>
      <c r="I310" s="363"/>
      <c r="J310" s="364">
        <f t="shared" si="94"/>
        <v>0</v>
      </c>
      <c r="K310" s="348"/>
      <c r="L310" s="348"/>
      <c r="M310" s="365">
        <f t="shared" si="96"/>
        <v>0</v>
      </c>
      <c r="N310" s="366">
        <f>C310</f>
        <v>0</v>
      </c>
      <c r="O310" s="349">
        <f>D310</f>
        <v>0</v>
      </c>
      <c r="P310" s="353">
        <f>E310</f>
        <v>0</v>
      </c>
      <c r="Q310" s="368">
        <f>Q$309+N310</f>
        <v>18885074.219999999</v>
      </c>
      <c r="R310" s="367">
        <f>R$309+O310</f>
        <v>12411110.800000001</v>
      </c>
      <c r="S310" s="369">
        <f>S$309+P310</f>
        <v>32189402.91</v>
      </c>
      <c r="T310" s="370">
        <f>N310/'2018'!N310-1</f>
        <v>-1</v>
      </c>
      <c r="U310" s="371">
        <f>O310/'2018'!O310-1</f>
        <v>-1</v>
      </c>
      <c r="V310" s="371">
        <f>P310/'2018'!P310-1</f>
        <v>-1</v>
      </c>
      <c r="W310" s="371">
        <f>Q310/'2018'!Q310-1</f>
        <v>-1.9017436278331301E-3</v>
      </c>
      <c r="X310" s="371">
        <f>R310/'2018'!R310-1</f>
        <v>-4.2507706617845864E-3</v>
      </c>
      <c r="Y310" s="372">
        <f>S310/'2018'!S310-1</f>
        <v>-3.0120805730803335E-3</v>
      </c>
      <c r="Z310" s="373"/>
      <c r="AA310" s="374">
        <f t="shared" si="95"/>
        <v>1888.5074219999999</v>
      </c>
      <c r="AB310" s="375"/>
      <c r="AC310" s="365"/>
      <c r="AD310" s="375">
        <f t="shared" si="97"/>
        <v>19778292.109999999</v>
      </c>
      <c r="AE310" s="348">
        <f t="shared" si="109"/>
        <v>194521.13</v>
      </c>
      <c r="AF310" s="348">
        <f t="shared" si="109"/>
        <v>436642.62</v>
      </c>
      <c r="AG310" s="365">
        <f t="shared" si="99"/>
        <v>262054.1400000006</v>
      </c>
      <c r="AH310" s="357"/>
      <c r="AI310" s="358"/>
      <c r="AJ310" s="358"/>
      <c r="AK310" s="358"/>
      <c r="AL310" s="358"/>
      <c r="AM310" s="358"/>
      <c r="AN310" s="358"/>
      <c r="AO310" s="358"/>
      <c r="AP310" s="358"/>
      <c r="AQ310" s="358"/>
      <c r="AR310" s="358"/>
      <c r="AS310" s="358"/>
      <c r="AT310" s="358"/>
      <c r="AU310" s="358"/>
      <c r="AV310" s="358"/>
      <c r="AW310" s="358"/>
      <c r="AX310" s="358"/>
      <c r="AY310" s="358"/>
      <c r="AZ310" s="358"/>
      <c r="BA310" s="358"/>
      <c r="BB310" s="358"/>
      <c r="BC310" s="358"/>
    </row>
    <row r="311" spans="1:55" s="376" customFormat="1" ht="15" customHeight="1" x14ac:dyDescent="0.15">
      <c r="A311" s="377">
        <v>43041</v>
      </c>
      <c r="B311" s="457" t="s">
        <v>39</v>
      </c>
      <c r="C311" s="361"/>
      <c r="D311" s="348"/>
      <c r="E311" s="348"/>
      <c r="F311" s="362"/>
      <c r="G311" s="348"/>
      <c r="H311" s="363"/>
      <c r="I311" s="363"/>
      <c r="J311" s="364">
        <f t="shared" si="94"/>
        <v>0</v>
      </c>
      <c r="K311" s="348"/>
      <c r="L311" s="348"/>
      <c r="M311" s="365">
        <f t="shared" si="96"/>
        <v>0</v>
      </c>
      <c r="N311" s="366">
        <f t="shared" ref="N311:P326" si="114">C311+N310</f>
        <v>0</v>
      </c>
      <c r="O311" s="349">
        <f t="shared" si="114"/>
        <v>0</v>
      </c>
      <c r="P311" s="353">
        <f t="shared" si="114"/>
        <v>0</v>
      </c>
      <c r="Q311" s="368">
        <f t="shared" ref="Q311:S338" si="115">Q$309+N311</f>
        <v>18885074.219999999</v>
      </c>
      <c r="R311" s="367">
        <f t="shared" si="115"/>
        <v>12411110.800000001</v>
      </c>
      <c r="S311" s="369">
        <f t="shared" si="115"/>
        <v>32189402.91</v>
      </c>
      <c r="T311" s="370">
        <f>N311/'2018'!N311-1</f>
        <v>-1</v>
      </c>
      <c r="U311" s="371">
        <f>O311/'2018'!O311-1</f>
        <v>-1</v>
      </c>
      <c r="V311" s="371">
        <f>P311/'2018'!P311-1</f>
        <v>-1</v>
      </c>
      <c r="W311" s="371">
        <f>Q311/'2018'!Q311-1</f>
        <v>-4.0141473799550909E-3</v>
      </c>
      <c r="X311" s="371">
        <f>R311/'2018'!R311-1</f>
        <v>-8.5401706762368024E-3</v>
      </c>
      <c r="Y311" s="372">
        <f>S311/'2018'!S311-1</f>
        <v>-6.1479795161205608E-3</v>
      </c>
      <c r="Z311" s="373"/>
      <c r="AA311" s="374">
        <f t="shared" si="95"/>
        <v>1888.5074219999999</v>
      </c>
      <c r="AB311" s="375"/>
      <c r="AC311" s="365"/>
      <c r="AD311" s="375">
        <f t="shared" si="97"/>
        <v>19778292.109999999</v>
      </c>
      <c r="AE311" s="348">
        <f t="shared" ref="AE311:AF326" si="116">AE310+K311</f>
        <v>194521.13</v>
      </c>
      <c r="AF311" s="348">
        <f t="shared" si="116"/>
        <v>436642.62</v>
      </c>
      <c r="AG311" s="365">
        <f t="shared" si="99"/>
        <v>262054.1400000006</v>
      </c>
      <c r="AH311" s="357"/>
      <c r="AI311" s="358"/>
      <c r="AJ311" s="358"/>
      <c r="AK311" s="358"/>
      <c r="AL311" s="358"/>
      <c r="AM311" s="358"/>
      <c r="AN311" s="358"/>
      <c r="AO311" s="358"/>
      <c r="AP311" s="358"/>
      <c r="AQ311" s="358"/>
      <c r="AR311" s="358"/>
      <c r="AS311" s="358"/>
      <c r="AT311" s="358"/>
      <c r="AU311" s="358"/>
      <c r="AV311" s="358"/>
      <c r="AW311" s="358"/>
      <c r="AX311" s="358"/>
      <c r="AY311" s="358"/>
      <c r="AZ311" s="358"/>
      <c r="BA311" s="358"/>
      <c r="BB311" s="358"/>
      <c r="BC311" s="358"/>
    </row>
    <row r="312" spans="1:55" s="376" customFormat="1" ht="15" customHeight="1" x14ac:dyDescent="0.15">
      <c r="A312" s="377">
        <v>43042</v>
      </c>
      <c r="B312" s="457" t="s">
        <v>1</v>
      </c>
      <c r="C312" s="361"/>
      <c r="D312" s="348"/>
      <c r="E312" s="348"/>
      <c r="F312" s="362"/>
      <c r="G312" s="348"/>
      <c r="H312" s="363"/>
      <c r="I312" s="363"/>
      <c r="J312" s="364">
        <f t="shared" si="94"/>
        <v>0</v>
      </c>
      <c r="K312" s="348"/>
      <c r="L312" s="348"/>
      <c r="M312" s="365">
        <f t="shared" si="96"/>
        <v>0</v>
      </c>
      <c r="N312" s="366">
        <f t="shared" si="114"/>
        <v>0</v>
      </c>
      <c r="O312" s="349">
        <f t="shared" si="114"/>
        <v>0</v>
      </c>
      <c r="P312" s="353">
        <f t="shared" si="114"/>
        <v>0</v>
      </c>
      <c r="Q312" s="368">
        <f t="shared" si="115"/>
        <v>18885074.219999999</v>
      </c>
      <c r="R312" s="367">
        <f t="shared" si="115"/>
        <v>12411110.800000001</v>
      </c>
      <c r="S312" s="369">
        <f t="shared" si="115"/>
        <v>32189402.91</v>
      </c>
      <c r="T312" s="370">
        <f>N312/'2018'!N312-1</f>
        <v>-1</v>
      </c>
      <c r="U312" s="371">
        <f>O312/'2018'!O312-1</f>
        <v>-1</v>
      </c>
      <c r="V312" s="371">
        <f>P312/'2018'!P312-1</f>
        <v>-1</v>
      </c>
      <c r="W312" s="371">
        <f>Q312/'2018'!Q312-1</f>
        <v>-6.1962904684950137E-3</v>
      </c>
      <c r="X312" s="371">
        <f>R312/'2018'!R312-1</f>
        <v>-1.2563428966558821E-2</v>
      </c>
      <c r="Y312" s="372">
        <f>S312/'2018'!S312-1</f>
        <v>-9.2508264808858209E-3</v>
      </c>
      <c r="Z312" s="373"/>
      <c r="AA312" s="374">
        <f t="shared" si="95"/>
        <v>1888.5074219999999</v>
      </c>
      <c r="AB312" s="375"/>
      <c r="AC312" s="365"/>
      <c r="AD312" s="375">
        <f t="shared" si="97"/>
        <v>19778292.109999999</v>
      </c>
      <c r="AE312" s="348">
        <f t="shared" si="116"/>
        <v>194521.13</v>
      </c>
      <c r="AF312" s="348">
        <f t="shared" si="116"/>
        <v>436642.62</v>
      </c>
      <c r="AG312" s="365">
        <f t="shared" si="99"/>
        <v>262054.1400000006</v>
      </c>
      <c r="AH312" s="357"/>
      <c r="AI312" s="358"/>
      <c r="AJ312" s="358"/>
      <c r="AK312" s="358"/>
      <c r="AL312" s="358"/>
      <c r="AM312" s="358"/>
      <c r="AN312" s="358"/>
      <c r="AO312" s="358"/>
      <c r="AP312" s="358"/>
      <c r="AQ312" s="358"/>
      <c r="AR312" s="358"/>
      <c r="AS312" s="358"/>
      <c r="AT312" s="358"/>
      <c r="AU312" s="358"/>
      <c r="AV312" s="358"/>
      <c r="AW312" s="358"/>
      <c r="AX312" s="358"/>
      <c r="AY312" s="358"/>
      <c r="AZ312" s="358"/>
      <c r="BA312" s="358"/>
      <c r="BB312" s="358"/>
      <c r="BC312" s="358"/>
    </row>
    <row r="313" spans="1:55" s="376" customFormat="1" ht="15" customHeight="1" x14ac:dyDescent="0.15">
      <c r="A313" s="377">
        <v>43043</v>
      </c>
      <c r="B313" s="457" t="s">
        <v>34</v>
      </c>
      <c r="C313" s="361"/>
      <c r="D313" s="348"/>
      <c r="E313" s="348"/>
      <c r="F313" s="362"/>
      <c r="G313" s="348"/>
      <c r="H313" s="363"/>
      <c r="I313" s="363"/>
      <c r="J313" s="364">
        <f t="shared" si="94"/>
        <v>0</v>
      </c>
      <c r="K313" s="348"/>
      <c r="L313" s="348"/>
      <c r="M313" s="365">
        <f t="shared" si="96"/>
        <v>0</v>
      </c>
      <c r="N313" s="366">
        <f t="shared" si="114"/>
        <v>0</v>
      </c>
      <c r="O313" s="349">
        <f t="shared" si="114"/>
        <v>0</v>
      </c>
      <c r="P313" s="353">
        <f t="shared" si="114"/>
        <v>0</v>
      </c>
      <c r="Q313" s="368">
        <f t="shared" si="115"/>
        <v>18885074.219999999</v>
      </c>
      <c r="R313" s="367">
        <f t="shared" si="115"/>
        <v>12411110.800000001</v>
      </c>
      <c r="S313" s="369">
        <f t="shared" si="115"/>
        <v>32189402.91</v>
      </c>
      <c r="T313" s="370">
        <f>N313/'2018'!N313-1</f>
        <v>-1</v>
      </c>
      <c r="U313" s="371">
        <f>O313/'2018'!O313-1</f>
        <v>-1</v>
      </c>
      <c r="V313" s="371">
        <f>P313/'2018'!P313-1</f>
        <v>-1</v>
      </c>
      <c r="W313" s="371">
        <f>Q313/'2018'!Q313-1</f>
        <v>-8.2060972842105118E-3</v>
      </c>
      <c r="X313" s="371">
        <f>R313/'2018'!R313-1</f>
        <v>-1.63411454112522E-2</v>
      </c>
      <c r="Y313" s="372">
        <f>S313/'2018'!S313-1</f>
        <v>-1.2135946274305032E-2</v>
      </c>
      <c r="Z313" s="373"/>
      <c r="AA313" s="374">
        <f t="shared" si="95"/>
        <v>1888.5074219999999</v>
      </c>
      <c r="AB313" s="375"/>
      <c r="AC313" s="365"/>
      <c r="AD313" s="375">
        <f t="shared" si="97"/>
        <v>19778292.109999999</v>
      </c>
      <c r="AE313" s="348">
        <f t="shared" si="116"/>
        <v>194521.13</v>
      </c>
      <c r="AF313" s="348">
        <f t="shared" si="116"/>
        <v>436642.62</v>
      </c>
      <c r="AG313" s="365">
        <f t="shared" si="99"/>
        <v>262054.1400000006</v>
      </c>
      <c r="AH313" s="357"/>
      <c r="AI313" s="358"/>
      <c r="AJ313" s="358"/>
      <c r="AK313" s="358"/>
      <c r="AL313" s="358"/>
      <c r="AM313" s="358"/>
      <c r="AN313" s="358"/>
      <c r="AO313" s="358"/>
      <c r="AP313" s="358"/>
      <c r="AQ313" s="358"/>
      <c r="AR313" s="358"/>
      <c r="AS313" s="358"/>
      <c r="AT313" s="358"/>
      <c r="AU313" s="358"/>
      <c r="AV313" s="358"/>
      <c r="AW313" s="358"/>
      <c r="AX313" s="358"/>
      <c r="AY313" s="358"/>
      <c r="AZ313" s="358"/>
      <c r="BA313" s="358"/>
      <c r="BB313" s="358"/>
      <c r="BC313" s="358"/>
    </row>
    <row r="314" spans="1:55" s="376" customFormat="1" ht="15" customHeight="1" x14ac:dyDescent="0.15">
      <c r="A314" s="377">
        <v>43044</v>
      </c>
      <c r="B314" s="457" t="s">
        <v>35</v>
      </c>
      <c r="C314" s="361"/>
      <c r="D314" s="348"/>
      <c r="E314" s="348"/>
      <c r="F314" s="362"/>
      <c r="G314" s="348"/>
      <c r="H314" s="363"/>
      <c r="I314" s="363"/>
      <c r="J314" s="364">
        <f t="shared" si="94"/>
        <v>0</v>
      </c>
      <c r="K314" s="348"/>
      <c r="L314" s="348"/>
      <c r="M314" s="365">
        <f t="shared" si="96"/>
        <v>0</v>
      </c>
      <c r="N314" s="366">
        <f t="shared" si="114"/>
        <v>0</v>
      </c>
      <c r="O314" s="349">
        <f t="shared" si="114"/>
        <v>0</v>
      </c>
      <c r="P314" s="353">
        <f t="shared" si="114"/>
        <v>0</v>
      </c>
      <c r="Q314" s="368">
        <f t="shared" si="115"/>
        <v>18885074.219999999</v>
      </c>
      <c r="R314" s="367">
        <f t="shared" si="115"/>
        <v>12411110.800000001</v>
      </c>
      <c r="S314" s="369">
        <f t="shared" si="115"/>
        <v>32189402.91</v>
      </c>
      <c r="T314" s="370">
        <f>N314/'2018'!N314-1</f>
        <v>-1</v>
      </c>
      <c r="U314" s="371">
        <f>O314/'2018'!O314-1</f>
        <v>-1</v>
      </c>
      <c r="V314" s="371">
        <f>P314/'2018'!P314-1</f>
        <v>-1</v>
      </c>
      <c r="W314" s="371">
        <f>Q314/'2018'!Q314-1</f>
        <v>-1.0525691346126131E-2</v>
      </c>
      <c r="X314" s="371">
        <f>R314/'2018'!R314-1</f>
        <v>-2.0122714816458664E-2</v>
      </c>
      <c r="Y314" s="372">
        <f>S314/'2018'!S314-1</f>
        <v>-1.5184701767573472E-2</v>
      </c>
      <c r="Z314" s="373"/>
      <c r="AA314" s="374">
        <f t="shared" si="95"/>
        <v>1888.5074219999999</v>
      </c>
      <c r="AB314" s="375"/>
      <c r="AC314" s="365"/>
      <c r="AD314" s="375">
        <f t="shared" si="97"/>
        <v>19778292.109999999</v>
      </c>
      <c r="AE314" s="348">
        <f t="shared" si="116"/>
        <v>194521.13</v>
      </c>
      <c r="AF314" s="348">
        <f t="shared" si="116"/>
        <v>436642.62</v>
      </c>
      <c r="AG314" s="365">
        <f t="shared" si="99"/>
        <v>262054.1400000006</v>
      </c>
      <c r="AH314" s="357"/>
      <c r="AI314" s="358"/>
      <c r="AJ314" s="358"/>
      <c r="AK314" s="358"/>
      <c r="AL314" s="358"/>
      <c r="AM314" s="358"/>
      <c r="AN314" s="358"/>
      <c r="AO314" s="358"/>
      <c r="AP314" s="358"/>
      <c r="AQ314" s="358"/>
      <c r="AR314" s="358"/>
      <c r="AS314" s="358"/>
      <c r="AT314" s="358"/>
      <c r="AU314" s="358"/>
      <c r="AV314" s="358"/>
      <c r="AW314" s="358"/>
      <c r="AX314" s="358"/>
      <c r="AY314" s="358"/>
      <c r="AZ314" s="358"/>
      <c r="BA314" s="358"/>
      <c r="BB314" s="358"/>
      <c r="BC314" s="358"/>
    </row>
    <row r="315" spans="1:55" s="376" customFormat="1" ht="15" customHeight="1" x14ac:dyDescent="0.15">
      <c r="A315" s="377">
        <v>43045</v>
      </c>
      <c r="B315" s="457" t="s">
        <v>36</v>
      </c>
      <c r="C315" s="361"/>
      <c r="D315" s="348"/>
      <c r="E315" s="348"/>
      <c r="F315" s="362"/>
      <c r="G315" s="348"/>
      <c r="H315" s="363"/>
      <c r="I315" s="363"/>
      <c r="J315" s="364">
        <f t="shared" si="94"/>
        <v>0</v>
      </c>
      <c r="K315" s="348"/>
      <c r="L315" s="348"/>
      <c r="M315" s="365">
        <f t="shared" si="96"/>
        <v>0</v>
      </c>
      <c r="N315" s="366">
        <f t="shared" si="114"/>
        <v>0</v>
      </c>
      <c r="O315" s="349">
        <f t="shared" si="114"/>
        <v>0</v>
      </c>
      <c r="P315" s="353">
        <f t="shared" si="114"/>
        <v>0</v>
      </c>
      <c r="Q315" s="368">
        <f t="shared" si="115"/>
        <v>18885074.219999999</v>
      </c>
      <c r="R315" s="367">
        <f t="shared" si="115"/>
        <v>12411110.800000001</v>
      </c>
      <c r="S315" s="369">
        <f t="shared" si="115"/>
        <v>32189402.91</v>
      </c>
      <c r="T315" s="370">
        <f>N315/'2018'!N315-1</f>
        <v>-1</v>
      </c>
      <c r="U315" s="371">
        <f>O315/'2018'!O315-1</f>
        <v>-1</v>
      </c>
      <c r="V315" s="371">
        <f>P315/'2018'!P315-1</f>
        <v>-1</v>
      </c>
      <c r="W315" s="371">
        <f>Q315/'2018'!Q315-1</f>
        <v>-1.2882705582812681E-2</v>
      </c>
      <c r="X315" s="371">
        <f>R315/'2018'!R315-1</f>
        <v>-2.3968588347960895E-2</v>
      </c>
      <c r="Y315" s="372">
        <f>S315/'2018'!S315-1</f>
        <v>-1.8277606769703358E-2</v>
      </c>
      <c r="Z315" s="373"/>
      <c r="AA315" s="374">
        <f t="shared" si="95"/>
        <v>1888.5074219999999</v>
      </c>
      <c r="AB315" s="375"/>
      <c r="AC315" s="365"/>
      <c r="AD315" s="375">
        <f t="shared" si="97"/>
        <v>19778292.109999999</v>
      </c>
      <c r="AE315" s="348">
        <f t="shared" si="116"/>
        <v>194521.13</v>
      </c>
      <c r="AF315" s="348">
        <f t="shared" si="116"/>
        <v>436642.62</v>
      </c>
      <c r="AG315" s="365">
        <f t="shared" si="99"/>
        <v>262054.1400000006</v>
      </c>
      <c r="AH315" s="357"/>
      <c r="AI315" s="358"/>
      <c r="AJ315" s="358"/>
      <c r="AK315" s="358"/>
      <c r="AL315" s="358"/>
      <c r="AM315" s="358"/>
      <c r="AN315" s="358"/>
      <c r="AO315" s="358"/>
      <c r="AP315" s="358"/>
      <c r="AQ315" s="358"/>
      <c r="AR315" s="358"/>
      <c r="AS315" s="358"/>
      <c r="AT315" s="358"/>
      <c r="AU315" s="358"/>
      <c r="AV315" s="358"/>
      <c r="AW315" s="358"/>
      <c r="AX315" s="358"/>
      <c r="AY315" s="358"/>
      <c r="AZ315" s="358"/>
      <c r="BA315" s="358"/>
      <c r="BB315" s="358"/>
      <c r="BC315" s="358"/>
    </row>
    <row r="316" spans="1:55" s="376" customFormat="1" ht="15" customHeight="1" x14ac:dyDescent="0.15">
      <c r="A316" s="377">
        <v>43046</v>
      </c>
      <c r="B316" s="182" t="s">
        <v>37</v>
      </c>
      <c r="C316" s="361"/>
      <c r="D316" s="348"/>
      <c r="E316" s="348"/>
      <c r="F316" s="362"/>
      <c r="G316" s="348"/>
      <c r="H316" s="363"/>
      <c r="I316" s="363"/>
      <c r="J316" s="364">
        <f t="shared" si="94"/>
        <v>0</v>
      </c>
      <c r="K316" s="348"/>
      <c r="L316" s="348"/>
      <c r="M316" s="365">
        <f t="shared" si="96"/>
        <v>0</v>
      </c>
      <c r="N316" s="366">
        <f t="shared" si="114"/>
        <v>0</v>
      </c>
      <c r="O316" s="349">
        <f t="shared" si="114"/>
        <v>0</v>
      </c>
      <c r="P316" s="353">
        <f t="shared" si="114"/>
        <v>0</v>
      </c>
      <c r="Q316" s="368">
        <f t="shared" si="115"/>
        <v>18885074.219999999</v>
      </c>
      <c r="R316" s="367">
        <f t="shared" si="115"/>
        <v>12411110.800000001</v>
      </c>
      <c r="S316" s="369">
        <f t="shared" si="115"/>
        <v>32189402.91</v>
      </c>
      <c r="T316" s="370">
        <f>N316/'2018'!N316-1</f>
        <v>-1</v>
      </c>
      <c r="U316" s="371">
        <f>O316/'2018'!O316-1</f>
        <v>-1</v>
      </c>
      <c r="V316" s="371">
        <f>P316/'2018'!P316-1</f>
        <v>-1</v>
      </c>
      <c r="W316" s="371">
        <f>Q316/'2018'!Q316-1</f>
        <v>-1.5266002367496645E-2</v>
      </c>
      <c r="X316" s="371">
        <f>R316/'2018'!R316-1</f>
        <v>-2.7761390726071755E-2</v>
      </c>
      <c r="Y316" s="372">
        <f>S316/'2018'!S316-1</f>
        <v>-2.1372389150765114E-2</v>
      </c>
      <c r="Z316" s="373"/>
      <c r="AA316" s="374">
        <f t="shared" si="95"/>
        <v>1888.5074219999999</v>
      </c>
      <c r="AB316" s="375"/>
      <c r="AC316" s="365"/>
      <c r="AD316" s="375">
        <f t="shared" si="97"/>
        <v>19778292.109999999</v>
      </c>
      <c r="AE316" s="348">
        <f t="shared" si="116"/>
        <v>194521.13</v>
      </c>
      <c r="AF316" s="348">
        <f t="shared" si="116"/>
        <v>436642.62</v>
      </c>
      <c r="AG316" s="365">
        <f t="shared" si="99"/>
        <v>262054.1400000006</v>
      </c>
      <c r="AH316" s="357"/>
      <c r="AI316" s="358"/>
      <c r="AJ316" s="358"/>
      <c r="AK316" s="358"/>
      <c r="AL316" s="358"/>
      <c r="AM316" s="358"/>
      <c r="AN316" s="358"/>
      <c r="AO316" s="358"/>
      <c r="AP316" s="358"/>
      <c r="AQ316" s="358"/>
      <c r="AR316" s="358"/>
      <c r="AS316" s="358"/>
      <c r="AT316" s="358"/>
      <c r="AU316" s="358"/>
      <c r="AV316" s="358"/>
      <c r="AW316" s="358"/>
      <c r="AX316" s="358"/>
      <c r="AY316" s="358"/>
      <c r="AZ316" s="358"/>
      <c r="BA316" s="358"/>
      <c r="BB316" s="358"/>
      <c r="BC316" s="358"/>
    </row>
    <row r="317" spans="1:55" s="376" customFormat="1" ht="15" customHeight="1" x14ac:dyDescent="0.15">
      <c r="A317" s="377">
        <v>43047</v>
      </c>
      <c r="B317" s="457" t="s">
        <v>38</v>
      </c>
      <c r="C317" s="361"/>
      <c r="D317" s="348"/>
      <c r="E317" s="348"/>
      <c r="F317" s="362"/>
      <c r="G317" s="348"/>
      <c r="H317" s="363"/>
      <c r="I317" s="363"/>
      <c r="J317" s="364">
        <f t="shared" si="94"/>
        <v>0</v>
      </c>
      <c r="K317" s="348"/>
      <c r="L317" s="348"/>
      <c r="M317" s="365">
        <f t="shared" si="96"/>
        <v>0</v>
      </c>
      <c r="N317" s="366">
        <f>C317+N316</f>
        <v>0</v>
      </c>
      <c r="O317" s="349">
        <f t="shared" si="114"/>
        <v>0</v>
      </c>
      <c r="P317" s="353">
        <f t="shared" si="114"/>
        <v>0</v>
      </c>
      <c r="Q317" s="368">
        <f t="shared" si="115"/>
        <v>18885074.219999999</v>
      </c>
      <c r="R317" s="367">
        <f t="shared" si="115"/>
        <v>12411110.800000001</v>
      </c>
      <c r="S317" s="369">
        <f t="shared" si="115"/>
        <v>32189402.91</v>
      </c>
      <c r="T317" s="370">
        <f>N317/'2018'!N317-1</f>
        <v>-1</v>
      </c>
      <c r="U317" s="371">
        <f>O317/'2018'!O317-1</f>
        <v>-1</v>
      </c>
      <c r="V317" s="371">
        <f>P317/'2018'!P317-1</f>
        <v>-1</v>
      </c>
      <c r="W317" s="371">
        <f>Q317/'2018'!Q317-1</f>
        <v>-1.7630715392542351E-2</v>
      </c>
      <c r="X317" s="371">
        <f>R317/'2018'!R317-1</f>
        <v>-3.155158206275066E-2</v>
      </c>
      <c r="Y317" s="372">
        <f>S317/'2018'!S317-1</f>
        <v>-2.4459783516409761E-2</v>
      </c>
      <c r="Z317" s="373"/>
      <c r="AA317" s="374">
        <f t="shared" si="95"/>
        <v>1888.5074219999999</v>
      </c>
      <c r="AB317" s="375"/>
      <c r="AC317" s="365"/>
      <c r="AD317" s="375">
        <f t="shared" si="97"/>
        <v>19778292.109999999</v>
      </c>
      <c r="AE317" s="348">
        <f t="shared" si="116"/>
        <v>194521.13</v>
      </c>
      <c r="AF317" s="348">
        <f t="shared" si="116"/>
        <v>436642.62</v>
      </c>
      <c r="AG317" s="365">
        <f t="shared" si="99"/>
        <v>262054.1400000006</v>
      </c>
      <c r="AH317" s="357"/>
      <c r="AI317" s="358"/>
      <c r="AJ317" s="358"/>
      <c r="AK317" s="358"/>
      <c r="AL317" s="358"/>
      <c r="AM317" s="358"/>
      <c r="AN317" s="358"/>
      <c r="AO317" s="358"/>
      <c r="AP317" s="358"/>
      <c r="AQ317" s="358"/>
      <c r="AR317" s="358"/>
      <c r="AS317" s="358"/>
      <c r="AT317" s="358"/>
      <c r="AU317" s="358"/>
      <c r="AV317" s="358"/>
      <c r="AW317" s="358"/>
      <c r="AX317" s="358"/>
      <c r="AY317" s="358"/>
      <c r="AZ317" s="358"/>
      <c r="BA317" s="358"/>
      <c r="BB317" s="358"/>
      <c r="BC317" s="358"/>
    </row>
    <row r="318" spans="1:55" s="376" customFormat="1" ht="15" customHeight="1" x14ac:dyDescent="0.15">
      <c r="A318" s="377">
        <v>43048</v>
      </c>
      <c r="B318" s="457" t="s">
        <v>39</v>
      </c>
      <c r="C318" s="361"/>
      <c r="D318" s="348"/>
      <c r="E318" s="348"/>
      <c r="F318" s="362"/>
      <c r="G318" s="348"/>
      <c r="H318" s="363"/>
      <c r="I318" s="363"/>
      <c r="J318" s="364">
        <f t="shared" si="94"/>
        <v>0</v>
      </c>
      <c r="K318" s="348"/>
      <c r="L318" s="348"/>
      <c r="M318" s="365">
        <f t="shared" si="96"/>
        <v>0</v>
      </c>
      <c r="N318" s="366">
        <f>C318+N317</f>
        <v>0</v>
      </c>
      <c r="O318" s="349">
        <f t="shared" si="114"/>
        <v>0</v>
      </c>
      <c r="P318" s="353">
        <f t="shared" si="114"/>
        <v>0</v>
      </c>
      <c r="Q318" s="368">
        <f>Q$309+N318</f>
        <v>18885074.219999999</v>
      </c>
      <c r="R318" s="367">
        <f t="shared" si="115"/>
        <v>12411110.800000001</v>
      </c>
      <c r="S318" s="369">
        <f t="shared" si="115"/>
        <v>32189402.91</v>
      </c>
      <c r="T318" s="370">
        <f>N318/'2018'!N318-1</f>
        <v>-1</v>
      </c>
      <c r="U318" s="371">
        <f>O318/'2018'!O318-1</f>
        <v>-1</v>
      </c>
      <c r="V318" s="371">
        <f>P318/'2018'!P318-1</f>
        <v>-1</v>
      </c>
      <c r="W318" s="371">
        <f>Q318/'2018'!Q318-1</f>
        <v>-1.9865639111508182E-2</v>
      </c>
      <c r="X318" s="371">
        <f>R318/'2018'!R318-1</f>
        <v>-3.5274543753682663E-2</v>
      </c>
      <c r="Y318" s="372">
        <f>S318/'2018'!S318-1</f>
        <v>-2.7456655681701192E-2</v>
      </c>
      <c r="Z318" s="373"/>
      <c r="AA318" s="374">
        <f t="shared" si="95"/>
        <v>1888.5074219999999</v>
      </c>
      <c r="AB318" s="375"/>
      <c r="AC318" s="365"/>
      <c r="AD318" s="375">
        <f t="shared" si="97"/>
        <v>19778292.109999999</v>
      </c>
      <c r="AE318" s="348">
        <f t="shared" si="116"/>
        <v>194521.13</v>
      </c>
      <c r="AF318" s="348">
        <f t="shared" si="116"/>
        <v>436642.62</v>
      </c>
      <c r="AG318" s="365">
        <f t="shared" si="99"/>
        <v>262054.1400000006</v>
      </c>
      <c r="AH318" s="357"/>
      <c r="AI318" s="358"/>
      <c r="AJ318" s="358"/>
      <c r="AK318" s="358"/>
      <c r="AL318" s="358"/>
      <c r="AM318" s="358"/>
      <c r="AN318" s="358"/>
      <c r="AO318" s="358"/>
      <c r="AP318" s="358"/>
      <c r="AQ318" s="358"/>
      <c r="AR318" s="358"/>
      <c r="AS318" s="358"/>
      <c r="AT318" s="358"/>
      <c r="AU318" s="358"/>
      <c r="AV318" s="358"/>
      <c r="AW318" s="358"/>
      <c r="AX318" s="358"/>
      <c r="AY318" s="358"/>
      <c r="AZ318" s="358"/>
      <c r="BA318" s="358"/>
      <c r="BB318" s="358"/>
      <c r="BC318" s="358"/>
    </row>
    <row r="319" spans="1:55" s="376" customFormat="1" ht="15" customHeight="1" x14ac:dyDescent="0.15">
      <c r="A319" s="377">
        <v>43049</v>
      </c>
      <c r="B319" s="457" t="s">
        <v>1</v>
      </c>
      <c r="C319" s="361"/>
      <c r="D319" s="348"/>
      <c r="E319" s="348"/>
      <c r="F319" s="362"/>
      <c r="G319" s="348"/>
      <c r="H319" s="363"/>
      <c r="I319" s="363"/>
      <c r="J319" s="364">
        <f t="shared" si="94"/>
        <v>0</v>
      </c>
      <c r="K319" s="348"/>
      <c r="L319" s="348"/>
      <c r="M319" s="365">
        <f t="shared" si="96"/>
        <v>0</v>
      </c>
      <c r="N319" s="366">
        <f t="shared" si="114"/>
        <v>0</v>
      </c>
      <c r="O319" s="349">
        <f t="shared" si="114"/>
        <v>0</v>
      </c>
      <c r="P319" s="353">
        <f t="shared" si="114"/>
        <v>0</v>
      </c>
      <c r="Q319" s="368">
        <f t="shared" si="115"/>
        <v>18885074.219999999</v>
      </c>
      <c r="R319" s="367">
        <f t="shared" si="115"/>
        <v>12411110.800000001</v>
      </c>
      <c r="S319" s="369">
        <f t="shared" si="115"/>
        <v>32189402.91</v>
      </c>
      <c r="T319" s="370">
        <f>N319/'2018'!N319-1</f>
        <v>-1</v>
      </c>
      <c r="U319" s="371">
        <f>O319/'2018'!O319-1</f>
        <v>-1</v>
      </c>
      <c r="V319" s="371">
        <f>P319/'2018'!P319-1</f>
        <v>-1</v>
      </c>
      <c r="W319" s="371">
        <f>Q319/'2018'!Q319-1</f>
        <v>-2.2090163665795637E-2</v>
      </c>
      <c r="X319" s="371">
        <f>R319/'2018'!R319-1</f>
        <v>-3.8891369271985776E-2</v>
      </c>
      <c r="Y319" s="372">
        <f>S319/'2018'!S319-1</f>
        <v>-3.0392736260919206E-2</v>
      </c>
      <c r="Z319" s="373"/>
      <c r="AA319" s="374">
        <f t="shared" si="95"/>
        <v>1888.5074219999999</v>
      </c>
      <c r="AB319" s="375"/>
      <c r="AC319" s="365"/>
      <c r="AD319" s="375">
        <f t="shared" si="97"/>
        <v>19778292.109999999</v>
      </c>
      <c r="AE319" s="348">
        <f t="shared" si="116"/>
        <v>194521.13</v>
      </c>
      <c r="AF319" s="348">
        <f t="shared" si="116"/>
        <v>436642.62</v>
      </c>
      <c r="AG319" s="365">
        <f t="shared" si="99"/>
        <v>262054.1400000006</v>
      </c>
      <c r="AH319" s="357"/>
      <c r="AI319" s="358"/>
      <c r="AJ319" s="358"/>
      <c r="AK319" s="358"/>
      <c r="AL319" s="358"/>
      <c r="AM319" s="358"/>
      <c r="AN319" s="358"/>
      <c r="AO319" s="358"/>
      <c r="AP319" s="358"/>
      <c r="AQ319" s="358"/>
      <c r="AR319" s="358"/>
      <c r="AS319" s="358"/>
      <c r="AT319" s="358"/>
      <c r="AU319" s="358"/>
      <c r="AV319" s="358"/>
      <c r="AW319" s="358"/>
      <c r="AX319" s="358"/>
      <c r="AY319" s="358"/>
      <c r="AZ319" s="358"/>
      <c r="BA319" s="358"/>
      <c r="BB319" s="358"/>
      <c r="BC319" s="358"/>
    </row>
    <row r="320" spans="1:55" s="376" customFormat="1" ht="15" customHeight="1" x14ac:dyDescent="0.15">
      <c r="A320" s="377">
        <v>43050</v>
      </c>
      <c r="B320" s="457" t="s">
        <v>34</v>
      </c>
      <c r="C320" s="361"/>
      <c r="D320" s="348"/>
      <c r="E320" s="348"/>
      <c r="F320" s="362"/>
      <c r="G320" s="348"/>
      <c r="H320" s="363"/>
      <c r="I320" s="363"/>
      <c r="J320" s="364">
        <f t="shared" si="94"/>
        <v>0</v>
      </c>
      <c r="K320" s="348"/>
      <c r="L320" s="348"/>
      <c r="M320" s="365">
        <f t="shared" si="96"/>
        <v>0</v>
      </c>
      <c r="N320" s="366">
        <f t="shared" si="114"/>
        <v>0</v>
      </c>
      <c r="O320" s="349">
        <f t="shared" si="114"/>
        <v>0</v>
      </c>
      <c r="P320" s="353">
        <f t="shared" si="114"/>
        <v>0</v>
      </c>
      <c r="Q320" s="368">
        <f t="shared" si="115"/>
        <v>18885074.219999999</v>
      </c>
      <c r="R320" s="367">
        <f t="shared" si="115"/>
        <v>12411110.800000001</v>
      </c>
      <c r="S320" s="369">
        <f t="shared" si="115"/>
        <v>32189402.91</v>
      </c>
      <c r="T320" s="370">
        <f>N320/'2018'!N320-1</f>
        <v>-1</v>
      </c>
      <c r="U320" s="371">
        <f>O320/'2018'!O320-1</f>
        <v>-1</v>
      </c>
      <c r="V320" s="371">
        <f>P320/'2018'!P320-1</f>
        <v>-1</v>
      </c>
      <c r="W320" s="371">
        <f>Q320/'2018'!Q320-1</f>
        <v>-2.4134351896261674E-2</v>
      </c>
      <c r="X320" s="371">
        <f>R320/'2018'!R320-1</f>
        <v>-4.2379738636738384E-2</v>
      </c>
      <c r="Y320" s="372">
        <f>S320/'2018'!S320-1</f>
        <v>-3.3165356178993854E-2</v>
      </c>
      <c r="Z320" s="373"/>
      <c r="AA320" s="374">
        <f t="shared" si="95"/>
        <v>1888.5074219999999</v>
      </c>
      <c r="AB320" s="375"/>
      <c r="AC320" s="365"/>
      <c r="AD320" s="375">
        <f t="shared" si="97"/>
        <v>19778292.109999999</v>
      </c>
      <c r="AE320" s="348">
        <f t="shared" si="116"/>
        <v>194521.13</v>
      </c>
      <c r="AF320" s="348">
        <f t="shared" si="116"/>
        <v>436642.62</v>
      </c>
      <c r="AG320" s="365">
        <f t="shared" si="99"/>
        <v>262054.1400000006</v>
      </c>
      <c r="AH320" s="357"/>
      <c r="AI320" s="358"/>
      <c r="AJ320" s="358"/>
      <c r="AK320" s="358"/>
      <c r="AL320" s="358"/>
      <c r="AM320" s="358"/>
      <c r="AN320" s="358"/>
      <c r="AO320" s="358"/>
      <c r="AP320" s="358"/>
      <c r="AQ320" s="358"/>
      <c r="AR320" s="358"/>
      <c r="AS320" s="358"/>
      <c r="AT320" s="358"/>
      <c r="AU320" s="358"/>
      <c r="AV320" s="358"/>
      <c r="AW320" s="358"/>
      <c r="AX320" s="358"/>
      <c r="AY320" s="358"/>
      <c r="AZ320" s="358"/>
      <c r="BA320" s="358"/>
      <c r="BB320" s="358"/>
      <c r="BC320" s="358"/>
    </row>
    <row r="321" spans="1:55" s="376" customFormat="1" x14ac:dyDescent="0.15">
      <c r="A321" s="377">
        <v>43051</v>
      </c>
      <c r="B321" s="457" t="s">
        <v>35</v>
      </c>
      <c r="C321" s="361"/>
      <c r="D321" s="362"/>
      <c r="E321" s="348"/>
      <c r="F321" s="418"/>
      <c r="G321" s="348"/>
      <c r="H321" s="363"/>
      <c r="I321" s="363"/>
      <c r="J321" s="364">
        <f t="shared" si="94"/>
        <v>0</v>
      </c>
      <c r="K321" s="348"/>
      <c r="L321" s="348"/>
      <c r="M321" s="365">
        <f t="shared" si="96"/>
        <v>0</v>
      </c>
      <c r="N321" s="366">
        <f t="shared" si="114"/>
        <v>0</v>
      </c>
      <c r="O321" s="349">
        <f t="shared" si="114"/>
        <v>0</v>
      </c>
      <c r="P321" s="353">
        <f>E321+P320</f>
        <v>0</v>
      </c>
      <c r="Q321" s="368">
        <f t="shared" si="115"/>
        <v>18885074.219999999</v>
      </c>
      <c r="R321" s="367">
        <f t="shared" si="115"/>
        <v>12411110.800000001</v>
      </c>
      <c r="S321" s="369">
        <f t="shared" si="115"/>
        <v>32189402.91</v>
      </c>
      <c r="T321" s="370">
        <f>N321/'2018'!N321-1</f>
        <v>-1</v>
      </c>
      <c r="U321" s="371">
        <f>O321/'2018'!O321-1</f>
        <v>-1</v>
      </c>
      <c r="V321" s="371">
        <f>P321/'2018'!P321-1</f>
        <v>-1</v>
      </c>
      <c r="W321" s="371">
        <f>Q321/'2018'!Q321-1</f>
        <v>-2.6550655644499876E-2</v>
      </c>
      <c r="X321" s="371">
        <f>R321/'2018'!R321-1</f>
        <v>-4.5861729155259323E-2</v>
      </c>
      <c r="Y321" s="372">
        <f>S321/'2018'!S321-1</f>
        <v>-3.6138499892052867E-2</v>
      </c>
      <c r="Z321" s="373"/>
      <c r="AA321" s="374">
        <f t="shared" si="95"/>
        <v>1888.5074219999999</v>
      </c>
      <c r="AB321" s="375"/>
      <c r="AC321" s="365"/>
      <c r="AD321" s="375">
        <f t="shared" si="97"/>
        <v>19778292.109999999</v>
      </c>
      <c r="AE321" s="348">
        <f t="shared" si="116"/>
        <v>194521.13</v>
      </c>
      <c r="AF321" s="348">
        <f t="shared" si="116"/>
        <v>436642.62</v>
      </c>
      <c r="AG321" s="365">
        <f t="shared" si="99"/>
        <v>262054.1400000006</v>
      </c>
      <c r="AH321" s="357"/>
      <c r="AI321" s="358"/>
      <c r="AJ321" s="358"/>
      <c r="AK321" s="358"/>
      <c r="AL321" s="358"/>
      <c r="AM321" s="358"/>
      <c r="AN321" s="358"/>
      <c r="AO321" s="358"/>
      <c r="AP321" s="358"/>
      <c r="AQ321" s="358"/>
      <c r="AR321" s="358"/>
      <c r="AS321" s="358"/>
      <c r="AT321" s="358"/>
      <c r="AU321" s="358"/>
      <c r="AV321" s="358"/>
      <c r="AW321" s="358"/>
      <c r="AX321" s="358"/>
      <c r="AY321" s="358"/>
      <c r="AZ321" s="358"/>
      <c r="BA321" s="358"/>
      <c r="BB321" s="358"/>
      <c r="BC321" s="358"/>
    </row>
    <row r="322" spans="1:55" s="376" customFormat="1" x14ac:dyDescent="0.15">
      <c r="A322" s="377">
        <v>43052</v>
      </c>
      <c r="B322" s="457" t="s">
        <v>36</v>
      </c>
      <c r="C322" s="361"/>
      <c r="E322" s="348"/>
      <c r="F322" s="362"/>
      <c r="G322" s="348"/>
      <c r="H322" s="363"/>
      <c r="I322" s="363"/>
      <c r="J322" s="364">
        <f t="shared" si="94"/>
        <v>0</v>
      </c>
      <c r="K322" s="348"/>
      <c r="L322" s="348"/>
      <c r="M322" s="365">
        <f t="shared" si="96"/>
        <v>0</v>
      </c>
      <c r="N322" s="366">
        <f t="shared" si="114"/>
        <v>0</v>
      </c>
      <c r="O322" s="349">
        <f t="shared" si="114"/>
        <v>0</v>
      </c>
      <c r="P322" s="353">
        <f t="shared" si="114"/>
        <v>0</v>
      </c>
      <c r="Q322" s="368">
        <f t="shared" si="115"/>
        <v>18885074.219999999</v>
      </c>
      <c r="R322" s="367">
        <f t="shared" si="115"/>
        <v>12411110.800000001</v>
      </c>
      <c r="S322" s="369">
        <f t="shared" si="115"/>
        <v>32189402.91</v>
      </c>
      <c r="T322" s="370">
        <f>N322/'2018'!N322-1</f>
        <v>-1</v>
      </c>
      <c r="U322" s="371">
        <f>O322/'2018'!O322-1</f>
        <v>-1</v>
      </c>
      <c r="V322" s="371">
        <f>P322/'2018'!P322-1</f>
        <v>-1</v>
      </c>
      <c r="W322" s="371">
        <f>Q322/'2018'!Q322-1</f>
        <v>-2.8671089090358315E-2</v>
      </c>
      <c r="X322" s="371">
        <f>R322/'2018'!R322-1</f>
        <v>-4.9657716734185953E-2</v>
      </c>
      <c r="Y322" s="372">
        <f>S322/'2018'!S322-1</f>
        <v>-3.9084607781857961E-2</v>
      </c>
      <c r="Z322" s="373"/>
      <c r="AA322" s="374">
        <f t="shared" si="95"/>
        <v>1888.5074219999999</v>
      </c>
      <c r="AB322" s="375"/>
      <c r="AC322" s="365"/>
      <c r="AD322" s="375">
        <f t="shared" si="97"/>
        <v>19778292.109999999</v>
      </c>
      <c r="AE322" s="348">
        <f t="shared" si="116"/>
        <v>194521.13</v>
      </c>
      <c r="AF322" s="348">
        <f t="shared" si="116"/>
        <v>436642.62</v>
      </c>
      <c r="AG322" s="365">
        <f t="shared" si="99"/>
        <v>262054.1400000006</v>
      </c>
      <c r="AH322" s="357"/>
      <c r="AI322" s="358"/>
      <c r="AJ322" s="358"/>
      <c r="AK322" s="358"/>
      <c r="AL322" s="358"/>
      <c r="AM322" s="358"/>
      <c r="AN322" s="358"/>
      <c r="AO322" s="358"/>
      <c r="AP322" s="358"/>
      <c r="AQ322" s="358"/>
      <c r="AR322" s="358"/>
      <c r="AS322" s="358"/>
      <c r="AT322" s="358"/>
      <c r="AU322" s="358"/>
      <c r="AV322" s="358"/>
      <c r="AW322" s="358"/>
      <c r="AX322" s="358"/>
      <c r="AY322" s="358"/>
      <c r="AZ322" s="358"/>
      <c r="BA322" s="358"/>
      <c r="BB322" s="358"/>
      <c r="BC322" s="358"/>
    </row>
    <row r="323" spans="1:55" s="376" customFormat="1" x14ac:dyDescent="0.15">
      <c r="A323" s="377">
        <v>43053</v>
      </c>
      <c r="B323" s="182" t="s">
        <v>37</v>
      </c>
      <c r="C323" s="361"/>
      <c r="D323" s="348"/>
      <c r="E323" s="348"/>
      <c r="F323" s="362"/>
      <c r="G323" s="348"/>
      <c r="H323" s="363"/>
      <c r="I323" s="363"/>
      <c r="J323" s="364">
        <f t="shared" si="94"/>
        <v>0</v>
      </c>
      <c r="K323" s="348"/>
      <c r="L323" s="348"/>
      <c r="M323" s="365">
        <f t="shared" si="96"/>
        <v>0</v>
      </c>
      <c r="N323" s="366">
        <f t="shared" si="114"/>
        <v>0</v>
      </c>
      <c r="O323" s="349">
        <f t="shared" si="114"/>
        <v>0</v>
      </c>
      <c r="P323" s="353">
        <f t="shared" si="114"/>
        <v>0</v>
      </c>
      <c r="Q323" s="368">
        <f t="shared" si="115"/>
        <v>18885074.219999999</v>
      </c>
      <c r="R323" s="367">
        <f t="shared" si="115"/>
        <v>12411110.800000001</v>
      </c>
      <c r="S323" s="369">
        <f t="shared" si="115"/>
        <v>32189402.91</v>
      </c>
      <c r="T323" s="370">
        <f>N323/'2018'!N323-1</f>
        <v>-1</v>
      </c>
      <c r="U323" s="371">
        <f>O323/'2018'!O323-1</f>
        <v>-1</v>
      </c>
      <c r="V323" s="371">
        <f>P323/'2018'!P323-1</f>
        <v>-1</v>
      </c>
      <c r="W323" s="371">
        <f>Q323/'2018'!Q323-1</f>
        <v>-3.0902466845240784E-2</v>
      </c>
      <c r="X323" s="371">
        <f>R323/'2018'!R323-1</f>
        <v>-5.339445249406638E-2</v>
      </c>
      <c r="Y323" s="372">
        <f>S323/'2018'!S323-1</f>
        <v>-4.2060770059503927E-2</v>
      </c>
      <c r="Z323" s="373"/>
      <c r="AA323" s="374">
        <f t="shared" si="95"/>
        <v>1888.5074219999999</v>
      </c>
      <c r="AB323" s="375"/>
      <c r="AC323" s="365"/>
      <c r="AD323" s="375">
        <f t="shared" si="97"/>
        <v>19778292.109999999</v>
      </c>
      <c r="AE323" s="348">
        <f t="shared" si="116"/>
        <v>194521.13</v>
      </c>
      <c r="AF323" s="348">
        <f t="shared" si="116"/>
        <v>436642.62</v>
      </c>
      <c r="AG323" s="365">
        <f t="shared" si="99"/>
        <v>262054.1400000006</v>
      </c>
      <c r="AH323" s="357"/>
      <c r="AI323" s="358"/>
      <c r="AJ323" s="358"/>
      <c r="AK323" s="358"/>
      <c r="AL323" s="358"/>
      <c r="AM323" s="358"/>
      <c r="AN323" s="358"/>
      <c r="AO323" s="358"/>
      <c r="AP323" s="358"/>
      <c r="AQ323" s="358"/>
      <c r="AR323" s="358"/>
      <c r="AS323" s="358"/>
      <c r="AT323" s="358"/>
      <c r="AU323" s="358"/>
      <c r="AV323" s="358"/>
      <c r="AW323" s="358"/>
      <c r="AX323" s="358"/>
      <c r="AY323" s="358"/>
      <c r="AZ323" s="358"/>
      <c r="BA323" s="358"/>
      <c r="BB323" s="358"/>
      <c r="BC323" s="358"/>
    </row>
    <row r="324" spans="1:55" s="376" customFormat="1" x14ac:dyDescent="0.15">
      <c r="A324" s="377">
        <v>43054</v>
      </c>
      <c r="B324" s="457" t="s">
        <v>38</v>
      </c>
      <c r="C324" s="361"/>
      <c r="D324" s="348"/>
      <c r="E324" s="348"/>
      <c r="F324" s="362"/>
      <c r="G324" s="348"/>
      <c r="H324" s="363"/>
      <c r="I324" s="363"/>
      <c r="J324" s="364">
        <f t="shared" si="94"/>
        <v>0</v>
      </c>
      <c r="K324" s="348"/>
      <c r="L324" s="348"/>
      <c r="M324" s="365">
        <f t="shared" si="96"/>
        <v>0</v>
      </c>
      <c r="N324" s="366">
        <f t="shared" si="114"/>
        <v>0</v>
      </c>
      <c r="O324" s="349">
        <f t="shared" si="114"/>
        <v>0</v>
      </c>
      <c r="P324" s="353">
        <f t="shared" si="114"/>
        <v>0</v>
      </c>
      <c r="Q324" s="368">
        <f t="shared" si="115"/>
        <v>18885074.219999999</v>
      </c>
      <c r="R324" s="367">
        <f t="shared" si="115"/>
        <v>12411110.800000001</v>
      </c>
      <c r="S324" s="369">
        <f t="shared" si="115"/>
        <v>32189402.91</v>
      </c>
      <c r="T324" s="370">
        <f>N324/'2018'!N324-1</f>
        <v>-1</v>
      </c>
      <c r="U324" s="371">
        <f>O324/'2018'!O324-1</f>
        <v>-1</v>
      </c>
      <c r="V324" s="371">
        <f>P324/'2018'!P324-1</f>
        <v>-1</v>
      </c>
      <c r="W324" s="371">
        <f>Q324/'2018'!Q324-1</f>
        <v>-3.3156583310374521E-2</v>
      </c>
      <c r="X324" s="371">
        <f>R324/'2018'!R324-1</f>
        <v>-5.7096115349687837E-2</v>
      </c>
      <c r="Y324" s="372">
        <f>S324/'2018'!S324-1</f>
        <v>-4.50276764375237E-2</v>
      </c>
      <c r="Z324" s="373"/>
      <c r="AA324" s="374">
        <f t="shared" si="95"/>
        <v>1888.5074219999999</v>
      </c>
      <c r="AB324" s="375"/>
      <c r="AC324" s="365"/>
      <c r="AD324" s="375">
        <f t="shared" si="97"/>
        <v>19778292.109999999</v>
      </c>
      <c r="AE324" s="348">
        <f t="shared" si="116"/>
        <v>194521.13</v>
      </c>
      <c r="AF324" s="348">
        <f t="shared" si="116"/>
        <v>436642.62</v>
      </c>
      <c r="AG324" s="365">
        <f t="shared" si="99"/>
        <v>262054.1400000006</v>
      </c>
      <c r="AH324" s="357"/>
      <c r="AI324" s="358"/>
      <c r="AJ324" s="358"/>
      <c r="AK324" s="358"/>
      <c r="AL324" s="358"/>
      <c r="AM324" s="358"/>
      <c r="AN324" s="358"/>
      <c r="AO324" s="358"/>
      <c r="AP324" s="358"/>
      <c r="AQ324" s="358"/>
      <c r="AR324" s="358"/>
      <c r="AS324" s="358"/>
      <c r="AT324" s="358"/>
      <c r="AU324" s="358"/>
      <c r="AV324" s="358"/>
      <c r="AW324" s="358"/>
      <c r="AX324" s="358"/>
      <c r="AY324" s="358"/>
      <c r="AZ324" s="358"/>
      <c r="BA324" s="358"/>
      <c r="BB324" s="358"/>
      <c r="BC324" s="358"/>
    </row>
    <row r="325" spans="1:55" s="376" customFormat="1" x14ac:dyDescent="0.15">
      <c r="A325" s="377">
        <v>43055</v>
      </c>
      <c r="B325" s="457" t="s">
        <v>39</v>
      </c>
      <c r="C325" s="361"/>
      <c r="D325" s="348"/>
      <c r="E325" s="348"/>
      <c r="F325" s="362"/>
      <c r="G325" s="348"/>
      <c r="H325" s="363"/>
      <c r="I325" s="363"/>
      <c r="J325" s="364">
        <f t="shared" ref="J325:J370" si="117">E325-D325</f>
        <v>0</v>
      </c>
      <c r="K325" s="348"/>
      <c r="L325" s="348"/>
      <c r="M325" s="365">
        <f t="shared" si="96"/>
        <v>0</v>
      </c>
      <c r="N325" s="366">
        <f t="shared" si="114"/>
        <v>0</v>
      </c>
      <c r="O325" s="349">
        <f t="shared" si="114"/>
        <v>0</v>
      </c>
      <c r="P325" s="353">
        <f t="shared" si="114"/>
        <v>0</v>
      </c>
      <c r="Q325" s="368">
        <f t="shared" si="115"/>
        <v>18885074.219999999</v>
      </c>
      <c r="R325" s="367">
        <f t="shared" si="115"/>
        <v>12411110.800000001</v>
      </c>
      <c r="S325" s="369">
        <f t="shared" si="115"/>
        <v>32189402.91</v>
      </c>
      <c r="T325" s="370">
        <f>N325/'2018'!N325-1</f>
        <v>-1</v>
      </c>
      <c r="U325" s="371">
        <f>O325/'2018'!O325-1</f>
        <v>-1</v>
      </c>
      <c r="V325" s="371">
        <f>P325/'2018'!P325-1</f>
        <v>-1</v>
      </c>
      <c r="W325" s="371">
        <f>Q325/'2018'!Q325-1</f>
        <v>-3.5501869652742601E-2</v>
      </c>
      <c r="X325" s="371">
        <f>R325/'2018'!R325-1</f>
        <v>-6.0554307522527329E-2</v>
      </c>
      <c r="Y325" s="372">
        <f>S325/'2018'!S325-1</f>
        <v>-4.7955875568868045E-2</v>
      </c>
      <c r="Z325" s="373"/>
      <c r="AA325" s="374">
        <f t="shared" ref="AA325:AA369" si="118">Q325/10000-Z325</f>
        <v>1888.5074219999999</v>
      </c>
      <c r="AB325" s="375"/>
      <c r="AC325" s="365"/>
      <c r="AD325" s="375">
        <f t="shared" si="97"/>
        <v>19778292.109999999</v>
      </c>
      <c r="AE325" s="348">
        <f t="shared" si="116"/>
        <v>194521.13</v>
      </c>
      <c r="AF325" s="348">
        <f t="shared" si="116"/>
        <v>436642.62</v>
      </c>
      <c r="AG325" s="365">
        <f t="shared" si="99"/>
        <v>262054.1400000006</v>
      </c>
      <c r="AH325" s="357"/>
      <c r="AI325" s="358"/>
      <c r="AJ325" s="358"/>
      <c r="AK325" s="358"/>
      <c r="AL325" s="358"/>
      <c r="AM325" s="358"/>
      <c r="AN325" s="358"/>
      <c r="AO325" s="358"/>
      <c r="AP325" s="358"/>
      <c r="AQ325" s="358"/>
      <c r="AR325" s="358"/>
      <c r="AS325" s="358"/>
      <c r="AT325" s="358"/>
      <c r="AU325" s="358"/>
      <c r="AV325" s="358"/>
      <c r="AW325" s="358"/>
      <c r="AX325" s="358"/>
      <c r="AY325" s="358"/>
      <c r="AZ325" s="358"/>
      <c r="BA325" s="358"/>
      <c r="BB325" s="358"/>
      <c r="BC325" s="358"/>
    </row>
    <row r="326" spans="1:55" s="376" customFormat="1" x14ac:dyDescent="0.15">
      <c r="A326" s="377">
        <v>43056</v>
      </c>
      <c r="B326" s="457" t="s">
        <v>1</v>
      </c>
      <c r="C326" s="361"/>
      <c r="D326" s="348"/>
      <c r="E326" s="348"/>
      <c r="F326" s="362"/>
      <c r="G326" s="348"/>
      <c r="H326" s="363"/>
      <c r="I326" s="363"/>
      <c r="J326" s="364">
        <f t="shared" si="117"/>
        <v>0</v>
      </c>
      <c r="K326" s="348"/>
      <c r="L326" s="348"/>
      <c r="M326" s="365">
        <f t="shared" ref="M326:M370" si="119">J326-K326-L326-C326</f>
        <v>0</v>
      </c>
      <c r="N326" s="366">
        <f t="shared" si="114"/>
        <v>0</v>
      </c>
      <c r="O326" s="349">
        <f t="shared" si="114"/>
        <v>0</v>
      </c>
      <c r="P326" s="353">
        <f t="shared" si="114"/>
        <v>0</v>
      </c>
      <c r="Q326" s="368">
        <f t="shared" si="115"/>
        <v>18885074.219999999</v>
      </c>
      <c r="R326" s="367">
        <f t="shared" si="115"/>
        <v>12411110.800000001</v>
      </c>
      <c r="S326" s="369">
        <f t="shared" si="115"/>
        <v>32189402.91</v>
      </c>
      <c r="T326" s="370">
        <f>N326/'2018'!N326-1</f>
        <v>-1</v>
      </c>
      <c r="U326" s="371">
        <f>O326/'2018'!O326-1</f>
        <v>-1</v>
      </c>
      <c r="V326" s="371">
        <f>P326/'2018'!P326-1</f>
        <v>-1</v>
      </c>
      <c r="W326" s="371">
        <f>Q326/'2018'!Q326-1</f>
        <v>-3.7909821129864851E-2</v>
      </c>
      <c r="X326" s="371">
        <f>R326/'2018'!R326-1</f>
        <v>-6.3799485215759955E-2</v>
      </c>
      <c r="Y326" s="372">
        <f>S326/'2018'!S326-1</f>
        <v>-5.0840900220996188E-2</v>
      </c>
      <c r="Z326" s="373"/>
      <c r="AA326" s="374">
        <f t="shared" si="118"/>
        <v>1888.5074219999999</v>
      </c>
      <c r="AB326" s="375"/>
      <c r="AC326" s="365"/>
      <c r="AD326" s="375">
        <f t="shared" ref="AD326:AD369" si="120">S326-R326</f>
        <v>19778292.109999999</v>
      </c>
      <c r="AE326" s="348">
        <f t="shared" si="116"/>
        <v>194521.13</v>
      </c>
      <c r="AF326" s="348">
        <f t="shared" si="116"/>
        <v>436642.62</v>
      </c>
      <c r="AG326" s="365">
        <f t="shared" si="99"/>
        <v>262054.1400000006</v>
      </c>
      <c r="AH326" s="357"/>
      <c r="AI326" s="358"/>
      <c r="AJ326" s="358"/>
      <c r="AK326" s="358"/>
      <c r="AL326" s="358"/>
      <c r="AM326" s="358"/>
      <c r="AN326" s="358"/>
      <c r="AO326" s="358"/>
      <c r="AP326" s="358"/>
      <c r="AQ326" s="358"/>
      <c r="AR326" s="358"/>
      <c r="AS326" s="358"/>
      <c r="AT326" s="358"/>
      <c r="AU326" s="358"/>
      <c r="AV326" s="358"/>
      <c r="AW326" s="358"/>
      <c r="AX326" s="358"/>
      <c r="AY326" s="358"/>
      <c r="AZ326" s="358"/>
      <c r="BA326" s="358"/>
      <c r="BB326" s="358"/>
      <c r="BC326" s="358"/>
    </row>
    <row r="327" spans="1:55" s="376" customFormat="1" x14ac:dyDescent="0.15">
      <c r="A327" s="377">
        <v>43057</v>
      </c>
      <c r="B327" s="457" t="s">
        <v>34</v>
      </c>
      <c r="C327" s="361"/>
      <c r="D327" s="348"/>
      <c r="E327" s="348"/>
      <c r="F327" s="362"/>
      <c r="G327" s="348"/>
      <c r="H327" s="363"/>
      <c r="I327" s="363"/>
      <c r="J327" s="364">
        <f t="shared" si="117"/>
        <v>0</v>
      </c>
      <c r="K327" s="348"/>
      <c r="L327" s="348"/>
      <c r="M327" s="365">
        <f t="shared" si="119"/>
        <v>0</v>
      </c>
      <c r="N327" s="366">
        <f t="shared" ref="N327:P338" si="121">C327+N326</f>
        <v>0</v>
      </c>
      <c r="O327" s="349">
        <f t="shared" si="121"/>
        <v>0</v>
      </c>
      <c r="P327" s="353">
        <f t="shared" si="121"/>
        <v>0</v>
      </c>
      <c r="Q327" s="368">
        <f t="shared" si="115"/>
        <v>18885074.219999999</v>
      </c>
      <c r="R327" s="367">
        <f t="shared" si="115"/>
        <v>12411110.800000001</v>
      </c>
      <c r="S327" s="369">
        <f t="shared" si="115"/>
        <v>32189402.91</v>
      </c>
      <c r="T327" s="370">
        <f>N327/'2018'!N327-1</f>
        <v>-1</v>
      </c>
      <c r="U327" s="371">
        <f>O327/'2018'!O327-1</f>
        <v>-1</v>
      </c>
      <c r="V327" s="371">
        <f>P327/'2018'!P327-1</f>
        <v>-1</v>
      </c>
      <c r="W327" s="371">
        <f>Q327/'2018'!Q327-1</f>
        <v>-4.0218913145403934E-2</v>
      </c>
      <c r="X327" s="371">
        <f>R327/'2018'!R327-1</f>
        <v>-6.6790117053445952E-2</v>
      </c>
      <c r="Y327" s="372">
        <f>S327/'2018'!S327-1</f>
        <v>-5.3559165875265546E-2</v>
      </c>
      <c r="Z327" s="373"/>
      <c r="AA327" s="374">
        <f t="shared" si="118"/>
        <v>1888.5074219999999</v>
      </c>
      <c r="AB327" s="375"/>
      <c r="AC327" s="365"/>
      <c r="AD327" s="375">
        <f t="shared" si="120"/>
        <v>19778292.109999999</v>
      </c>
      <c r="AE327" s="348">
        <f t="shared" ref="AE327:AF342" si="122">AE326+K327</f>
        <v>194521.13</v>
      </c>
      <c r="AF327" s="348">
        <f t="shared" si="122"/>
        <v>436642.62</v>
      </c>
      <c r="AG327" s="365">
        <f t="shared" ref="AG327:AG370" si="123">AD327-Q327-AE327-AF327</f>
        <v>262054.1400000006</v>
      </c>
      <c r="AH327" s="357"/>
      <c r="AI327" s="358"/>
      <c r="AJ327" s="358"/>
      <c r="AK327" s="358"/>
      <c r="AL327" s="358"/>
      <c r="AM327" s="358"/>
      <c r="AN327" s="358"/>
      <c r="AO327" s="358"/>
      <c r="AP327" s="358"/>
      <c r="AQ327" s="358"/>
      <c r="AR327" s="358"/>
      <c r="AS327" s="358"/>
      <c r="AT327" s="358"/>
      <c r="AU327" s="358"/>
      <c r="AV327" s="358"/>
      <c r="AW327" s="358"/>
      <c r="AX327" s="358"/>
      <c r="AY327" s="358"/>
      <c r="AZ327" s="358"/>
      <c r="BA327" s="358"/>
      <c r="BB327" s="358"/>
      <c r="BC327" s="358"/>
    </row>
    <row r="328" spans="1:55" s="376" customFormat="1" x14ac:dyDescent="0.15">
      <c r="A328" s="377">
        <v>43058</v>
      </c>
      <c r="B328" s="457" t="s">
        <v>35</v>
      </c>
      <c r="C328" s="361"/>
      <c r="D328" s="348"/>
      <c r="E328" s="348"/>
      <c r="F328" s="362"/>
      <c r="G328" s="348"/>
      <c r="H328" s="363"/>
      <c r="I328" s="363"/>
      <c r="J328" s="364">
        <f t="shared" si="117"/>
        <v>0</v>
      </c>
      <c r="K328" s="348"/>
      <c r="L328" s="348"/>
      <c r="M328" s="365">
        <f t="shared" si="119"/>
        <v>0</v>
      </c>
      <c r="N328" s="366">
        <f t="shared" si="121"/>
        <v>0</v>
      </c>
      <c r="O328" s="349">
        <f t="shared" si="121"/>
        <v>0</v>
      </c>
      <c r="P328" s="353">
        <f t="shared" si="121"/>
        <v>0</v>
      </c>
      <c r="Q328" s="368">
        <f t="shared" si="115"/>
        <v>18885074.219999999</v>
      </c>
      <c r="R328" s="367">
        <f t="shared" si="115"/>
        <v>12411110.800000001</v>
      </c>
      <c r="S328" s="369">
        <f t="shared" si="115"/>
        <v>32189402.91</v>
      </c>
      <c r="T328" s="370">
        <f>N328/'2018'!N328-1</f>
        <v>-1</v>
      </c>
      <c r="U328" s="371">
        <f>O328/'2018'!O328-1</f>
        <v>-1</v>
      </c>
      <c r="V328" s="371">
        <f>P328/'2018'!P328-1</f>
        <v>-1</v>
      </c>
      <c r="W328" s="371">
        <f>Q328/'2018'!Q328-1</f>
        <v>-4.2610290412434138E-2</v>
      </c>
      <c r="X328" s="371">
        <f>R328/'2018'!R328-1</f>
        <v>-6.9933608795191615E-2</v>
      </c>
      <c r="Y328" s="372">
        <f>S328/'2018'!S328-1</f>
        <v>-5.6390382820789897E-2</v>
      </c>
      <c r="Z328" s="373"/>
      <c r="AA328" s="374">
        <f t="shared" si="118"/>
        <v>1888.5074219999999</v>
      </c>
      <c r="AB328" s="375"/>
      <c r="AC328" s="365"/>
      <c r="AD328" s="375">
        <f t="shared" si="120"/>
        <v>19778292.109999999</v>
      </c>
      <c r="AE328" s="348">
        <f t="shared" si="122"/>
        <v>194521.13</v>
      </c>
      <c r="AF328" s="348">
        <f t="shared" si="122"/>
        <v>436642.62</v>
      </c>
      <c r="AG328" s="365">
        <f t="shared" si="123"/>
        <v>262054.1400000006</v>
      </c>
      <c r="AH328" s="357"/>
      <c r="AI328" s="358"/>
      <c r="AJ328" s="358"/>
      <c r="AK328" s="358"/>
      <c r="AL328" s="358"/>
      <c r="AM328" s="358"/>
      <c r="AN328" s="358"/>
      <c r="AO328" s="358"/>
      <c r="AP328" s="358"/>
      <c r="AQ328" s="358"/>
      <c r="AR328" s="358"/>
      <c r="AS328" s="358"/>
      <c r="AT328" s="358"/>
      <c r="AU328" s="358"/>
      <c r="AV328" s="358"/>
      <c r="AW328" s="358"/>
      <c r="AX328" s="358"/>
      <c r="AY328" s="358"/>
      <c r="AZ328" s="358"/>
      <c r="BA328" s="358"/>
      <c r="BB328" s="358"/>
      <c r="BC328" s="358"/>
    </row>
    <row r="329" spans="1:55" s="376" customFormat="1" x14ac:dyDescent="0.15">
      <c r="A329" s="377">
        <v>43059</v>
      </c>
      <c r="B329" s="457" t="s">
        <v>36</v>
      </c>
      <c r="C329" s="361"/>
      <c r="D329" s="348"/>
      <c r="E329" s="348"/>
      <c r="F329" s="362"/>
      <c r="G329" s="348"/>
      <c r="H329" s="363"/>
      <c r="I329" s="363"/>
      <c r="J329" s="364">
        <f t="shared" si="117"/>
        <v>0</v>
      </c>
      <c r="K329" s="348"/>
      <c r="L329" s="348"/>
      <c r="M329" s="365">
        <f t="shared" si="119"/>
        <v>0</v>
      </c>
      <c r="N329" s="366">
        <f t="shared" si="121"/>
        <v>0</v>
      </c>
      <c r="O329" s="349">
        <f t="shared" si="121"/>
        <v>0</v>
      </c>
      <c r="P329" s="353">
        <f t="shared" si="121"/>
        <v>0</v>
      </c>
      <c r="Q329" s="368">
        <f t="shared" si="115"/>
        <v>18885074.219999999</v>
      </c>
      <c r="R329" s="367">
        <f t="shared" si="115"/>
        <v>12411110.800000001</v>
      </c>
      <c r="S329" s="369">
        <f t="shared" si="115"/>
        <v>32189402.91</v>
      </c>
      <c r="T329" s="370">
        <f>N329/'2018'!N329-1</f>
        <v>-1</v>
      </c>
      <c r="U329" s="371">
        <f>O329/'2018'!O329-1</f>
        <v>-1</v>
      </c>
      <c r="V329" s="371">
        <f>P329/'2018'!P329-1</f>
        <v>-1</v>
      </c>
      <c r="W329" s="371">
        <f>Q329/'2018'!Q329-1</f>
        <v>-4.5073612480396763E-2</v>
      </c>
      <c r="X329" s="371">
        <f>R329/'2018'!R329-1</f>
        <v>-7.2996106005933759E-2</v>
      </c>
      <c r="Y329" s="372">
        <f>S329/'2018'!S329-1</f>
        <v>-5.9233636903363585E-2</v>
      </c>
      <c r="Z329" s="373"/>
      <c r="AA329" s="374">
        <f t="shared" si="118"/>
        <v>1888.5074219999999</v>
      </c>
      <c r="AB329" s="375"/>
      <c r="AC329" s="365"/>
      <c r="AD329" s="375">
        <f t="shared" si="120"/>
        <v>19778292.109999999</v>
      </c>
      <c r="AE329" s="348">
        <f t="shared" si="122"/>
        <v>194521.13</v>
      </c>
      <c r="AF329" s="348">
        <f t="shared" si="122"/>
        <v>436642.62</v>
      </c>
      <c r="AG329" s="365">
        <f t="shared" si="123"/>
        <v>262054.1400000006</v>
      </c>
      <c r="AH329" s="357"/>
      <c r="AI329" s="358"/>
      <c r="AJ329" s="358"/>
      <c r="AK329" s="358"/>
      <c r="AL329" s="358"/>
      <c r="AM329" s="358"/>
      <c r="AN329" s="358"/>
      <c r="AO329" s="358"/>
      <c r="AP329" s="358"/>
      <c r="AQ329" s="358"/>
      <c r="AR329" s="358"/>
      <c r="AS329" s="358"/>
      <c r="AT329" s="358"/>
      <c r="AU329" s="358"/>
      <c r="AV329" s="358"/>
      <c r="AW329" s="358"/>
      <c r="AX329" s="358"/>
      <c r="AY329" s="358"/>
      <c r="AZ329" s="358"/>
      <c r="BA329" s="358"/>
      <c r="BB329" s="358"/>
      <c r="BC329" s="358"/>
    </row>
    <row r="330" spans="1:55" s="376" customFormat="1" x14ac:dyDescent="0.15">
      <c r="A330" s="377">
        <v>43060</v>
      </c>
      <c r="B330" s="182" t="s">
        <v>37</v>
      </c>
      <c r="C330" s="361"/>
      <c r="D330" s="348"/>
      <c r="E330" s="348"/>
      <c r="F330" s="362"/>
      <c r="G330" s="348"/>
      <c r="H330" s="363"/>
      <c r="I330" s="363"/>
      <c r="J330" s="364">
        <f t="shared" si="117"/>
        <v>0</v>
      </c>
      <c r="K330" s="348"/>
      <c r="L330" s="348"/>
      <c r="M330" s="365">
        <f t="shared" si="119"/>
        <v>0</v>
      </c>
      <c r="N330" s="366">
        <f t="shared" si="121"/>
        <v>0</v>
      </c>
      <c r="O330" s="349">
        <f t="shared" si="121"/>
        <v>0</v>
      </c>
      <c r="P330" s="353">
        <f t="shared" si="121"/>
        <v>0</v>
      </c>
      <c r="Q330" s="368">
        <f t="shared" si="115"/>
        <v>18885074.219999999</v>
      </c>
      <c r="R330" s="367">
        <f t="shared" si="115"/>
        <v>12411110.800000001</v>
      </c>
      <c r="S330" s="369">
        <f t="shared" si="115"/>
        <v>32189402.91</v>
      </c>
      <c r="T330" s="370">
        <f>N330/'2018'!N330-1</f>
        <v>-1</v>
      </c>
      <c r="U330" s="371">
        <f>O330/'2018'!O330-1</f>
        <v>-1</v>
      </c>
      <c r="V330" s="371">
        <f>P330/'2018'!P330-1</f>
        <v>-1</v>
      </c>
      <c r="W330" s="371">
        <f>Q330/'2018'!Q330-1</f>
        <v>-4.7563344709206867E-2</v>
      </c>
      <c r="X330" s="371">
        <f>R330/'2018'!R330-1</f>
        <v>-7.5990486397809476E-2</v>
      </c>
      <c r="Y330" s="372">
        <f>S330/'2018'!S330-1</f>
        <v>-6.2068143589107505E-2</v>
      </c>
      <c r="Z330" s="373"/>
      <c r="AA330" s="374">
        <f t="shared" si="118"/>
        <v>1888.5074219999999</v>
      </c>
      <c r="AB330" s="375"/>
      <c r="AC330" s="365"/>
      <c r="AD330" s="375">
        <f t="shared" si="120"/>
        <v>19778292.109999999</v>
      </c>
      <c r="AE330" s="348">
        <f t="shared" si="122"/>
        <v>194521.13</v>
      </c>
      <c r="AF330" s="348">
        <f t="shared" si="122"/>
        <v>436642.62</v>
      </c>
      <c r="AG330" s="365">
        <f t="shared" si="123"/>
        <v>262054.1400000006</v>
      </c>
      <c r="AH330" s="357"/>
      <c r="AI330" s="358"/>
      <c r="AJ330" s="358"/>
      <c r="AK330" s="358"/>
      <c r="AL330" s="358"/>
      <c r="AM330" s="358"/>
      <c r="AN330" s="358"/>
      <c r="AO330" s="358"/>
      <c r="AP330" s="358"/>
      <c r="AQ330" s="358"/>
      <c r="AR330" s="358"/>
      <c r="AS330" s="358"/>
      <c r="AT330" s="358"/>
      <c r="AU330" s="358"/>
      <c r="AV330" s="358"/>
      <c r="AW330" s="358"/>
      <c r="AX330" s="358"/>
      <c r="AY330" s="358"/>
      <c r="AZ330" s="358"/>
      <c r="BA330" s="358"/>
      <c r="BB330" s="358"/>
      <c r="BC330" s="358"/>
    </row>
    <row r="331" spans="1:55" s="376" customFormat="1" x14ac:dyDescent="0.15">
      <c r="A331" s="377">
        <v>43061</v>
      </c>
      <c r="B331" s="457" t="s">
        <v>38</v>
      </c>
      <c r="C331" s="361"/>
      <c r="D331" s="348"/>
      <c r="E331" s="348"/>
      <c r="F331" s="362"/>
      <c r="G331" s="348"/>
      <c r="H331" s="363"/>
      <c r="I331" s="363"/>
      <c r="J331" s="364">
        <f t="shared" si="117"/>
        <v>0</v>
      </c>
      <c r="K331" s="348"/>
      <c r="L331" s="348"/>
      <c r="M331" s="365">
        <f t="shared" si="119"/>
        <v>0</v>
      </c>
      <c r="N331" s="366">
        <f t="shared" si="121"/>
        <v>0</v>
      </c>
      <c r="O331" s="349">
        <f t="shared" si="121"/>
        <v>0</v>
      </c>
      <c r="P331" s="353">
        <f t="shared" si="121"/>
        <v>0</v>
      </c>
      <c r="Q331" s="368">
        <f t="shared" si="115"/>
        <v>18885074.219999999</v>
      </c>
      <c r="R331" s="367">
        <f t="shared" si="115"/>
        <v>12411110.800000001</v>
      </c>
      <c r="S331" s="369">
        <f t="shared" si="115"/>
        <v>32189402.91</v>
      </c>
      <c r="T331" s="370">
        <f>N331/'2018'!N331-1</f>
        <v>-1</v>
      </c>
      <c r="U331" s="371">
        <f>O331/'2018'!O331-1</f>
        <v>-1</v>
      </c>
      <c r="V331" s="371">
        <f>P331/'2018'!P331-1</f>
        <v>-1</v>
      </c>
      <c r="W331" s="371">
        <f>Q331/'2018'!Q331-1</f>
        <v>-5.0064354378572151E-2</v>
      </c>
      <c r="X331" s="371">
        <f>R331/'2018'!R331-1</f>
        <v>-7.8803770536588047E-2</v>
      </c>
      <c r="Y331" s="372">
        <f>S331/'2018'!S331-1</f>
        <v>-6.4836313129847722E-2</v>
      </c>
      <c r="Z331" s="373"/>
      <c r="AA331" s="374">
        <f t="shared" si="118"/>
        <v>1888.5074219999999</v>
      </c>
      <c r="AB331" s="375"/>
      <c r="AC331" s="365"/>
      <c r="AD331" s="375">
        <f t="shared" si="120"/>
        <v>19778292.109999999</v>
      </c>
      <c r="AE331" s="348">
        <f t="shared" si="122"/>
        <v>194521.13</v>
      </c>
      <c r="AF331" s="348">
        <f t="shared" si="122"/>
        <v>436642.62</v>
      </c>
      <c r="AG331" s="365">
        <f t="shared" si="123"/>
        <v>262054.1400000006</v>
      </c>
      <c r="AH331" s="357"/>
      <c r="AI331" s="358"/>
      <c r="AJ331" s="358"/>
      <c r="AK331" s="358"/>
      <c r="AL331" s="358"/>
      <c r="AM331" s="358"/>
      <c r="AN331" s="358"/>
      <c r="AO331" s="358"/>
      <c r="AP331" s="358"/>
      <c r="AQ331" s="358"/>
      <c r="AR331" s="358"/>
      <c r="AS331" s="358"/>
      <c r="AT331" s="358"/>
      <c r="AU331" s="358"/>
      <c r="AV331" s="358"/>
      <c r="AW331" s="358"/>
      <c r="AX331" s="358"/>
      <c r="AY331" s="358"/>
      <c r="AZ331" s="358"/>
      <c r="BA331" s="358"/>
      <c r="BB331" s="358"/>
      <c r="BC331" s="358"/>
    </row>
    <row r="332" spans="1:55" s="376" customFormat="1" x14ac:dyDescent="0.15">
      <c r="A332" s="377">
        <v>43062</v>
      </c>
      <c r="B332" s="457" t="s">
        <v>39</v>
      </c>
      <c r="C332" s="361"/>
      <c r="D332" s="348"/>
      <c r="E332" s="348"/>
      <c r="F332" s="362"/>
      <c r="G332" s="348"/>
      <c r="H332" s="363"/>
      <c r="I332" s="363"/>
      <c r="J332" s="364">
        <f t="shared" si="117"/>
        <v>0</v>
      </c>
      <c r="K332" s="348"/>
      <c r="L332" s="348"/>
      <c r="M332" s="365">
        <f t="shared" si="119"/>
        <v>0</v>
      </c>
      <c r="N332" s="366">
        <f t="shared" si="121"/>
        <v>0</v>
      </c>
      <c r="O332" s="349">
        <f t="shared" si="121"/>
        <v>0</v>
      </c>
      <c r="P332" s="353">
        <f t="shared" si="121"/>
        <v>0</v>
      </c>
      <c r="Q332" s="368">
        <f t="shared" si="115"/>
        <v>18885074.219999999</v>
      </c>
      <c r="R332" s="367">
        <f t="shared" si="115"/>
        <v>12411110.800000001</v>
      </c>
      <c r="S332" s="369">
        <f t="shared" si="115"/>
        <v>32189402.91</v>
      </c>
      <c r="T332" s="370">
        <f>N332/'2018'!N332-1</f>
        <v>-1</v>
      </c>
      <c r="U332" s="371">
        <f>O332/'2018'!O332-1</f>
        <v>-1</v>
      </c>
      <c r="V332" s="371">
        <f>P332/'2018'!P332-1</f>
        <v>-1</v>
      </c>
      <c r="W332" s="371">
        <f>Q332/'2018'!Q332-1</f>
        <v>-5.2525406916763773E-2</v>
      </c>
      <c r="X332" s="371">
        <f>R332/'2018'!R332-1</f>
        <v>-8.1720317072166648E-2</v>
      </c>
      <c r="Y332" s="372">
        <f>S332/'2018'!S332-1</f>
        <v>-6.7619384980774022E-2</v>
      </c>
      <c r="Z332" s="373"/>
      <c r="AA332" s="374">
        <f t="shared" si="118"/>
        <v>1888.5074219999999</v>
      </c>
      <c r="AB332" s="375"/>
      <c r="AC332" s="365"/>
      <c r="AD332" s="375">
        <f t="shared" si="120"/>
        <v>19778292.109999999</v>
      </c>
      <c r="AE332" s="348">
        <f t="shared" si="122"/>
        <v>194521.13</v>
      </c>
      <c r="AF332" s="348">
        <f t="shared" si="122"/>
        <v>436642.62</v>
      </c>
      <c r="AG332" s="365">
        <f t="shared" si="123"/>
        <v>262054.1400000006</v>
      </c>
      <c r="AH332" s="357"/>
      <c r="AI332" s="358"/>
      <c r="AJ332" s="358"/>
      <c r="AK332" s="358"/>
      <c r="AL332" s="358"/>
      <c r="AM332" s="358"/>
      <c r="AN332" s="358"/>
      <c r="AO332" s="358"/>
      <c r="AP332" s="358"/>
      <c r="AQ332" s="358"/>
      <c r="AR332" s="358"/>
      <c r="AS332" s="358"/>
      <c r="AT332" s="358"/>
      <c r="AU332" s="358"/>
      <c r="AV332" s="358"/>
      <c r="AW332" s="358"/>
      <c r="AX332" s="358"/>
      <c r="AY332" s="358"/>
      <c r="AZ332" s="358"/>
      <c r="BA332" s="358"/>
      <c r="BB332" s="358"/>
      <c r="BC332" s="358"/>
    </row>
    <row r="333" spans="1:55" s="376" customFormat="1" x14ac:dyDescent="0.15">
      <c r="A333" s="377">
        <v>43063</v>
      </c>
      <c r="B333" s="457" t="s">
        <v>1</v>
      </c>
      <c r="C333" s="361"/>
      <c r="D333" s="348"/>
      <c r="E333" s="348"/>
      <c r="F333" s="362"/>
      <c r="G333" s="348"/>
      <c r="H333" s="363"/>
      <c r="I333" s="363"/>
      <c r="J333" s="364">
        <f t="shared" si="117"/>
        <v>0</v>
      </c>
      <c r="K333" s="348"/>
      <c r="L333" s="348"/>
      <c r="M333" s="365">
        <f t="shared" si="119"/>
        <v>0</v>
      </c>
      <c r="N333" s="366">
        <f t="shared" si="121"/>
        <v>0</v>
      </c>
      <c r="O333" s="349">
        <f t="shared" si="121"/>
        <v>0</v>
      </c>
      <c r="P333" s="353">
        <f t="shared" si="121"/>
        <v>0</v>
      </c>
      <c r="Q333" s="368">
        <f t="shared" si="115"/>
        <v>18885074.219999999</v>
      </c>
      <c r="R333" s="367">
        <f t="shared" si="115"/>
        <v>12411110.800000001</v>
      </c>
      <c r="S333" s="369">
        <f t="shared" si="115"/>
        <v>32189402.91</v>
      </c>
      <c r="T333" s="370">
        <f>N333/'2018'!N333-1</f>
        <v>-1</v>
      </c>
      <c r="U333" s="371">
        <f>O333/'2018'!O333-1</f>
        <v>-1</v>
      </c>
      <c r="V333" s="371">
        <f>P333/'2018'!P333-1</f>
        <v>-1</v>
      </c>
      <c r="W333" s="371">
        <f>Q333/'2018'!Q333-1</f>
        <v>-5.4875035948263484E-2</v>
      </c>
      <c r="X333" s="371">
        <f>R333/'2018'!R333-1</f>
        <v>-8.4643366049081625E-2</v>
      </c>
      <c r="Y333" s="372">
        <f>S333/'2018'!S333-1</f>
        <v>-7.0333157196755036E-2</v>
      </c>
      <c r="Z333" s="373"/>
      <c r="AA333" s="374">
        <f t="shared" si="118"/>
        <v>1888.5074219999999</v>
      </c>
      <c r="AB333" s="375"/>
      <c r="AC333" s="365"/>
      <c r="AD333" s="375">
        <f t="shared" si="120"/>
        <v>19778292.109999999</v>
      </c>
      <c r="AE333" s="348">
        <f t="shared" si="122"/>
        <v>194521.13</v>
      </c>
      <c r="AF333" s="348">
        <f t="shared" si="122"/>
        <v>436642.62</v>
      </c>
      <c r="AG333" s="365">
        <f t="shared" si="123"/>
        <v>262054.1400000006</v>
      </c>
      <c r="AH333" s="357"/>
      <c r="AI333" s="358"/>
      <c r="AJ333" s="358"/>
      <c r="AK333" s="358"/>
      <c r="AL333" s="358"/>
      <c r="AM333" s="358"/>
      <c r="AN333" s="358"/>
      <c r="AO333" s="358"/>
      <c r="AP333" s="358"/>
      <c r="AQ333" s="358"/>
      <c r="AR333" s="358"/>
      <c r="AS333" s="358"/>
      <c r="AT333" s="358"/>
      <c r="AU333" s="358"/>
      <c r="AV333" s="358"/>
      <c r="AW333" s="358"/>
      <c r="AX333" s="358"/>
      <c r="AY333" s="358"/>
      <c r="AZ333" s="358"/>
      <c r="BA333" s="358"/>
      <c r="BB333" s="358"/>
      <c r="BC333" s="358"/>
    </row>
    <row r="334" spans="1:55" s="376" customFormat="1" x14ac:dyDescent="0.15">
      <c r="A334" s="377">
        <v>43064</v>
      </c>
      <c r="B334" s="457" t="s">
        <v>34</v>
      </c>
      <c r="C334" s="361"/>
      <c r="D334" s="348"/>
      <c r="E334" s="348"/>
      <c r="F334" s="362"/>
      <c r="G334" s="348"/>
      <c r="H334" s="363"/>
      <c r="I334" s="363"/>
      <c r="J334" s="364">
        <f t="shared" si="117"/>
        <v>0</v>
      </c>
      <c r="K334" s="348"/>
      <c r="L334" s="348"/>
      <c r="M334" s="365">
        <f t="shared" si="119"/>
        <v>0</v>
      </c>
      <c r="N334" s="366">
        <f t="shared" si="121"/>
        <v>0</v>
      </c>
      <c r="O334" s="349">
        <f t="shared" si="121"/>
        <v>0</v>
      </c>
      <c r="P334" s="353">
        <f t="shared" si="121"/>
        <v>0</v>
      </c>
      <c r="Q334" s="368">
        <f t="shared" si="115"/>
        <v>18885074.219999999</v>
      </c>
      <c r="R334" s="367">
        <f t="shared" si="115"/>
        <v>12411110.800000001</v>
      </c>
      <c r="S334" s="369">
        <f t="shared" si="115"/>
        <v>32189402.91</v>
      </c>
      <c r="T334" s="370">
        <f>N334/'2018'!N334-1</f>
        <v>-1</v>
      </c>
      <c r="U334" s="371">
        <f>O334/'2018'!O334-1</f>
        <v>-1</v>
      </c>
      <c r="V334" s="371">
        <f>P334/'2018'!P334-1</f>
        <v>-1</v>
      </c>
      <c r="W334" s="371">
        <f>Q334/'2018'!Q334-1</f>
        <v>-5.7180422230760142E-2</v>
      </c>
      <c r="X334" s="371">
        <f>R334/'2018'!R334-1</f>
        <v>-8.7377778945149864E-2</v>
      </c>
      <c r="Y334" s="372">
        <f>S334/'2018'!S334-1</f>
        <v>-7.2931090475130467E-2</v>
      </c>
      <c r="Z334" s="373"/>
      <c r="AA334" s="374">
        <f t="shared" si="118"/>
        <v>1888.5074219999999</v>
      </c>
      <c r="AB334" s="375"/>
      <c r="AC334" s="365"/>
      <c r="AD334" s="375">
        <f t="shared" si="120"/>
        <v>19778292.109999999</v>
      </c>
      <c r="AE334" s="348">
        <f t="shared" si="122"/>
        <v>194521.13</v>
      </c>
      <c r="AF334" s="348">
        <f t="shared" si="122"/>
        <v>436642.62</v>
      </c>
      <c r="AG334" s="365">
        <f t="shared" si="123"/>
        <v>262054.1400000006</v>
      </c>
      <c r="AH334" s="357"/>
      <c r="AI334" s="358"/>
      <c r="AJ334" s="358"/>
      <c r="AK334" s="358"/>
      <c r="AL334" s="358"/>
      <c r="AM334" s="358"/>
      <c r="AN334" s="358"/>
      <c r="AO334" s="358"/>
      <c r="AP334" s="358"/>
      <c r="AQ334" s="358"/>
      <c r="AR334" s="358"/>
      <c r="AS334" s="358"/>
      <c r="AT334" s="358"/>
      <c r="AU334" s="358"/>
      <c r="AV334" s="358"/>
      <c r="AW334" s="358"/>
      <c r="AX334" s="358"/>
      <c r="AY334" s="358"/>
      <c r="AZ334" s="358"/>
      <c r="BA334" s="358"/>
      <c r="BB334" s="358"/>
      <c r="BC334" s="358"/>
    </row>
    <row r="335" spans="1:55" s="376" customFormat="1" x14ac:dyDescent="0.15">
      <c r="A335" s="377">
        <v>43065</v>
      </c>
      <c r="B335" s="457" t="s">
        <v>35</v>
      </c>
      <c r="C335" s="361"/>
      <c r="D335" s="348"/>
      <c r="E335" s="348"/>
      <c r="F335" s="362"/>
      <c r="G335" s="348"/>
      <c r="H335" s="363"/>
      <c r="I335" s="363"/>
      <c r="J335" s="364">
        <f t="shared" si="117"/>
        <v>0</v>
      </c>
      <c r="K335" s="348"/>
      <c r="L335" s="348"/>
      <c r="M335" s="365">
        <f t="shared" si="119"/>
        <v>0</v>
      </c>
      <c r="N335" s="366">
        <f t="shared" si="121"/>
        <v>0</v>
      </c>
      <c r="O335" s="349">
        <f t="shared" si="121"/>
        <v>0</v>
      </c>
      <c r="P335" s="353">
        <f t="shared" si="121"/>
        <v>0</v>
      </c>
      <c r="Q335" s="368">
        <f t="shared" si="115"/>
        <v>18885074.219999999</v>
      </c>
      <c r="R335" s="367">
        <f t="shared" si="115"/>
        <v>12411110.800000001</v>
      </c>
      <c r="S335" s="369">
        <f t="shared" si="115"/>
        <v>32189402.91</v>
      </c>
      <c r="T335" s="370">
        <f>N335/'2018'!N335-1</f>
        <v>-1</v>
      </c>
      <c r="U335" s="371">
        <f>O335/'2018'!O335-1</f>
        <v>-1</v>
      </c>
      <c r="V335" s="371">
        <f>P335/'2018'!P335-1</f>
        <v>-1</v>
      </c>
      <c r="W335" s="371">
        <f>Q335/'2018'!Q335-1</f>
        <v>-5.9720484742262991E-2</v>
      </c>
      <c r="X335" s="371">
        <f>R335/'2018'!R335-1</f>
        <v>-9.0083562442885068E-2</v>
      </c>
      <c r="Y335" s="372">
        <f>S335/'2018'!S335-1</f>
        <v>-7.5652644175196682E-2</v>
      </c>
      <c r="Z335" s="373"/>
      <c r="AA335" s="374">
        <f t="shared" si="118"/>
        <v>1888.5074219999999</v>
      </c>
      <c r="AB335" s="375"/>
      <c r="AC335" s="365"/>
      <c r="AD335" s="375">
        <f t="shared" si="120"/>
        <v>19778292.109999999</v>
      </c>
      <c r="AE335" s="348">
        <f t="shared" si="122"/>
        <v>194521.13</v>
      </c>
      <c r="AF335" s="348">
        <f t="shared" si="122"/>
        <v>436642.62</v>
      </c>
      <c r="AG335" s="365">
        <f t="shared" si="123"/>
        <v>262054.1400000006</v>
      </c>
      <c r="AH335" s="357"/>
      <c r="AI335" s="358"/>
      <c r="AJ335" s="358"/>
      <c r="AK335" s="358"/>
      <c r="AL335" s="358"/>
      <c r="AM335" s="358"/>
      <c r="AN335" s="358"/>
      <c r="AO335" s="358"/>
      <c r="AP335" s="358"/>
      <c r="AQ335" s="358"/>
      <c r="AR335" s="358"/>
      <c r="AS335" s="358"/>
      <c r="AT335" s="358"/>
      <c r="AU335" s="358"/>
      <c r="AV335" s="358"/>
      <c r="AW335" s="358"/>
      <c r="AX335" s="358"/>
      <c r="AY335" s="358"/>
      <c r="AZ335" s="358"/>
      <c r="BA335" s="358"/>
      <c r="BB335" s="358"/>
      <c r="BC335" s="358"/>
    </row>
    <row r="336" spans="1:55" s="376" customFormat="1" x14ac:dyDescent="0.15">
      <c r="A336" s="377">
        <v>43066</v>
      </c>
      <c r="B336" s="457" t="s">
        <v>36</v>
      </c>
      <c r="C336" s="361"/>
      <c r="D336" s="348"/>
      <c r="E336" s="348"/>
      <c r="F336" s="362"/>
      <c r="G336" s="348"/>
      <c r="H336" s="363"/>
      <c r="I336" s="363"/>
      <c r="J336" s="364">
        <f t="shared" si="117"/>
        <v>0</v>
      </c>
      <c r="K336" s="348"/>
      <c r="L336" s="348"/>
      <c r="M336" s="365">
        <f t="shared" si="119"/>
        <v>0</v>
      </c>
      <c r="N336" s="366">
        <f t="shared" si="121"/>
        <v>0</v>
      </c>
      <c r="O336" s="349">
        <f t="shared" si="121"/>
        <v>0</v>
      </c>
      <c r="P336" s="353">
        <f t="shared" si="121"/>
        <v>0</v>
      </c>
      <c r="Q336" s="368">
        <f t="shared" si="115"/>
        <v>18885074.219999999</v>
      </c>
      <c r="R336" s="367">
        <f t="shared" si="115"/>
        <v>12411110.800000001</v>
      </c>
      <c r="S336" s="369">
        <f t="shared" si="115"/>
        <v>32189402.91</v>
      </c>
      <c r="T336" s="370">
        <f>N336/'2018'!N336-1</f>
        <v>-1</v>
      </c>
      <c r="U336" s="371">
        <f>O336/'2018'!O336-1</f>
        <v>-1</v>
      </c>
      <c r="V336" s="371">
        <f>P336/'2018'!P336-1</f>
        <v>-1</v>
      </c>
      <c r="W336" s="371">
        <f>Q336/'2018'!Q336-1</f>
        <v>-6.2317857076752525E-2</v>
      </c>
      <c r="X336" s="371">
        <f>R336/'2018'!R336-1</f>
        <v>-9.2808561553548108E-2</v>
      </c>
      <c r="Y336" s="372">
        <f>S336/'2018'!S336-1</f>
        <v>-7.841423174287343E-2</v>
      </c>
      <c r="Z336" s="373"/>
      <c r="AA336" s="374">
        <f t="shared" si="118"/>
        <v>1888.5074219999999</v>
      </c>
      <c r="AB336" s="375"/>
      <c r="AC336" s="365"/>
      <c r="AD336" s="375">
        <f t="shared" si="120"/>
        <v>19778292.109999999</v>
      </c>
      <c r="AE336" s="348">
        <f t="shared" si="122"/>
        <v>194521.13</v>
      </c>
      <c r="AF336" s="348">
        <f t="shared" si="122"/>
        <v>436642.62</v>
      </c>
      <c r="AG336" s="365">
        <f t="shared" si="123"/>
        <v>262054.1400000006</v>
      </c>
      <c r="AH336" s="357"/>
      <c r="AI336" s="358"/>
      <c r="AJ336" s="358"/>
      <c r="AK336" s="358"/>
      <c r="AL336" s="358"/>
      <c r="AM336" s="358"/>
      <c r="AN336" s="358"/>
      <c r="AO336" s="358"/>
      <c r="AP336" s="358"/>
      <c r="AQ336" s="358"/>
      <c r="AR336" s="358"/>
      <c r="AS336" s="358"/>
      <c r="AT336" s="358"/>
      <c r="AU336" s="358"/>
      <c r="AV336" s="358"/>
      <c r="AW336" s="358"/>
      <c r="AX336" s="358"/>
      <c r="AY336" s="358"/>
      <c r="AZ336" s="358"/>
      <c r="BA336" s="358"/>
      <c r="BB336" s="358"/>
      <c r="BC336" s="358"/>
    </row>
    <row r="337" spans="1:55" s="376" customFormat="1" x14ac:dyDescent="0.15">
      <c r="A337" s="377">
        <v>43067</v>
      </c>
      <c r="B337" s="182" t="s">
        <v>37</v>
      </c>
      <c r="C337" s="361"/>
      <c r="D337" s="348"/>
      <c r="E337" s="348"/>
      <c r="F337" s="362"/>
      <c r="G337" s="348"/>
      <c r="H337" s="363"/>
      <c r="I337" s="363"/>
      <c r="J337" s="364">
        <f t="shared" si="117"/>
        <v>0</v>
      </c>
      <c r="K337" s="348"/>
      <c r="L337" s="348"/>
      <c r="M337" s="365">
        <f t="shared" si="119"/>
        <v>0</v>
      </c>
      <c r="N337" s="366">
        <f t="shared" si="121"/>
        <v>0</v>
      </c>
      <c r="O337" s="349">
        <f t="shared" si="121"/>
        <v>0</v>
      </c>
      <c r="P337" s="353">
        <f t="shared" si="121"/>
        <v>0</v>
      </c>
      <c r="Q337" s="368">
        <f t="shared" si="115"/>
        <v>18885074.219999999</v>
      </c>
      <c r="R337" s="367">
        <f t="shared" si="115"/>
        <v>12411110.800000001</v>
      </c>
      <c r="S337" s="369">
        <f t="shared" si="115"/>
        <v>32189402.91</v>
      </c>
      <c r="T337" s="370">
        <f>N337/'2018'!N337-1</f>
        <v>-1</v>
      </c>
      <c r="U337" s="371">
        <f>O337/'2018'!O337-1</f>
        <v>-1</v>
      </c>
      <c r="V337" s="371">
        <f>P337/'2018'!P337-1</f>
        <v>-1</v>
      </c>
      <c r="W337" s="371">
        <f>Q337/'2018'!Q337-1</f>
        <v>-6.4963977894910485E-2</v>
      </c>
      <c r="X337" s="371">
        <f>R337/'2018'!R337-1</f>
        <v>-9.5424930312409506E-2</v>
      </c>
      <c r="Y337" s="372">
        <f>S337/'2018'!S337-1</f>
        <v>-8.115876413259937E-2</v>
      </c>
      <c r="Z337" s="373"/>
      <c r="AA337" s="374">
        <f t="shared" si="118"/>
        <v>1888.5074219999999</v>
      </c>
      <c r="AB337" s="375"/>
      <c r="AC337" s="365"/>
      <c r="AD337" s="375">
        <f t="shared" si="120"/>
        <v>19778292.109999999</v>
      </c>
      <c r="AE337" s="348">
        <f t="shared" si="122"/>
        <v>194521.13</v>
      </c>
      <c r="AF337" s="348">
        <f t="shared" si="122"/>
        <v>436642.62</v>
      </c>
      <c r="AG337" s="365">
        <f t="shared" si="123"/>
        <v>262054.1400000006</v>
      </c>
      <c r="AH337" s="357"/>
      <c r="AI337" s="358"/>
      <c r="AJ337" s="358"/>
      <c r="AK337" s="358"/>
      <c r="AL337" s="358"/>
      <c r="AM337" s="358"/>
      <c r="AN337" s="358"/>
      <c r="AO337" s="358"/>
      <c r="AP337" s="358"/>
      <c r="AQ337" s="358"/>
      <c r="AR337" s="358"/>
      <c r="AS337" s="358"/>
      <c r="AT337" s="358"/>
      <c r="AU337" s="358"/>
      <c r="AV337" s="358"/>
      <c r="AW337" s="358"/>
      <c r="AX337" s="358"/>
      <c r="AY337" s="358"/>
      <c r="AZ337" s="358"/>
      <c r="BA337" s="358"/>
      <c r="BB337" s="358"/>
      <c r="BC337" s="358"/>
    </row>
    <row r="338" spans="1:55" s="376" customFormat="1" x14ac:dyDescent="0.15">
      <c r="A338" s="377">
        <v>43068</v>
      </c>
      <c r="B338" s="457" t="s">
        <v>38</v>
      </c>
      <c r="C338" s="361"/>
      <c r="D338" s="348"/>
      <c r="E338" s="348"/>
      <c r="F338" s="362"/>
      <c r="G338" s="348"/>
      <c r="H338" s="363"/>
      <c r="I338" s="363"/>
      <c r="J338" s="364">
        <f t="shared" si="117"/>
        <v>0</v>
      </c>
      <c r="K338" s="348"/>
      <c r="L338" s="348"/>
      <c r="M338" s="365">
        <f t="shared" si="119"/>
        <v>0</v>
      </c>
      <c r="N338" s="366">
        <f t="shared" si="121"/>
        <v>0</v>
      </c>
      <c r="O338" s="349">
        <f t="shared" si="121"/>
        <v>0</v>
      </c>
      <c r="P338" s="353">
        <f t="shared" si="121"/>
        <v>0</v>
      </c>
      <c r="Q338" s="368">
        <f t="shared" si="115"/>
        <v>18885074.219999999</v>
      </c>
      <c r="R338" s="367">
        <f t="shared" si="115"/>
        <v>12411110.800000001</v>
      </c>
      <c r="S338" s="369">
        <f t="shared" si="115"/>
        <v>32189402.91</v>
      </c>
      <c r="T338" s="370">
        <f>N338/'2018'!N338-1</f>
        <v>-1</v>
      </c>
      <c r="U338" s="371">
        <f>O338/'2018'!O338-1</f>
        <v>-1</v>
      </c>
      <c r="V338" s="371">
        <f>P338/'2018'!P338-1</f>
        <v>-1</v>
      </c>
      <c r="W338" s="371">
        <f>Q338/'2018'!Q338-1</f>
        <v>-6.7567722295111543E-2</v>
      </c>
      <c r="X338" s="371">
        <f>R338/'2018'!R338-1</f>
        <v>-9.8011370842013834E-2</v>
      </c>
      <c r="Y338" s="372">
        <f>S338/'2018'!S338-1</f>
        <v>-8.3866869798731702E-2</v>
      </c>
      <c r="Z338" s="373"/>
      <c r="AA338" s="374">
        <f t="shared" si="118"/>
        <v>1888.5074219999999</v>
      </c>
      <c r="AB338" s="375"/>
      <c r="AC338" s="365"/>
      <c r="AD338" s="375">
        <f t="shared" si="120"/>
        <v>19778292.109999999</v>
      </c>
      <c r="AE338" s="348">
        <f t="shared" si="122"/>
        <v>194521.13</v>
      </c>
      <c r="AF338" s="348">
        <f t="shared" si="122"/>
        <v>436642.62</v>
      </c>
      <c r="AG338" s="365">
        <f t="shared" si="123"/>
        <v>262054.1400000006</v>
      </c>
      <c r="AH338" s="357"/>
      <c r="AI338" s="358"/>
      <c r="AJ338" s="358"/>
      <c r="AK338" s="358"/>
      <c r="AL338" s="358"/>
      <c r="AM338" s="358"/>
      <c r="AN338" s="358"/>
      <c r="AO338" s="358"/>
      <c r="AP338" s="358"/>
      <c r="AQ338" s="358"/>
      <c r="AR338" s="358"/>
      <c r="AS338" s="358"/>
      <c r="AT338" s="358"/>
      <c r="AU338" s="358"/>
      <c r="AV338" s="358"/>
      <c r="AW338" s="358"/>
      <c r="AX338" s="358"/>
      <c r="AY338" s="358"/>
      <c r="AZ338" s="358"/>
      <c r="BA338" s="358"/>
      <c r="BB338" s="358"/>
      <c r="BC338" s="358"/>
    </row>
    <row r="339" spans="1:55" s="376" customFormat="1" x14ac:dyDescent="0.15">
      <c r="A339" s="403">
        <v>43069</v>
      </c>
      <c r="B339" s="380" t="s">
        <v>39</v>
      </c>
      <c r="C339" s="381"/>
      <c r="D339" s="382"/>
      <c r="E339" s="382"/>
      <c r="F339" s="383"/>
      <c r="G339" s="382"/>
      <c r="H339" s="384"/>
      <c r="I339" s="384"/>
      <c r="J339" s="385">
        <f t="shared" si="117"/>
        <v>0</v>
      </c>
      <c r="K339" s="382"/>
      <c r="L339" s="382"/>
      <c r="M339" s="386">
        <f t="shared" si="119"/>
        <v>0</v>
      </c>
      <c r="N339" s="387">
        <f t="shared" ref="N339" si="124">C339+N338</f>
        <v>0</v>
      </c>
      <c r="O339" s="404">
        <f t="shared" ref="O339" si="125">D339+O338</f>
        <v>0</v>
      </c>
      <c r="P339" s="410">
        <f t="shared" ref="P339" si="126">E339+P338</f>
        <v>0</v>
      </c>
      <c r="Q339" s="390">
        <f>[10]表2、统调口径电量!$I$10</f>
        <v>20308551.879999999</v>
      </c>
      <c r="R339" s="388">
        <f>[10]表2、统调口径电量!$I$14</f>
        <v>13799837.800000001</v>
      </c>
      <c r="S339" s="391">
        <f>[10]表2、统调口径电量!$I$3</f>
        <v>35238127.399999999</v>
      </c>
      <c r="T339" s="392">
        <f>N339/'2018'!N339-1</f>
        <v>-1</v>
      </c>
      <c r="U339" s="393">
        <f>O339/'2018'!O339-1</f>
        <v>-1</v>
      </c>
      <c r="V339" s="393">
        <f>P339/'2018'!P339-1</f>
        <v>-1</v>
      </c>
      <c r="W339" s="393">
        <f>Q339/'2018'!Q339-1</f>
        <v>0</v>
      </c>
      <c r="X339" s="393">
        <f>R339/'2018'!R339-1</f>
        <v>0</v>
      </c>
      <c r="Y339" s="394">
        <f>S339/'2018'!S339-1</f>
        <v>0</v>
      </c>
      <c r="Z339" s="395"/>
      <c r="AA339" s="396">
        <f>[10]表2、统调口径电量!$I$11/10000</f>
        <v>1899.2008659999999</v>
      </c>
      <c r="AB339" s="397"/>
      <c r="AC339" s="386" t="e">
        <f t="shared" ref="AC339:AC370" si="127">AA339*10000/AB339</f>
        <v>#DIV/0!</v>
      </c>
      <c r="AD339" s="397">
        <f>[10]表2、统调口径电量!$I$4</f>
        <v>21438289.600000001</v>
      </c>
      <c r="AE339" s="382">
        <f>[10]表2、统调口径电量!$I$13</f>
        <v>206858.22</v>
      </c>
      <c r="AF339" s="382">
        <f>[10]表2、统调口径电量!$I$17</f>
        <v>641604.93999999994</v>
      </c>
      <c r="AG339" s="386">
        <f t="shared" si="123"/>
        <v>281274.56000000262</v>
      </c>
      <c r="AH339" s="357"/>
      <c r="AI339" s="358"/>
      <c r="AJ339" s="358"/>
      <c r="AK339" s="358"/>
      <c r="AL339" s="358"/>
      <c r="AM339" s="358"/>
      <c r="AN339" s="358"/>
      <c r="AO339" s="358"/>
      <c r="AP339" s="358"/>
      <c r="AQ339" s="358"/>
      <c r="AR339" s="358"/>
      <c r="AS339" s="358"/>
      <c r="AT339" s="358"/>
      <c r="AU339" s="358"/>
      <c r="AV339" s="358"/>
      <c r="AW339" s="358"/>
      <c r="AX339" s="358"/>
      <c r="AY339" s="358"/>
      <c r="AZ339" s="358"/>
      <c r="BA339" s="358"/>
      <c r="BB339" s="358"/>
      <c r="BC339" s="358"/>
    </row>
    <row r="340" spans="1:55" s="376" customFormat="1" x14ac:dyDescent="0.15">
      <c r="A340" s="377">
        <v>43070</v>
      </c>
      <c r="B340" s="457" t="s">
        <v>1</v>
      </c>
      <c r="C340" s="361"/>
      <c r="D340" s="348"/>
      <c r="E340" s="348"/>
      <c r="F340" s="362"/>
      <c r="G340" s="348"/>
      <c r="H340" s="363"/>
      <c r="I340" s="363"/>
      <c r="J340" s="364">
        <f t="shared" si="117"/>
        <v>0</v>
      </c>
      <c r="K340" s="348"/>
      <c r="L340" s="348"/>
      <c r="M340" s="365">
        <f t="shared" si="119"/>
        <v>0</v>
      </c>
      <c r="N340" s="366">
        <f>C340</f>
        <v>0</v>
      </c>
      <c r="O340" s="349">
        <f>D340</f>
        <v>0</v>
      </c>
      <c r="P340" s="353">
        <f>E340</f>
        <v>0</v>
      </c>
      <c r="Q340" s="368">
        <f>Q$339+N340</f>
        <v>20308551.879999999</v>
      </c>
      <c r="R340" s="367">
        <f>R$339+O340</f>
        <v>13799837.800000001</v>
      </c>
      <c r="S340" s="369">
        <f>S$339+P340</f>
        <v>35238127.399999999</v>
      </c>
      <c r="T340" s="370">
        <f>N340/'2018'!N340-1</f>
        <v>-1</v>
      </c>
      <c r="U340" s="371">
        <f>O340/'2018'!O340-1</f>
        <v>-1</v>
      </c>
      <c r="V340" s="371">
        <f>P340/'2018'!P340-1</f>
        <v>-1</v>
      </c>
      <c r="W340" s="371">
        <f>Q340/'2018'!Q340-1</f>
        <v>-2.3367911114895445E-3</v>
      </c>
      <c r="X340" s="371">
        <f>R340/'2018'!R340-1</f>
        <v>-2.9662824231769802E-3</v>
      </c>
      <c r="Y340" s="372">
        <f>S340/'2018'!S340-1</f>
        <v>-2.7421237883309413E-3</v>
      </c>
      <c r="Z340" s="373"/>
      <c r="AA340" s="374">
        <f t="shared" si="118"/>
        <v>2030.855188</v>
      </c>
      <c r="AB340" s="375"/>
      <c r="AC340" s="365"/>
      <c r="AD340" s="375">
        <f t="shared" si="120"/>
        <v>21438289.599999998</v>
      </c>
      <c r="AE340" s="348">
        <f t="shared" si="122"/>
        <v>206858.22</v>
      </c>
      <c r="AF340" s="348">
        <f t="shared" si="122"/>
        <v>641604.93999999994</v>
      </c>
      <c r="AG340" s="365">
        <f t="shared" si="123"/>
        <v>281274.55999999889</v>
      </c>
      <c r="AH340" s="357"/>
      <c r="AI340" s="358"/>
      <c r="AJ340" s="358"/>
      <c r="AK340" s="358"/>
      <c r="AL340" s="358"/>
      <c r="AM340" s="358"/>
      <c r="AN340" s="358"/>
      <c r="AO340" s="358"/>
      <c r="AP340" s="358"/>
      <c r="AQ340" s="358"/>
      <c r="AR340" s="358"/>
      <c r="AS340" s="358"/>
      <c r="AT340" s="358"/>
      <c r="AU340" s="358"/>
      <c r="AV340" s="358"/>
      <c r="AW340" s="358"/>
      <c r="AX340" s="358"/>
      <c r="AY340" s="358"/>
      <c r="AZ340" s="358"/>
      <c r="BA340" s="358"/>
      <c r="BB340" s="358"/>
      <c r="BC340" s="358"/>
    </row>
    <row r="341" spans="1:55" s="376" customFormat="1" x14ac:dyDescent="0.15">
      <c r="A341" s="377">
        <v>43071</v>
      </c>
      <c r="B341" s="457" t="s">
        <v>34</v>
      </c>
      <c r="C341" s="361"/>
      <c r="D341" s="348"/>
      <c r="E341" s="348"/>
      <c r="F341" s="362"/>
      <c r="G341" s="348"/>
      <c r="H341" s="363"/>
      <c r="I341" s="363"/>
      <c r="J341" s="364">
        <f t="shared" si="117"/>
        <v>0</v>
      </c>
      <c r="K341" s="348"/>
      <c r="L341" s="348"/>
      <c r="M341" s="365">
        <f t="shared" si="119"/>
        <v>0</v>
      </c>
      <c r="N341" s="366">
        <f t="shared" ref="N341:P356" si="128">N340+C341</f>
        <v>0</v>
      </c>
      <c r="O341" s="349">
        <f t="shared" si="128"/>
        <v>0</v>
      </c>
      <c r="P341" s="353">
        <f t="shared" si="128"/>
        <v>0</v>
      </c>
      <c r="Q341" s="368">
        <f t="shared" ref="Q341:S369" si="129">Q$339+N341</f>
        <v>20308551.879999999</v>
      </c>
      <c r="R341" s="367">
        <f t="shared" si="129"/>
        <v>13799837.800000001</v>
      </c>
      <c r="S341" s="369">
        <f t="shared" si="129"/>
        <v>35238127.399999999</v>
      </c>
      <c r="T341" s="370">
        <f>N341/'2018'!N341-1</f>
        <v>-1</v>
      </c>
      <c r="U341" s="371">
        <f>O341/'2018'!O341-1</f>
        <v>-1</v>
      </c>
      <c r="V341" s="371">
        <f>P341/'2018'!P341-1</f>
        <v>-1</v>
      </c>
      <c r="W341" s="371">
        <f>Q341/'2018'!Q341-1</f>
        <v>-4.5356413680899266E-3</v>
      </c>
      <c r="X341" s="371">
        <f>R341/'2018'!R341-1</f>
        <v>-5.9700841884083866E-3</v>
      </c>
      <c r="Y341" s="372">
        <f>S341/'2018'!S341-1</f>
        <v>-5.4135586282031412E-3</v>
      </c>
      <c r="Z341" s="373"/>
      <c r="AA341" s="374">
        <f t="shared" si="118"/>
        <v>2030.855188</v>
      </c>
      <c r="AB341" s="375"/>
      <c r="AC341" s="365"/>
      <c r="AD341" s="375">
        <f t="shared" si="120"/>
        <v>21438289.599999998</v>
      </c>
      <c r="AE341" s="348">
        <f t="shared" si="122"/>
        <v>206858.22</v>
      </c>
      <c r="AF341" s="348">
        <f t="shared" si="122"/>
        <v>641604.93999999994</v>
      </c>
      <c r="AG341" s="365">
        <f t="shared" si="123"/>
        <v>281274.55999999889</v>
      </c>
      <c r="AH341" s="357"/>
      <c r="AI341" s="358"/>
      <c r="AJ341" s="358"/>
      <c r="AK341" s="358"/>
      <c r="AL341" s="358"/>
      <c r="AM341" s="358"/>
      <c r="AN341" s="358"/>
      <c r="AO341" s="358"/>
      <c r="AP341" s="358"/>
      <c r="AQ341" s="358"/>
      <c r="AR341" s="358"/>
      <c r="AS341" s="358"/>
      <c r="AT341" s="358"/>
      <c r="AU341" s="358"/>
      <c r="AV341" s="358"/>
      <c r="AW341" s="358"/>
      <c r="AX341" s="358"/>
      <c r="AY341" s="358"/>
      <c r="AZ341" s="358"/>
      <c r="BA341" s="358"/>
      <c r="BB341" s="358"/>
      <c r="BC341" s="358"/>
    </row>
    <row r="342" spans="1:55" s="376" customFormat="1" x14ac:dyDescent="0.15">
      <c r="A342" s="377">
        <v>43072</v>
      </c>
      <c r="B342" s="457" t="s">
        <v>35</v>
      </c>
      <c r="C342" s="361"/>
      <c r="D342" s="348"/>
      <c r="E342" s="348"/>
      <c r="F342" s="362"/>
      <c r="G342" s="348"/>
      <c r="H342" s="363"/>
      <c r="I342" s="363"/>
      <c r="J342" s="364">
        <f t="shared" si="117"/>
        <v>0</v>
      </c>
      <c r="K342" s="348"/>
      <c r="L342" s="348"/>
      <c r="M342" s="365">
        <f t="shared" si="119"/>
        <v>0</v>
      </c>
      <c r="N342" s="366">
        <f t="shared" si="128"/>
        <v>0</v>
      </c>
      <c r="O342" s="349">
        <f t="shared" si="128"/>
        <v>0</v>
      </c>
      <c r="P342" s="353">
        <f t="shared" si="128"/>
        <v>0</v>
      </c>
      <c r="Q342" s="368">
        <f t="shared" si="129"/>
        <v>20308551.879999999</v>
      </c>
      <c r="R342" s="367">
        <f t="shared" si="129"/>
        <v>13799837.800000001</v>
      </c>
      <c r="S342" s="369">
        <f t="shared" si="129"/>
        <v>35238127.399999999</v>
      </c>
      <c r="T342" s="370">
        <f>N342/'2018'!N342-1</f>
        <v>-1</v>
      </c>
      <c r="U342" s="371">
        <f>O342/'2018'!O342-1</f>
        <v>-1</v>
      </c>
      <c r="V342" s="371">
        <f>P342/'2018'!P342-1</f>
        <v>-1</v>
      </c>
      <c r="W342" s="371">
        <f>Q342/'2018'!Q342-1</f>
        <v>-7.062193133448802E-3</v>
      </c>
      <c r="X342" s="371">
        <f>R342/'2018'!R342-1</f>
        <v>-8.9387592936603921E-3</v>
      </c>
      <c r="Y342" s="372">
        <f>S342/'2018'!S342-1</f>
        <v>-8.2510635186919812E-3</v>
      </c>
      <c r="Z342" s="373"/>
      <c r="AA342" s="374">
        <f t="shared" si="118"/>
        <v>2030.855188</v>
      </c>
      <c r="AB342" s="375"/>
      <c r="AC342" s="365"/>
      <c r="AD342" s="375">
        <f t="shared" si="120"/>
        <v>21438289.599999998</v>
      </c>
      <c r="AE342" s="348">
        <f t="shared" si="122"/>
        <v>206858.22</v>
      </c>
      <c r="AF342" s="348">
        <f t="shared" si="122"/>
        <v>641604.93999999994</v>
      </c>
      <c r="AG342" s="365">
        <f t="shared" si="123"/>
        <v>281274.55999999889</v>
      </c>
      <c r="AH342" s="357"/>
      <c r="AI342" s="358"/>
      <c r="AJ342" s="358"/>
      <c r="AK342" s="358"/>
      <c r="AL342" s="358"/>
      <c r="AM342" s="358"/>
      <c r="AN342" s="358"/>
      <c r="AO342" s="358"/>
      <c r="AP342" s="358"/>
      <c r="AQ342" s="358"/>
      <c r="AR342" s="358"/>
      <c r="AS342" s="358"/>
      <c r="AT342" s="358"/>
      <c r="AU342" s="358"/>
      <c r="AV342" s="358"/>
      <c r="AW342" s="358"/>
      <c r="AX342" s="358"/>
      <c r="AY342" s="358"/>
      <c r="AZ342" s="358"/>
      <c r="BA342" s="358"/>
      <c r="BB342" s="358"/>
      <c r="BC342" s="358"/>
    </row>
    <row r="343" spans="1:55" s="376" customFormat="1" x14ac:dyDescent="0.15">
      <c r="A343" s="377">
        <v>43073</v>
      </c>
      <c r="B343" s="457" t="s">
        <v>36</v>
      </c>
      <c r="C343" s="361"/>
      <c r="D343" s="348"/>
      <c r="E343" s="348"/>
      <c r="F343" s="362"/>
      <c r="G343" s="348"/>
      <c r="H343" s="363"/>
      <c r="I343" s="363"/>
      <c r="J343" s="364">
        <f t="shared" si="117"/>
        <v>0</v>
      </c>
      <c r="K343" s="348"/>
      <c r="L343" s="348"/>
      <c r="M343" s="365">
        <f t="shared" si="119"/>
        <v>0</v>
      </c>
      <c r="N343" s="366">
        <f t="shared" si="128"/>
        <v>0</v>
      </c>
      <c r="O343" s="349">
        <f t="shared" si="128"/>
        <v>0</v>
      </c>
      <c r="P343" s="353">
        <f t="shared" si="128"/>
        <v>0</v>
      </c>
      <c r="Q343" s="368">
        <f t="shared" si="129"/>
        <v>20308551.879999999</v>
      </c>
      <c r="R343" s="367">
        <f t="shared" si="129"/>
        <v>13799837.800000001</v>
      </c>
      <c r="S343" s="369">
        <f t="shared" si="129"/>
        <v>35238127.399999999</v>
      </c>
      <c r="T343" s="370">
        <f>N343/'2018'!N343-1</f>
        <v>-1</v>
      </c>
      <c r="U343" s="371">
        <f>O343/'2018'!O343-1</f>
        <v>-1</v>
      </c>
      <c r="V343" s="371">
        <f>P343/'2018'!P343-1</f>
        <v>-1</v>
      </c>
      <c r="W343" s="371">
        <f>Q343/'2018'!Q343-1</f>
        <v>-9.7662248364411841E-3</v>
      </c>
      <c r="X343" s="371">
        <f>R343/'2018'!R343-1</f>
        <v>-1.1808101074715749E-2</v>
      </c>
      <c r="Y343" s="372">
        <f>S343/'2018'!S343-1</f>
        <v>-1.1153928962125303E-2</v>
      </c>
      <c r="Z343" s="373"/>
      <c r="AA343" s="374">
        <f t="shared" si="118"/>
        <v>2030.855188</v>
      </c>
      <c r="AB343" s="375"/>
      <c r="AC343" s="365"/>
      <c r="AD343" s="375">
        <f t="shared" si="120"/>
        <v>21438289.599999998</v>
      </c>
      <c r="AE343" s="348">
        <f t="shared" ref="AE343:AF358" si="130">AE342+K343</f>
        <v>206858.22</v>
      </c>
      <c r="AF343" s="348">
        <f t="shared" si="130"/>
        <v>641604.93999999994</v>
      </c>
      <c r="AG343" s="365">
        <f t="shared" si="123"/>
        <v>281274.55999999889</v>
      </c>
      <c r="AH343" s="357"/>
      <c r="AI343" s="358"/>
      <c r="AJ343" s="358"/>
      <c r="AK343" s="358"/>
      <c r="AL343" s="358"/>
      <c r="AM343" s="358"/>
      <c r="AN343" s="358"/>
      <c r="AO343" s="358"/>
      <c r="AP343" s="358"/>
      <c r="AQ343" s="358"/>
      <c r="AR343" s="358"/>
      <c r="AS343" s="358"/>
      <c r="AT343" s="358"/>
      <c r="AU343" s="358"/>
      <c r="AV343" s="358"/>
      <c r="AW343" s="358"/>
      <c r="AX343" s="358"/>
      <c r="AY343" s="358"/>
      <c r="AZ343" s="358"/>
      <c r="BA343" s="358"/>
      <c r="BB343" s="358"/>
      <c r="BC343" s="358"/>
    </row>
    <row r="344" spans="1:55" s="376" customFormat="1" x14ac:dyDescent="0.15">
      <c r="A344" s="377">
        <v>43074</v>
      </c>
      <c r="B344" s="182" t="s">
        <v>37</v>
      </c>
      <c r="C344" s="361"/>
      <c r="D344" s="348"/>
      <c r="E344" s="348"/>
      <c r="F344" s="419"/>
      <c r="G344" s="348"/>
      <c r="H344" s="363"/>
      <c r="I344" s="363"/>
      <c r="J344" s="364">
        <f t="shared" si="117"/>
        <v>0</v>
      </c>
      <c r="K344" s="348"/>
      <c r="L344" s="348"/>
      <c r="M344" s="365">
        <f t="shared" si="119"/>
        <v>0</v>
      </c>
      <c r="N344" s="366">
        <f t="shared" si="128"/>
        <v>0</v>
      </c>
      <c r="O344" s="349">
        <f t="shared" si="128"/>
        <v>0</v>
      </c>
      <c r="P344" s="353">
        <f t="shared" si="128"/>
        <v>0</v>
      </c>
      <c r="Q344" s="368">
        <f t="shared" si="129"/>
        <v>20308551.879999999</v>
      </c>
      <c r="R344" s="367">
        <f t="shared" si="129"/>
        <v>13799837.800000001</v>
      </c>
      <c r="S344" s="369">
        <f t="shared" si="129"/>
        <v>35238127.399999999</v>
      </c>
      <c r="T344" s="370">
        <f>N344/'2018'!N344-1</f>
        <v>-1</v>
      </c>
      <c r="U344" s="371">
        <f>O344/'2018'!O344-1</f>
        <v>-1</v>
      </c>
      <c r="V344" s="371">
        <f>P344/'2018'!P344-1</f>
        <v>-1</v>
      </c>
      <c r="W344" s="371">
        <f>Q344/'2018'!Q344-1</f>
        <v>-1.2515880081117814E-2</v>
      </c>
      <c r="X344" s="371">
        <f>R344/'2018'!R344-1</f>
        <v>-1.471413222411877E-2</v>
      </c>
      <c r="Y344" s="372">
        <f>S344/'2018'!S344-1</f>
        <v>-1.4097669682024305E-2</v>
      </c>
      <c r="Z344" s="373"/>
      <c r="AA344" s="374">
        <f t="shared" si="118"/>
        <v>2030.855188</v>
      </c>
      <c r="AB344" s="375"/>
      <c r="AC344" s="365"/>
      <c r="AD344" s="375">
        <f t="shared" si="120"/>
        <v>21438289.599999998</v>
      </c>
      <c r="AE344" s="348">
        <f t="shared" si="130"/>
        <v>206858.22</v>
      </c>
      <c r="AF344" s="348">
        <f t="shared" si="130"/>
        <v>641604.93999999994</v>
      </c>
      <c r="AG344" s="365">
        <f t="shared" si="123"/>
        <v>281274.55999999889</v>
      </c>
      <c r="AH344" s="357"/>
      <c r="AI344" s="358"/>
      <c r="AJ344" s="358"/>
      <c r="AK344" s="358"/>
      <c r="AL344" s="358"/>
      <c r="AM344" s="358"/>
      <c r="AN344" s="358"/>
      <c r="AO344" s="358"/>
      <c r="AP344" s="358"/>
      <c r="AQ344" s="358"/>
      <c r="AR344" s="358"/>
      <c r="AS344" s="358"/>
      <c r="AT344" s="358"/>
      <c r="AU344" s="358"/>
      <c r="AV344" s="358"/>
      <c r="AW344" s="358"/>
      <c r="AX344" s="358"/>
      <c r="AY344" s="358"/>
      <c r="AZ344" s="358"/>
      <c r="BA344" s="358"/>
      <c r="BB344" s="358"/>
      <c r="BC344" s="358"/>
    </row>
    <row r="345" spans="1:55" s="376" customFormat="1" x14ac:dyDescent="0.15">
      <c r="A345" s="377">
        <v>43075</v>
      </c>
      <c r="B345" s="457" t="s">
        <v>38</v>
      </c>
      <c r="C345" s="361"/>
      <c r="D345" s="348"/>
      <c r="E345" s="348"/>
      <c r="F345" s="362"/>
      <c r="G345" s="348"/>
      <c r="H345" s="363"/>
      <c r="I345" s="363"/>
      <c r="J345" s="364">
        <f t="shared" si="117"/>
        <v>0</v>
      </c>
      <c r="K345" s="348"/>
      <c r="L345" s="348"/>
      <c r="M345" s="365">
        <f t="shared" si="119"/>
        <v>0</v>
      </c>
      <c r="N345" s="366">
        <f t="shared" si="128"/>
        <v>0</v>
      </c>
      <c r="O345" s="349">
        <f t="shared" si="128"/>
        <v>0</v>
      </c>
      <c r="P345" s="353">
        <f t="shared" si="128"/>
        <v>0</v>
      </c>
      <c r="Q345" s="368">
        <f t="shared" si="129"/>
        <v>20308551.879999999</v>
      </c>
      <c r="R345" s="367">
        <f t="shared" si="129"/>
        <v>13799837.800000001</v>
      </c>
      <c r="S345" s="369">
        <f t="shared" si="129"/>
        <v>35238127.399999999</v>
      </c>
      <c r="T345" s="370">
        <f>N345/'2018'!N345-1</f>
        <v>-1</v>
      </c>
      <c r="U345" s="371">
        <f>O345/'2018'!O345-1</f>
        <v>-1</v>
      </c>
      <c r="V345" s="371">
        <f>P345/'2018'!P345-1</f>
        <v>-1</v>
      </c>
      <c r="W345" s="371">
        <f>Q345/'2018'!Q345-1</f>
        <v>-1.5300012438651311E-2</v>
      </c>
      <c r="X345" s="371">
        <f>R345/'2018'!R345-1</f>
        <v>-1.7624032011937185E-2</v>
      </c>
      <c r="Y345" s="372">
        <f>S345/'2018'!S345-1</f>
        <v>-1.7060595359207231E-2</v>
      </c>
      <c r="Z345" s="373"/>
      <c r="AA345" s="374">
        <f t="shared" si="118"/>
        <v>2030.855188</v>
      </c>
      <c r="AB345" s="375"/>
      <c r="AC345" s="365"/>
      <c r="AD345" s="375">
        <f t="shared" si="120"/>
        <v>21438289.599999998</v>
      </c>
      <c r="AE345" s="348">
        <f t="shared" si="130"/>
        <v>206858.22</v>
      </c>
      <c r="AF345" s="348">
        <f t="shared" si="130"/>
        <v>641604.93999999994</v>
      </c>
      <c r="AG345" s="365">
        <f t="shared" si="123"/>
        <v>281274.55999999889</v>
      </c>
      <c r="AH345" s="379">
        <f>AD345/'2017'!AD345-1</f>
        <v>8.8180077430819459E-3</v>
      </c>
      <c r="AI345" s="407">
        <f>(AD345-AD338)/('2017'!AD345-'2017'!AD338)-1</f>
        <v>2.5853965755911794</v>
      </c>
      <c r="AJ345" s="358"/>
      <c r="AK345" s="358"/>
      <c r="AL345" s="358"/>
      <c r="AM345" s="358"/>
      <c r="AN345" s="358"/>
      <c r="AO345" s="358"/>
      <c r="AP345" s="358"/>
      <c r="AQ345" s="358"/>
      <c r="AR345" s="358"/>
      <c r="AS345" s="358"/>
      <c r="AT345" s="358"/>
      <c r="AU345" s="358"/>
      <c r="AV345" s="358"/>
      <c r="AW345" s="358"/>
      <c r="AX345" s="358"/>
      <c r="AY345" s="358"/>
      <c r="AZ345" s="358"/>
      <c r="BA345" s="358"/>
      <c r="BB345" s="358"/>
      <c r="BC345" s="358"/>
    </row>
    <row r="346" spans="1:55" s="376" customFormat="1" x14ac:dyDescent="0.15">
      <c r="A346" s="377">
        <v>43076</v>
      </c>
      <c r="B346" s="457" t="s">
        <v>39</v>
      </c>
      <c r="C346" s="361"/>
      <c r="D346" s="348"/>
      <c r="E346" s="348"/>
      <c r="F346" s="362"/>
      <c r="G346" s="348"/>
      <c r="H346" s="363"/>
      <c r="I346" s="363"/>
      <c r="J346" s="364">
        <f t="shared" si="117"/>
        <v>0</v>
      </c>
      <c r="K346" s="348"/>
      <c r="L346" s="348"/>
      <c r="M346" s="365">
        <f t="shared" si="119"/>
        <v>0</v>
      </c>
      <c r="N346" s="366">
        <f t="shared" si="128"/>
        <v>0</v>
      </c>
      <c r="O346" s="349">
        <f t="shared" si="128"/>
        <v>0</v>
      </c>
      <c r="P346" s="353">
        <f t="shared" si="128"/>
        <v>0</v>
      </c>
      <c r="Q346" s="368">
        <f t="shared" si="129"/>
        <v>20308551.879999999</v>
      </c>
      <c r="R346" s="367">
        <f t="shared" si="129"/>
        <v>13799837.800000001</v>
      </c>
      <c r="S346" s="369">
        <f t="shared" si="129"/>
        <v>35238127.399999999</v>
      </c>
      <c r="T346" s="370">
        <f>N346/'2018'!N346-1</f>
        <v>-1</v>
      </c>
      <c r="U346" s="371">
        <f>O346/'2018'!O346-1</f>
        <v>-1</v>
      </c>
      <c r="V346" s="371">
        <f>P346/'2018'!P346-1</f>
        <v>-1</v>
      </c>
      <c r="W346" s="371">
        <f>Q346/'2018'!Q346-1</f>
        <v>-1.8450436077067978E-2</v>
      </c>
      <c r="X346" s="371">
        <f>R346/'2018'!R346-1</f>
        <v>-2.0323416622771151E-2</v>
      </c>
      <c r="Y346" s="372">
        <f>S346/'2018'!S346-1</f>
        <v>-2.0147875773752433E-2</v>
      </c>
      <c r="Z346" s="373"/>
      <c r="AA346" s="374">
        <f t="shared" si="118"/>
        <v>2030.855188</v>
      </c>
      <c r="AB346" s="375"/>
      <c r="AC346" s="365"/>
      <c r="AD346" s="375">
        <f t="shared" si="120"/>
        <v>21438289.599999998</v>
      </c>
      <c r="AE346" s="348">
        <f t="shared" si="130"/>
        <v>206858.22</v>
      </c>
      <c r="AF346" s="348">
        <f t="shared" si="130"/>
        <v>641604.93999999994</v>
      </c>
      <c r="AG346" s="365">
        <f t="shared" si="123"/>
        <v>281274.55999999889</v>
      </c>
      <c r="AH346" s="357"/>
      <c r="AI346" s="358"/>
      <c r="AJ346" s="358"/>
      <c r="AK346" s="358"/>
      <c r="AL346" s="358"/>
      <c r="AM346" s="358"/>
      <c r="AN346" s="358"/>
      <c r="AO346" s="358"/>
      <c r="AP346" s="358"/>
      <c r="AQ346" s="358"/>
      <c r="AR346" s="358"/>
      <c r="AS346" s="358"/>
      <c r="AT346" s="358"/>
      <c r="AU346" s="358"/>
      <c r="AV346" s="358"/>
      <c r="AW346" s="358"/>
      <c r="AX346" s="358"/>
      <c r="AY346" s="358"/>
      <c r="AZ346" s="358"/>
      <c r="BA346" s="358"/>
      <c r="BB346" s="358"/>
      <c r="BC346" s="358"/>
    </row>
    <row r="347" spans="1:55" s="376" customFormat="1" x14ac:dyDescent="0.15">
      <c r="A347" s="377">
        <v>43077</v>
      </c>
      <c r="B347" s="457" t="s">
        <v>1</v>
      </c>
      <c r="C347" s="361"/>
      <c r="D347" s="348"/>
      <c r="E347" s="348"/>
      <c r="F347" s="362"/>
      <c r="G347" s="348"/>
      <c r="H347" s="363"/>
      <c r="I347" s="363"/>
      <c r="J347" s="364">
        <f t="shared" si="117"/>
        <v>0</v>
      </c>
      <c r="K347" s="348"/>
      <c r="L347" s="348"/>
      <c r="M347" s="365">
        <f t="shared" si="119"/>
        <v>0</v>
      </c>
      <c r="N347" s="366">
        <f t="shared" si="128"/>
        <v>0</v>
      </c>
      <c r="O347" s="349">
        <f t="shared" si="128"/>
        <v>0</v>
      </c>
      <c r="P347" s="353">
        <f t="shared" si="128"/>
        <v>0</v>
      </c>
      <c r="Q347" s="368">
        <f t="shared" si="129"/>
        <v>20308551.879999999</v>
      </c>
      <c r="R347" s="367">
        <f t="shared" si="129"/>
        <v>13799837.800000001</v>
      </c>
      <c r="S347" s="369">
        <f t="shared" si="129"/>
        <v>35238127.399999999</v>
      </c>
      <c r="T347" s="370">
        <f>N347/'2018'!N347-1</f>
        <v>-1</v>
      </c>
      <c r="U347" s="371">
        <f>O347/'2018'!O347-1</f>
        <v>-1</v>
      </c>
      <c r="V347" s="371">
        <f>P347/'2018'!P347-1</f>
        <v>-1</v>
      </c>
      <c r="W347" s="371">
        <f>Q347/'2018'!Q347-1</f>
        <v>-2.1807022366565509E-2</v>
      </c>
      <c r="X347" s="371">
        <f>R347/'2018'!R347-1</f>
        <v>-2.2980200574327259E-2</v>
      </c>
      <c r="Y347" s="372">
        <f>S347/'2018'!S347-1</f>
        <v>-2.3346393508263064E-2</v>
      </c>
      <c r="Z347" s="373"/>
      <c r="AA347" s="374">
        <f t="shared" si="118"/>
        <v>2030.855188</v>
      </c>
      <c r="AB347" s="375"/>
      <c r="AC347" s="365"/>
      <c r="AD347" s="375">
        <f t="shared" si="120"/>
        <v>21438289.599999998</v>
      </c>
      <c r="AE347" s="348">
        <f t="shared" si="130"/>
        <v>206858.22</v>
      </c>
      <c r="AF347" s="348">
        <f t="shared" si="130"/>
        <v>641604.93999999994</v>
      </c>
      <c r="AG347" s="365">
        <f t="shared" si="123"/>
        <v>281274.55999999889</v>
      </c>
      <c r="AH347" s="357"/>
      <c r="AI347" s="358"/>
      <c r="AJ347" s="358"/>
      <c r="AK347" s="358"/>
      <c r="AL347" s="358"/>
      <c r="AM347" s="358"/>
      <c r="AN347" s="358"/>
      <c r="AO347" s="358"/>
      <c r="AP347" s="358"/>
      <c r="AQ347" s="358"/>
      <c r="AR347" s="358"/>
      <c r="AS347" s="358"/>
      <c r="AT347" s="358"/>
      <c r="AU347" s="358"/>
      <c r="AV347" s="358"/>
      <c r="AW347" s="358"/>
      <c r="AX347" s="358"/>
      <c r="AY347" s="358"/>
      <c r="AZ347" s="358"/>
      <c r="BA347" s="358"/>
      <c r="BB347" s="358"/>
      <c r="BC347" s="358"/>
    </row>
    <row r="348" spans="1:55" s="376" customFormat="1" x14ac:dyDescent="0.15">
      <c r="A348" s="377">
        <v>43078</v>
      </c>
      <c r="B348" s="457" t="s">
        <v>34</v>
      </c>
      <c r="C348" s="361"/>
      <c r="D348" s="348"/>
      <c r="E348" s="348"/>
      <c r="F348" s="362"/>
      <c r="G348" s="348"/>
      <c r="H348" s="363"/>
      <c r="I348" s="363"/>
      <c r="J348" s="364">
        <f t="shared" si="117"/>
        <v>0</v>
      </c>
      <c r="K348" s="348"/>
      <c r="L348" s="348"/>
      <c r="M348" s="365">
        <f t="shared" si="119"/>
        <v>0</v>
      </c>
      <c r="N348" s="366">
        <f t="shared" si="128"/>
        <v>0</v>
      </c>
      <c r="O348" s="349">
        <f t="shared" si="128"/>
        <v>0</v>
      </c>
      <c r="P348" s="353">
        <f t="shared" si="128"/>
        <v>0</v>
      </c>
      <c r="Q348" s="368">
        <f t="shared" si="129"/>
        <v>20308551.879999999</v>
      </c>
      <c r="R348" s="367">
        <f t="shared" si="129"/>
        <v>13799837.800000001</v>
      </c>
      <c r="S348" s="369">
        <f t="shared" si="129"/>
        <v>35238127.399999999</v>
      </c>
      <c r="T348" s="370">
        <f>N348/'2018'!N348-1</f>
        <v>-1</v>
      </c>
      <c r="U348" s="371">
        <f>O348/'2018'!O348-1</f>
        <v>-1</v>
      </c>
      <c r="V348" s="371">
        <f>P348/'2018'!P348-1</f>
        <v>-1</v>
      </c>
      <c r="W348" s="371">
        <f>Q348/'2018'!Q348-1</f>
        <v>-2.5149106323824943E-2</v>
      </c>
      <c r="X348" s="371">
        <f>R348/'2018'!R348-1</f>
        <v>-2.5451274681636993E-2</v>
      </c>
      <c r="Y348" s="372">
        <f>S348/'2018'!S348-1</f>
        <v>-2.6450378417629428E-2</v>
      </c>
      <c r="Z348" s="373"/>
      <c r="AA348" s="374">
        <f t="shared" si="118"/>
        <v>2030.855188</v>
      </c>
      <c r="AB348" s="375"/>
      <c r="AC348" s="365"/>
      <c r="AD348" s="375">
        <f t="shared" si="120"/>
        <v>21438289.599999998</v>
      </c>
      <c r="AE348" s="348">
        <f t="shared" si="130"/>
        <v>206858.22</v>
      </c>
      <c r="AF348" s="348">
        <f t="shared" si="130"/>
        <v>641604.93999999994</v>
      </c>
      <c r="AG348" s="365">
        <f t="shared" si="123"/>
        <v>281274.55999999889</v>
      </c>
      <c r="AH348" s="357"/>
      <c r="AI348" s="358"/>
      <c r="AJ348" s="358"/>
      <c r="AK348" s="358"/>
      <c r="AL348" s="358"/>
      <c r="AM348" s="358"/>
      <c r="AN348" s="358"/>
      <c r="AO348" s="358"/>
      <c r="AP348" s="358"/>
      <c r="AQ348" s="358"/>
      <c r="AR348" s="358"/>
      <c r="AS348" s="358"/>
      <c r="AT348" s="358"/>
      <c r="AU348" s="358"/>
      <c r="AV348" s="358"/>
      <c r="AW348" s="358"/>
      <c r="AX348" s="358"/>
      <c r="AY348" s="358"/>
      <c r="AZ348" s="358"/>
      <c r="BA348" s="358"/>
      <c r="BB348" s="358"/>
      <c r="BC348" s="358"/>
    </row>
    <row r="349" spans="1:55" s="376" customFormat="1" x14ac:dyDescent="0.15">
      <c r="A349" s="377">
        <v>43079</v>
      </c>
      <c r="B349" s="457" t="s">
        <v>35</v>
      </c>
      <c r="C349" s="361"/>
      <c r="D349" s="348"/>
      <c r="E349" s="348"/>
      <c r="F349" s="362"/>
      <c r="G349" s="348"/>
      <c r="H349" s="363"/>
      <c r="I349" s="363"/>
      <c r="J349" s="364">
        <f t="shared" si="117"/>
        <v>0</v>
      </c>
      <c r="K349" s="348"/>
      <c r="L349" s="348"/>
      <c r="M349" s="365">
        <f t="shared" si="119"/>
        <v>0</v>
      </c>
      <c r="N349" s="366">
        <f t="shared" si="128"/>
        <v>0</v>
      </c>
      <c r="O349" s="349">
        <f t="shared" si="128"/>
        <v>0</v>
      </c>
      <c r="P349" s="353">
        <f t="shared" si="128"/>
        <v>0</v>
      </c>
      <c r="Q349" s="368">
        <f t="shared" si="129"/>
        <v>20308551.879999999</v>
      </c>
      <c r="R349" s="367">
        <f t="shared" si="129"/>
        <v>13799837.800000001</v>
      </c>
      <c r="S349" s="369">
        <f t="shared" si="129"/>
        <v>35238127.399999999</v>
      </c>
      <c r="T349" s="370">
        <f>N349/'2018'!N349-1</f>
        <v>-1</v>
      </c>
      <c r="U349" s="371">
        <f>O349/'2018'!O349-1</f>
        <v>-1</v>
      </c>
      <c r="V349" s="371">
        <f>P349/'2018'!P349-1</f>
        <v>-1</v>
      </c>
      <c r="W349" s="371">
        <f>Q349/'2018'!Q349-1</f>
        <v>-2.8563791719733778E-2</v>
      </c>
      <c r="X349" s="371">
        <f>R349/'2018'!R349-1</f>
        <v>-2.8103424082590034E-2</v>
      </c>
      <c r="Y349" s="372">
        <f>S349/'2018'!S349-1</f>
        <v>-2.9673254512877278E-2</v>
      </c>
      <c r="Z349" s="373"/>
      <c r="AA349" s="374">
        <f t="shared" si="118"/>
        <v>2030.855188</v>
      </c>
      <c r="AB349" s="375"/>
      <c r="AC349" s="365"/>
      <c r="AD349" s="375">
        <f t="shared" si="120"/>
        <v>21438289.599999998</v>
      </c>
      <c r="AE349" s="348">
        <f t="shared" si="130"/>
        <v>206858.22</v>
      </c>
      <c r="AF349" s="348">
        <f t="shared" si="130"/>
        <v>641604.93999999994</v>
      </c>
      <c r="AG349" s="365">
        <f t="shared" si="123"/>
        <v>281274.55999999889</v>
      </c>
      <c r="AH349" s="357"/>
      <c r="AI349" s="358"/>
      <c r="AJ349" s="358"/>
      <c r="AK349" s="358"/>
      <c r="AL349" s="358"/>
      <c r="AM349" s="358"/>
      <c r="AN349" s="358"/>
      <c r="AO349" s="358"/>
      <c r="AP349" s="358"/>
      <c r="AQ349" s="358"/>
      <c r="AR349" s="358"/>
      <c r="AS349" s="358"/>
      <c r="AT349" s="358"/>
      <c r="AU349" s="358"/>
      <c r="AV349" s="358"/>
      <c r="AW349" s="358"/>
      <c r="AX349" s="358"/>
      <c r="AY349" s="358"/>
      <c r="AZ349" s="358"/>
      <c r="BA349" s="358"/>
      <c r="BB349" s="358"/>
      <c r="BC349" s="358"/>
    </row>
    <row r="350" spans="1:55" s="376" customFormat="1" x14ac:dyDescent="0.15">
      <c r="A350" s="377">
        <v>43080</v>
      </c>
      <c r="B350" s="457" t="s">
        <v>36</v>
      </c>
      <c r="C350" s="361"/>
      <c r="D350" s="348"/>
      <c r="E350" s="348"/>
      <c r="F350" s="362"/>
      <c r="G350" s="348"/>
      <c r="H350" s="363"/>
      <c r="I350" s="363"/>
      <c r="J350" s="364">
        <f t="shared" si="117"/>
        <v>0</v>
      </c>
      <c r="K350" s="348"/>
      <c r="L350" s="348"/>
      <c r="M350" s="365">
        <f t="shared" si="119"/>
        <v>0</v>
      </c>
      <c r="N350" s="366">
        <f t="shared" si="128"/>
        <v>0</v>
      </c>
      <c r="O350" s="349">
        <f t="shared" si="128"/>
        <v>0</v>
      </c>
      <c r="P350" s="353">
        <f t="shared" si="128"/>
        <v>0</v>
      </c>
      <c r="Q350" s="368">
        <f t="shared" si="129"/>
        <v>20308551.879999999</v>
      </c>
      <c r="R350" s="367">
        <f t="shared" si="129"/>
        <v>13799837.800000001</v>
      </c>
      <c r="S350" s="369">
        <f t="shared" si="129"/>
        <v>35238127.399999999</v>
      </c>
      <c r="T350" s="370">
        <f>N350/'2018'!N350-1</f>
        <v>-1</v>
      </c>
      <c r="U350" s="371">
        <f>O350/'2018'!O350-1</f>
        <v>-1</v>
      </c>
      <c r="V350" s="371">
        <f>P350/'2018'!P350-1</f>
        <v>-1</v>
      </c>
      <c r="W350" s="371">
        <f>Q350/'2018'!Q350-1</f>
        <v>-3.186760400056976E-2</v>
      </c>
      <c r="X350" s="371">
        <f>R350/'2018'!R350-1</f>
        <v>-3.08108841329362E-2</v>
      </c>
      <c r="Y350" s="372">
        <f>S350/'2018'!S350-1</f>
        <v>-3.2852353630014375E-2</v>
      </c>
      <c r="Z350" s="373"/>
      <c r="AA350" s="374">
        <f t="shared" si="118"/>
        <v>2030.855188</v>
      </c>
      <c r="AB350" s="375"/>
      <c r="AC350" s="365"/>
      <c r="AD350" s="375">
        <f t="shared" si="120"/>
        <v>21438289.599999998</v>
      </c>
      <c r="AE350" s="348">
        <f t="shared" si="130"/>
        <v>206858.22</v>
      </c>
      <c r="AF350" s="348">
        <f t="shared" si="130"/>
        <v>641604.93999999994</v>
      </c>
      <c r="AG350" s="365">
        <f t="shared" si="123"/>
        <v>281274.55999999889</v>
      </c>
      <c r="AH350" s="357"/>
      <c r="AI350" s="358"/>
      <c r="AJ350" s="358"/>
      <c r="AK350" s="358"/>
      <c r="AL350" s="358"/>
      <c r="AM350" s="358"/>
      <c r="AN350" s="358"/>
      <c r="AO350" s="358"/>
      <c r="AP350" s="358"/>
      <c r="AQ350" s="358"/>
      <c r="AR350" s="358"/>
      <c r="AS350" s="358"/>
      <c r="AT350" s="358"/>
      <c r="AU350" s="358"/>
      <c r="AV350" s="358"/>
      <c r="AW350" s="358"/>
      <c r="AX350" s="358"/>
      <c r="AY350" s="358"/>
      <c r="AZ350" s="358"/>
      <c r="BA350" s="358"/>
      <c r="BB350" s="358"/>
      <c r="BC350" s="358"/>
    </row>
    <row r="351" spans="1:55" s="376" customFormat="1" x14ac:dyDescent="0.15">
      <c r="A351" s="377">
        <v>43081</v>
      </c>
      <c r="B351" s="182" t="s">
        <v>37</v>
      </c>
      <c r="C351" s="361"/>
      <c r="D351" s="348"/>
      <c r="E351" s="348"/>
      <c r="F351" s="362"/>
      <c r="G351" s="348"/>
      <c r="H351" s="363"/>
      <c r="I351" s="363"/>
      <c r="J351" s="364">
        <f t="shared" si="117"/>
        <v>0</v>
      </c>
      <c r="K351" s="348"/>
      <c r="L351" s="348"/>
      <c r="M351" s="365">
        <f t="shared" si="119"/>
        <v>0</v>
      </c>
      <c r="N351" s="366">
        <f t="shared" si="128"/>
        <v>0</v>
      </c>
      <c r="O351" s="349">
        <f t="shared" si="128"/>
        <v>0</v>
      </c>
      <c r="P351" s="353">
        <f t="shared" si="128"/>
        <v>0</v>
      </c>
      <c r="Q351" s="368">
        <f t="shared" si="129"/>
        <v>20308551.879999999</v>
      </c>
      <c r="R351" s="367">
        <f t="shared" si="129"/>
        <v>13799837.800000001</v>
      </c>
      <c r="S351" s="369">
        <f t="shared" si="129"/>
        <v>35238127.399999999</v>
      </c>
      <c r="T351" s="370">
        <f>N351/'2018'!N351-1</f>
        <v>-1</v>
      </c>
      <c r="U351" s="371">
        <f>O351/'2018'!O351-1</f>
        <v>-1</v>
      </c>
      <c r="V351" s="371">
        <f>P351/'2018'!P351-1</f>
        <v>-1</v>
      </c>
      <c r="W351" s="371">
        <f>Q351/'2018'!Q351-1</f>
        <v>-3.5228682982683335E-2</v>
      </c>
      <c r="X351" s="371">
        <f>R351/'2018'!R351-1</f>
        <v>-3.352936156202202E-2</v>
      </c>
      <c r="Y351" s="372">
        <f>S351/'2018'!S351-1</f>
        <v>-3.6063059860267588E-2</v>
      </c>
      <c r="Z351" s="373"/>
      <c r="AA351" s="374">
        <f t="shared" si="118"/>
        <v>2030.855188</v>
      </c>
      <c r="AB351" s="375"/>
      <c r="AC351" s="365"/>
      <c r="AD351" s="375">
        <f t="shared" si="120"/>
        <v>21438289.599999998</v>
      </c>
      <c r="AE351" s="348">
        <f t="shared" si="130"/>
        <v>206858.22</v>
      </c>
      <c r="AF351" s="348">
        <f t="shared" si="130"/>
        <v>641604.93999999994</v>
      </c>
      <c r="AG351" s="365">
        <f t="shared" si="123"/>
        <v>281274.55999999889</v>
      </c>
      <c r="AH351" s="357"/>
      <c r="AI351" s="358"/>
      <c r="AJ351" s="358"/>
      <c r="AK351" s="358"/>
      <c r="AL351" s="358"/>
      <c r="AM351" s="358"/>
      <c r="AN351" s="358"/>
      <c r="AO351" s="358"/>
      <c r="AP351" s="358"/>
      <c r="AQ351" s="358"/>
      <c r="AR351" s="358"/>
      <c r="AS351" s="358"/>
      <c r="AT351" s="358"/>
      <c r="AU351" s="358"/>
      <c r="AV351" s="358"/>
      <c r="AW351" s="358"/>
      <c r="AX351" s="358"/>
      <c r="AY351" s="358"/>
      <c r="AZ351" s="358"/>
      <c r="BA351" s="358"/>
      <c r="BB351" s="358"/>
      <c r="BC351" s="358"/>
    </row>
    <row r="352" spans="1:55" s="376" customFormat="1" x14ac:dyDescent="0.15">
      <c r="A352" s="377">
        <v>43082</v>
      </c>
      <c r="B352" s="457" t="s">
        <v>38</v>
      </c>
      <c r="C352" s="361"/>
      <c r="D352" s="348"/>
      <c r="E352" s="348"/>
      <c r="F352" s="362"/>
      <c r="G352" s="348"/>
      <c r="H352" s="363"/>
      <c r="I352" s="363"/>
      <c r="J352" s="364">
        <f t="shared" si="117"/>
        <v>0</v>
      </c>
      <c r="K352" s="348"/>
      <c r="L352" s="348"/>
      <c r="M352" s="365">
        <f t="shared" si="119"/>
        <v>0</v>
      </c>
      <c r="N352" s="366">
        <f t="shared" si="128"/>
        <v>0</v>
      </c>
      <c r="O352" s="349">
        <f t="shared" si="128"/>
        <v>0</v>
      </c>
      <c r="P352" s="353">
        <f t="shared" si="128"/>
        <v>0</v>
      </c>
      <c r="Q352" s="368">
        <f t="shared" si="129"/>
        <v>20308551.879999999</v>
      </c>
      <c r="R352" s="367">
        <f t="shared" si="129"/>
        <v>13799837.800000001</v>
      </c>
      <c r="S352" s="369">
        <f t="shared" si="129"/>
        <v>35238127.399999999</v>
      </c>
      <c r="T352" s="370">
        <f>N352/'2018'!N352-1</f>
        <v>-1</v>
      </c>
      <c r="U352" s="371">
        <f>O352/'2018'!O352-1</f>
        <v>-1</v>
      </c>
      <c r="V352" s="371">
        <f>P352/'2018'!P352-1</f>
        <v>-1</v>
      </c>
      <c r="W352" s="371">
        <f>Q352/'2018'!Q352-1</f>
        <v>-3.8715909536192528E-2</v>
      </c>
      <c r="X352" s="371">
        <f>R352/'2018'!R352-1</f>
        <v>-3.6260765704849707E-2</v>
      </c>
      <c r="Y352" s="372">
        <f>S352/'2018'!S352-1</f>
        <v>-3.9342775870707003E-2</v>
      </c>
      <c r="Z352" s="373"/>
      <c r="AA352" s="374">
        <f t="shared" si="118"/>
        <v>2030.855188</v>
      </c>
      <c r="AB352" s="375"/>
      <c r="AC352" s="365"/>
      <c r="AD352" s="375">
        <f t="shared" si="120"/>
        <v>21438289.599999998</v>
      </c>
      <c r="AE352" s="348">
        <f t="shared" si="130"/>
        <v>206858.22</v>
      </c>
      <c r="AF352" s="348">
        <f t="shared" si="130"/>
        <v>641604.93999999994</v>
      </c>
      <c r="AG352" s="365">
        <f t="shared" si="123"/>
        <v>281274.55999999889</v>
      </c>
      <c r="AH352" s="357"/>
      <c r="AI352" s="358"/>
      <c r="AJ352" s="358"/>
      <c r="AK352" s="358"/>
      <c r="AL352" s="358"/>
      <c r="AM352" s="358"/>
      <c r="AN352" s="358"/>
      <c r="AO352" s="358"/>
      <c r="AP352" s="358"/>
      <c r="AQ352" s="358"/>
      <c r="AR352" s="358"/>
      <c r="AS352" s="358"/>
      <c r="AT352" s="358"/>
      <c r="AU352" s="358"/>
      <c r="AV352" s="358"/>
      <c r="AW352" s="358"/>
      <c r="AX352" s="358"/>
      <c r="AY352" s="358"/>
      <c r="AZ352" s="358"/>
      <c r="BA352" s="358"/>
      <c r="BB352" s="358"/>
      <c r="BC352" s="358"/>
    </row>
    <row r="353" spans="1:55" s="376" customFormat="1" x14ac:dyDescent="0.15">
      <c r="A353" s="377">
        <v>43083</v>
      </c>
      <c r="B353" s="457" t="s">
        <v>39</v>
      </c>
      <c r="C353" s="361"/>
      <c r="D353" s="348"/>
      <c r="E353" s="348"/>
      <c r="F353" s="362"/>
      <c r="G353" s="348"/>
      <c r="H353" s="363"/>
      <c r="I353" s="363"/>
      <c r="J353" s="364">
        <f t="shared" si="117"/>
        <v>0</v>
      </c>
      <c r="K353" s="348"/>
      <c r="L353" s="348"/>
      <c r="M353" s="365">
        <f t="shared" si="119"/>
        <v>0</v>
      </c>
      <c r="N353" s="366">
        <f t="shared" si="128"/>
        <v>0</v>
      </c>
      <c r="O353" s="349">
        <f t="shared" si="128"/>
        <v>0</v>
      </c>
      <c r="P353" s="353">
        <f t="shared" si="128"/>
        <v>0</v>
      </c>
      <c r="Q353" s="368">
        <f t="shared" si="129"/>
        <v>20308551.879999999</v>
      </c>
      <c r="R353" s="367">
        <f t="shared" si="129"/>
        <v>13799837.800000001</v>
      </c>
      <c r="S353" s="369">
        <f t="shared" si="129"/>
        <v>35238127.399999999</v>
      </c>
      <c r="T353" s="370">
        <f>N353/'2018'!N353-1</f>
        <v>-1</v>
      </c>
      <c r="U353" s="371">
        <f>O353/'2018'!O353-1</f>
        <v>-1</v>
      </c>
      <c r="V353" s="371">
        <f>P353/'2018'!P353-1</f>
        <v>-1</v>
      </c>
      <c r="W353" s="371">
        <f>Q353/'2018'!Q353-1</f>
        <v>-4.2216233147790883E-2</v>
      </c>
      <c r="X353" s="371">
        <f>R353/'2018'!R353-1</f>
        <v>-3.901793219186267E-2</v>
      </c>
      <c r="Y353" s="372">
        <f>S353/'2018'!S353-1</f>
        <v>-4.2637185251132248E-2</v>
      </c>
      <c r="Z353" s="373"/>
      <c r="AA353" s="374">
        <f t="shared" si="118"/>
        <v>2030.855188</v>
      </c>
      <c r="AB353" s="375"/>
      <c r="AC353" s="365"/>
      <c r="AD353" s="375">
        <f t="shared" si="120"/>
        <v>21438289.599999998</v>
      </c>
      <c r="AE353" s="348">
        <f t="shared" si="130"/>
        <v>206858.22</v>
      </c>
      <c r="AF353" s="348">
        <f t="shared" si="130"/>
        <v>641604.93999999994</v>
      </c>
      <c r="AG353" s="365">
        <f t="shared" si="123"/>
        <v>281274.55999999889</v>
      </c>
      <c r="AH353" s="357"/>
      <c r="AI353" s="358"/>
      <c r="AJ353" s="358"/>
      <c r="AK353" s="358"/>
      <c r="AL353" s="358"/>
      <c r="AM353" s="358"/>
      <c r="AN353" s="358"/>
      <c r="AO353" s="358"/>
      <c r="AP353" s="358"/>
      <c r="AQ353" s="358"/>
      <c r="AR353" s="358"/>
      <c r="AS353" s="358"/>
      <c r="AT353" s="358"/>
      <c r="AU353" s="358"/>
      <c r="AV353" s="358"/>
      <c r="AW353" s="358"/>
      <c r="AX353" s="358"/>
      <c r="AY353" s="358"/>
      <c r="AZ353" s="358"/>
      <c r="BA353" s="358"/>
      <c r="BB353" s="358"/>
      <c r="BC353" s="358"/>
    </row>
    <row r="354" spans="1:55" s="376" customFormat="1" x14ac:dyDescent="0.15">
      <c r="A354" s="377">
        <v>43084</v>
      </c>
      <c r="B354" s="457" t="s">
        <v>1</v>
      </c>
      <c r="C354" s="361"/>
      <c r="D354" s="348"/>
      <c r="E354" s="348"/>
      <c r="F354" s="362"/>
      <c r="G354" s="348"/>
      <c r="H354" s="363"/>
      <c r="I354" s="363"/>
      <c r="J354" s="364">
        <f t="shared" si="117"/>
        <v>0</v>
      </c>
      <c r="K354" s="348"/>
      <c r="L354" s="348"/>
      <c r="M354" s="365">
        <f t="shared" si="119"/>
        <v>0</v>
      </c>
      <c r="N354" s="366">
        <f t="shared" si="128"/>
        <v>0</v>
      </c>
      <c r="O354" s="349">
        <f t="shared" si="128"/>
        <v>0</v>
      </c>
      <c r="P354" s="353">
        <f t="shared" si="128"/>
        <v>0</v>
      </c>
      <c r="Q354" s="368">
        <f t="shared" si="129"/>
        <v>20308551.879999999</v>
      </c>
      <c r="R354" s="367">
        <f t="shared" si="129"/>
        <v>13799837.800000001</v>
      </c>
      <c r="S354" s="369">
        <f t="shared" si="129"/>
        <v>35238127.399999999</v>
      </c>
      <c r="T354" s="370">
        <f>N354/'2018'!N354-1</f>
        <v>-1</v>
      </c>
      <c r="U354" s="371">
        <f>O354/'2018'!O354-1</f>
        <v>-1</v>
      </c>
      <c r="V354" s="371">
        <f>P354/'2018'!P354-1</f>
        <v>-1</v>
      </c>
      <c r="W354" s="371">
        <f>Q354/'2018'!Q354-1</f>
        <v>-4.5520408259814515E-2</v>
      </c>
      <c r="X354" s="371">
        <f>R354/'2018'!R354-1</f>
        <v>-4.1693689370441489E-2</v>
      </c>
      <c r="Y354" s="372">
        <f>S354/'2018'!S354-1</f>
        <v>-4.5783126487891734E-2</v>
      </c>
      <c r="Z354" s="373"/>
      <c r="AA354" s="374">
        <f t="shared" si="118"/>
        <v>2030.855188</v>
      </c>
      <c r="AB354" s="375"/>
      <c r="AC354" s="365"/>
      <c r="AD354" s="375">
        <f t="shared" si="120"/>
        <v>21438289.599999998</v>
      </c>
      <c r="AE354" s="348">
        <f t="shared" si="130"/>
        <v>206858.22</v>
      </c>
      <c r="AF354" s="348">
        <f t="shared" si="130"/>
        <v>641604.93999999994</v>
      </c>
      <c r="AG354" s="365">
        <f t="shared" si="123"/>
        <v>281274.55999999889</v>
      </c>
      <c r="AH354" s="357"/>
      <c r="AI354" s="358"/>
      <c r="AJ354" s="358"/>
      <c r="AK354" s="358"/>
      <c r="AL354" s="358"/>
      <c r="AM354" s="358"/>
      <c r="AN354" s="358"/>
      <c r="AO354" s="358"/>
      <c r="AP354" s="358"/>
      <c r="AQ354" s="358"/>
      <c r="AR354" s="358"/>
      <c r="AS354" s="358"/>
      <c r="AT354" s="358"/>
      <c r="AU354" s="358"/>
      <c r="AV354" s="358"/>
      <c r="AW354" s="358"/>
      <c r="AX354" s="358"/>
      <c r="AY354" s="358"/>
      <c r="AZ354" s="358"/>
      <c r="BA354" s="358"/>
      <c r="BB354" s="358"/>
      <c r="BC354" s="358"/>
    </row>
    <row r="355" spans="1:55" s="376" customFormat="1" x14ac:dyDescent="0.15">
      <c r="A355" s="377">
        <v>43085</v>
      </c>
      <c r="B355" s="457" t="s">
        <v>34</v>
      </c>
      <c r="C355" s="361"/>
      <c r="D355" s="348"/>
      <c r="E355" s="348"/>
      <c r="F355" s="362"/>
      <c r="G355" s="348"/>
      <c r="H355" s="363"/>
      <c r="I355" s="363"/>
      <c r="J355" s="364">
        <f t="shared" si="117"/>
        <v>0</v>
      </c>
      <c r="K355" s="348"/>
      <c r="L355" s="348"/>
      <c r="M355" s="365">
        <f t="shared" si="119"/>
        <v>0</v>
      </c>
      <c r="N355" s="366">
        <f t="shared" si="128"/>
        <v>0</v>
      </c>
      <c r="O355" s="349">
        <f t="shared" si="128"/>
        <v>0</v>
      </c>
      <c r="P355" s="353">
        <f t="shared" si="128"/>
        <v>0</v>
      </c>
      <c r="Q355" s="368">
        <f t="shared" si="129"/>
        <v>20308551.879999999</v>
      </c>
      <c r="R355" s="367">
        <f t="shared" si="129"/>
        <v>13799837.800000001</v>
      </c>
      <c r="S355" s="369">
        <f t="shared" si="129"/>
        <v>35238127.399999999</v>
      </c>
      <c r="T355" s="370">
        <f>N355/'2018'!N355-1</f>
        <v>-1</v>
      </c>
      <c r="U355" s="371">
        <f>O355/'2018'!O355-1</f>
        <v>-1</v>
      </c>
      <c r="V355" s="371">
        <f>P355/'2018'!P355-1</f>
        <v>-1</v>
      </c>
      <c r="W355" s="371">
        <f>Q355/'2018'!Q355-1</f>
        <v>-4.8297272856068663E-2</v>
      </c>
      <c r="X355" s="371">
        <f>R355/'2018'!R355-1</f>
        <v>-4.4336983261046958E-2</v>
      </c>
      <c r="Y355" s="372">
        <f>S355/'2018'!S355-1</f>
        <v>-4.8628802003095939E-2</v>
      </c>
      <c r="Z355" s="373"/>
      <c r="AA355" s="374">
        <f t="shared" si="118"/>
        <v>2030.855188</v>
      </c>
      <c r="AB355" s="375"/>
      <c r="AC355" s="365"/>
      <c r="AD355" s="375">
        <f t="shared" si="120"/>
        <v>21438289.599999998</v>
      </c>
      <c r="AE355" s="348">
        <f t="shared" si="130"/>
        <v>206858.22</v>
      </c>
      <c r="AF355" s="348">
        <f t="shared" si="130"/>
        <v>641604.93999999994</v>
      </c>
      <c r="AG355" s="365">
        <f t="shared" si="123"/>
        <v>281274.55999999889</v>
      </c>
      <c r="AH355" s="357"/>
      <c r="AI355" s="358"/>
      <c r="AJ355" s="358"/>
      <c r="AK355" s="358"/>
      <c r="AL355" s="358"/>
      <c r="AM355" s="358"/>
      <c r="AN355" s="358"/>
      <c r="AO355" s="358"/>
      <c r="AP355" s="358"/>
      <c r="AQ355" s="358"/>
      <c r="AR355" s="358"/>
      <c r="AS355" s="358"/>
      <c r="AT355" s="358"/>
      <c r="AU355" s="358"/>
      <c r="AV355" s="358"/>
      <c r="AW355" s="358"/>
      <c r="AX355" s="358"/>
      <c r="AY355" s="358"/>
      <c r="AZ355" s="358"/>
      <c r="BA355" s="358"/>
      <c r="BB355" s="358"/>
      <c r="BC355" s="358"/>
    </row>
    <row r="356" spans="1:55" s="376" customFormat="1" x14ac:dyDescent="0.15">
      <c r="A356" s="377">
        <v>43086</v>
      </c>
      <c r="B356" s="457" t="s">
        <v>35</v>
      </c>
      <c r="C356" s="361"/>
      <c r="D356" s="348"/>
      <c r="E356" s="348"/>
      <c r="F356" s="362"/>
      <c r="G356" s="348"/>
      <c r="H356" s="363"/>
      <c r="I356" s="363"/>
      <c r="J356" s="364">
        <f t="shared" si="117"/>
        <v>0</v>
      </c>
      <c r="K356" s="348"/>
      <c r="L356" s="348"/>
      <c r="M356" s="365">
        <f t="shared" si="119"/>
        <v>0</v>
      </c>
      <c r="N356" s="366">
        <f t="shared" si="128"/>
        <v>0</v>
      </c>
      <c r="O356" s="349">
        <f t="shared" si="128"/>
        <v>0</v>
      </c>
      <c r="P356" s="353">
        <f t="shared" si="128"/>
        <v>0</v>
      </c>
      <c r="Q356" s="368">
        <f t="shared" si="129"/>
        <v>20308551.879999999</v>
      </c>
      <c r="R356" s="367">
        <f t="shared" si="129"/>
        <v>13799837.800000001</v>
      </c>
      <c r="S356" s="369">
        <f t="shared" si="129"/>
        <v>35238127.399999999</v>
      </c>
      <c r="T356" s="370">
        <f>N356/'2018'!N356-1</f>
        <v>-1</v>
      </c>
      <c r="U356" s="371">
        <f>O356/'2018'!O356-1</f>
        <v>-1</v>
      </c>
      <c r="V356" s="371">
        <f>P356/'2018'!P356-1</f>
        <v>-1</v>
      </c>
      <c r="W356" s="371">
        <f>Q356/'2018'!Q356-1</f>
        <v>-5.1238413977446329E-2</v>
      </c>
      <c r="X356" s="371">
        <f>R356/'2018'!R356-1</f>
        <v>-4.6962444381662971E-2</v>
      </c>
      <c r="Y356" s="372">
        <f>S356/'2018'!S356-1</f>
        <v>-5.1561922326039178E-2</v>
      </c>
      <c r="Z356" s="373"/>
      <c r="AA356" s="374">
        <f t="shared" si="118"/>
        <v>2030.855188</v>
      </c>
      <c r="AB356" s="375"/>
      <c r="AC356" s="365"/>
      <c r="AD356" s="375">
        <f t="shared" si="120"/>
        <v>21438289.599999998</v>
      </c>
      <c r="AE356" s="348">
        <f t="shared" si="130"/>
        <v>206858.22</v>
      </c>
      <c r="AF356" s="348">
        <f t="shared" si="130"/>
        <v>641604.93999999994</v>
      </c>
      <c r="AG356" s="365">
        <f t="shared" si="123"/>
        <v>281274.55999999889</v>
      </c>
      <c r="AH356" s="357"/>
      <c r="AI356" s="358"/>
      <c r="AJ356" s="358"/>
      <c r="AK356" s="358"/>
      <c r="AL356" s="358"/>
      <c r="AM356" s="358"/>
      <c r="AN356" s="358"/>
      <c r="AO356" s="358"/>
      <c r="AP356" s="358"/>
      <c r="AQ356" s="358"/>
      <c r="AR356" s="358"/>
      <c r="AS356" s="358"/>
      <c r="AT356" s="358"/>
      <c r="AU356" s="358"/>
      <c r="AV356" s="358"/>
      <c r="AW356" s="358"/>
      <c r="AX356" s="358"/>
      <c r="AY356" s="358"/>
      <c r="AZ356" s="358"/>
      <c r="BA356" s="358"/>
      <c r="BB356" s="358"/>
      <c r="BC356" s="358"/>
    </row>
    <row r="357" spans="1:55" s="376" customFormat="1" x14ac:dyDescent="0.15">
      <c r="A357" s="377">
        <v>43087</v>
      </c>
      <c r="B357" s="457" t="s">
        <v>36</v>
      </c>
      <c r="C357" s="361"/>
      <c r="D357" s="348"/>
      <c r="E357" s="348"/>
      <c r="F357" s="362"/>
      <c r="G357" s="348"/>
      <c r="H357" s="363"/>
      <c r="I357" s="363"/>
      <c r="J357" s="364">
        <f t="shared" si="117"/>
        <v>0</v>
      </c>
      <c r="K357" s="348"/>
      <c r="L357" s="348"/>
      <c r="M357" s="365">
        <f t="shared" si="119"/>
        <v>0</v>
      </c>
      <c r="N357" s="366">
        <f t="shared" ref="N357:P369" si="131">N356+C357</f>
        <v>0</v>
      </c>
      <c r="O357" s="349">
        <f t="shared" si="131"/>
        <v>0</v>
      </c>
      <c r="P357" s="353">
        <f t="shared" si="131"/>
        <v>0</v>
      </c>
      <c r="Q357" s="368">
        <f t="shared" si="129"/>
        <v>20308551.879999999</v>
      </c>
      <c r="R357" s="367">
        <f t="shared" si="129"/>
        <v>13799837.800000001</v>
      </c>
      <c r="S357" s="369">
        <f t="shared" si="129"/>
        <v>35238127.399999999</v>
      </c>
      <c r="T357" s="370">
        <f>N357/'2018'!N357-1</f>
        <v>-1</v>
      </c>
      <c r="U357" s="371">
        <f>O357/'2018'!O357-1</f>
        <v>-1</v>
      </c>
      <c r="V357" s="371">
        <f>P357/'2018'!P357-1</f>
        <v>-1</v>
      </c>
      <c r="W357" s="371">
        <f>Q357/'2018'!Q357-1</f>
        <v>-5.410002152259874E-2</v>
      </c>
      <c r="X357" s="371">
        <f>R357/'2018'!R357-1</f>
        <v>-4.9687010049361158E-2</v>
      </c>
      <c r="Y357" s="372">
        <f>S357/'2018'!S357-1</f>
        <v>-5.4477088464545687E-2</v>
      </c>
      <c r="Z357" s="373"/>
      <c r="AA357" s="374">
        <f t="shared" si="118"/>
        <v>2030.855188</v>
      </c>
      <c r="AB357" s="375"/>
      <c r="AC357" s="365"/>
      <c r="AD357" s="375">
        <f t="shared" si="120"/>
        <v>21438289.599999998</v>
      </c>
      <c r="AE357" s="348">
        <f t="shared" si="130"/>
        <v>206858.22</v>
      </c>
      <c r="AF357" s="348">
        <f t="shared" si="130"/>
        <v>641604.93999999994</v>
      </c>
      <c r="AG357" s="365">
        <f t="shared" si="123"/>
        <v>281274.55999999889</v>
      </c>
      <c r="AH357" s="357"/>
      <c r="AI357" s="358"/>
      <c r="AJ357" s="358"/>
      <c r="AK357" s="358"/>
      <c r="AL357" s="358"/>
      <c r="AM357" s="358"/>
      <c r="AN357" s="358"/>
      <c r="AO357" s="358"/>
      <c r="AP357" s="358"/>
      <c r="AQ357" s="358"/>
      <c r="AR357" s="358"/>
      <c r="AS357" s="358"/>
      <c r="AT357" s="358"/>
      <c r="AU357" s="358"/>
      <c r="AV357" s="358"/>
      <c r="AW357" s="358"/>
      <c r="AX357" s="358"/>
      <c r="AY357" s="358"/>
      <c r="AZ357" s="358"/>
      <c r="BA357" s="358"/>
      <c r="BB357" s="358"/>
      <c r="BC357" s="358"/>
    </row>
    <row r="358" spans="1:55" s="376" customFormat="1" x14ac:dyDescent="0.15">
      <c r="A358" s="377">
        <v>43088</v>
      </c>
      <c r="B358" s="182" t="s">
        <v>37</v>
      </c>
      <c r="C358" s="361"/>
      <c r="D358" s="348"/>
      <c r="E358" s="348"/>
      <c r="F358" s="362"/>
      <c r="G358" s="348"/>
      <c r="H358" s="363"/>
      <c r="I358" s="363"/>
      <c r="J358" s="364">
        <f t="shared" si="117"/>
        <v>0</v>
      </c>
      <c r="K358" s="348"/>
      <c r="L358" s="348"/>
      <c r="M358" s="365">
        <f t="shared" si="119"/>
        <v>0</v>
      </c>
      <c r="N358" s="366">
        <f t="shared" si="131"/>
        <v>0</v>
      </c>
      <c r="O358" s="349">
        <f t="shared" si="131"/>
        <v>0</v>
      </c>
      <c r="P358" s="353">
        <f t="shared" si="131"/>
        <v>0</v>
      </c>
      <c r="Q358" s="368">
        <f t="shared" si="129"/>
        <v>20308551.879999999</v>
      </c>
      <c r="R358" s="367">
        <f t="shared" si="129"/>
        <v>13799837.800000001</v>
      </c>
      <c r="S358" s="369">
        <f t="shared" si="129"/>
        <v>35238127.399999999</v>
      </c>
      <c r="T358" s="370">
        <f>N358/'2018'!N358-1</f>
        <v>-1</v>
      </c>
      <c r="U358" s="371">
        <f>O358/'2018'!O358-1</f>
        <v>-1</v>
      </c>
      <c r="V358" s="371">
        <f>P358/'2018'!P358-1</f>
        <v>-1</v>
      </c>
      <c r="W358" s="371">
        <f>Q358/'2018'!Q358-1</f>
        <v>-5.7084882983142293E-2</v>
      </c>
      <c r="X358" s="371">
        <f>R358/'2018'!R358-1</f>
        <v>-5.2253908173092944E-2</v>
      </c>
      <c r="Y358" s="372">
        <f>S358/'2018'!S358-1</f>
        <v>-5.7389820682530179E-2</v>
      </c>
      <c r="Z358" s="373"/>
      <c r="AA358" s="374">
        <f t="shared" si="118"/>
        <v>2030.855188</v>
      </c>
      <c r="AB358" s="375"/>
      <c r="AC358" s="365"/>
      <c r="AD358" s="375">
        <f t="shared" si="120"/>
        <v>21438289.599999998</v>
      </c>
      <c r="AE358" s="348">
        <f t="shared" si="130"/>
        <v>206858.22</v>
      </c>
      <c r="AF358" s="348">
        <f t="shared" si="130"/>
        <v>641604.93999999994</v>
      </c>
      <c r="AG358" s="365">
        <f t="shared" si="123"/>
        <v>281274.55999999889</v>
      </c>
      <c r="AH358" s="357"/>
      <c r="AI358" s="358"/>
      <c r="AJ358" s="358"/>
      <c r="AK358" s="358"/>
      <c r="AL358" s="358"/>
      <c r="AM358" s="358"/>
      <c r="AN358" s="358"/>
      <c r="AO358" s="358"/>
      <c r="AP358" s="358"/>
      <c r="AQ358" s="358"/>
      <c r="AR358" s="358"/>
      <c r="AS358" s="358"/>
      <c r="AT358" s="358"/>
      <c r="AU358" s="358"/>
      <c r="AV358" s="358"/>
      <c r="AW358" s="358"/>
      <c r="AX358" s="358"/>
      <c r="AY358" s="358"/>
      <c r="AZ358" s="358"/>
      <c r="BA358" s="358"/>
      <c r="BB358" s="358"/>
      <c r="BC358" s="358"/>
    </row>
    <row r="359" spans="1:55" s="376" customFormat="1" x14ac:dyDescent="0.15">
      <c r="A359" s="377">
        <v>43089</v>
      </c>
      <c r="B359" s="457" t="s">
        <v>38</v>
      </c>
      <c r="C359" s="361"/>
      <c r="D359" s="348"/>
      <c r="E359" s="348"/>
      <c r="F359" s="362"/>
      <c r="G359" s="348"/>
      <c r="H359" s="363"/>
      <c r="I359" s="363"/>
      <c r="J359" s="364">
        <f t="shared" si="117"/>
        <v>0</v>
      </c>
      <c r="K359" s="348"/>
      <c r="L359" s="348"/>
      <c r="M359" s="365">
        <f t="shared" si="119"/>
        <v>0</v>
      </c>
      <c r="N359" s="366">
        <f t="shared" si="131"/>
        <v>0</v>
      </c>
      <c r="O359" s="349">
        <f t="shared" si="131"/>
        <v>0</v>
      </c>
      <c r="P359" s="353">
        <f t="shared" si="131"/>
        <v>0</v>
      </c>
      <c r="Q359" s="368">
        <f t="shared" si="129"/>
        <v>20308551.879999999</v>
      </c>
      <c r="R359" s="367">
        <f t="shared" si="129"/>
        <v>13799837.800000001</v>
      </c>
      <c r="S359" s="369">
        <f t="shared" si="129"/>
        <v>35238127.399999999</v>
      </c>
      <c r="T359" s="370">
        <f>N359/'2018'!N359-1</f>
        <v>-1</v>
      </c>
      <c r="U359" s="371">
        <f>O359/'2018'!O359-1</f>
        <v>-1</v>
      </c>
      <c r="V359" s="371">
        <f>P359/'2018'!P359-1</f>
        <v>-1</v>
      </c>
      <c r="W359" s="371">
        <f>Q359/'2018'!Q359-1</f>
        <v>-6.0170456196931177E-2</v>
      </c>
      <c r="X359" s="371">
        <f>R359/'2018'!R359-1</f>
        <v>-5.4719765024135225E-2</v>
      </c>
      <c r="Y359" s="372">
        <f>S359/'2018'!S359-1</f>
        <v>-6.0311851603388367E-2</v>
      </c>
      <c r="Z359" s="373"/>
      <c r="AA359" s="374">
        <f t="shared" si="118"/>
        <v>2030.855188</v>
      </c>
      <c r="AB359" s="375"/>
      <c r="AC359" s="365"/>
      <c r="AD359" s="375">
        <f t="shared" si="120"/>
        <v>21438289.599999998</v>
      </c>
      <c r="AE359" s="348">
        <f t="shared" ref="AE359:AF369" si="132">AE358+K359</f>
        <v>206858.22</v>
      </c>
      <c r="AF359" s="348">
        <f t="shared" si="132"/>
        <v>641604.93999999994</v>
      </c>
      <c r="AG359" s="365">
        <f t="shared" si="123"/>
        <v>281274.55999999889</v>
      </c>
      <c r="AH359" s="357"/>
      <c r="AI359" s="358"/>
      <c r="AJ359" s="358"/>
      <c r="AK359" s="358"/>
      <c r="AL359" s="358"/>
      <c r="AM359" s="358"/>
      <c r="AN359" s="358"/>
      <c r="AO359" s="358"/>
      <c r="AP359" s="358"/>
      <c r="AQ359" s="358"/>
      <c r="AR359" s="358"/>
      <c r="AS359" s="358"/>
      <c r="AT359" s="358"/>
      <c r="AU359" s="358"/>
      <c r="AV359" s="358"/>
      <c r="AW359" s="358"/>
      <c r="AX359" s="358"/>
      <c r="AY359" s="358"/>
      <c r="AZ359" s="358"/>
      <c r="BA359" s="358"/>
      <c r="BB359" s="358"/>
      <c r="BC359" s="358"/>
    </row>
    <row r="360" spans="1:55" s="376" customFormat="1" x14ac:dyDescent="0.15">
      <c r="A360" s="377">
        <v>43090</v>
      </c>
      <c r="B360" s="457" t="s">
        <v>39</v>
      </c>
      <c r="C360" s="361"/>
      <c r="D360" s="348"/>
      <c r="E360" s="348"/>
      <c r="F360" s="362"/>
      <c r="G360" s="348"/>
      <c r="H360" s="363"/>
      <c r="I360" s="363"/>
      <c r="J360" s="364">
        <f t="shared" si="117"/>
        <v>0</v>
      </c>
      <c r="K360" s="348"/>
      <c r="L360" s="348"/>
      <c r="M360" s="365">
        <f t="shared" si="119"/>
        <v>0</v>
      </c>
      <c r="N360" s="366">
        <f t="shared" si="131"/>
        <v>0</v>
      </c>
      <c r="O360" s="349">
        <f t="shared" si="131"/>
        <v>0</v>
      </c>
      <c r="P360" s="353">
        <f t="shared" si="131"/>
        <v>0</v>
      </c>
      <c r="Q360" s="368">
        <f t="shared" si="129"/>
        <v>20308551.879999999</v>
      </c>
      <c r="R360" s="367">
        <f t="shared" si="129"/>
        <v>13799837.800000001</v>
      </c>
      <c r="S360" s="369">
        <f t="shared" si="129"/>
        <v>35238127.399999999</v>
      </c>
      <c r="T360" s="370">
        <f>N360/'2018'!N360-1</f>
        <v>-1</v>
      </c>
      <c r="U360" s="371">
        <f>O360/'2018'!O360-1</f>
        <v>-1</v>
      </c>
      <c r="V360" s="371">
        <f>P360/'2018'!P360-1</f>
        <v>-1</v>
      </c>
      <c r="W360" s="371">
        <f>Q360/'2018'!Q360-1</f>
        <v>-6.3157555177953073E-2</v>
      </c>
      <c r="X360" s="371">
        <f>R360/'2018'!R360-1</f>
        <v>-5.7151372942432443E-2</v>
      </c>
      <c r="Y360" s="372">
        <f>S360/'2018'!S360-1</f>
        <v>-6.3163596035476277E-2</v>
      </c>
      <c r="Z360" s="373"/>
      <c r="AA360" s="374">
        <f t="shared" si="118"/>
        <v>2030.855188</v>
      </c>
      <c r="AB360" s="375"/>
      <c r="AC360" s="365"/>
      <c r="AD360" s="375">
        <f t="shared" si="120"/>
        <v>21438289.599999998</v>
      </c>
      <c r="AE360" s="348">
        <f t="shared" si="132"/>
        <v>206858.22</v>
      </c>
      <c r="AF360" s="348">
        <f t="shared" si="132"/>
        <v>641604.93999999994</v>
      </c>
      <c r="AG360" s="365">
        <f t="shared" si="123"/>
        <v>281274.55999999889</v>
      </c>
      <c r="AH360" s="357"/>
      <c r="AI360" s="358"/>
      <c r="AJ360" s="358"/>
      <c r="AK360" s="358"/>
      <c r="AL360" s="358"/>
      <c r="AM360" s="358"/>
      <c r="AN360" s="358"/>
      <c r="AO360" s="358"/>
      <c r="AP360" s="358"/>
      <c r="AQ360" s="358"/>
      <c r="AR360" s="358"/>
      <c r="AS360" s="358"/>
      <c r="AT360" s="358"/>
      <c r="AU360" s="358"/>
      <c r="AV360" s="358"/>
      <c r="AW360" s="358"/>
      <c r="AX360" s="358"/>
      <c r="AY360" s="358"/>
      <c r="AZ360" s="358"/>
      <c r="BA360" s="358"/>
      <c r="BB360" s="358"/>
      <c r="BC360" s="358"/>
    </row>
    <row r="361" spans="1:55" s="376" customFormat="1" x14ac:dyDescent="0.15">
      <c r="A361" s="377">
        <v>43091</v>
      </c>
      <c r="B361" s="457" t="s">
        <v>1</v>
      </c>
      <c r="C361" s="361"/>
      <c r="D361" s="348"/>
      <c r="E361" s="348"/>
      <c r="F361" s="362"/>
      <c r="G361" s="348"/>
      <c r="H361" s="363"/>
      <c r="I361" s="363"/>
      <c r="J361" s="364">
        <f t="shared" si="117"/>
        <v>0</v>
      </c>
      <c r="K361" s="348"/>
      <c r="L361" s="348"/>
      <c r="M361" s="365">
        <f t="shared" si="119"/>
        <v>0</v>
      </c>
      <c r="N361" s="366">
        <f t="shared" si="131"/>
        <v>0</v>
      </c>
      <c r="O361" s="349">
        <f t="shared" si="131"/>
        <v>0</v>
      </c>
      <c r="P361" s="353">
        <f t="shared" si="131"/>
        <v>0</v>
      </c>
      <c r="Q361" s="368">
        <f t="shared" si="129"/>
        <v>20308551.879999999</v>
      </c>
      <c r="R361" s="367">
        <f t="shared" si="129"/>
        <v>13799837.800000001</v>
      </c>
      <c r="S361" s="369">
        <f t="shared" si="129"/>
        <v>35238127.399999999</v>
      </c>
      <c r="T361" s="370">
        <f>N361/'2018'!N361-1</f>
        <v>-1</v>
      </c>
      <c r="U361" s="371">
        <f>O361/'2018'!O361-1</f>
        <v>-1</v>
      </c>
      <c r="V361" s="371">
        <f>P361/'2018'!P361-1</f>
        <v>-1</v>
      </c>
      <c r="W361" s="371">
        <f>Q361/'2018'!Q361-1</f>
        <v>-6.5962512297335518E-2</v>
      </c>
      <c r="X361" s="371">
        <f>R361/'2018'!R361-1</f>
        <v>-5.9594919975629823E-2</v>
      </c>
      <c r="Y361" s="372">
        <f>S361/'2018'!S361-1</f>
        <v>-6.5906502122389687E-2</v>
      </c>
      <c r="Z361" s="373"/>
      <c r="AA361" s="374">
        <f t="shared" si="118"/>
        <v>2030.855188</v>
      </c>
      <c r="AB361" s="375"/>
      <c r="AC361" s="365"/>
      <c r="AD361" s="375">
        <f t="shared" si="120"/>
        <v>21438289.599999998</v>
      </c>
      <c r="AE361" s="348">
        <f t="shared" si="132"/>
        <v>206858.22</v>
      </c>
      <c r="AF361" s="348">
        <f t="shared" si="132"/>
        <v>641604.93999999994</v>
      </c>
      <c r="AG361" s="365">
        <f t="shared" si="123"/>
        <v>281274.55999999889</v>
      </c>
      <c r="AH361" s="357"/>
      <c r="AI361" s="358"/>
      <c r="AJ361" s="358"/>
      <c r="AK361" s="358"/>
      <c r="AL361" s="358"/>
      <c r="AM361" s="358"/>
      <c r="AN361" s="358"/>
      <c r="AO361" s="358"/>
      <c r="AP361" s="358"/>
      <c r="AQ361" s="358"/>
      <c r="AR361" s="358"/>
      <c r="AS361" s="358"/>
      <c r="AT361" s="358"/>
      <c r="AU361" s="358"/>
      <c r="AV361" s="358"/>
      <c r="AW361" s="358"/>
      <c r="AX361" s="358"/>
      <c r="AY361" s="358"/>
      <c r="AZ361" s="358"/>
      <c r="BA361" s="358"/>
      <c r="BB361" s="358"/>
      <c r="BC361" s="358"/>
    </row>
    <row r="362" spans="1:55" s="376" customFormat="1" x14ac:dyDescent="0.15">
      <c r="A362" s="377">
        <v>43092</v>
      </c>
      <c r="B362" s="457" t="s">
        <v>34</v>
      </c>
      <c r="C362" s="361"/>
      <c r="D362" s="348"/>
      <c r="E362" s="348"/>
      <c r="F362" s="362"/>
      <c r="G362" s="348"/>
      <c r="H362" s="363"/>
      <c r="I362" s="363"/>
      <c r="J362" s="364">
        <f t="shared" si="117"/>
        <v>0</v>
      </c>
      <c r="K362" s="348"/>
      <c r="L362" s="348"/>
      <c r="M362" s="365">
        <f t="shared" si="119"/>
        <v>0</v>
      </c>
      <c r="N362" s="366">
        <f t="shared" si="131"/>
        <v>0</v>
      </c>
      <c r="O362" s="349">
        <f t="shared" si="131"/>
        <v>0</v>
      </c>
      <c r="P362" s="353">
        <f t="shared" si="131"/>
        <v>0</v>
      </c>
      <c r="Q362" s="368">
        <f t="shared" si="129"/>
        <v>20308551.879999999</v>
      </c>
      <c r="R362" s="367">
        <f t="shared" si="129"/>
        <v>13799837.800000001</v>
      </c>
      <c r="S362" s="369">
        <f t="shared" si="129"/>
        <v>35238127.399999999</v>
      </c>
      <c r="T362" s="370">
        <f>N362/'2018'!N362-1</f>
        <v>-1</v>
      </c>
      <c r="U362" s="371">
        <f>O362/'2018'!O362-1</f>
        <v>-1</v>
      </c>
      <c r="V362" s="371">
        <f>P362/'2018'!P362-1</f>
        <v>-1</v>
      </c>
      <c r="W362" s="371">
        <f>Q362/'2018'!Q362-1</f>
        <v>-6.8655828623329307E-2</v>
      </c>
      <c r="X362" s="371">
        <f>R362/'2018'!R362-1</f>
        <v>-6.2011425406078069E-2</v>
      </c>
      <c r="Y362" s="372">
        <f>S362/'2018'!S362-1</f>
        <v>-6.8518715167185329E-2</v>
      </c>
      <c r="Z362" s="373"/>
      <c r="AA362" s="374">
        <f t="shared" si="118"/>
        <v>2030.855188</v>
      </c>
      <c r="AB362" s="375"/>
      <c r="AC362" s="365"/>
      <c r="AD362" s="375">
        <f t="shared" si="120"/>
        <v>21438289.599999998</v>
      </c>
      <c r="AE362" s="348">
        <f t="shared" si="132"/>
        <v>206858.22</v>
      </c>
      <c r="AF362" s="348">
        <f t="shared" si="132"/>
        <v>641604.93999999994</v>
      </c>
      <c r="AG362" s="365">
        <f t="shared" si="123"/>
        <v>281274.55999999889</v>
      </c>
      <c r="AH362" s="357"/>
      <c r="AI362" s="358"/>
      <c r="AJ362" s="358"/>
      <c r="AK362" s="358"/>
      <c r="AL362" s="358"/>
      <c r="AM362" s="358"/>
      <c r="AN362" s="358"/>
      <c r="AO362" s="358"/>
      <c r="AP362" s="358"/>
      <c r="AQ362" s="358"/>
      <c r="AR362" s="358"/>
      <c r="AS362" s="358"/>
      <c r="AT362" s="358"/>
      <c r="AU362" s="358"/>
      <c r="AV362" s="358"/>
      <c r="AW362" s="358"/>
      <c r="AX362" s="358"/>
      <c r="AY362" s="358"/>
      <c r="AZ362" s="358"/>
      <c r="BA362" s="358"/>
      <c r="BB362" s="358"/>
      <c r="BC362" s="358"/>
    </row>
    <row r="363" spans="1:55" s="376" customFormat="1" x14ac:dyDescent="0.15">
      <c r="A363" s="377">
        <v>43093</v>
      </c>
      <c r="B363" s="457" t="s">
        <v>35</v>
      </c>
      <c r="C363" s="361"/>
      <c r="D363" s="348"/>
      <c r="E363" s="348"/>
      <c r="F363" s="362"/>
      <c r="G363" s="348"/>
      <c r="H363" s="363"/>
      <c r="I363" s="363"/>
      <c r="J363" s="364">
        <f t="shared" si="117"/>
        <v>0</v>
      </c>
      <c r="K363" s="348"/>
      <c r="L363" s="348"/>
      <c r="M363" s="365">
        <f t="shared" si="119"/>
        <v>0</v>
      </c>
      <c r="N363" s="366">
        <f t="shared" si="131"/>
        <v>0</v>
      </c>
      <c r="O363" s="349">
        <f t="shared" si="131"/>
        <v>0</v>
      </c>
      <c r="P363" s="353">
        <f t="shared" si="131"/>
        <v>0</v>
      </c>
      <c r="Q363" s="368">
        <f t="shared" si="129"/>
        <v>20308551.879999999</v>
      </c>
      <c r="R363" s="367">
        <f t="shared" si="129"/>
        <v>13799837.800000001</v>
      </c>
      <c r="S363" s="369">
        <f t="shared" si="129"/>
        <v>35238127.399999999</v>
      </c>
      <c r="T363" s="370">
        <f>N363/'2018'!N363-1</f>
        <v>-1</v>
      </c>
      <c r="U363" s="371">
        <f>O363/'2018'!O363-1</f>
        <v>-1</v>
      </c>
      <c r="V363" s="371">
        <f>P363/'2018'!P363-1</f>
        <v>-1</v>
      </c>
      <c r="W363" s="371">
        <f>Q363/'2018'!Q363-1</f>
        <v>-7.1578238829292706E-2</v>
      </c>
      <c r="X363" s="371">
        <f>R363/'2018'!R363-1</f>
        <v>-6.4365304608811735E-2</v>
      </c>
      <c r="Y363" s="372">
        <f>S363/'2018'!S363-1</f>
        <v>-7.123605314608572E-2</v>
      </c>
      <c r="Z363" s="373"/>
      <c r="AA363" s="374">
        <f t="shared" si="118"/>
        <v>2030.855188</v>
      </c>
      <c r="AB363" s="375"/>
      <c r="AC363" s="365"/>
      <c r="AD363" s="375">
        <f t="shared" si="120"/>
        <v>21438289.599999998</v>
      </c>
      <c r="AE363" s="348">
        <f t="shared" si="132"/>
        <v>206858.22</v>
      </c>
      <c r="AF363" s="348">
        <f t="shared" si="132"/>
        <v>641604.93999999994</v>
      </c>
      <c r="AG363" s="365">
        <f t="shared" si="123"/>
        <v>281274.55999999889</v>
      </c>
      <c r="AH363" s="357"/>
      <c r="AI363" s="358"/>
      <c r="AJ363" s="358"/>
      <c r="AK363" s="358"/>
      <c r="AL363" s="358"/>
      <c r="AM363" s="358"/>
      <c r="AN363" s="358"/>
      <c r="AO363" s="358"/>
      <c r="AP363" s="358"/>
      <c r="AQ363" s="358"/>
      <c r="AR363" s="358"/>
      <c r="AS363" s="358"/>
      <c r="AT363" s="358"/>
      <c r="AU363" s="358"/>
      <c r="AV363" s="358"/>
      <c r="AW363" s="358"/>
      <c r="AX363" s="358"/>
      <c r="AY363" s="358"/>
      <c r="AZ363" s="358"/>
      <c r="BA363" s="358"/>
      <c r="BB363" s="358"/>
      <c r="BC363" s="358"/>
    </row>
    <row r="364" spans="1:55" s="376" customFormat="1" x14ac:dyDescent="0.15">
      <c r="A364" s="377">
        <v>43094</v>
      </c>
      <c r="B364" s="457" t="s">
        <v>36</v>
      </c>
      <c r="C364" s="361"/>
      <c r="D364" s="348"/>
      <c r="E364" s="348"/>
      <c r="F364" s="362"/>
      <c r="G364" s="348"/>
      <c r="H364" s="363"/>
      <c r="I364" s="363"/>
      <c r="J364" s="364">
        <f t="shared" si="117"/>
        <v>0</v>
      </c>
      <c r="K364" s="348"/>
      <c r="L364" s="348"/>
      <c r="M364" s="365">
        <f t="shared" si="119"/>
        <v>0</v>
      </c>
      <c r="N364" s="366">
        <f t="shared" si="131"/>
        <v>0</v>
      </c>
      <c r="O364" s="349">
        <f t="shared" si="131"/>
        <v>0</v>
      </c>
      <c r="P364" s="353">
        <f t="shared" si="131"/>
        <v>0</v>
      </c>
      <c r="Q364" s="368">
        <f t="shared" si="129"/>
        <v>20308551.879999999</v>
      </c>
      <c r="R364" s="367">
        <f t="shared" si="129"/>
        <v>13799837.800000001</v>
      </c>
      <c r="S364" s="369">
        <f t="shared" si="129"/>
        <v>35238127.399999999</v>
      </c>
      <c r="T364" s="370">
        <f>N364/'2018'!N364-1</f>
        <v>-1</v>
      </c>
      <c r="U364" s="371">
        <f>O364/'2018'!O364-1</f>
        <v>-1</v>
      </c>
      <c r="V364" s="371">
        <f>P364/'2018'!P364-1</f>
        <v>-1</v>
      </c>
      <c r="W364" s="371">
        <f>Q364/'2018'!Q364-1</f>
        <v>-7.4613859953424955E-2</v>
      </c>
      <c r="X364" s="371">
        <f>R364/'2018'!R364-1</f>
        <v>-6.6779602088809842E-2</v>
      </c>
      <c r="Y364" s="372">
        <f>S364/'2018'!S364-1</f>
        <v>-7.4030419570020656E-2</v>
      </c>
      <c r="Z364" s="373"/>
      <c r="AA364" s="374">
        <f t="shared" si="118"/>
        <v>2030.855188</v>
      </c>
      <c r="AB364" s="375"/>
      <c r="AC364" s="365"/>
      <c r="AD364" s="375">
        <f t="shared" si="120"/>
        <v>21438289.599999998</v>
      </c>
      <c r="AE364" s="348">
        <f t="shared" si="132"/>
        <v>206858.22</v>
      </c>
      <c r="AF364" s="348">
        <f t="shared" si="132"/>
        <v>641604.93999999994</v>
      </c>
      <c r="AG364" s="365">
        <f t="shared" si="123"/>
        <v>281274.55999999889</v>
      </c>
      <c r="AH364" s="357"/>
      <c r="AI364" s="358"/>
      <c r="AJ364" s="358"/>
      <c r="AK364" s="358"/>
      <c r="AL364" s="358"/>
      <c r="AM364" s="358"/>
      <c r="AN364" s="358"/>
      <c r="AO364" s="358"/>
      <c r="AP364" s="358"/>
      <c r="AQ364" s="358"/>
      <c r="AR364" s="358"/>
      <c r="AS364" s="358"/>
      <c r="AT364" s="358"/>
      <c r="AU364" s="358"/>
      <c r="AV364" s="358"/>
      <c r="AW364" s="358"/>
      <c r="AX364" s="358"/>
      <c r="AY364" s="358"/>
      <c r="AZ364" s="358"/>
      <c r="BA364" s="358"/>
      <c r="BB364" s="358"/>
      <c r="BC364" s="358"/>
    </row>
    <row r="365" spans="1:55" s="376" customFormat="1" x14ac:dyDescent="0.15">
      <c r="A365" s="377">
        <v>43095</v>
      </c>
      <c r="B365" s="182" t="s">
        <v>37</v>
      </c>
      <c r="C365" s="361"/>
      <c r="D365" s="348"/>
      <c r="E365" s="348"/>
      <c r="F365" s="362"/>
      <c r="G365" s="348"/>
      <c r="H365" s="363"/>
      <c r="I365" s="363"/>
      <c r="J365" s="364">
        <f t="shared" si="117"/>
        <v>0</v>
      </c>
      <c r="K365" s="348"/>
      <c r="L365" s="348"/>
      <c r="M365" s="365">
        <f t="shared" si="119"/>
        <v>0</v>
      </c>
      <c r="N365" s="366">
        <f t="shared" si="131"/>
        <v>0</v>
      </c>
      <c r="O365" s="349">
        <f t="shared" si="131"/>
        <v>0</v>
      </c>
      <c r="P365" s="353">
        <f t="shared" si="131"/>
        <v>0</v>
      </c>
      <c r="Q365" s="368">
        <f t="shared" si="129"/>
        <v>20308551.879999999</v>
      </c>
      <c r="R365" s="367">
        <f t="shared" si="129"/>
        <v>13799837.800000001</v>
      </c>
      <c r="S365" s="369">
        <f t="shared" si="129"/>
        <v>35238127.399999999</v>
      </c>
      <c r="T365" s="370">
        <f>N365/'2018'!N365-1</f>
        <v>-1</v>
      </c>
      <c r="U365" s="371">
        <f>O365/'2018'!O365-1</f>
        <v>-1</v>
      </c>
      <c r="V365" s="371">
        <f>P365/'2018'!P365-1</f>
        <v>-1</v>
      </c>
      <c r="W365" s="371">
        <f>Q365/'2018'!Q365-1</f>
        <v>-7.7665930093533508E-2</v>
      </c>
      <c r="X365" s="371">
        <f>R365/'2018'!R365-1</f>
        <v>-6.9190638527078629E-2</v>
      </c>
      <c r="Y365" s="372">
        <f>S365/'2018'!S365-1</f>
        <v>-7.6830587005515594E-2</v>
      </c>
      <c r="Z365" s="373"/>
      <c r="AA365" s="374">
        <f t="shared" si="118"/>
        <v>2030.855188</v>
      </c>
      <c r="AB365" s="375"/>
      <c r="AC365" s="365"/>
      <c r="AD365" s="375">
        <f t="shared" si="120"/>
        <v>21438289.599999998</v>
      </c>
      <c r="AE365" s="348">
        <f t="shared" si="132"/>
        <v>206858.22</v>
      </c>
      <c r="AF365" s="348">
        <f t="shared" si="132"/>
        <v>641604.93999999994</v>
      </c>
      <c r="AG365" s="365">
        <f t="shared" si="123"/>
        <v>281274.55999999889</v>
      </c>
      <c r="AH365" s="357"/>
      <c r="AI365" s="358"/>
      <c r="AJ365" s="358"/>
      <c r="AK365" s="358"/>
      <c r="AL365" s="358"/>
      <c r="AM365" s="358"/>
      <c r="AN365" s="358"/>
      <c r="AO365" s="358"/>
      <c r="AP365" s="358"/>
      <c r="AQ365" s="358"/>
      <c r="AR365" s="358"/>
      <c r="AS365" s="358"/>
      <c r="AT365" s="358"/>
      <c r="AU365" s="358"/>
      <c r="AV365" s="358"/>
      <c r="AW365" s="358"/>
      <c r="AX365" s="358"/>
      <c r="AY365" s="358"/>
      <c r="AZ365" s="358"/>
      <c r="BA365" s="358"/>
      <c r="BB365" s="358"/>
      <c r="BC365" s="358"/>
    </row>
    <row r="366" spans="1:55" s="376" customFormat="1" x14ac:dyDescent="0.15">
      <c r="A366" s="377">
        <v>43096</v>
      </c>
      <c r="B366" s="457" t="s">
        <v>38</v>
      </c>
      <c r="C366" s="361"/>
      <c r="D366" s="348"/>
      <c r="E366" s="348"/>
      <c r="F366" s="362"/>
      <c r="G366" s="348"/>
      <c r="H366" s="363"/>
      <c r="I366" s="363"/>
      <c r="J366" s="364">
        <f t="shared" si="117"/>
        <v>0</v>
      </c>
      <c r="K366" s="348"/>
      <c r="L366" s="348"/>
      <c r="M366" s="365">
        <f t="shared" si="119"/>
        <v>0</v>
      </c>
      <c r="N366" s="366">
        <f t="shared" si="131"/>
        <v>0</v>
      </c>
      <c r="O366" s="349">
        <f t="shared" si="131"/>
        <v>0</v>
      </c>
      <c r="P366" s="353">
        <f t="shared" si="131"/>
        <v>0</v>
      </c>
      <c r="Q366" s="368">
        <f t="shared" si="129"/>
        <v>20308551.879999999</v>
      </c>
      <c r="R366" s="367">
        <f t="shared" si="129"/>
        <v>13799837.800000001</v>
      </c>
      <c r="S366" s="369">
        <f t="shared" si="129"/>
        <v>35238127.399999999</v>
      </c>
      <c r="T366" s="370">
        <f>N366/'2018'!N366-1</f>
        <v>-1</v>
      </c>
      <c r="U366" s="371">
        <f>O366/'2018'!O366-1</f>
        <v>-1</v>
      </c>
      <c r="V366" s="371">
        <f>P366/'2018'!P366-1</f>
        <v>-1</v>
      </c>
      <c r="W366" s="371">
        <f>Q366/'2018'!Q366-1</f>
        <v>-8.0880415948945683E-2</v>
      </c>
      <c r="X366" s="371">
        <f>R366/'2018'!R366-1</f>
        <v>-7.1569948190572164E-2</v>
      </c>
      <c r="Y366" s="372">
        <f>S366/'2018'!S366-1</f>
        <v>-7.9719319533584909E-2</v>
      </c>
      <c r="Z366" s="373"/>
      <c r="AA366" s="374">
        <f t="shared" si="118"/>
        <v>2030.855188</v>
      </c>
      <c r="AB366" s="375"/>
      <c r="AC366" s="365"/>
      <c r="AD366" s="375">
        <f t="shared" si="120"/>
        <v>21438289.599999998</v>
      </c>
      <c r="AE366" s="348">
        <f t="shared" si="132"/>
        <v>206858.22</v>
      </c>
      <c r="AF366" s="348">
        <f t="shared" si="132"/>
        <v>641604.93999999994</v>
      </c>
      <c r="AG366" s="365">
        <f t="shared" si="123"/>
        <v>281274.55999999889</v>
      </c>
      <c r="AH366" s="357"/>
      <c r="AI366" s="358"/>
      <c r="AJ366" s="358"/>
      <c r="AK366" s="358"/>
      <c r="AL366" s="358"/>
      <c r="AM366" s="358"/>
      <c r="AN366" s="358"/>
      <c r="AO366" s="358"/>
      <c r="AP366" s="358"/>
      <c r="AQ366" s="358"/>
      <c r="AR366" s="358"/>
      <c r="AS366" s="358"/>
      <c r="AT366" s="358"/>
      <c r="AU366" s="358"/>
      <c r="AV366" s="358"/>
      <c r="AW366" s="358"/>
      <c r="AX366" s="358"/>
      <c r="AY366" s="358"/>
      <c r="AZ366" s="358"/>
      <c r="BA366" s="358"/>
      <c r="BB366" s="358"/>
      <c r="BC366" s="358"/>
    </row>
    <row r="367" spans="1:55" s="376" customFormat="1" x14ac:dyDescent="0.15">
      <c r="A367" s="377">
        <v>43097</v>
      </c>
      <c r="B367" s="457" t="s">
        <v>39</v>
      </c>
      <c r="C367" s="361"/>
      <c r="D367" s="348"/>
      <c r="E367" s="348"/>
      <c r="F367" s="362"/>
      <c r="G367" s="348"/>
      <c r="H367" s="363"/>
      <c r="I367" s="363"/>
      <c r="J367" s="364">
        <f t="shared" si="117"/>
        <v>0</v>
      </c>
      <c r="K367" s="348"/>
      <c r="L367" s="348"/>
      <c r="M367" s="365">
        <f t="shared" si="119"/>
        <v>0</v>
      </c>
      <c r="N367" s="366">
        <f t="shared" si="131"/>
        <v>0</v>
      </c>
      <c r="O367" s="349">
        <f t="shared" si="131"/>
        <v>0</v>
      </c>
      <c r="P367" s="353">
        <f t="shared" si="131"/>
        <v>0</v>
      </c>
      <c r="Q367" s="368">
        <f t="shared" si="129"/>
        <v>20308551.879999999</v>
      </c>
      <c r="R367" s="367">
        <f t="shared" si="129"/>
        <v>13799837.800000001</v>
      </c>
      <c r="S367" s="369">
        <f t="shared" si="129"/>
        <v>35238127.399999999</v>
      </c>
      <c r="T367" s="370">
        <f>N367/'2018'!N367-1</f>
        <v>-1</v>
      </c>
      <c r="U367" s="371">
        <f>O367/'2018'!O367-1</f>
        <v>-1</v>
      </c>
      <c r="V367" s="371">
        <f>P367/'2018'!P367-1</f>
        <v>-1</v>
      </c>
      <c r="W367" s="371">
        <f>Q367/'2018'!Q367-1</f>
        <v>-8.4316850317649794E-2</v>
      </c>
      <c r="X367" s="371">
        <f>R367/'2018'!R367-1</f>
        <v>-7.3964778762418248E-2</v>
      </c>
      <c r="Y367" s="372">
        <f>S367/'2018'!S367-1</f>
        <v>-8.2744129976711989E-2</v>
      </c>
      <c r="Z367" s="373"/>
      <c r="AA367" s="374">
        <f t="shared" si="118"/>
        <v>2030.855188</v>
      </c>
      <c r="AB367" s="375"/>
      <c r="AC367" s="365"/>
      <c r="AD367" s="375">
        <f t="shared" si="120"/>
        <v>21438289.599999998</v>
      </c>
      <c r="AE367" s="348">
        <f t="shared" si="132"/>
        <v>206858.22</v>
      </c>
      <c r="AF367" s="348">
        <f t="shared" si="132"/>
        <v>641604.93999999994</v>
      </c>
      <c r="AG367" s="365">
        <f t="shared" si="123"/>
        <v>281274.55999999889</v>
      </c>
      <c r="AH367" s="357"/>
      <c r="AI367" s="358"/>
      <c r="AJ367" s="358"/>
      <c r="AK367" s="358"/>
      <c r="AL367" s="358"/>
      <c r="AM367" s="358"/>
      <c r="AN367" s="358"/>
      <c r="AO367" s="358"/>
      <c r="AP367" s="358"/>
      <c r="AQ367" s="358"/>
      <c r="AR367" s="358"/>
      <c r="AS367" s="358"/>
      <c r="AT367" s="358"/>
      <c r="AU367" s="358"/>
      <c r="AV367" s="358"/>
      <c r="AW367" s="358"/>
      <c r="AX367" s="358"/>
      <c r="AY367" s="358"/>
      <c r="AZ367" s="358"/>
      <c r="BA367" s="358"/>
      <c r="BB367" s="358"/>
      <c r="BC367" s="358"/>
    </row>
    <row r="368" spans="1:55" s="376" customFormat="1" x14ac:dyDescent="0.15">
      <c r="A368" s="377">
        <v>43098</v>
      </c>
      <c r="B368" s="457" t="s">
        <v>1</v>
      </c>
      <c r="C368" s="361"/>
      <c r="D368" s="348"/>
      <c r="E368" s="348"/>
      <c r="F368" s="362"/>
      <c r="G368" s="348"/>
      <c r="H368" s="363"/>
      <c r="I368" s="363"/>
      <c r="J368" s="364">
        <f t="shared" si="117"/>
        <v>0</v>
      </c>
      <c r="K368" s="348"/>
      <c r="L368" s="348"/>
      <c r="M368" s="365">
        <f t="shared" si="119"/>
        <v>0</v>
      </c>
      <c r="N368" s="366">
        <f t="shared" si="131"/>
        <v>0</v>
      </c>
      <c r="O368" s="349">
        <f t="shared" si="131"/>
        <v>0</v>
      </c>
      <c r="P368" s="353">
        <f t="shared" si="131"/>
        <v>0</v>
      </c>
      <c r="Q368" s="368">
        <f t="shared" si="129"/>
        <v>20308551.879999999</v>
      </c>
      <c r="R368" s="367">
        <f t="shared" si="129"/>
        <v>13799837.800000001</v>
      </c>
      <c r="S368" s="369">
        <f t="shared" si="129"/>
        <v>35238127.399999999</v>
      </c>
      <c r="T368" s="370">
        <f>N368/'2018'!N368-1</f>
        <v>-1</v>
      </c>
      <c r="U368" s="371">
        <f>O368/'2018'!O368-1</f>
        <v>-1</v>
      </c>
      <c r="V368" s="371">
        <f>P368/'2018'!P368-1</f>
        <v>-1</v>
      </c>
      <c r="W368" s="371">
        <f>Q368/'2018'!Q368-1</f>
        <v>-8.7720225508928773E-2</v>
      </c>
      <c r="X368" s="371">
        <f>R368/'2018'!R368-1</f>
        <v>-7.6349821169183762E-2</v>
      </c>
      <c r="Y368" s="372">
        <f>S368/'2018'!S368-1</f>
        <v>-8.5763377062785251E-2</v>
      </c>
      <c r="Z368" s="373"/>
      <c r="AA368" s="374">
        <f t="shared" si="118"/>
        <v>2030.855188</v>
      </c>
      <c r="AB368" s="375"/>
      <c r="AC368" s="365"/>
      <c r="AD368" s="375">
        <f t="shared" si="120"/>
        <v>21438289.599999998</v>
      </c>
      <c r="AE368" s="348">
        <f t="shared" si="132"/>
        <v>206858.22</v>
      </c>
      <c r="AF368" s="348">
        <f t="shared" si="132"/>
        <v>641604.93999999994</v>
      </c>
      <c r="AG368" s="365">
        <f t="shared" si="123"/>
        <v>281274.55999999889</v>
      </c>
      <c r="AH368" s="357"/>
      <c r="AI368" s="358"/>
      <c r="AJ368" s="358"/>
      <c r="AK368" s="358"/>
      <c r="AL368" s="358"/>
      <c r="AM368" s="358"/>
      <c r="AN368" s="358"/>
      <c r="AO368" s="358"/>
      <c r="AP368" s="358"/>
      <c r="AQ368" s="358"/>
      <c r="AR368" s="358"/>
      <c r="AS368" s="358"/>
      <c r="AT368" s="358"/>
      <c r="AU368" s="358"/>
      <c r="AV368" s="358"/>
      <c r="AW368" s="358"/>
      <c r="AX368" s="358"/>
      <c r="AY368" s="358"/>
      <c r="AZ368" s="358"/>
      <c r="BA368" s="358"/>
      <c r="BB368" s="358"/>
      <c r="BC368" s="358"/>
    </row>
    <row r="369" spans="1:55" s="376" customFormat="1" ht="15" customHeight="1" x14ac:dyDescent="0.15">
      <c r="A369" s="377">
        <v>43099</v>
      </c>
      <c r="B369" s="457" t="s">
        <v>34</v>
      </c>
      <c r="C369" s="361"/>
      <c r="D369" s="348"/>
      <c r="E369" s="348"/>
      <c r="F369" s="362"/>
      <c r="G369" s="348"/>
      <c r="H369" s="363"/>
      <c r="I369" s="363"/>
      <c r="J369" s="364">
        <f t="shared" si="117"/>
        <v>0</v>
      </c>
      <c r="K369" s="348"/>
      <c r="L369" s="348"/>
      <c r="M369" s="365">
        <f t="shared" si="119"/>
        <v>0</v>
      </c>
      <c r="N369" s="366">
        <f t="shared" si="131"/>
        <v>0</v>
      </c>
      <c r="O369" s="349">
        <f t="shared" si="131"/>
        <v>0</v>
      </c>
      <c r="P369" s="353">
        <f t="shared" si="131"/>
        <v>0</v>
      </c>
      <c r="Q369" s="368">
        <f t="shared" si="129"/>
        <v>20308551.879999999</v>
      </c>
      <c r="R369" s="367">
        <f t="shared" si="129"/>
        <v>13799837.800000001</v>
      </c>
      <c r="S369" s="369">
        <f t="shared" si="129"/>
        <v>35238127.399999999</v>
      </c>
      <c r="T369" s="370">
        <f>N369/'2018'!N369-1</f>
        <v>-1</v>
      </c>
      <c r="U369" s="371">
        <f>O369/'2018'!O369-1</f>
        <v>-1</v>
      </c>
      <c r="V369" s="371">
        <f>P369/'2018'!P369-1</f>
        <v>-1</v>
      </c>
      <c r="W369" s="371">
        <f>Q369/'2018'!Q369-1</f>
        <v>-9.1183647466796414E-2</v>
      </c>
      <c r="X369" s="371">
        <f>R369/'2018'!R369-1</f>
        <v>-7.867198860466762E-2</v>
      </c>
      <c r="Y369" s="372">
        <f>S369/'2018'!S369-1</f>
        <v>-8.8787130458462871E-2</v>
      </c>
      <c r="Z369" s="373"/>
      <c r="AA369" s="374">
        <f t="shared" si="118"/>
        <v>2030.855188</v>
      </c>
      <c r="AB369" s="375"/>
      <c r="AC369" s="365"/>
      <c r="AD369" s="375">
        <f t="shared" si="120"/>
        <v>21438289.599999998</v>
      </c>
      <c r="AE369" s="348">
        <f t="shared" si="132"/>
        <v>206858.22</v>
      </c>
      <c r="AF369" s="348">
        <f t="shared" si="132"/>
        <v>641604.93999999994</v>
      </c>
      <c r="AG369" s="365">
        <f t="shared" si="123"/>
        <v>281274.55999999889</v>
      </c>
      <c r="AH369" s="357"/>
      <c r="AI369" s="358"/>
      <c r="AJ369" s="358"/>
      <c r="AK369" s="358"/>
      <c r="AL369" s="358"/>
      <c r="AM369" s="358"/>
      <c r="AN369" s="358"/>
      <c r="AO369" s="358"/>
      <c r="AP369" s="358"/>
      <c r="AQ369" s="358"/>
      <c r="AR369" s="358"/>
      <c r="AS369" s="358"/>
      <c r="AT369" s="358"/>
      <c r="AU369" s="358"/>
      <c r="AV369" s="358"/>
      <c r="AW369" s="358"/>
      <c r="AX369" s="358"/>
      <c r="AY369" s="358"/>
      <c r="AZ369" s="358"/>
      <c r="BA369" s="358"/>
      <c r="BB369" s="358"/>
      <c r="BC369" s="358"/>
    </row>
    <row r="370" spans="1:55" s="376" customFormat="1" ht="15" customHeight="1" thickBot="1" x14ac:dyDescent="0.2">
      <c r="A370" s="403">
        <v>43100</v>
      </c>
      <c r="B370" s="380" t="s">
        <v>70</v>
      </c>
      <c r="C370" s="420"/>
      <c r="D370" s="421"/>
      <c r="E370" s="421"/>
      <c r="F370" s="422"/>
      <c r="G370" s="421"/>
      <c r="H370" s="423"/>
      <c r="I370" s="423"/>
      <c r="J370" s="424">
        <f t="shared" si="117"/>
        <v>0</v>
      </c>
      <c r="K370" s="421"/>
      <c r="L370" s="421"/>
      <c r="M370" s="425">
        <f t="shared" si="119"/>
        <v>0</v>
      </c>
      <c r="N370" s="426">
        <f t="shared" ref="N370" si="133">N369+C370</f>
        <v>0</v>
      </c>
      <c r="O370" s="427">
        <f t="shared" ref="O370" si="134">O369+D370</f>
        <v>0</v>
      </c>
      <c r="P370" s="428">
        <f t="shared" ref="P370" si="135">P369+E370</f>
        <v>0</v>
      </c>
      <c r="Q370" s="429">
        <f>[11]表2、统调口径电量!$I$10</f>
        <v>22428083.52</v>
      </c>
      <c r="R370" s="430">
        <f>[11]表2、统调口径电量!$I$14</f>
        <v>15015234.800000001</v>
      </c>
      <c r="S370" s="431">
        <f>[11]表2、统调口径电量!$I$3</f>
        <v>38795496.140000001</v>
      </c>
      <c r="T370" s="432">
        <f>N370/'2018'!N370-1</f>
        <v>-1</v>
      </c>
      <c r="U370" s="433">
        <f>O370/'2018'!O370-1</f>
        <v>-1</v>
      </c>
      <c r="V370" s="433">
        <f>P370/'2018'!P370-1</f>
        <v>-1</v>
      </c>
      <c r="W370" s="433">
        <f>Q370/'2018'!Q370-1</f>
        <v>0</v>
      </c>
      <c r="X370" s="433">
        <f>R370/'2018'!R370-1</f>
        <v>0</v>
      </c>
      <c r="Y370" s="434">
        <f>S370/'2018'!S370-1</f>
        <v>0</v>
      </c>
      <c r="Z370" s="435"/>
      <c r="AA370" s="436">
        <f>[11]表2、统调口径电量!$I$11/10000</f>
        <v>2092.3412210000001</v>
      </c>
      <c r="AB370" s="437">
        <v>4286.88</v>
      </c>
      <c r="AC370" s="425">
        <f t="shared" si="127"/>
        <v>4880.8019375396561</v>
      </c>
      <c r="AD370" s="437">
        <f>[11]表2、统调口径电量!$I$4</f>
        <v>23780261.34</v>
      </c>
      <c r="AE370" s="421">
        <f>[11]表2、统调口径电量!$I$13</f>
        <v>225160.47</v>
      </c>
      <c r="AF370" s="421">
        <f>[11]表2、统调口径电量!$I$17</f>
        <v>826835.81</v>
      </c>
      <c r="AG370" s="425">
        <f t="shared" si="123"/>
        <v>300181.54000000027</v>
      </c>
      <c r="AH370" s="357"/>
      <c r="AI370" s="358"/>
      <c r="AJ370" s="358"/>
      <c r="AK370" s="358"/>
      <c r="AL370" s="358"/>
      <c r="AM370" s="358"/>
      <c r="AN370" s="358"/>
      <c r="AO370" s="358"/>
      <c r="AP370" s="358"/>
      <c r="AQ370" s="358"/>
      <c r="AR370" s="358"/>
      <c r="AS370" s="358"/>
      <c r="AT370" s="358"/>
      <c r="AU370" s="358"/>
      <c r="AV370" s="358"/>
      <c r="AW370" s="358"/>
      <c r="AX370" s="358"/>
      <c r="AY370" s="358"/>
      <c r="AZ370" s="358"/>
      <c r="BA370" s="358"/>
      <c r="BB370" s="358"/>
      <c r="BC370" s="358"/>
    </row>
    <row r="371" spans="1:55" s="445" customFormat="1" ht="15" customHeight="1" x14ac:dyDescent="0.15">
      <c r="A371" s="438" t="s">
        <v>40</v>
      </c>
      <c r="B371" s="438"/>
      <c r="C371" s="439">
        <f>MAX(C5:C370)</f>
        <v>79444</v>
      </c>
      <c r="D371" s="439">
        <f t="shared" ref="D371:M371" si="136">MAX(D5:D370)</f>
        <v>46976</v>
      </c>
      <c r="E371" s="439">
        <f t="shared" si="136"/>
        <v>130230</v>
      </c>
      <c r="F371" s="439">
        <f t="shared" si="136"/>
        <v>6664</v>
      </c>
      <c r="G371" s="439">
        <f t="shared" si="136"/>
        <v>3974.2</v>
      </c>
      <c r="H371" s="439">
        <f t="shared" si="136"/>
        <v>5069</v>
      </c>
      <c r="I371" s="439">
        <f t="shared" si="136"/>
        <v>0</v>
      </c>
      <c r="J371" s="439">
        <f t="shared" si="136"/>
        <v>84474</v>
      </c>
      <c r="K371" s="439">
        <f t="shared" si="136"/>
        <v>2766.15</v>
      </c>
      <c r="L371" s="439">
        <f t="shared" si="136"/>
        <v>3866</v>
      </c>
      <c r="M371" s="439">
        <f t="shared" si="136"/>
        <v>2163</v>
      </c>
      <c r="N371" s="439"/>
      <c r="O371" s="440"/>
      <c r="P371" s="440"/>
      <c r="Q371" s="440"/>
      <c r="R371" s="440"/>
      <c r="S371" s="440"/>
      <c r="T371" s="440"/>
      <c r="U371" s="440"/>
      <c r="V371" s="440"/>
      <c r="W371" s="440"/>
      <c r="X371" s="440"/>
      <c r="Y371" s="440"/>
      <c r="Z371" s="441"/>
      <c r="AA371" s="441"/>
      <c r="AB371" s="442"/>
      <c r="AC371" s="442"/>
      <c r="AD371" s="442"/>
      <c r="AE371" s="442"/>
      <c r="AF371" s="442"/>
      <c r="AG371" s="442"/>
      <c r="AH371" s="443"/>
      <c r="AI371" s="444"/>
      <c r="AJ371" s="444"/>
      <c r="AK371" s="444"/>
      <c r="AL371" s="444"/>
      <c r="AM371" s="444"/>
      <c r="AN371" s="444"/>
      <c r="AO371" s="444"/>
      <c r="AP371" s="444"/>
      <c r="AQ371" s="444"/>
      <c r="AR371" s="444"/>
      <c r="AS371" s="444"/>
      <c r="AT371" s="444"/>
      <c r="AU371" s="444"/>
      <c r="AV371" s="444"/>
      <c r="AW371" s="444"/>
      <c r="AX371" s="444"/>
      <c r="AY371" s="444"/>
      <c r="AZ371" s="444"/>
      <c r="BA371" s="444"/>
      <c r="BB371" s="444"/>
      <c r="BC371" s="444"/>
    </row>
    <row r="372" spans="1:55" s="376" customFormat="1" x14ac:dyDescent="0.15">
      <c r="A372" s="358"/>
      <c r="B372" s="358"/>
      <c r="C372" s="411">
        <f>AVERAGE(C5:C370)</f>
        <v>53174.880144927542</v>
      </c>
      <c r="D372" s="411">
        <f t="shared" ref="D372:M372" si="137">AVERAGE(D5:D370)</f>
        <v>35010.202898550728</v>
      </c>
      <c r="E372" s="411">
        <f t="shared" si="137"/>
        <v>93292.202173913043</v>
      </c>
      <c r="F372" s="411">
        <f t="shared" si="137"/>
        <v>4707.7956521739152</v>
      </c>
      <c r="G372" s="411">
        <f t="shared" si="137"/>
        <v>2880.5811594202905</v>
      </c>
      <c r="H372" s="411">
        <f t="shared" si="137"/>
        <v>4798.5714285714284</v>
      </c>
      <c r="I372" s="411" t="e">
        <f t="shared" si="137"/>
        <v>#DIV/0!</v>
      </c>
      <c r="J372" s="411">
        <f t="shared" si="137"/>
        <v>11017.693013698632</v>
      </c>
      <c r="K372" s="411">
        <f t="shared" si="137"/>
        <v>953.9082608695652</v>
      </c>
      <c r="L372" s="411">
        <f t="shared" si="137"/>
        <v>3547.5424637681153</v>
      </c>
      <c r="M372" s="411">
        <f t="shared" si="137"/>
        <v>114.49621917808214</v>
      </c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  <c r="AF372" s="358"/>
      <c r="AG372" s="358"/>
      <c r="AH372" s="357"/>
      <c r="AI372" s="358"/>
      <c r="AJ372" s="358"/>
      <c r="AK372" s="358"/>
      <c r="AL372" s="358"/>
      <c r="AM372" s="358"/>
      <c r="AN372" s="358"/>
      <c r="AO372" s="358"/>
      <c r="AP372" s="358"/>
      <c r="AQ372" s="358"/>
      <c r="AR372" s="358"/>
      <c r="AS372" s="358"/>
      <c r="AT372" s="358"/>
      <c r="AU372" s="358"/>
      <c r="AV372" s="358"/>
      <c r="AW372" s="358"/>
      <c r="AX372" s="358"/>
      <c r="AY372" s="358"/>
      <c r="AZ372" s="358"/>
      <c r="BA372" s="358"/>
      <c r="BB372" s="358"/>
      <c r="BC372" s="358"/>
    </row>
    <row r="373" spans="1:55" s="376" customFormat="1" x14ac:dyDescent="0.15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  <c r="AF373" s="358"/>
      <c r="AG373" s="358"/>
      <c r="AH373" s="357"/>
      <c r="AI373" s="358"/>
      <c r="AJ373" s="358"/>
      <c r="AK373" s="358"/>
      <c r="AL373" s="358"/>
      <c r="AM373" s="358"/>
      <c r="AN373" s="358"/>
      <c r="AO373" s="358"/>
      <c r="AP373" s="358"/>
      <c r="AQ373" s="358"/>
      <c r="AR373" s="358"/>
      <c r="AS373" s="358"/>
      <c r="AT373" s="358"/>
      <c r="AU373" s="358"/>
      <c r="AV373" s="358"/>
      <c r="AW373" s="358"/>
      <c r="AX373" s="358"/>
      <c r="AY373" s="358"/>
      <c r="AZ373" s="358"/>
      <c r="BA373" s="358"/>
      <c r="BB373" s="358"/>
      <c r="BC373" s="358"/>
    </row>
    <row r="374" spans="1:55" s="376" customFormat="1" x14ac:dyDescent="0.15">
      <c r="A374" s="358"/>
      <c r="B374" s="358"/>
      <c r="C374" s="358"/>
      <c r="D374" s="358"/>
      <c r="E374" s="358"/>
      <c r="F374" s="358"/>
      <c r="G374" s="358"/>
      <c r="H374" s="358"/>
      <c r="I374" s="358" t="e">
        <f>I372/H372</f>
        <v>#DIV/0!</v>
      </c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  <c r="AF374" s="358"/>
      <c r="AG374" s="358"/>
      <c r="AH374" s="357"/>
      <c r="AI374" s="358"/>
      <c r="AJ374" s="358"/>
      <c r="AK374" s="358"/>
      <c r="AL374" s="358"/>
      <c r="AM374" s="358"/>
      <c r="AN374" s="358"/>
      <c r="AO374" s="358"/>
      <c r="AP374" s="358"/>
      <c r="AQ374" s="358"/>
      <c r="AR374" s="358"/>
      <c r="AS374" s="358"/>
      <c r="AT374" s="358"/>
      <c r="AU374" s="358"/>
      <c r="AV374" s="358"/>
      <c r="AW374" s="358"/>
      <c r="AX374" s="358"/>
      <c r="AY374" s="358"/>
      <c r="AZ374" s="358"/>
      <c r="BA374" s="358"/>
      <c r="BB374" s="358"/>
      <c r="BC374" s="358"/>
    </row>
    <row r="375" spans="1:55" s="376" customFormat="1" hidden="1" x14ac:dyDescent="0.15">
      <c r="A375" s="358" t="s">
        <v>41</v>
      </c>
      <c r="B375" s="358"/>
      <c r="C375" s="363">
        <f>MAX(C5:C35)</f>
        <v>79444</v>
      </c>
      <c r="D375" s="363">
        <f t="shared" ref="D375:AC375" si="138">MAX(D5:D35)</f>
        <v>46976</v>
      </c>
      <c r="E375" s="363">
        <f t="shared" si="138"/>
        <v>130230</v>
      </c>
      <c r="F375" s="362">
        <f t="shared" si="138"/>
        <v>6664</v>
      </c>
      <c r="G375" s="363">
        <f t="shared" si="138"/>
        <v>3944</v>
      </c>
      <c r="H375" s="363">
        <f t="shared" si="138"/>
        <v>0</v>
      </c>
      <c r="I375" s="363">
        <f t="shared" si="138"/>
        <v>0</v>
      </c>
      <c r="J375" s="363">
        <f t="shared" si="138"/>
        <v>84474</v>
      </c>
      <c r="K375" s="363">
        <f>SUM(K5:K35)</f>
        <v>15805.160000000002</v>
      </c>
      <c r="L375" s="363">
        <f>SUM(L5:L35)</f>
        <v>119195.15999999999</v>
      </c>
      <c r="M375" s="363"/>
      <c r="N375" s="363">
        <f t="shared" si="138"/>
        <v>1835074.72</v>
      </c>
      <c r="O375" s="363">
        <f t="shared" si="138"/>
        <v>1278537</v>
      </c>
      <c r="P375" s="363">
        <f t="shared" si="138"/>
        <v>3269642.36</v>
      </c>
      <c r="Q375" s="363">
        <f t="shared" si="138"/>
        <v>1835074.72</v>
      </c>
      <c r="R375" s="363">
        <f t="shared" si="138"/>
        <v>1278537</v>
      </c>
      <c r="S375" s="363">
        <f t="shared" si="138"/>
        <v>3269642.36</v>
      </c>
      <c r="T375" s="363"/>
      <c r="U375" s="363"/>
      <c r="V375" s="363"/>
      <c r="W375" s="363"/>
      <c r="X375" s="363"/>
      <c r="Y375" s="363"/>
      <c r="Z375" s="446">
        <f t="shared" si="138"/>
        <v>9.2071960000000015</v>
      </c>
      <c r="AA375" s="446">
        <f t="shared" si="138"/>
        <v>181.18378000000001</v>
      </c>
      <c r="AB375" s="363">
        <f t="shared" si="138"/>
        <v>4259.88</v>
      </c>
      <c r="AC375" s="363">
        <f t="shared" si="138"/>
        <v>409.16710329868448</v>
      </c>
      <c r="AH375" s="359"/>
    </row>
    <row r="376" spans="1:55" s="376" customFormat="1" hidden="1" x14ac:dyDescent="0.15">
      <c r="A376" s="358" t="s">
        <v>42</v>
      </c>
      <c r="B376" s="358"/>
      <c r="C376" s="363">
        <f>MAX(C36:C64)</f>
        <v>67498</v>
      </c>
      <c r="D376" s="363">
        <f t="shared" ref="D376:AC376" si="139">MAX(D36:D64)</f>
        <v>36520</v>
      </c>
      <c r="E376" s="363">
        <f t="shared" si="139"/>
        <v>109409</v>
      </c>
      <c r="F376" s="362">
        <f t="shared" si="139"/>
        <v>5673.5</v>
      </c>
      <c r="G376" s="363">
        <f t="shared" si="139"/>
        <v>3974.2</v>
      </c>
      <c r="H376" s="363">
        <f t="shared" si="139"/>
        <v>0</v>
      </c>
      <c r="I376" s="363">
        <f t="shared" si="139"/>
        <v>0</v>
      </c>
      <c r="J376" s="363">
        <f t="shared" si="139"/>
        <v>73702</v>
      </c>
      <c r="K376" s="363">
        <f>SUM(K36:K64)</f>
        <v>27775.360000000001</v>
      </c>
      <c r="L376" s="363">
        <f>SUM(L36:L64)</f>
        <v>87117.560000000012</v>
      </c>
      <c r="M376" s="363"/>
      <c r="N376" s="363">
        <f t="shared" si="139"/>
        <v>1217041.58</v>
      </c>
      <c r="O376" s="363">
        <f t="shared" si="139"/>
        <v>748897</v>
      </c>
      <c r="P376" s="363">
        <f t="shared" si="139"/>
        <v>2098093.06</v>
      </c>
      <c r="Q376" s="363">
        <f t="shared" si="139"/>
        <v>3052116.3</v>
      </c>
      <c r="R376" s="363">
        <f t="shared" si="139"/>
        <v>2027434</v>
      </c>
      <c r="S376" s="363">
        <f t="shared" si="139"/>
        <v>5367735.42</v>
      </c>
      <c r="T376" s="363"/>
      <c r="U376" s="363"/>
      <c r="V376" s="363"/>
      <c r="W376" s="363"/>
      <c r="X376" s="363"/>
      <c r="Y376" s="363"/>
      <c r="Z376" s="446">
        <f t="shared" si="139"/>
        <v>20.403339000000003</v>
      </c>
      <c r="AA376" s="446">
        <f t="shared" si="139"/>
        <v>298.76925499999999</v>
      </c>
      <c r="AB376" s="363">
        <f t="shared" si="139"/>
        <v>4259.88</v>
      </c>
      <c r="AC376" s="363">
        <f t="shared" si="139"/>
        <v>668.58289670131535</v>
      </c>
      <c r="AH376" s="359"/>
    </row>
    <row r="377" spans="1:55" s="376" customFormat="1" hidden="1" x14ac:dyDescent="0.15">
      <c r="A377" s="358" t="s">
        <v>43</v>
      </c>
      <c r="B377" s="358"/>
      <c r="C377" s="363">
        <f>MAX(C65:C95)</f>
        <v>65791</v>
      </c>
      <c r="D377" s="363">
        <f t="shared" ref="D377:AC377" si="140">MAX(D65:D95)</f>
        <v>40485</v>
      </c>
      <c r="E377" s="363">
        <f t="shared" si="140"/>
        <v>110843</v>
      </c>
      <c r="F377" s="362">
        <f t="shared" si="140"/>
        <v>5785.3</v>
      </c>
      <c r="G377" s="363">
        <f t="shared" si="140"/>
        <v>3530.3</v>
      </c>
      <c r="H377" s="363">
        <f t="shared" si="140"/>
        <v>0</v>
      </c>
      <c r="I377" s="363">
        <f t="shared" si="140"/>
        <v>0</v>
      </c>
      <c r="J377" s="363">
        <f t="shared" si="140"/>
        <v>71964</v>
      </c>
      <c r="K377" s="363">
        <f>SUM(K65:K95)</f>
        <v>22239.15</v>
      </c>
      <c r="L377" s="363">
        <f>SUM(L65:L95)</f>
        <v>38467.71</v>
      </c>
      <c r="M377" s="363"/>
      <c r="N377" s="363">
        <f t="shared" si="140"/>
        <v>616893.36</v>
      </c>
      <c r="O377" s="363">
        <f t="shared" si="140"/>
        <v>388269</v>
      </c>
      <c r="P377" s="363">
        <f t="shared" si="140"/>
        <v>1073075.29</v>
      </c>
      <c r="Q377" s="363">
        <f t="shared" si="140"/>
        <v>3669009.6599999997</v>
      </c>
      <c r="R377" s="363">
        <f t="shared" si="140"/>
        <v>2415703</v>
      </c>
      <c r="S377" s="363">
        <f t="shared" si="140"/>
        <v>6440810.71</v>
      </c>
      <c r="T377" s="363"/>
      <c r="U377" s="363"/>
      <c r="V377" s="363"/>
      <c r="W377" s="363"/>
      <c r="X377" s="363"/>
      <c r="Y377" s="363"/>
      <c r="Z377" s="446">
        <f t="shared" si="140"/>
        <v>22.32</v>
      </c>
      <c r="AA377" s="446">
        <f t="shared" si="140"/>
        <v>366.90096599999998</v>
      </c>
      <c r="AB377" s="363">
        <f t="shared" si="140"/>
        <v>4259.88</v>
      </c>
      <c r="AC377" s="363">
        <f t="shared" si="140"/>
        <v>765.85247941256557</v>
      </c>
      <c r="AH377" s="359"/>
    </row>
    <row r="378" spans="1:55" s="376" customFormat="1" hidden="1" x14ac:dyDescent="0.15">
      <c r="A378" s="358" t="s">
        <v>44</v>
      </c>
      <c r="B378" s="358"/>
      <c r="C378" s="363">
        <f>MAX(C96:C125)</f>
        <v>0</v>
      </c>
      <c r="D378" s="363">
        <f t="shared" ref="D378:AC378" si="141">MAX(D96:D125)</f>
        <v>0</v>
      </c>
      <c r="E378" s="363">
        <f t="shared" si="141"/>
        <v>0</v>
      </c>
      <c r="F378" s="362">
        <f t="shared" si="141"/>
        <v>0</v>
      </c>
      <c r="G378" s="363">
        <f t="shared" si="141"/>
        <v>0</v>
      </c>
      <c r="H378" s="363">
        <f t="shared" si="141"/>
        <v>0</v>
      </c>
      <c r="I378" s="363">
        <f t="shared" si="141"/>
        <v>0</v>
      </c>
      <c r="J378" s="363">
        <f t="shared" si="141"/>
        <v>0</v>
      </c>
      <c r="K378" s="363">
        <f>SUM(K96:K125)</f>
        <v>0</v>
      </c>
      <c r="L378" s="363">
        <f>SUM(L96:L125)</f>
        <v>0</v>
      </c>
      <c r="M378" s="363"/>
      <c r="N378" s="363">
        <f t="shared" si="141"/>
        <v>0</v>
      </c>
      <c r="O378" s="363">
        <f t="shared" si="141"/>
        <v>0</v>
      </c>
      <c r="P378" s="363">
        <f t="shared" si="141"/>
        <v>0</v>
      </c>
      <c r="Q378" s="363">
        <f t="shared" si="141"/>
        <v>7390704.4800000004</v>
      </c>
      <c r="R378" s="363">
        <f t="shared" si="141"/>
        <v>3745318</v>
      </c>
      <c r="S378" s="363">
        <f t="shared" si="141"/>
        <v>11317748.98</v>
      </c>
      <c r="T378" s="363"/>
      <c r="U378" s="363"/>
      <c r="V378" s="363"/>
      <c r="W378" s="363"/>
      <c r="X378" s="363"/>
      <c r="Y378" s="363"/>
      <c r="Z378" s="446">
        <f t="shared" si="141"/>
        <v>0</v>
      </c>
      <c r="AA378" s="446">
        <f t="shared" si="141"/>
        <v>739.07044800000006</v>
      </c>
      <c r="AB378" s="363">
        <f t="shared" si="141"/>
        <v>0</v>
      </c>
      <c r="AC378" s="363" t="e">
        <f t="shared" si="141"/>
        <v>#DIV/0!</v>
      </c>
      <c r="AH378" s="359"/>
    </row>
    <row r="379" spans="1:55" s="376" customFormat="1" hidden="1" x14ac:dyDescent="0.15">
      <c r="A379" s="358" t="s">
        <v>45</v>
      </c>
      <c r="B379" s="358"/>
      <c r="C379" s="363">
        <f>MAX(C126:C156)</f>
        <v>0</v>
      </c>
      <c r="D379" s="363">
        <f t="shared" ref="D379:AC379" si="142">MAX(D126:D156)</f>
        <v>0</v>
      </c>
      <c r="E379" s="363">
        <f t="shared" si="142"/>
        <v>0</v>
      </c>
      <c r="F379" s="362">
        <f t="shared" si="142"/>
        <v>0</v>
      </c>
      <c r="G379" s="363">
        <f t="shared" si="142"/>
        <v>0</v>
      </c>
      <c r="H379" s="363">
        <f t="shared" si="142"/>
        <v>5069</v>
      </c>
      <c r="I379" s="363">
        <f t="shared" si="142"/>
        <v>0</v>
      </c>
      <c r="J379" s="363">
        <f t="shared" si="142"/>
        <v>0</v>
      </c>
      <c r="K379" s="363">
        <f>SUM(K126:K156)</f>
        <v>0</v>
      </c>
      <c r="L379" s="363">
        <f>SUM(L126:L156)</f>
        <v>0</v>
      </c>
      <c r="M379" s="363"/>
      <c r="N379" s="363">
        <f t="shared" si="142"/>
        <v>0</v>
      </c>
      <c r="O379" s="363">
        <f t="shared" si="142"/>
        <v>0</v>
      </c>
      <c r="P379" s="363">
        <f t="shared" si="142"/>
        <v>0</v>
      </c>
      <c r="Q379" s="363">
        <f t="shared" si="142"/>
        <v>9556059.1799999997</v>
      </c>
      <c r="R379" s="363">
        <f t="shared" si="142"/>
        <v>4767488</v>
      </c>
      <c r="S379" s="363">
        <f t="shared" si="142"/>
        <v>14554202.57</v>
      </c>
      <c r="T379" s="363"/>
      <c r="U379" s="363"/>
      <c r="V379" s="363"/>
      <c r="W379" s="363"/>
      <c r="X379" s="363"/>
      <c r="Y379" s="363"/>
      <c r="Z379" s="446">
        <f t="shared" si="142"/>
        <v>0</v>
      </c>
      <c r="AA379" s="446">
        <f t="shared" si="142"/>
        <v>910.58214299999997</v>
      </c>
      <c r="AB379" s="363">
        <f t="shared" si="142"/>
        <v>0</v>
      </c>
      <c r="AC379" s="363" t="e">
        <f t="shared" si="142"/>
        <v>#DIV/0!</v>
      </c>
      <c r="AH379" s="359"/>
    </row>
    <row r="380" spans="1:55" s="376" customFormat="1" hidden="1" x14ac:dyDescent="0.15">
      <c r="A380" s="358" t="s">
        <v>46</v>
      </c>
      <c r="B380" s="358"/>
      <c r="C380" s="363">
        <f>MAX(C157:C186)</f>
        <v>0</v>
      </c>
      <c r="D380" s="363">
        <f t="shared" ref="D380:AC380" si="143">MAX(D157:D186)</f>
        <v>0</v>
      </c>
      <c r="E380" s="363">
        <f t="shared" si="143"/>
        <v>0</v>
      </c>
      <c r="F380" s="362">
        <f t="shared" si="143"/>
        <v>0</v>
      </c>
      <c r="G380" s="363">
        <f t="shared" si="143"/>
        <v>0</v>
      </c>
      <c r="H380" s="363">
        <f t="shared" si="143"/>
        <v>0</v>
      </c>
      <c r="I380" s="363">
        <f t="shared" si="143"/>
        <v>0</v>
      </c>
      <c r="J380" s="363">
        <f t="shared" si="143"/>
        <v>0</v>
      </c>
      <c r="K380" s="363">
        <f>SUM(K157:K186)</f>
        <v>0</v>
      </c>
      <c r="L380" s="363">
        <f>SUM(L157:L186)</f>
        <v>0</v>
      </c>
      <c r="M380" s="363"/>
      <c r="N380" s="363">
        <f t="shared" si="143"/>
        <v>0</v>
      </c>
      <c r="O380" s="363">
        <f t="shared" si="143"/>
        <v>0</v>
      </c>
      <c r="P380" s="363">
        <f t="shared" si="143"/>
        <v>0</v>
      </c>
      <c r="Q380" s="363">
        <f t="shared" si="143"/>
        <v>11578322</v>
      </c>
      <c r="R380" s="363">
        <f t="shared" si="143"/>
        <v>5905291</v>
      </c>
      <c r="S380" s="363">
        <f t="shared" si="143"/>
        <v>17776680.739999998</v>
      </c>
      <c r="T380" s="363"/>
      <c r="U380" s="363"/>
      <c r="V380" s="363"/>
      <c r="W380" s="363"/>
      <c r="X380" s="363"/>
      <c r="Y380" s="363"/>
      <c r="Z380" s="446">
        <f t="shared" si="143"/>
        <v>0</v>
      </c>
      <c r="AA380" s="446">
        <f t="shared" si="143"/>
        <v>1157.8322000000001</v>
      </c>
      <c r="AB380" s="363">
        <f t="shared" si="143"/>
        <v>0</v>
      </c>
      <c r="AC380" s="363">
        <f t="shared" si="143"/>
        <v>0</v>
      </c>
      <c r="AH380" s="359"/>
    </row>
    <row r="381" spans="1:55" s="376" customFormat="1" hidden="1" x14ac:dyDescent="0.15">
      <c r="A381" s="358" t="s">
        <v>47</v>
      </c>
      <c r="B381" s="358"/>
      <c r="C381" s="363">
        <f>MAX(C187:C217)</f>
        <v>0</v>
      </c>
      <c r="D381" s="363">
        <f t="shared" ref="D381:AC381" si="144">MAX(D187:D217)</f>
        <v>0</v>
      </c>
      <c r="E381" s="363">
        <f t="shared" si="144"/>
        <v>0</v>
      </c>
      <c r="F381" s="363">
        <f t="shared" si="144"/>
        <v>0</v>
      </c>
      <c r="G381" s="363">
        <f t="shared" si="144"/>
        <v>0</v>
      </c>
      <c r="H381" s="363">
        <f t="shared" si="144"/>
        <v>0</v>
      </c>
      <c r="I381" s="363">
        <f t="shared" si="144"/>
        <v>0</v>
      </c>
      <c r="J381" s="363">
        <f t="shared" si="144"/>
        <v>0</v>
      </c>
      <c r="K381" s="363">
        <f>SUM(K187:K217)</f>
        <v>0</v>
      </c>
      <c r="L381" s="363">
        <f>SUM(L187:L217)</f>
        <v>0</v>
      </c>
      <c r="M381" s="363"/>
      <c r="N381" s="363">
        <f t="shared" si="144"/>
        <v>0</v>
      </c>
      <c r="O381" s="363">
        <f t="shared" si="144"/>
        <v>0</v>
      </c>
      <c r="P381" s="363">
        <f t="shared" si="144"/>
        <v>0</v>
      </c>
      <c r="Q381" s="363">
        <f t="shared" si="144"/>
        <v>13879287.720000001</v>
      </c>
      <c r="R381" s="363">
        <f t="shared" si="144"/>
        <v>7519553</v>
      </c>
      <c r="S381" s="363">
        <f t="shared" si="144"/>
        <v>21771111.719999999</v>
      </c>
      <c r="T381" s="363"/>
      <c r="U381" s="363"/>
      <c r="V381" s="363"/>
      <c r="W381" s="363"/>
      <c r="X381" s="363"/>
      <c r="Y381" s="363"/>
      <c r="Z381" s="446">
        <f t="shared" si="144"/>
        <v>0</v>
      </c>
      <c r="AA381" s="446">
        <f t="shared" si="144"/>
        <v>1318.498703</v>
      </c>
      <c r="AB381" s="363">
        <f t="shared" si="144"/>
        <v>0</v>
      </c>
      <c r="AC381" s="363">
        <f t="shared" si="144"/>
        <v>0</v>
      </c>
      <c r="AH381" s="359"/>
    </row>
    <row r="382" spans="1:55" s="376" customFormat="1" hidden="1" x14ac:dyDescent="0.15">
      <c r="A382" s="358" t="s">
        <v>48</v>
      </c>
      <c r="B382" s="358"/>
      <c r="C382" s="363">
        <f>MAX(C218:C248)</f>
        <v>0</v>
      </c>
      <c r="D382" s="363">
        <f t="shared" ref="D382:J382" si="145">MAX(D218:D248)</f>
        <v>0</v>
      </c>
      <c r="E382" s="363">
        <f t="shared" si="145"/>
        <v>0</v>
      </c>
      <c r="F382" s="363">
        <f t="shared" si="145"/>
        <v>0</v>
      </c>
      <c r="G382" s="363">
        <f t="shared" si="145"/>
        <v>0</v>
      </c>
      <c r="H382" s="363">
        <f t="shared" si="145"/>
        <v>0</v>
      </c>
      <c r="I382" s="363">
        <f t="shared" si="145"/>
        <v>0</v>
      </c>
      <c r="J382" s="363">
        <f t="shared" si="145"/>
        <v>0</v>
      </c>
      <c r="K382" s="363">
        <f>SUM(K218:K248)</f>
        <v>0</v>
      </c>
      <c r="L382" s="363">
        <f>SUM(L218:L248)</f>
        <v>0</v>
      </c>
      <c r="M382" s="363"/>
      <c r="N382" s="363">
        <f t="shared" ref="N382:S382" si="146">MAX(N218:N248)</f>
        <v>0</v>
      </c>
      <c r="O382" s="363">
        <f t="shared" si="146"/>
        <v>0</v>
      </c>
      <c r="P382" s="363">
        <f t="shared" si="146"/>
        <v>0</v>
      </c>
      <c r="Q382" s="363">
        <f t="shared" si="146"/>
        <v>16022161.07</v>
      </c>
      <c r="R382" s="363">
        <f t="shared" si="146"/>
        <v>9292029.8000000007</v>
      </c>
      <c r="S382" s="363">
        <f t="shared" si="146"/>
        <v>25831195.739999998</v>
      </c>
      <c r="T382" s="363"/>
      <c r="U382" s="363"/>
      <c r="V382" s="363"/>
      <c r="W382" s="363"/>
      <c r="X382" s="363"/>
      <c r="Y382" s="363"/>
      <c r="Z382" s="446">
        <f>MAX(Z218:Z248)</f>
        <v>0</v>
      </c>
      <c r="AA382" s="446">
        <f>MAX(AA218:AA248)</f>
        <v>1602.216107</v>
      </c>
      <c r="AB382" s="363">
        <f>MAX(AB218:AB248)</f>
        <v>0</v>
      </c>
      <c r="AC382" s="363" t="e">
        <f>MAX(AC218:AC248)</f>
        <v>#DIV/0!</v>
      </c>
      <c r="AH382" s="359"/>
    </row>
    <row r="383" spans="1:55" s="376" customFormat="1" hidden="1" x14ac:dyDescent="0.15">
      <c r="A383" s="358" t="s">
        <v>49</v>
      </c>
      <c r="B383" s="358"/>
      <c r="C383" s="363">
        <f t="shared" ref="C383:J384" si="147">MAX(C189:C219)</f>
        <v>0</v>
      </c>
      <c r="D383" s="363">
        <f t="shared" si="147"/>
        <v>0</v>
      </c>
      <c r="E383" s="363">
        <f t="shared" si="147"/>
        <v>0</v>
      </c>
      <c r="F383" s="362">
        <f t="shared" si="147"/>
        <v>0</v>
      </c>
      <c r="G383" s="363">
        <f t="shared" si="147"/>
        <v>0</v>
      </c>
      <c r="H383" s="363">
        <f t="shared" si="147"/>
        <v>0</v>
      </c>
      <c r="I383" s="363">
        <f t="shared" si="147"/>
        <v>0</v>
      </c>
      <c r="J383" s="363">
        <f t="shared" si="147"/>
        <v>0</v>
      </c>
      <c r="K383" s="363">
        <f t="shared" ref="K383:L384" si="148">SUM(K189:K219)</f>
        <v>0</v>
      </c>
      <c r="L383" s="363">
        <f t="shared" si="148"/>
        <v>0</v>
      </c>
      <c r="M383" s="363"/>
      <c r="N383" s="363">
        <f t="shared" ref="N383:AC384" si="149">MAX(N189:N219)</f>
        <v>0</v>
      </c>
      <c r="O383" s="363">
        <f t="shared" si="149"/>
        <v>0</v>
      </c>
      <c r="P383" s="363">
        <f t="shared" si="149"/>
        <v>0</v>
      </c>
      <c r="Q383" s="363">
        <f t="shared" si="149"/>
        <v>13879287.720000001</v>
      </c>
      <c r="R383" s="363">
        <f t="shared" si="149"/>
        <v>7519553</v>
      </c>
      <c r="S383" s="363">
        <f t="shared" si="149"/>
        <v>21771111.719999999</v>
      </c>
      <c r="T383" s="363"/>
      <c r="U383" s="363"/>
      <c r="V383" s="363"/>
      <c r="W383" s="363"/>
      <c r="X383" s="363"/>
      <c r="Y383" s="363"/>
      <c r="Z383" s="446">
        <f t="shared" si="149"/>
        <v>0</v>
      </c>
      <c r="AA383" s="446">
        <f t="shared" si="149"/>
        <v>1387.928772</v>
      </c>
      <c r="AB383" s="363">
        <f t="shared" si="149"/>
        <v>0</v>
      </c>
      <c r="AC383" s="363">
        <f t="shared" si="149"/>
        <v>0</v>
      </c>
      <c r="AH383" s="359"/>
    </row>
    <row r="384" spans="1:55" s="376" customFormat="1" hidden="1" x14ac:dyDescent="0.15">
      <c r="A384" s="358" t="s">
        <v>50</v>
      </c>
      <c r="B384" s="358"/>
      <c r="C384" s="363">
        <f t="shared" si="147"/>
        <v>0</v>
      </c>
      <c r="D384" s="363">
        <f t="shared" si="147"/>
        <v>0</v>
      </c>
      <c r="E384" s="363">
        <f t="shared" si="147"/>
        <v>0</v>
      </c>
      <c r="F384" s="362">
        <f t="shared" si="147"/>
        <v>0</v>
      </c>
      <c r="G384" s="363">
        <f t="shared" si="147"/>
        <v>0</v>
      </c>
      <c r="H384" s="363">
        <f t="shared" si="147"/>
        <v>0</v>
      </c>
      <c r="I384" s="363">
        <f t="shared" si="147"/>
        <v>0</v>
      </c>
      <c r="J384" s="363">
        <f t="shared" si="147"/>
        <v>0</v>
      </c>
      <c r="K384" s="363">
        <f t="shared" si="148"/>
        <v>0</v>
      </c>
      <c r="L384" s="363">
        <f t="shared" si="148"/>
        <v>0</v>
      </c>
      <c r="M384" s="363"/>
      <c r="N384" s="363">
        <f t="shared" si="149"/>
        <v>0</v>
      </c>
      <c r="O384" s="363">
        <f t="shared" si="149"/>
        <v>0</v>
      </c>
      <c r="P384" s="363">
        <f t="shared" si="149"/>
        <v>0</v>
      </c>
      <c r="Q384" s="363">
        <f t="shared" si="149"/>
        <v>13879287.720000001</v>
      </c>
      <c r="R384" s="363">
        <f t="shared" si="149"/>
        <v>7519553</v>
      </c>
      <c r="S384" s="363">
        <f t="shared" si="149"/>
        <v>21771111.719999999</v>
      </c>
      <c r="T384" s="363"/>
      <c r="U384" s="363"/>
      <c r="V384" s="363"/>
      <c r="W384" s="363"/>
      <c r="X384" s="363"/>
      <c r="Y384" s="363"/>
      <c r="Z384" s="446">
        <f t="shared" si="149"/>
        <v>0</v>
      </c>
      <c r="AA384" s="446">
        <f t="shared" si="149"/>
        <v>1387.928772</v>
      </c>
      <c r="AB384" s="363">
        <f t="shared" si="149"/>
        <v>0</v>
      </c>
      <c r="AC384" s="363">
        <f t="shared" si="149"/>
        <v>0</v>
      </c>
      <c r="AH384" s="359"/>
    </row>
    <row r="385" spans="1:53" s="376" customFormat="1" x14ac:dyDescent="0.15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  <c r="AF385" s="358"/>
      <c r="AG385" s="358"/>
      <c r="AH385" s="357"/>
      <c r="AI385" s="358"/>
      <c r="AJ385" s="358"/>
      <c r="AK385" s="358"/>
      <c r="AL385" s="358"/>
      <c r="AM385" s="358"/>
      <c r="AN385" s="358"/>
      <c r="AO385" s="358"/>
      <c r="AP385" s="358"/>
      <c r="AQ385" s="358"/>
      <c r="AR385" s="358"/>
      <c r="AS385" s="358"/>
      <c r="AT385" s="358"/>
      <c r="AU385" s="358"/>
      <c r="AV385" s="358"/>
      <c r="AW385" s="358"/>
      <c r="AX385" s="358"/>
      <c r="AY385" s="358"/>
      <c r="AZ385" s="358"/>
      <c r="BA385" s="358"/>
    </row>
    <row r="386" spans="1:53" s="376" customFormat="1" x14ac:dyDescent="0.15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  <c r="AF386" s="358"/>
      <c r="AG386" s="358"/>
      <c r="AH386" s="357"/>
      <c r="AI386" s="358"/>
      <c r="AJ386" s="358"/>
      <c r="AK386" s="358"/>
      <c r="AL386" s="358"/>
      <c r="AM386" s="358"/>
      <c r="AN386" s="358"/>
      <c r="AO386" s="358"/>
      <c r="AP386" s="358"/>
      <c r="AQ386" s="358"/>
      <c r="AR386" s="358"/>
      <c r="AS386" s="358"/>
      <c r="AT386" s="358"/>
      <c r="AU386" s="358"/>
      <c r="AV386" s="358"/>
      <c r="AW386" s="358"/>
      <c r="AX386" s="358"/>
      <c r="AY386" s="358"/>
      <c r="AZ386" s="358"/>
      <c r="BA386" s="358"/>
    </row>
    <row r="387" spans="1:53" s="376" customFormat="1" x14ac:dyDescent="0.15">
      <c r="A387" s="447" t="s">
        <v>67</v>
      </c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  <c r="AF387" s="358"/>
      <c r="AG387" s="358"/>
      <c r="AH387" s="357"/>
      <c r="AI387" s="358"/>
      <c r="AJ387" s="358"/>
      <c r="AK387" s="358"/>
      <c r="AL387" s="358"/>
      <c r="AM387" s="358"/>
      <c r="AN387" s="358"/>
      <c r="AO387" s="358"/>
      <c r="AP387" s="358"/>
      <c r="AQ387" s="358"/>
      <c r="AR387" s="358"/>
      <c r="AS387" s="358"/>
      <c r="AT387" s="358"/>
      <c r="AU387" s="358"/>
      <c r="AV387" s="358"/>
      <c r="AW387" s="358"/>
      <c r="AX387" s="358"/>
      <c r="AY387" s="358"/>
      <c r="AZ387" s="358"/>
      <c r="BA387" s="358"/>
    </row>
    <row r="388" spans="1:53" s="376" customFormat="1" x14ac:dyDescent="0.15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  <c r="AF388" s="358"/>
      <c r="AG388" s="358"/>
      <c r="AH388" s="357"/>
      <c r="AI388" s="358"/>
      <c r="AJ388" s="358"/>
      <c r="AK388" s="358"/>
      <c r="AL388" s="358"/>
      <c r="AM388" s="358"/>
      <c r="AN388" s="358"/>
      <c r="AO388" s="358"/>
      <c r="AP388" s="358"/>
      <c r="AQ388" s="358"/>
      <c r="AR388" s="358"/>
      <c r="AS388" s="358"/>
      <c r="AT388" s="358"/>
      <c r="AU388" s="358"/>
      <c r="AV388" s="358"/>
      <c r="AW388" s="358"/>
      <c r="AX388" s="358"/>
      <c r="AY388" s="358"/>
      <c r="AZ388" s="358"/>
      <c r="BA388" s="358"/>
    </row>
    <row r="389" spans="1:53" s="376" customFormat="1" x14ac:dyDescent="0.15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  <c r="AF389" s="358"/>
      <c r="AG389" s="358"/>
      <c r="AH389" s="357"/>
      <c r="AI389" s="358"/>
      <c r="AJ389" s="358"/>
      <c r="AK389" s="358"/>
      <c r="AL389" s="358"/>
      <c r="AM389" s="358"/>
      <c r="AN389" s="358"/>
      <c r="AO389" s="358"/>
      <c r="AP389" s="358"/>
      <c r="AQ389" s="358"/>
      <c r="AR389" s="358"/>
      <c r="AS389" s="358"/>
      <c r="AT389" s="358"/>
      <c r="AU389" s="358"/>
      <c r="AV389" s="358"/>
      <c r="AW389" s="358"/>
      <c r="AX389" s="358"/>
      <c r="AY389" s="358"/>
      <c r="AZ389" s="358"/>
      <c r="BA389" s="358"/>
    </row>
    <row r="390" spans="1:53" s="376" customFormat="1" x14ac:dyDescent="0.15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  <c r="AF390" s="358"/>
      <c r="AG390" s="358"/>
      <c r="AH390" s="357"/>
      <c r="AI390" s="358"/>
      <c r="AJ390" s="358"/>
      <c r="AK390" s="358"/>
      <c r="AL390" s="358"/>
      <c r="AM390" s="358"/>
      <c r="AN390" s="358"/>
      <c r="AO390" s="358"/>
      <c r="AP390" s="358"/>
      <c r="AQ390" s="358"/>
      <c r="AR390" s="358"/>
      <c r="AS390" s="358"/>
      <c r="AT390" s="358"/>
      <c r="AU390" s="358"/>
      <c r="AV390" s="358"/>
      <c r="AW390" s="358"/>
      <c r="AX390" s="358"/>
      <c r="AY390" s="358"/>
      <c r="AZ390" s="358"/>
      <c r="BA390" s="358"/>
    </row>
    <row r="391" spans="1:53" s="376" customFormat="1" x14ac:dyDescent="0.15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  <c r="AF391" s="358"/>
      <c r="AG391" s="358"/>
      <c r="AH391" s="357"/>
      <c r="AI391" s="358"/>
      <c r="AJ391" s="358"/>
      <c r="AK391" s="358"/>
      <c r="AL391" s="358"/>
      <c r="AM391" s="358"/>
      <c r="AN391" s="358"/>
      <c r="AO391" s="358"/>
      <c r="AP391" s="358"/>
      <c r="AQ391" s="358"/>
      <c r="AR391" s="358"/>
      <c r="AS391" s="358"/>
      <c r="AT391" s="358"/>
      <c r="AU391" s="358"/>
      <c r="AV391" s="358"/>
      <c r="AW391" s="358"/>
      <c r="AX391" s="358"/>
      <c r="AY391" s="358"/>
      <c r="AZ391" s="358"/>
      <c r="BA391" s="358"/>
    </row>
    <row r="392" spans="1:53" s="376" customFormat="1" x14ac:dyDescent="0.15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  <c r="AF392" s="358"/>
      <c r="AG392" s="358"/>
      <c r="AH392" s="357"/>
      <c r="AI392" s="358"/>
      <c r="AJ392" s="358"/>
      <c r="AK392" s="358"/>
      <c r="AL392" s="358"/>
      <c r="AM392" s="358"/>
      <c r="AN392" s="358"/>
      <c r="AO392" s="358"/>
      <c r="AP392" s="358"/>
      <c r="AQ392" s="358"/>
      <c r="AR392" s="358"/>
      <c r="AS392" s="358"/>
      <c r="AT392" s="358"/>
      <c r="AU392" s="358"/>
      <c r="AV392" s="358"/>
      <c r="AW392" s="358"/>
      <c r="AX392" s="358"/>
      <c r="AY392" s="358"/>
      <c r="AZ392" s="358"/>
      <c r="BA392" s="358"/>
    </row>
    <row r="393" spans="1:53" s="376" customFormat="1" x14ac:dyDescent="0.15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  <c r="AF393" s="358"/>
      <c r="AG393" s="358"/>
      <c r="AH393" s="357"/>
      <c r="AI393" s="358"/>
      <c r="AJ393" s="358"/>
      <c r="AK393" s="358"/>
      <c r="AL393" s="358"/>
      <c r="AM393" s="358"/>
      <c r="AN393" s="358"/>
      <c r="AO393" s="358"/>
      <c r="AP393" s="358"/>
      <c r="AQ393" s="358"/>
      <c r="AR393" s="358"/>
      <c r="AS393" s="358"/>
      <c r="AT393" s="358"/>
      <c r="AU393" s="358"/>
      <c r="AV393" s="358"/>
      <c r="AW393" s="358"/>
      <c r="AX393" s="358"/>
      <c r="AY393" s="358"/>
      <c r="AZ393" s="358"/>
      <c r="BA393" s="358"/>
    </row>
    <row r="394" spans="1:53" s="376" customFormat="1" x14ac:dyDescent="0.15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  <c r="AF394" s="358"/>
      <c r="AG394" s="358"/>
      <c r="AH394" s="357"/>
      <c r="AI394" s="358"/>
      <c r="AJ394" s="358"/>
      <c r="AK394" s="358"/>
      <c r="AL394" s="358"/>
      <c r="AM394" s="358"/>
      <c r="AN394" s="358"/>
      <c r="AO394" s="358"/>
      <c r="AP394" s="358"/>
      <c r="AQ394" s="358"/>
      <c r="AR394" s="358"/>
      <c r="AS394" s="358"/>
      <c r="AT394" s="358"/>
      <c r="AU394" s="358"/>
      <c r="AV394" s="358"/>
      <c r="AW394" s="358"/>
      <c r="AX394" s="358"/>
      <c r="AY394" s="358"/>
      <c r="AZ394" s="358"/>
      <c r="BA394" s="358"/>
    </row>
    <row r="395" spans="1:53" s="376" customFormat="1" x14ac:dyDescent="0.15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  <c r="AF395" s="358"/>
      <c r="AG395" s="358"/>
      <c r="AH395" s="357"/>
      <c r="AI395" s="358"/>
      <c r="AJ395" s="358"/>
      <c r="AK395" s="358"/>
      <c r="AL395" s="358"/>
      <c r="AM395" s="358"/>
      <c r="AN395" s="358"/>
      <c r="AO395" s="358"/>
      <c r="AP395" s="358"/>
      <c r="AQ395" s="358"/>
      <c r="AR395" s="358"/>
      <c r="AS395" s="358"/>
      <c r="AT395" s="358"/>
      <c r="AU395" s="358"/>
      <c r="AV395" s="358"/>
      <c r="AW395" s="358"/>
      <c r="AX395" s="358"/>
      <c r="AY395" s="358"/>
      <c r="AZ395" s="358"/>
      <c r="BA395" s="358"/>
    </row>
    <row r="396" spans="1:53" s="376" customFormat="1" x14ac:dyDescent="0.15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  <c r="AF396" s="358"/>
      <c r="AG396" s="358"/>
      <c r="AH396" s="357"/>
      <c r="AI396" s="358"/>
      <c r="AJ396" s="358"/>
      <c r="AK396" s="358"/>
      <c r="AL396" s="358"/>
      <c r="AM396" s="358"/>
      <c r="AN396" s="358"/>
      <c r="AO396" s="358"/>
      <c r="AP396" s="358"/>
      <c r="AQ396" s="358"/>
      <c r="AR396" s="358"/>
      <c r="AS396" s="358"/>
      <c r="AT396" s="358"/>
      <c r="AU396" s="358"/>
      <c r="AV396" s="358"/>
      <c r="AW396" s="358"/>
      <c r="AX396" s="358"/>
      <c r="AY396" s="358"/>
      <c r="AZ396" s="358"/>
      <c r="BA396" s="358"/>
    </row>
    <row r="397" spans="1:53" s="376" customFormat="1" x14ac:dyDescent="0.15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  <c r="AF397" s="358"/>
      <c r="AG397" s="358"/>
      <c r="AH397" s="357"/>
      <c r="AI397" s="358"/>
      <c r="AJ397" s="358"/>
      <c r="AK397" s="358"/>
      <c r="AL397" s="358"/>
      <c r="AM397" s="358"/>
      <c r="AN397" s="358"/>
      <c r="AO397" s="358"/>
      <c r="AP397" s="358"/>
      <c r="AQ397" s="358"/>
      <c r="AR397" s="358"/>
      <c r="AS397" s="358"/>
      <c r="AT397" s="358"/>
      <c r="AU397" s="358"/>
      <c r="AV397" s="358"/>
      <c r="AW397" s="358"/>
      <c r="AX397" s="358"/>
      <c r="AY397" s="358"/>
      <c r="AZ397" s="358"/>
      <c r="BA397" s="358"/>
    </row>
    <row r="398" spans="1:53" s="376" customFormat="1" x14ac:dyDescent="0.15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  <c r="AF398" s="358"/>
      <c r="AG398" s="358"/>
      <c r="AH398" s="357"/>
      <c r="AI398" s="358"/>
      <c r="AJ398" s="358"/>
      <c r="AK398" s="358"/>
      <c r="AL398" s="358"/>
      <c r="AM398" s="358"/>
      <c r="AN398" s="358"/>
      <c r="AO398" s="358"/>
      <c r="AP398" s="358"/>
      <c r="AQ398" s="358"/>
      <c r="AR398" s="358"/>
      <c r="AS398" s="358"/>
      <c r="AT398" s="358"/>
      <c r="AU398" s="358"/>
      <c r="AV398" s="358"/>
      <c r="AW398" s="358"/>
      <c r="AX398" s="358"/>
      <c r="AY398" s="358"/>
      <c r="AZ398" s="358"/>
      <c r="BA398" s="358"/>
    </row>
    <row r="399" spans="1:53" s="376" customFormat="1" x14ac:dyDescent="0.15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  <c r="AF399" s="358"/>
      <c r="AG399" s="358"/>
      <c r="AH399" s="357"/>
      <c r="AI399" s="358"/>
      <c r="AJ399" s="358"/>
      <c r="AK399" s="358"/>
      <c r="AL399" s="358"/>
      <c r="AM399" s="358"/>
      <c r="AN399" s="358"/>
      <c r="AO399" s="358"/>
      <c r="AP399" s="358"/>
      <c r="AQ399" s="358"/>
      <c r="AR399" s="358"/>
      <c r="AS399" s="358"/>
      <c r="AT399" s="358"/>
      <c r="AU399" s="358"/>
      <c r="AV399" s="358"/>
      <c r="AW399" s="358"/>
      <c r="AX399" s="358"/>
      <c r="AY399" s="358"/>
      <c r="AZ399" s="358"/>
      <c r="BA399" s="358"/>
    </row>
    <row r="400" spans="1:53" s="376" customFormat="1" x14ac:dyDescent="0.15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  <c r="AF400" s="358"/>
      <c r="AG400" s="358"/>
      <c r="AH400" s="357"/>
      <c r="AI400" s="358"/>
      <c r="AJ400" s="358"/>
      <c r="AK400" s="358"/>
      <c r="AL400" s="358"/>
      <c r="AM400" s="358"/>
      <c r="AN400" s="358"/>
      <c r="AO400" s="358"/>
      <c r="AP400" s="358"/>
      <c r="AQ400" s="358"/>
      <c r="AR400" s="358"/>
      <c r="AS400" s="358"/>
      <c r="AT400" s="358"/>
      <c r="AU400" s="358"/>
      <c r="AV400" s="358"/>
      <c r="AW400" s="358"/>
      <c r="AX400" s="358"/>
      <c r="AY400" s="358"/>
      <c r="AZ400" s="358"/>
      <c r="BA400" s="358"/>
    </row>
    <row r="401" spans="1:53" s="376" customFormat="1" x14ac:dyDescent="0.15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  <c r="AF401" s="358"/>
      <c r="AG401" s="358"/>
      <c r="AH401" s="357"/>
      <c r="AI401" s="358"/>
      <c r="AJ401" s="358"/>
      <c r="AK401" s="358"/>
      <c r="AL401" s="358"/>
      <c r="AM401" s="358"/>
      <c r="AN401" s="358"/>
      <c r="AO401" s="358"/>
      <c r="AP401" s="358"/>
      <c r="AQ401" s="358"/>
      <c r="AR401" s="358"/>
      <c r="AS401" s="358"/>
      <c r="AT401" s="358"/>
      <c r="AU401" s="358"/>
      <c r="AV401" s="358"/>
      <c r="AW401" s="358"/>
      <c r="AX401" s="358"/>
      <c r="AY401" s="358"/>
      <c r="AZ401" s="358"/>
      <c r="BA401" s="358"/>
    </row>
    <row r="402" spans="1:53" s="376" customFormat="1" x14ac:dyDescent="0.15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  <c r="AF402" s="358"/>
      <c r="AG402" s="358"/>
      <c r="AH402" s="357"/>
      <c r="AI402" s="358"/>
      <c r="AJ402" s="358"/>
      <c r="AK402" s="358"/>
      <c r="AL402" s="358"/>
      <c r="AM402" s="358"/>
      <c r="AN402" s="358"/>
      <c r="AO402" s="358"/>
      <c r="AP402" s="358"/>
      <c r="AQ402" s="358"/>
      <c r="AR402" s="358"/>
      <c r="AS402" s="358"/>
      <c r="AT402" s="358"/>
      <c r="AU402" s="358"/>
      <c r="AV402" s="358"/>
      <c r="AW402" s="358"/>
      <c r="AX402" s="358"/>
      <c r="AY402" s="358"/>
      <c r="AZ402" s="358"/>
      <c r="BA402" s="358"/>
    </row>
    <row r="403" spans="1:53" s="376" customFormat="1" x14ac:dyDescent="0.15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  <c r="AF403" s="358"/>
      <c r="AG403" s="358"/>
      <c r="AH403" s="357"/>
      <c r="AI403" s="358"/>
      <c r="AJ403" s="358"/>
      <c r="AK403" s="358"/>
      <c r="AL403" s="358"/>
      <c r="AM403" s="358"/>
      <c r="AN403" s="358"/>
      <c r="AO403" s="358"/>
      <c r="AP403" s="358"/>
      <c r="AQ403" s="358"/>
      <c r="AR403" s="358"/>
      <c r="AS403" s="358"/>
      <c r="AT403" s="358"/>
      <c r="AU403" s="358"/>
      <c r="AV403" s="358"/>
      <c r="AW403" s="358"/>
      <c r="AX403" s="358"/>
      <c r="AY403" s="358"/>
      <c r="AZ403" s="358"/>
      <c r="BA403" s="358"/>
    </row>
    <row r="404" spans="1:53" s="376" customFormat="1" x14ac:dyDescent="0.15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  <c r="AF404" s="358"/>
      <c r="AG404" s="358"/>
      <c r="AH404" s="357"/>
      <c r="AI404" s="358"/>
      <c r="AJ404" s="358"/>
      <c r="AK404" s="358"/>
      <c r="AL404" s="358"/>
      <c r="AM404" s="358"/>
      <c r="AN404" s="358"/>
      <c r="AO404" s="358"/>
      <c r="AP404" s="358"/>
      <c r="AQ404" s="358"/>
      <c r="AR404" s="358"/>
      <c r="AS404" s="358"/>
      <c r="AT404" s="358"/>
      <c r="AU404" s="358"/>
      <c r="AV404" s="358"/>
      <c r="AW404" s="358"/>
      <c r="AX404" s="358"/>
      <c r="AY404" s="358"/>
      <c r="AZ404" s="358"/>
      <c r="BA404" s="358"/>
    </row>
    <row r="405" spans="1:53" s="376" customFormat="1" x14ac:dyDescent="0.15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  <c r="AF405" s="358"/>
      <c r="AG405" s="358"/>
      <c r="AH405" s="357"/>
      <c r="AI405" s="358"/>
      <c r="AJ405" s="358"/>
      <c r="AK405" s="358"/>
      <c r="AL405" s="358"/>
      <c r="AM405" s="358"/>
      <c r="AN405" s="358"/>
      <c r="AO405" s="358"/>
      <c r="AP405" s="358"/>
      <c r="AQ405" s="358"/>
      <c r="AR405" s="358"/>
      <c r="AS405" s="358"/>
      <c r="AT405" s="358"/>
      <c r="AU405" s="358"/>
      <c r="AV405" s="358"/>
      <c r="AW405" s="358"/>
      <c r="AX405" s="358"/>
      <c r="AY405" s="358"/>
      <c r="AZ405" s="358"/>
      <c r="BA405" s="358"/>
    </row>
    <row r="406" spans="1:53" s="376" customFormat="1" x14ac:dyDescent="0.15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  <c r="AF406" s="358"/>
      <c r="AG406" s="358"/>
      <c r="AH406" s="357"/>
      <c r="AI406" s="358"/>
      <c r="AJ406" s="358"/>
      <c r="AK406" s="358"/>
      <c r="AL406" s="358"/>
      <c r="AM406" s="358"/>
      <c r="AN406" s="358"/>
      <c r="AO406" s="358"/>
      <c r="AP406" s="358"/>
      <c r="AQ406" s="358"/>
      <c r="AR406" s="358"/>
      <c r="AS406" s="358"/>
      <c r="AT406" s="358"/>
      <c r="AU406" s="358"/>
      <c r="AV406" s="358"/>
      <c r="AW406" s="358"/>
      <c r="AX406" s="358"/>
      <c r="AY406" s="358"/>
      <c r="AZ406" s="358"/>
      <c r="BA406" s="358"/>
    </row>
    <row r="407" spans="1:53" s="376" customFormat="1" x14ac:dyDescent="0.15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  <c r="AF407" s="358"/>
      <c r="AG407" s="358"/>
      <c r="AH407" s="357"/>
      <c r="AI407" s="358"/>
      <c r="AJ407" s="358"/>
      <c r="AK407" s="358"/>
      <c r="AL407" s="358"/>
      <c r="AM407" s="358"/>
      <c r="AN407" s="358"/>
      <c r="AO407" s="358"/>
      <c r="AP407" s="358"/>
      <c r="AQ407" s="358"/>
      <c r="AR407" s="358"/>
      <c r="AS407" s="358"/>
      <c r="AT407" s="358"/>
      <c r="AU407" s="358"/>
      <c r="AV407" s="358"/>
      <c r="AW407" s="358"/>
      <c r="AX407" s="358"/>
      <c r="AY407" s="358"/>
      <c r="AZ407" s="358"/>
      <c r="BA407" s="358"/>
    </row>
    <row r="408" spans="1:53" s="376" customFormat="1" x14ac:dyDescent="0.15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  <c r="AF408" s="358"/>
      <c r="AG408" s="358"/>
      <c r="AH408" s="357"/>
      <c r="AI408" s="358"/>
      <c r="AJ408" s="358"/>
      <c r="AK408" s="358"/>
      <c r="AL408" s="358"/>
      <c r="AM408" s="358"/>
      <c r="AN408" s="358"/>
      <c r="AO408" s="358"/>
      <c r="AP408" s="358"/>
      <c r="AQ408" s="358"/>
      <c r="AR408" s="358"/>
      <c r="AS408" s="358"/>
      <c r="AT408" s="358"/>
      <c r="AU408" s="358"/>
      <c r="AV408" s="358"/>
      <c r="AW408" s="358"/>
      <c r="AX408" s="358"/>
      <c r="AY408" s="358"/>
      <c r="AZ408" s="358"/>
      <c r="BA408" s="358"/>
    </row>
    <row r="409" spans="1:53" s="376" customFormat="1" x14ac:dyDescent="0.15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  <c r="AF409" s="358"/>
      <c r="AG409" s="358"/>
      <c r="AH409" s="357"/>
      <c r="AI409" s="358"/>
      <c r="AJ409" s="358"/>
      <c r="AK409" s="358"/>
      <c r="AL409" s="358"/>
      <c r="AM409" s="358"/>
      <c r="AN409" s="358"/>
      <c r="AO409" s="358"/>
      <c r="AP409" s="358"/>
      <c r="AQ409" s="358"/>
      <c r="AR409" s="358"/>
      <c r="AS409" s="358"/>
      <c r="AT409" s="358"/>
      <c r="AU409" s="358"/>
      <c r="AV409" s="358"/>
      <c r="AW409" s="358"/>
      <c r="AX409" s="358"/>
      <c r="AY409" s="358"/>
      <c r="AZ409" s="358"/>
      <c r="BA409" s="358"/>
    </row>
    <row r="410" spans="1:53" s="376" customFormat="1" x14ac:dyDescent="0.15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  <c r="AF410" s="358"/>
      <c r="AG410" s="358"/>
      <c r="AH410" s="357"/>
      <c r="AI410" s="358"/>
      <c r="AJ410" s="358"/>
      <c r="AK410" s="358"/>
      <c r="AL410" s="358"/>
      <c r="AM410" s="358"/>
      <c r="AN410" s="358"/>
      <c r="AO410" s="358"/>
      <c r="AP410" s="358"/>
      <c r="AQ410" s="358"/>
      <c r="AR410" s="358"/>
      <c r="AS410" s="358"/>
      <c r="AT410" s="358"/>
      <c r="AU410" s="358"/>
      <c r="AV410" s="358"/>
      <c r="AW410" s="358"/>
      <c r="AX410" s="358"/>
      <c r="AY410" s="358"/>
      <c r="AZ410" s="358"/>
      <c r="BA410" s="358"/>
    </row>
    <row r="411" spans="1:53" s="376" customFormat="1" x14ac:dyDescent="0.15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  <c r="AF411" s="358"/>
      <c r="AG411" s="358"/>
      <c r="AH411" s="357"/>
      <c r="AI411" s="358"/>
      <c r="AJ411" s="358"/>
      <c r="AK411" s="358"/>
      <c r="AL411" s="358"/>
      <c r="AM411" s="358"/>
      <c r="AN411" s="358"/>
      <c r="AO411" s="358"/>
      <c r="AP411" s="358"/>
      <c r="AQ411" s="358"/>
      <c r="AR411" s="358"/>
      <c r="AS411" s="358"/>
      <c r="AT411" s="358"/>
      <c r="AU411" s="358"/>
      <c r="AV411" s="358"/>
      <c r="AW411" s="358"/>
      <c r="AX411" s="358"/>
      <c r="AY411" s="358"/>
      <c r="AZ411" s="358"/>
      <c r="BA411" s="358"/>
    </row>
    <row r="412" spans="1:53" s="376" customFormat="1" x14ac:dyDescent="0.15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  <c r="AF412" s="358"/>
      <c r="AG412" s="358"/>
      <c r="AH412" s="357"/>
      <c r="AI412" s="358"/>
      <c r="AJ412" s="358"/>
      <c r="AK412" s="358"/>
      <c r="AL412" s="358"/>
      <c r="AM412" s="358"/>
      <c r="AN412" s="358"/>
      <c r="AO412" s="358"/>
      <c r="AP412" s="358"/>
      <c r="AQ412" s="358"/>
      <c r="AR412" s="358"/>
      <c r="AS412" s="358"/>
      <c r="AT412" s="358"/>
      <c r="AU412" s="358"/>
      <c r="AV412" s="358"/>
      <c r="AW412" s="358"/>
      <c r="AX412" s="358"/>
      <c r="AY412" s="358"/>
      <c r="AZ412" s="358"/>
      <c r="BA412" s="358"/>
    </row>
    <row r="413" spans="1:53" s="376" customFormat="1" x14ac:dyDescent="0.15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  <c r="AF413" s="358"/>
      <c r="AG413" s="358"/>
      <c r="AH413" s="357"/>
      <c r="AI413" s="358"/>
      <c r="AJ413" s="358"/>
      <c r="AK413" s="358"/>
      <c r="AL413" s="358"/>
      <c r="AM413" s="358"/>
      <c r="AN413" s="358"/>
      <c r="AO413" s="358"/>
      <c r="AP413" s="358"/>
      <c r="AQ413" s="358"/>
      <c r="AR413" s="358"/>
      <c r="AS413" s="358"/>
      <c r="AT413" s="358"/>
      <c r="AU413" s="358"/>
      <c r="AV413" s="358"/>
      <c r="AW413" s="358"/>
      <c r="AX413" s="358"/>
      <c r="AY413" s="358"/>
      <c r="AZ413" s="358"/>
      <c r="BA413" s="358"/>
    </row>
    <row r="414" spans="1:53" s="376" customFormat="1" x14ac:dyDescent="0.15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  <c r="AF414" s="358"/>
      <c r="AG414" s="358"/>
      <c r="AH414" s="357"/>
      <c r="AI414" s="358"/>
      <c r="AJ414" s="358"/>
      <c r="AK414" s="358"/>
      <c r="AL414" s="358"/>
      <c r="AM414" s="358"/>
      <c r="AN414" s="358"/>
      <c r="AO414" s="358"/>
      <c r="AP414" s="358"/>
      <c r="AQ414" s="358"/>
      <c r="AR414" s="358"/>
      <c r="AS414" s="358"/>
      <c r="AT414" s="358"/>
      <c r="AU414" s="358"/>
      <c r="AV414" s="358"/>
      <c r="AW414" s="358"/>
      <c r="AX414" s="358"/>
      <c r="AY414" s="358"/>
      <c r="AZ414" s="358"/>
      <c r="BA414" s="358"/>
    </row>
    <row r="415" spans="1:53" s="376" customFormat="1" x14ac:dyDescent="0.15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  <c r="AF415" s="358"/>
      <c r="AG415" s="358"/>
      <c r="AH415" s="357"/>
      <c r="AI415" s="358"/>
      <c r="AJ415" s="358"/>
      <c r="AK415" s="358"/>
      <c r="AL415" s="358"/>
      <c r="AM415" s="358"/>
      <c r="AN415" s="358"/>
      <c r="AO415" s="358"/>
      <c r="AP415" s="358"/>
      <c r="AQ415" s="358"/>
      <c r="AR415" s="358"/>
      <c r="AS415" s="358"/>
      <c r="AT415" s="358"/>
      <c r="AU415" s="358"/>
      <c r="AV415" s="358"/>
      <c r="AW415" s="358"/>
      <c r="AX415" s="358"/>
      <c r="AY415" s="358"/>
      <c r="AZ415" s="358"/>
      <c r="BA415" s="358"/>
    </row>
    <row r="416" spans="1:53" s="376" customFormat="1" x14ac:dyDescent="0.15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  <c r="AF416" s="358"/>
      <c r="AG416" s="358"/>
      <c r="AH416" s="357"/>
      <c r="AI416" s="358"/>
      <c r="AJ416" s="358"/>
      <c r="AK416" s="358"/>
      <c r="AL416" s="358"/>
      <c r="AM416" s="358"/>
      <c r="AN416" s="358"/>
      <c r="AO416" s="358"/>
      <c r="AP416" s="358"/>
      <c r="AQ416" s="358"/>
      <c r="AR416" s="358"/>
      <c r="AS416" s="358"/>
      <c r="AT416" s="358"/>
      <c r="AU416" s="358"/>
      <c r="AV416" s="358"/>
      <c r="AW416" s="358"/>
      <c r="AX416" s="358"/>
      <c r="AY416" s="358"/>
      <c r="AZ416" s="358"/>
      <c r="BA416" s="358"/>
    </row>
    <row r="417" spans="1:53" s="376" customFormat="1" x14ac:dyDescent="0.15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  <c r="AF417" s="358"/>
      <c r="AG417" s="358"/>
      <c r="AH417" s="357"/>
      <c r="AI417" s="358"/>
      <c r="AJ417" s="358"/>
      <c r="AK417" s="358"/>
      <c r="AL417" s="358"/>
      <c r="AM417" s="358"/>
      <c r="AN417" s="358"/>
      <c r="AO417" s="358"/>
      <c r="AP417" s="358"/>
      <c r="AQ417" s="358"/>
      <c r="AR417" s="358"/>
      <c r="AS417" s="358"/>
      <c r="AT417" s="358"/>
      <c r="AU417" s="358"/>
      <c r="AV417" s="358"/>
      <c r="AW417" s="358"/>
      <c r="AX417" s="358"/>
      <c r="AY417" s="358"/>
      <c r="AZ417" s="358"/>
      <c r="BA417" s="358"/>
    </row>
    <row r="418" spans="1:53" s="376" customFormat="1" x14ac:dyDescent="0.15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  <c r="AF418" s="358"/>
      <c r="AG418" s="358"/>
      <c r="AH418" s="357"/>
      <c r="AI418" s="358"/>
      <c r="AJ418" s="358"/>
      <c r="AK418" s="358"/>
      <c r="AL418" s="358"/>
      <c r="AM418" s="358"/>
      <c r="AN418" s="358"/>
      <c r="AO418" s="358"/>
      <c r="AP418" s="358"/>
      <c r="AQ418" s="358"/>
      <c r="AR418" s="358"/>
      <c r="AS418" s="358"/>
      <c r="AT418" s="358"/>
      <c r="AU418" s="358"/>
      <c r="AV418" s="358"/>
      <c r="AW418" s="358"/>
      <c r="AX418" s="358"/>
      <c r="AY418" s="358"/>
      <c r="AZ418" s="358"/>
      <c r="BA418" s="358"/>
    </row>
    <row r="419" spans="1:53" s="376" customFormat="1" x14ac:dyDescent="0.15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  <c r="AF419" s="358"/>
      <c r="AG419" s="358"/>
      <c r="AH419" s="357"/>
      <c r="AI419" s="358"/>
      <c r="AJ419" s="358"/>
      <c r="AK419" s="358"/>
      <c r="AL419" s="358"/>
      <c r="AM419" s="358"/>
      <c r="AN419" s="358"/>
      <c r="AO419" s="358"/>
      <c r="AP419" s="358"/>
      <c r="AQ419" s="358"/>
      <c r="AR419" s="358"/>
      <c r="AS419" s="358"/>
      <c r="AT419" s="358"/>
      <c r="AU419" s="358"/>
      <c r="AV419" s="358"/>
      <c r="AW419" s="358"/>
      <c r="AX419" s="358"/>
      <c r="AY419" s="358"/>
      <c r="AZ419" s="358"/>
      <c r="BA419" s="358"/>
    </row>
    <row r="420" spans="1:53" s="376" customFormat="1" x14ac:dyDescent="0.15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  <c r="AF420" s="358"/>
      <c r="AG420" s="358"/>
      <c r="AH420" s="357"/>
      <c r="AI420" s="358"/>
      <c r="AJ420" s="358"/>
      <c r="AK420" s="358"/>
      <c r="AL420" s="358"/>
      <c r="AM420" s="358"/>
      <c r="AN420" s="358"/>
      <c r="AO420" s="358"/>
      <c r="AP420" s="358"/>
      <c r="AQ420" s="358"/>
      <c r="AR420" s="358"/>
      <c r="AS420" s="358"/>
      <c r="AT420" s="358"/>
      <c r="AU420" s="358"/>
      <c r="AV420" s="358"/>
      <c r="AW420" s="358"/>
      <c r="AX420" s="358"/>
      <c r="AY420" s="358"/>
      <c r="AZ420" s="358"/>
      <c r="BA420" s="358"/>
    </row>
    <row r="421" spans="1:53" s="376" customFormat="1" x14ac:dyDescent="0.15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  <c r="AF421" s="358"/>
      <c r="AG421" s="358"/>
      <c r="AH421" s="357"/>
      <c r="AI421" s="358"/>
      <c r="AJ421" s="358"/>
      <c r="AK421" s="358"/>
      <c r="AL421" s="358"/>
      <c r="AM421" s="358"/>
      <c r="AN421" s="358"/>
      <c r="AO421" s="358"/>
      <c r="AP421" s="358"/>
      <c r="AQ421" s="358"/>
      <c r="AR421" s="358"/>
      <c r="AS421" s="358"/>
      <c r="AT421" s="358"/>
      <c r="AU421" s="358"/>
      <c r="AV421" s="358"/>
      <c r="AW421" s="358"/>
      <c r="AX421" s="358"/>
      <c r="AY421" s="358"/>
      <c r="AZ421" s="358"/>
      <c r="BA421" s="358"/>
    </row>
    <row r="422" spans="1:53" s="376" customFormat="1" x14ac:dyDescent="0.15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  <c r="AF422" s="358"/>
      <c r="AG422" s="358"/>
      <c r="AH422" s="357"/>
      <c r="AI422" s="358"/>
      <c r="AJ422" s="358"/>
      <c r="AK422" s="358"/>
      <c r="AL422" s="358"/>
      <c r="AM422" s="358"/>
      <c r="AN422" s="358"/>
      <c r="AO422" s="358"/>
      <c r="AP422" s="358"/>
      <c r="AQ422" s="358"/>
      <c r="AR422" s="358"/>
      <c r="AS422" s="358"/>
      <c r="AT422" s="358"/>
      <c r="AU422" s="358"/>
      <c r="AV422" s="358"/>
      <c r="AW422" s="358"/>
      <c r="AX422" s="358"/>
      <c r="AY422" s="358"/>
      <c r="AZ422" s="358"/>
      <c r="BA422" s="358"/>
    </row>
    <row r="423" spans="1:53" s="376" customFormat="1" x14ac:dyDescent="0.15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  <c r="AF423" s="358"/>
      <c r="AG423" s="358"/>
      <c r="AH423" s="357"/>
      <c r="AI423" s="358"/>
      <c r="AJ423" s="358"/>
      <c r="AK423" s="358"/>
      <c r="AL423" s="358"/>
      <c r="AM423" s="358"/>
      <c r="AN423" s="358"/>
      <c r="AO423" s="358"/>
      <c r="AP423" s="358"/>
      <c r="AQ423" s="358"/>
      <c r="AR423" s="358"/>
      <c r="AS423" s="358"/>
      <c r="AT423" s="358"/>
      <c r="AU423" s="358"/>
      <c r="AV423" s="358"/>
      <c r="AW423" s="358"/>
      <c r="AX423" s="358"/>
      <c r="AY423" s="358"/>
      <c r="AZ423" s="358"/>
      <c r="BA423" s="358"/>
    </row>
    <row r="424" spans="1:53" s="376" customFormat="1" x14ac:dyDescent="0.15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  <c r="AF424" s="358"/>
      <c r="AG424" s="358"/>
      <c r="AH424" s="357"/>
      <c r="AI424" s="358"/>
      <c r="AJ424" s="358"/>
      <c r="AK424" s="358"/>
      <c r="AL424" s="358"/>
      <c r="AM424" s="358"/>
      <c r="AN424" s="358"/>
      <c r="AO424" s="358"/>
      <c r="AP424" s="358"/>
      <c r="AQ424" s="358"/>
      <c r="AR424" s="358"/>
      <c r="AS424" s="358"/>
      <c r="AT424" s="358"/>
      <c r="AU424" s="358"/>
      <c r="AV424" s="358"/>
      <c r="AW424" s="358"/>
      <c r="AX424" s="358"/>
      <c r="AY424" s="358"/>
      <c r="AZ424" s="358"/>
      <c r="BA424" s="358"/>
    </row>
    <row r="425" spans="1:53" s="376" customFormat="1" x14ac:dyDescent="0.15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  <c r="AF425" s="358"/>
      <c r="AG425" s="358"/>
      <c r="AH425" s="357"/>
      <c r="AI425" s="358"/>
      <c r="AJ425" s="358"/>
      <c r="AK425" s="358"/>
      <c r="AL425" s="358"/>
      <c r="AM425" s="358"/>
      <c r="AN425" s="358"/>
      <c r="AO425" s="358"/>
      <c r="AP425" s="358"/>
      <c r="AQ425" s="358"/>
      <c r="AR425" s="358"/>
      <c r="AS425" s="358"/>
      <c r="AT425" s="358"/>
      <c r="AU425" s="358"/>
      <c r="AV425" s="358"/>
      <c r="AW425" s="358"/>
      <c r="AX425" s="358"/>
      <c r="AY425" s="358"/>
      <c r="AZ425" s="358"/>
      <c r="BA425" s="358"/>
    </row>
    <row r="426" spans="1:53" s="376" customFormat="1" x14ac:dyDescent="0.15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  <c r="AF426" s="358"/>
      <c r="AG426" s="358"/>
      <c r="AH426" s="357"/>
      <c r="AI426" s="358"/>
      <c r="AJ426" s="358"/>
      <c r="AK426" s="358"/>
      <c r="AL426" s="358"/>
      <c r="AM426" s="358"/>
      <c r="AN426" s="358"/>
      <c r="AO426" s="358"/>
      <c r="AP426" s="358"/>
      <c r="AQ426" s="358"/>
      <c r="AR426" s="358"/>
      <c r="AS426" s="358"/>
      <c r="AT426" s="358"/>
      <c r="AU426" s="358"/>
      <c r="AV426" s="358"/>
      <c r="AW426" s="358"/>
      <c r="AX426" s="358"/>
      <c r="AY426" s="358"/>
      <c r="AZ426" s="358"/>
      <c r="BA426" s="358"/>
    </row>
    <row r="427" spans="1:53" s="376" customFormat="1" x14ac:dyDescent="0.15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  <c r="AF427" s="358"/>
      <c r="AG427" s="358"/>
      <c r="AH427" s="357"/>
      <c r="AI427" s="358"/>
      <c r="AJ427" s="358"/>
      <c r="AK427" s="358"/>
      <c r="AL427" s="358"/>
      <c r="AM427" s="358"/>
      <c r="AN427" s="358"/>
      <c r="AO427" s="358"/>
      <c r="AP427" s="358"/>
      <c r="AQ427" s="358"/>
      <c r="AR427" s="358"/>
      <c r="AS427" s="358"/>
      <c r="AT427" s="358"/>
      <c r="AU427" s="358"/>
      <c r="AV427" s="358"/>
      <c r="AW427" s="358"/>
      <c r="AX427" s="358"/>
      <c r="AY427" s="358"/>
      <c r="AZ427" s="358"/>
      <c r="BA427" s="358"/>
    </row>
    <row r="428" spans="1:53" s="376" customFormat="1" x14ac:dyDescent="0.15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  <c r="AF428" s="358"/>
      <c r="AG428" s="358"/>
      <c r="AH428" s="357"/>
      <c r="AI428" s="358"/>
      <c r="AJ428" s="358"/>
      <c r="AK428" s="358"/>
      <c r="AL428" s="358"/>
      <c r="AM428" s="358"/>
      <c r="AN428" s="358"/>
      <c r="AO428" s="358"/>
      <c r="AP428" s="358"/>
      <c r="AQ428" s="358"/>
      <c r="AR428" s="358"/>
      <c r="AS428" s="358"/>
      <c r="AT428" s="358"/>
      <c r="AU428" s="358"/>
      <c r="AV428" s="358"/>
      <c r="AW428" s="358"/>
      <c r="AX428" s="358"/>
      <c r="AY428" s="358"/>
      <c r="AZ428" s="358"/>
      <c r="BA428" s="358"/>
    </row>
    <row r="429" spans="1:53" s="376" customFormat="1" x14ac:dyDescent="0.15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  <c r="AF429" s="358"/>
      <c r="AG429" s="358"/>
      <c r="AH429" s="357"/>
      <c r="AI429" s="358"/>
      <c r="AJ429" s="358"/>
      <c r="AK429" s="358"/>
      <c r="AL429" s="358"/>
      <c r="AM429" s="358"/>
      <c r="AN429" s="358"/>
      <c r="AO429" s="358"/>
      <c r="AP429" s="358"/>
      <c r="AQ429" s="358"/>
      <c r="AR429" s="358"/>
      <c r="AS429" s="358"/>
      <c r="AT429" s="358"/>
      <c r="AU429" s="358"/>
      <c r="AV429" s="358"/>
      <c r="AW429" s="358"/>
      <c r="AX429" s="358"/>
      <c r="AY429" s="358"/>
      <c r="AZ429" s="358"/>
      <c r="BA429" s="358"/>
    </row>
    <row r="430" spans="1:53" s="376" customFormat="1" x14ac:dyDescent="0.15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  <c r="AF430" s="358"/>
      <c r="AG430" s="358"/>
      <c r="AH430" s="357"/>
      <c r="AI430" s="358"/>
      <c r="AJ430" s="358"/>
      <c r="AK430" s="358"/>
      <c r="AL430" s="358"/>
      <c r="AM430" s="358"/>
      <c r="AN430" s="358"/>
      <c r="AO430" s="358"/>
      <c r="AP430" s="358"/>
      <c r="AQ430" s="358"/>
      <c r="AR430" s="358"/>
      <c r="AS430" s="358"/>
      <c r="AT430" s="358"/>
      <c r="AU430" s="358"/>
      <c r="AV430" s="358"/>
      <c r="AW430" s="358"/>
      <c r="AX430" s="358"/>
      <c r="AY430" s="358"/>
      <c r="AZ430" s="358"/>
      <c r="BA430" s="358"/>
    </row>
    <row r="431" spans="1:53" s="376" customFormat="1" x14ac:dyDescent="0.15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  <c r="AF431" s="358"/>
      <c r="AG431" s="358"/>
      <c r="AH431" s="357"/>
      <c r="AI431" s="358"/>
      <c r="AJ431" s="358"/>
      <c r="AK431" s="358"/>
      <c r="AL431" s="358"/>
      <c r="AM431" s="358"/>
      <c r="AN431" s="358"/>
      <c r="AO431" s="358"/>
      <c r="AP431" s="358"/>
      <c r="AQ431" s="358"/>
      <c r="AR431" s="358"/>
      <c r="AS431" s="358"/>
      <c r="AT431" s="358"/>
      <c r="AU431" s="358"/>
      <c r="AV431" s="358"/>
      <c r="AW431" s="358"/>
      <c r="AX431" s="358"/>
      <c r="AY431" s="358"/>
      <c r="AZ431" s="358"/>
      <c r="BA431" s="358"/>
    </row>
    <row r="432" spans="1:53" s="376" customFormat="1" x14ac:dyDescent="0.15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  <c r="AF432" s="358"/>
      <c r="AG432" s="358"/>
      <c r="AH432" s="357"/>
      <c r="AI432" s="358"/>
      <c r="AJ432" s="358"/>
      <c r="AK432" s="358"/>
      <c r="AL432" s="358"/>
      <c r="AM432" s="358"/>
      <c r="AN432" s="358"/>
      <c r="AO432" s="358"/>
      <c r="AP432" s="358"/>
      <c r="AQ432" s="358"/>
      <c r="AR432" s="358"/>
      <c r="AS432" s="358"/>
      <c r="AT432" s="358"/>
      <c r="AU432" s="358"/>
      <c r="AV432" s="358"/>
      <c r="AW432" s="358"/>
      <c r="AX432" s="358"/>
      <c r="AY432" s="358"/>
      <c r="AZ432" s="358"/>
      <c r="BA432" s="358"/>
    </row>
    <row r="433" spans="1:53" s="376" customFormat="1" x14ac:dyDescent="0.15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  <c r="AF433" s="358"/>
      <c r="AG433" s="358"/>
      <c r="AH433" s="357"/>
      <c r="AI433" s="358"/>
      <c r="AJ433" s="358"/>
      <c r="AK433" s="358"/>
      <c r="AL433" s="358"/>
      <c r="AM433" s="358"/>
      <c r="AN433" s="358"/>
      <c r="AO433" s="358"/>
      <c r="AP433" s="358"/>
      <c r="AQ433" s="358"/>
      <c r="AR433" s="358"/>
      <c r="AS433" s="358"/>
      <c r="AT433" s="358"/>
      <c r="AU433" s="358"/>
      <c r="AV433" s="358"/>
      <c r="AW433" s="358"/>
      <c r="AX433" s="358"/>
      <c r="AY433" s="358"/>
      <c r="AZ433" s="358"/>
      <c r="BA433" s="358"/>
    </row>
    <row r="434" spans="1:53" s="376" customFormat="1" x14ac:dyDescent="0.15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  <c r="AF434" s="358"/>
      <c r="AG434" s="358"/>
      <c r="AH434" s="357"/>
      <c r="AI434" s="358"/>
      <c r="AJ434" s="358"/>
      <c r="AK434" s="358"/>
      <c r="AL434" s="358"/>
      <c r="AM434" s="358"/>
      <c r="AN434" s="358"/>
      <c r="AO434" s="358"/>
      <c r="AP434" s="358"/>
      <c r="AQ434" s="358"/>
      <c r="AR434" s="358"/>
      <c r="AS434" s="358"/>
      <c r="AT434" s="358"/>
      <c r="AU434" s="358"/>
      <c r="AV434" s="358"/>
      <c r="AW434" s="358"/>
      <c r="AX434" s="358"/>
      <c r="AY434" s="358"/>
      <c r="AZ434" s="358"/>
      <c r="BA434" s="358"/>
    </row>
    <row r="435" spans="1:53" s="376" customFormat="1" x14ac:dyDescent="0.15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  <c r="AF435" s="358"/>
      <c r="AG435" s="358"/>
      <c r="AH435" s="357"/>
      <c r="AI435" s="358"/>
      <c r="AJ435" s="358"/>
      <c r="AK435" s="358"/>
      <c r="AL435" s="358"/>
      <c r="AM435" s="358"/>
      <c r="AN435" s="358"/>
      <c r="AO435" s="358"/>
      <c r="AP435" s="358"/>
      <c r="AQ435" s="358"/>
      <c r="AR435" s="358"/>
      <c r="AS435" s="358"/>
      <c r="AT435" s="358"/>
      <c r="AU435" s="358"/>
      <c r="AV435" s="358"/>
      <c r="AW435" s="358"/>
      <c r="AX435" s="358"/>
      <c r="AY435" s="358"/>
      <c r="AZ435" s="358"/>
      <c r="BA435" s="358"/>
    </row>
    <row r="436" spans="1:53" s="376" customFormat="1" x14ac:dyDescent="0.15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  <c r="AF436" s="358"/>
      <c r="AG436" s="358"/>
      <c r="AH436" s="357"/>
      <c r="AI436" s="358"/>
      <c r="AJ436" s="358"/>
      <c r="AK436" s="358"/>
      <c r="AL436" s="358"/>
      <c r="AM436" s="358"/>
      <c r="AN436" s="358"/>
      <c r="AO436" s="358"/>
      <c r="AP436" s="358"/>
      <c r="AQ436" s="358"/>
      <c r="AR436" s="358"/>
      <c r="AS436" s="358"/>
      <c r="AT436" s="358"/>
      <c r="AU436" s="358"/>
      <c r="AV436" s="358"/>
      <c r="AW436" s="358"/>
      <c r="AX436" s="358"/>
      <c r="AY436" s="358"/>
      <c r="AZ436" s="358"/>
      <c r="BA436" s="358"/>
    </row>
    <row r="437" spans="1:53" s="376" customFormat="1" x14ac:dyDescent="0.15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  <c r="AF437" s="358"/>
      <c r="AG437" s="358"/>
      <c r="AH437" s="357"/>
      <c r="AI437" s="358"/>
      <c r="AJ437" s="358"/>
      <c r="AK437" s="358"/>
      <c r="AL437" s="358"/>
      <c r="AM437" s="358"/>
      <c r="AN437" s="358"/>
      <c r="AO437" s="358"/>
      <c r="AP437" s="358"/>
      <c r="AQ437" s="358"/>
      <c r="AR437" s="358"/>
      <c r="AS437" s="358"/>
      <c r="AT437" s="358"/>
      <c r="AU437" s="358"/>
      <c r="AV437" s="358"/>
      <c r="AW437" s="358"/>
      <c r="AX437" s="358"/>
      <c r="AY437" s="358"/>
      <c r="AZ437" s="358"/>
      <c r="BA437" s="358"/>
    </row>
    <row r="438" spans="1:53" s="376" customFormat="1" x14ac:dyDescent="0.15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  <c r="AF438" s="358"/>
      <c r="AG438" s="358"/>
      <c r="AH438" s="357"/>
      <c r="AI438" s="358"/>
      <c r="AJ438" s="358"/>
      <c r="AK438" s="358"/>
      <c r="AL438" s="358"/>
      <c r="AM438" s="358"/>
      <c r="AN438" s="358"/>
      <c r="AO438" s="358"/>
      <c r="AP438" s="358"/>
      <c r="AQ438" s="358"/>
      <c r="AR438" s="358"/>
      <c r="AS438" s="358"/>
      <c r="AT438" s="358"/>
      <c r="AU438" s="358"/>
      <c r="AV438" s="358"/>
      <c r="AW438" s="358"/>
      <c r="AX438" s="358"/>
      <c r="AY438" s="358"/>
      <c r="AZ438" s="358"/>
      <c r="BA438" s="358"/>
    </row>
    <row r="439" spans="1:53" s="376" customFormat="1" x14ac:dyDescent="0.15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  <c r="AF439" s="358"/>
      <c r="AG439" s="358"/>
      <c r="AH439" s="357"/>
      <c r="AI439" s="358"/>
      <c r="AJ439" s="358"/>
      <c r="AK439" s="358"/>
      <c r="AL439" s="358"/>
      <c r="AM439" s="358"/>
      <c r="AN439" s="358"/>
      <c r="AO439" s="358"/>
      <c r="AP439" s="358"/>
      <c r="AQ439" s="358"/>
      <c r="AR439" s="358"/>
      <c r="AS439" s="358"/>
      <c r="AT439" s="358"/>
      <c r="AU439" s="358"/>
      <c r="AV439" s="358"/>
      <c r="AW439" s="358"/>
      <c r="AX439" s="358"/>
      <c r="AY439" s="358"/>
      <c r="AZ439" s="358"/>
      <c r="BA439" s="358"/>
    </row>
    <row r="440" spans="1:53" s="376" customFormat="1" x14ac:dyDescent="0.15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  <c r="AF440" s="358"/>
      <c r="AG440" s="358"/>
      <c r="AH440" s="357"/>
      <c r="AI440" s="358"/>
      <c r="AJ440" s="358"/>
      <c r="AK440" s="358"/>
      <c r="AL440" s="358"/>
      <c r="AM440" s="358"/>
      <c r="AN440" s="358"/>
      <c r="AO440" s="358"/>
      <c r="AP440" s="358"/>
      <c r="AQ440" s="358"/>
      <c r="AR440" s="358"/>
      <c r="AS440" s="358"/>
      <c r="AT440" s="358"/>
      <c r="AU440" s="358"/>
      <c r="AV440" s="358"/>
      <c r="AW440" s="358"/>
      <c r="AX440" s="358"/>
      <c r="AY440" s="358"/>
      <c r="AZ440" s="358"/>
      <c r="BA440" s="358"/>
    </row>
    <row r="441" spans="1:53" s="376" customFormat="1" x14ac:dyDescent="0.15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  <c r="AF441" s="358"/>
      <c r="AG441" s="358"/>
      <c r="AH441" s="357"/>
      <c r="AI441" s="358"/>
      <c r="AJ441" s="358"/>
      <c r="AK441" s="358"/>
      <c r="AL441" s="358"/>
      <c r="AM441" s="358"/>
      <c r="AN441" s="358"/>
      <c r="AO441" s="358"/>
      <c r="AP441" s="358"/>
      <c r="AQ441" s="358"/>
      <c r="AR441" s="358"/>
      <c r="AS441" s="358"/>
      <c r="AT441" s="358"/>
      <c r="AU441" s="358"/>
      <c r="AV441" s="358"/>
      <c r="AW441" s="358"/>
      <c r="AX441" s="358"/>
      <c r="AY441" s="358"/>
      <c r="AZ441" s="358"/>
      <c r="BA441" s="358"/>
    </row>
    <row r="442" spans="1:53" s="376" customFormat="1" x14ac:dyDescent="0.15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  <c r="AF442" s="358"/>
      <c r="AG442" s="358"/>
      <c r="AH442" s="357"/>
      <c r="AI442" s="358"/>
      <c r="AJ442" s="358"/>
      <c r="AK442" s="358"/>
      <c r="AL442" s="358"/>
      <c r="AM442" s="358"/>
      <c r="AN442" s="358"/>
      <c r="AO442" s="358"/>
      <c r="AP442" s="358"/>
      <c r="AQ442" s="358"/>
      <c r="AR442" s="358"/>
      <c r="AS442" s="358"/>
      <c r="AT442" s="358"/>
      <c r="AU442" s="358"/>
      <c r="AV442" s="358"/>
      <c r="AW442" s="358"/>
      <c r="AX442" s="358"/>
      <c r="AY442" s="358"/>
      <c r="AZ442" s="358"/>
      <c r="BA442" s="358"/>
    </row>
    <row r="443" spans="1:53" s="376" customFormat="1" x14ac:dyDescent="0.15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  <c r="AF443" s="358"/>
      <c r="AG443" s="358"/>
      <c r="AH443" s="357"/>
      <c r="AI443" s="358"/>
      <c r="AJ443" s="358"/>
      <c r="AK443" s="358"/>
      <c r="AL443" s="358"/>
      <c r="AM443" s="358"/>
      <c r="AN443" s="358"/>
      <c r="AO443" s="358"/>
      <c r="AP443" s="358"/>
      <c r="AQ443" s="358"/>
      <c r="AR443" s="358"/>
      <c r="AS443" s="358"/>
      <c r="AT443" s="358"/>
      <c r="AU443" s="358"/>
      <c r="AV443" s="358"/>
      <c r="AW443" s="358"/>
      <c r="AX443" s="358"/>
      <c r="AY443" s="358"/>
      <c r="AZ443" s="358"/>
      <c r="BA443" s="358"/>
    </row>
    <row r="444" spans="1:53" s="376" customFormat="1" x14ac:dyDescent="0.15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  <c r="AF444" s="358"/>
      <c r="AG444" s="358"/>
      <c r="AH444" s="357"/>
      <c r="AI444" s="358"/>
      <c r="AJ444" s="358"/>
      <c r="AK444" s="358"/>
      <c r="AL444" s="358"/>
      <c r="AM444" s="358"/>
      <c r="AN444" s="358"/>
      <c r="AO444" s="358"/>
      <c r="AP444" s="358"/>
      <c r="AQ444" s="358"/>
      <c r="AR444" s="358"/>
      <c r="AS444" s="358"/>
      <c r="AT444" s="358"/>
      <c r="AU444" s="358"/>
      <c r="AV444" s="358"/>
      <c r="AW444" s="358"/>
      <c r="AX444" s="358"/>
      <c r="AY444" s="358"/>
      <c r="AZ444" s="358"/>
      <c r="BA444" s="358"/>
    </row>
    <row r="445" spans="1:53" s="376" customFormat="1" x14ac:dyDescent="0.15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  <c r="AF445" s="358"/>
      <c r="AG445" s="358"/>
      <c r="AH445" s="357"/>
      <c r="AI445" s="358"/>
      <c r="AJ445" s="358"/>
      <c r="AK445" s="358"/>
      <c r="AL445" s="358"/>
      <c r="AM445" s="358"/>
      <c r="AN445" s="358"/>
      <c r="AO445" s="358"/>
      <c r="AP445" s="358"/>
      <c r="AQ445" s="358"/>
      <c r="AR445" s="358"/>
      <c r="AS445" s="358"/>
      <c r="AT445" s="358"/>
      <c r="AU445" s="358"/>
      <c r="AV445" s="358"/>
      <c r="AW445" s="358"/>
      <c r="AX445" s="358"/>
      <c r="AY445" s="358"/>
      <c r="AZ445" s="358"/>
      <c r="BA445" s="358"/>
    </row>
    <row r="446" spans="1:53" s="376" customFormat="1" x14ac:dyDescent="0.15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  <c r="AF446" s="358"/>
      <c r="AG446" s="358"/>
      <c r="AH446" s="357"/>
      <c r="AI446" s="358"/>
      <c r="AJ446" s="358"/>
      <c r="AK446" s="358"/>
      <c r="AL446" s="358"/>
      <c r="AM446" s="358"/>
      <c r="AN446" s="358"/>
      <c r="AO446" s="358"/>
      <c r="AP446" s="358"/>
      <c r="AQ446" s="358"/>
      <c r="AR446" s="358"/>
      <c r="AS446" s="358"/>
      <c r="AT446" s="358"/>
      <c r="AU446" s="358"/>
      <c r="AV446" s="358"/>
      <c r="AW446" s="358"/>
      <c r="AX446" s="358"/>
      <c r="AY446" s="358"/>
      <c r="AZ446" s="358"/>
      <c r="BA446" s="358"/>
    </row>
    <row r="447" spans="1:53" s="376" customFormat="1" x14ac:dyDescent="0.15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  <c r="AF447" s="358"/>
      <c r="AG447" s="358"/>
      <c r="AH447" s="357"/>
      <c r="AI447" s="358"/>
      <c r="AJ447" s="358"/>
      <c r="AK447" s="358"/>
      <c r="AL447" s="358"/>
      <c r="AM447" s="358"/>
      <c r="AN447" s="358"/>
      <c r="AO447" s="358"/>
      <c r="AP447" s="358"/>
      <c r="AQ447" s="358"/>
      <c r="AR447" s="358"/>
      <c r="AS447" s="358"/>
      <c r="AT447" s="358"/>
      <c r="AU447" s="358"/>
      <c r="AV447" s="358"/>
      <c r="AW447" s="358"/>
      <c r="AX447" s="358"/>
      <c r="AY447" s="358"/>
      <c r="AZ447" s="358"/>
      <c r="BA447" s="358"/>
    </row>
    <row r="448" spans="1:53" s="376" customFormat="1" x14ac:dyDescent="0.15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  <c r="AF448" s="358"/>
      <c r="AG448" s="358"/>
      <c r="AH448" s="357"/>
      <c r="AI448" s="358"/>
      <c r="AJ448" s="358"/>
      <c r="AK448" s="358"/>
      <c r="AL448" s="358"/>
      <c r="AM448" s="358"/>
      <c r="AN448" s="358"/>
      <c r="AO448" s="358"/>
      <c r="AP448" s="358"/>
      <c r="AQ448" s="358"/>
      <c r="AR448" s="358"/>
      <c r="AS448" s="358"/>
      <c r="AT448" s="358"/>
      <c r="AU448" s="358"/>
      <c r="AV448" s="358"/>
      <c r="AW448" s="358"/>
      <c r="AX448" s="358"/>
      <c r="AY448" s="358"/>
      <c r="AZ448" s="358"/>
      <c r="BA448" s="358"/>
    </row>
    <row r="449" spans="1:53" s="376" customFormat="1" x14ac:dyDescent="0.15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  <c r="AF449" s="358"/>
      <c r="AG449" s="358"/>
      <c r="AH449" s="357"/>
      <c r="AI449" s="358"/>
      <c r="AJ449" s="358"/>
      <c r="AK449" s="358"/>
      <c r="AL449" s="358"/>
      <c r="AM449" s="358"/>
      <c r="AN449" s="358"/>
      <c r="AO449" s="358"/>
      <c r="AP449" s="358"/>
      <c r="AQ449" s="358"/>
      <c r="AR449" s="358"/>
      <c r="AS449" s="358"/>
      <c r="AT449" s="358"/>
      <c r="AU449" s="358"/>
      <c r="AV449" s="358"/>
      <c r="AW449" s="358"/>
      <c r="AX449" s="358"/>
      <c r="AY449" s="358"/>
      <c r="AZ449" s="358"/>
      <c r="BA449" s="358"/>
    </row>
    <row r="450" spans="1:53" s="376" customFormat="1" x14ac:dyDescent="0.15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  <c r="AF450" s="358"/>
      <c r="AG450" s="358"/>
      <c r="AH450" s="357"/>
      <c r="AI450" s="358"/>
      <c r="AJ450" s="358"/>
      <c r="AK450" s="358"/>
      <c r="AL450" s="358"/>
      <c r="AM450" s="358"/>
      <c r="AN450" s="358"/>
      <c r="AO450" s="358"/>
      <c r="AP450" s="358"/>
      <c r="AQ450" s="358"/>
      <c r="AR450" s="358"/>
      <c r="AS450" s="358"/>
      <c r="AT450" s="358"/>
      <c r="AU450" s="358"/>
      <c r="AV450" s="358"/>
      <c r="AW450" s="358"/>
      <c r="AX450" s="358"/>
      <c r="AY450" s="358"/>
      <c r="AZ450" s="358"/>
      <c r="BA450" s="358"/>
    </row>
    <row r="451" spans="1:53" s="376" customFormat="1" x14ac:dyDescent="0.15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  <c r="AF451" s="358"/>
      <c r="AG451" s="358"/>
      <c r="AH451" s="357"/>
      <c r="AI451" s="358"/>
      <c r="AJ451" s="358"/>
      <c r="AK451" s="358"/>
      <c r="AL451" s="358"/>
      <c r="AM451" s="358"/>
      <c r="AN451" s="358"/>
      <c r="AO451" s="358"/>
      <c r="AP451" s="358"/>
      <c r="AQ451" s="358"/>
      <c r="AR451" s="358"/>
      <c r="AS451" s="358"/>
      <c r="AT451" s="358"/>
      <c r="AU451" s="358"/>
      <c r="AV451" s="358"/>
      <c r="AW451" s="358"/>
      <c r="AX451" s="358"/>
      <c r="AY451" s="358"/>
      <c r="AZ451" s="358"/>
      <c r="BA451" s="358"/>
    </row>
    <row r="452" spans="1:53" s="376" customFormat="1" x14ac:dyDescent="0.15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  <c r="AF452" s="358"/>
      <c r="AG452" s="358"/>
      <c r="AH452" s="357"/>
      <c r="AI452" s="358"/>
      <c r="AJ452" s="358"/>
      <c r="AK452" s="358"/>
      <c r="AL452" s="358"/>
      <c r="AM452" s="358"/>
      <c r="AN452" s="358"/>
      <c r="AO452" s="358"/>
      <c r="AP452" s="358"/>
      <c r="AQ452" s="358"/>
      <c r="AR452" s="358"/>
      <c r="AS452" s="358"/>
      <c r="AT452" s="358"/>
      <c r="AU452" s="358"/>
      <c r="AV452" s="358"/>
      <c r="AW452" s="358"/>
      <c r="AX452" s="358"/>
      <c r="AY452" s="358"/>
      <c r="AZ452" s="358"/>
      <c r="BA452" s="358"/>
    </row>
    <row r="453" spans="1:53" s="376" customFormat="1" x14ac:dyDescent="0.15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  <c r="AF453" s="358"/>
      <c r="AG453" s="358"/>
      <c r="AH453" s="357"/>
      <c r="AI453" s="358"/>
      <c r="AJ453" s="358"/>
      <c r="AK453" s="358"/>
      <c r="AL453" s="358"/>
      <c r="AM453" s="358"/>
      <c r="AN453" s="358"/>
      <c r="AO453" s="358"/>
      <c r="AP453" s="358"/>
      <c r="AQ453" s="358"/>
      <c r="AR453" s="358"/>
      <c r="AS453" s="358"/>
      <c r="AT453" s="358"/>
      <c r="AU453" s="358"/>
      <c r="AV453" s="358"/>
      <c r="AW453" s="358"/>
      <c r="AX453" s="358"/>
      <c r="AY453" s="358"/>
      <c r="AZ453" s="358"/>
      <c r="BA453" s="358"/>
    </row>
    <row r="454" spans="1:53" s="376" customFormat="1" x14ac:dyDescent="0.15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  <c r="AF454" s="358"/>
      <c r="AG454" s="358"/>
      <c r="AH454" s="357"/>
      <c r="AI454" s="358"/>
      <c r="AJ454" s="358"/>
      <c r="AK454" s="358"/>
      <c r="AL454" s="358"/>
      <c r="AM454" s="358"/>
      <c r="AN454" s="358"/>
      <c r="AO454" s="358"/>
      <c r="AP454" s="358"/>
      <c r="AQ454" s="358"/>
      <c r="AR454" s="358"/>
      <c r="AS454" s="358"/>
      <c r="AT454" s="358"/>
      <c r="AU454" s="358"/>
      <c r="AV454" s="358"/>
      <c r="AW454" s="358"/>
      <c r="AX454" s="358"/>
      <c r="AY454" s="358"/>
      <c r="AZ454" s="358"/>
      <c r="BA454" s="358"/>
    </row>
    <row r="455" spans="1:53" s="376" customFormat="1" x14ac:dyDescent="0.15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  <c r="AF455" s="358"/>
      <c r="AG455" s="358"/>
      <c r="AH455" s="357"/>
      <c r="AI455" s="358"/>
      <c r="AJ455" s="358"/>
      <c r="AK455" s="358"/>
      <c r="AL455" s="358"/>
      <c r="AM455" s="358"/>
      <c r="AN455" s="358"/>
      <c r="AO455" s="358"/>
      <c r="AP455" s="358"/>
      <c r="AQ455" s="358"/>
      <c r="AR455" s="358"/>
      <c r="AS455" s="358"/>
      <c r="AT455" s="358"/>
      <c r="AU455" s="358"/>
      <c r="AV455" s="358"/>
      <c r="AW455" s="358"/>
      <c r="AX455" s="358"/>
      <c r="AY455" s="358"/>
      <c r="AZ455" s="358"/>
      <c r="BA455" s="358"/>
    </row>
    <row r="456" spans="1:53" s="376" customFormat="1" x14ac:dyDescent="0.15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  <c r="AF456" s="358"/>
      <c r="AG456" s="358"/>
      <c r="AH456" s="357"/>
      <c r="AI456" s="358"/>
      <c r="AJ456" s="358"/>
      <c r="AK456" s="358"/>
      <c r="AL456" s="358"/>
      <c r="AM456" s="358"/>
      <c r="AN456" s="358"/>
      <c r="AO456" s="358"/>
      <c r="AP456" s="358"/>
      <c r="AQ456" s="358"/>
      <c r="AR456" s="358"/>
      <c r="AS456" s="358"/>
      <c r="AT456" s="358"/>
      <c r="AU456" s="358"/>
      <c r="AV456" s="358"/>
      <c r="AW456" s="358"/>
      <c r="AX456" s="358"/>
      <c r="AY456" s="358"/>
      <c r="AZ456" s="358"/>
      <c r="BA456" s="358"/>
    </row>
    <row r="457" spans="1:53" s="376" customFormat="1" x14ac:dyDescent="0.15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  <c r="AF457" s="358"/>
      <c r="AG457" s="358"/>
      <c r="AH457" s="357"/>
      <c r="AI457" s="358"/>
      <c r="AJ457" s="358"/>
      <c r="AK457" s="358"/>
      <c r="AL457" s="358"/>
      <c r="AM457" s="358"/>
      <c r="AN457" s="358"/>
      <c r="AO457" s="358"/>
      <c r="AP457" s="358"/>
      <c r="AQ457" s="358"/>
      <c r="AR457" s="358"/>
      <c r="AS457" s="358"/>
      <c r="AT457" s="358"/>
      <c r="AU457" s="358"/>
      <c r="AV457" s="358"/>
      <c r="AW457" s="358"/>
      <c r="AX457" s="358"/>
      <c r="AY457" s="358"/>
      <c r="AZ457" s="358"/>
      <c r="BA457" s="358"/>
    </row>
    <row r="458" spans="1:53" s="376" customFormat="1" x14ac:dyDescent="0.15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  <c r="AF458" s="358"/>
      <c r="AG458" s="358"/>
      <c r="AH458" s="357"/>
      <c r="AI458" s="358"/>
      <c r="AJ458" s="358"/>
      <c r="AK458" s="358"/>
      <c r="AL458" s="358"/>
      <c r="AM458" s="358"/>
      <c r="AN458" s="358"/>
      <c r="AO458" s="358"/>
      <c r="AP458" s="358"/>
      <c r="AQ458" s="358"/>
      <c r="AR458" s="358"/>
      <c r="AS458" s="358"/>
      <c r="AT458" s="358"/>
      <c r="AU458" s="358"/>
      <c r="AV458" s="358"/>
      <c r="AW458" s="358"/>
      <c r="AX458" s="358"/>
      <c r="AY458" s="358"/>
      <c r="AZ458" s="358"/>
      <c r="BA458" s="358"/>
    </row>
    <row r="459" spans="1:53" s="376" customFormat="1" x14ac:dyDescent="0.15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  <c r="AF459" s="358"/>
      <c r="AG459" s="358"/>
      <c r="AH459" s="357"/>
      <c r="AI459" s="358"/>
      <c r="AJ459" s="358"/>
      <c r="AK459" s="358"/>
      <c r="AL459" s="358"/>
      <c r="AM459" s="358"/>
      <c r="AN459" s="358"/>
      <c r="AO459" s="358"/>
      <c r="AP459" s="358"/>
      <c r="AQ459" s="358"/>
      <c r="AR459" s="358"/>
      <c r="AS459" s="358"/>
      <c r="AT459" s="358"/>
      <c r="AU459" s="358"/>
      <c r="AV459" s="358"/>
      <c r="AW459" s="358"/>
      <c r="AX459" s="358"/>
      <c r="AY459" s="358"/>
      <c r="AZ459" s="358"/>
      <c r="BA459" s="358"/>
    </row>
    <row r="460" spans="1:53" s="376" customFormat="1" x14ac:dyDescent="0.15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  <c r="AF460" s="358"/>
      <c r="AG460" s="358"/>
      <c r="AH460" s="357"/>
      <c r="AI460" s="358"/>
      <c r="AJ460" s="358"/>
      <c r="AK460" s="358"/>
      <c r="AL460" s="358"/>
      <c r="AM460" s="358"/>
      <c r="AN460" s="358"/>
      <c r="AO460" s="358"/>
      <c r="AP460" s="358"/>
      <c r="AQ460" s="358"/>
      <c r="AR460" s="358"/>
      <c r="AS460" s="358"/>
      <c r="AT460" s="358"/>
      <c r="AU460" s="358"/>
      <c r="AV460" s="358"/>
      <c r="AW460" s="358"/>
      <c r="AX460" s="358"/>
      <c r="AY460" s="358"/>
      <c r="AZ460" s="358"/>
      <c r="BA460" s="358"/>
    </row>
    <row r="461" spans="1:53" s="376" customFormat="1" x14ac:dyDescent="0.15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  <c r="AF461" s="358"/>
      <c r="AG461" s="358"/>
      <c r="AH461" s="357"/>
      <c r="AI461" s="358"/>
      <c r="AJ461" s="358"/>
      <c r="AK461" s="358"/>
      <c r="AL461" s="358"/>
      <c r="AM461" s="358"/>
      <c r="AN461" s="358"/>
      <c r="AO461" s="358"/>
      <c r="AP461" s="358"/>
      <c r="AQ461" s="358"/>
      <c r="AR461" s="358"/>
      <c r="AS461" s="358"/>
      <c r="AT461" s="358"/>
      <c r="AU461" s="358"/>
      <c r="AV461" s="358"/>
      <c r="AW461" s="358"/>
      <c r="AX461" s="358"/>
      <c r="AY461" s="358"/>
      <c r="AZ461" s="358"/>
      <c r="BA461" s="358"/>
    </row>
    <row r="462" spans="1:53" s="376" customFormat="1" x14ac:dyDescent="0.15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  <c r="AF462" s="358"/>
      <c r="AG462" s="358"/>
      <c r="AH462" s="357"/>
      <c r="AI462" s="358"/>
      <c r="AJ462" s="358"/>
      <c r="AK462" s="358"/>
      <c r="AL462" s="358"/>
      <c r="AM462" s="358"/>
      <c r="AN462" s="358"/>
      <c r="AO462" s="358"/>
      <c r="AP462" s="358"/>
      <c r="AQ462" s="358"/>
      <c r="AR462" s="358"/>
      <c r="AS462" s="358"/>
      <c r="AT462" s="358"/>
      <c r="AU462" s="358"/>
      <c r="AV462" s="358"/>
      <c r="AW462" s="358"/>
      <c r="AX462" s="358"/>
      <c r="AY462" s="358"/>
      <c r="AZ462" s="358"/>
      <c r="BA462" s="358"/>
    </row>
    <row r="463" spans="1:53" s="376" customFormat="1" x14ac:dyDescent="0.15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  <c r="AF463" s="358"/>
      <c r="AG463" s="358"/>
      <c r="AH463" s="357"/>
      <c r="AI463" s="358"/>
      <c r="AJ463" s="358"/>
      <c r="AK463" s="358"/>
      <c r="AL463" s="358"/>
      <c r="AM463" s="358"/>
      <c r="AN463" s="358"/>
      <c r="AO463" s="358"/>
      <c r="AP463" s="358"/>
      <c r="AQ463" s="358"/>
      <c r="AR463" s="358"/>
      <c r="AS463" s="358"/>
      <c r="AT463" s="358"/>
      <c r="AU463" s="358"/>
      <c r="AV463" s="358"/>
      <c r="AW463" s="358"/>
      <c r="AX463" s="358"/>
      <c r="AY463" s="358"/>
      <c r="AZ463" s="358"/>
      <c r="BA463" s="358"/>
    </row>
    <row r="464" spans="1:53" s="376" customFormat="1" x14ac:dyDescent="0.15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  <c r="AF464" s="358"/>
      <c r="AG464" s="358"/>
      <c r="AH464" s="357"/>
      <c r="AI464" s="358"/>
      <c r="AJ464" s="358"/>
      <c r="AK464" s="358"/>
      <c r="AL464" s="358"/>
      <c r="AM464" s="358"/>
      <c r="AN464" s="358"/>
      <c r="AO464" s="358"/>
      <c r="AP464" s="358"/>
      <c r="AQ464" s="358"/>
      <c r="AR464" s="358"/>
      <c r="AS464" s="358"/>
      <c r="AT464" s="358"/>
      <c r="AU464" s="358"/>
      <c r="AV464" s="358"/>
      <c r="AW464" s="358"/>
      <c r="AX464" s="358"/>
      <c r="AY464" s="358"/>
      <c r="AZ464" s="358"/>
      <c r="BA464" s="358"/>
    </row>
    <row r="465" spans="1:53" s="376" customFormat="1" x14ac:dyDescent="0.15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  <c r="AF465" s="358"/>
      <c r="AG465" s="358"/>
      <c r="AH465" s="357"/>
      <c r="AI465" s="358"/>
      <c r="AJ465" s="358"/>
      <c r="AK465" s="358"/>
      <c r="AL465" s="358"/>
      <c r="AM465" s="358"/>
      <c r="AN465" s="358"/>
      <c r="AO465" s="358"/>
      <c r="AP465" s="358"/>
      <c r="AQ465" s="358"/>
      <c r="AR465" s="358"/>
      <c r="AS465" s="358"/>
      <c r="AT465" s="358"/>
      <c r="AU465" s="358"/>
      <c r="AV465" s="358"/>
      <c r="AW465" s="358"/>
      <c r="AX465" s="358"/>
      <c r="AY465" s="358"/>
      <c r="AZ465" s="358"/>
      <c r="BA465" s="358"/>
    </row>
    <row r="466" spans="1:53" s="376" customFormat="1" x14ac:dyDescent="0.15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  <c r="AF466" s="358"/>
      <c r="AG466" s="358"/>
      <c r="AH466" s="357"/>
      <c r="AI466" s="358"/>
      <c r="AJ466" s="358"/>
      <c r="AK466" s="358"/>
      <c r="AL466" s="358"/>
      <c r="AM466" s="358"/>
      <c r="AN466" s="358"/>
      <c r="AO466" s="358"/>
      <c r="AP466" s="358"/>
      <c r="AQ466" s="358"/>
      <c r="AR466" s="358"/>
      <c r="AS466" s="358"/>
      <c r="AT466" s="358"/>
      <c r="AU466" s="358"/>
      <c r="AV466" s="358"/>
      <c r="AW466" s="358"/>
      <c r="AX466" s="358"/>
      <c r="AY466" s="358"/>
      <c r="AZ466" s="358"/>
      <c r="BA466" s="358"/>
    </row>
    <row r="467" spans="1:53" s="376" customFormat="1" x14ac:dyDescent="0.15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  <c r="AF467" s="358"/>
      <c r="AG467" s="358"/>
      <c r="AH467" s="357"/>
      <c r="AI467" s="358"/>
      <c r="AJ467" s="358"/>
      <c r="AK467" s="358"/>
      <c r="AL467" s="358"/>
      <c r="AM467" s="358"/>
      <c r="AN467" s="358"/>
      <c r="AO467" s="358"/>
      <c r="AP467" s="358"/>
      <c r="AQ467" s="358"/>
      <c r="AR467" s="358"/>
      <c r="AS467" s="358"/>
      <c r="AT467" s="358"/>
      <c r="AU467" s="358"/>
      <c r="AV467" s="358"/>
      <c r="AW467" s="358"/>
      <c r="AX467" s="358"/>
      <c r="AY467" s="358"/>
      <c r="AZ467" s="358"/>
      <c r="BA467" s="358"/>
    </row>
    <row r="468" spans="1:53" s="376" customFormat="1" x14ac:dyDescent="0.15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  <c r="AF468" s="358"/>
      <c r="AG468" s="358"/>
      <c r="AH468" s="357"/>
      <c r="AI468" s="358"/>
      <c r="AJ468" s="358"/>
      <c r="AK468" s="358"/>
      <c r="AL468" s="358"/>
      <c r="AM468" s="358"/>
      <c r="AN468" s="358"/>
      <c r="AO468" s="358"/>
      <c r="AP468" s="358"/>
      <c r="AQ468" s="358"/>
      <c r="AR468" s="358"/>
      <c r="AS468" s="358"/>
      <c r="AT468" s="358"/>
      <c r="AU468" s="358"/>
      <c r="AV468" s="358"/>
      <c r="AW468" s="358"/>
      <c r="AX468" s="358"/>
      <c r="AY468" s="358"/>
      <c r="AZ468" s="358"/>
      <c r="BA468" s="358"/>
    </row>
    <row r="469" spans="1:53" s="376" customFormat="1" x14ac:dyDescent="0.15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  <c r="AF469" s="358"/>
      <c r="AG469" s="358"/>
      <c r="AH469" s="357"/>
      <c r="AI469" s="358"/>
      <c r="AJ469" s="358"/>
      <c r="AK469" s="358"/>
      <c r="AL469" s="358"/>
      <c r="AM469" s="358"/>
      <c r="AN469" s="358"/>
      <c r="AO469" s="358"/>
      <c r="AP469" s="358"/>
      <c r="AQ469" s="358"/>
      <c r="AR469" s="358"/>
      <c r="AS469" s="358"/>
      <c r="AT469" s="358"/>
      <c r="AU469" s="358"/>
      <c r="AV469" s="358"/>
      <c r="AW469" s="358"/>
      <c r="AX469" s="358"/>
      <c r="AY469" s="358"/>
      <c r="AZ469" s="358"/>
      <c r="BA469" s="358"/>
    </row>
    <row r="470" spans="1:53" s="376" customFormat="1" x14ac:dyDescent="0.15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  <c r="AF470" s="358"/>
      <c r="AG470" s="358"/>
      <c r="AH470" s="357"/>
      <c r="AI470" s="358"/>
      <c r="AJ470" s="358"/>
      <c r="AK470" s="358"/>
      <c r="AL470" s="358"/>
      <c r="AM470" s="358"/>
      <c r="AN470" s="358"/>
      <c r="AO470" s="358"/>
      <c r="AP470" s="358"/>
      <c r="AQ470" s="358"/>
      <c r="AR470" s="358"/>
      <c r="AS470" s="358"/>
      <c r="AT470" s="358"/>
      <c r="AU470" s="358"/>
      <c r="AV470" s="358"/>
      <c r="AW470" s="358"/>
      <c r="AX470" s="358"/>
      <c r="AY470" s="358"/>
      <c r="AZ470" s="358"/>
      <c r="BA470" s="358"/>
    </row>
    <row r="471" spans="1:53" s="376" customFormat="1" x14ac:dyDescent="0.15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  <c r="AF471" s="358"/>
      <c r="AG471" s="358"/>
      <c r="AH471" s="357"/>
      <c r="AI471" s="358"/>
      <c r="AJ471" s="358"/>
      <c r="AK471" s="358"/>
      <c r="AL471" s="358"/>
      <c r="AM471" s="358"/>
      <c r="AN471" s="358"/>
      <c r="AO471" s="358"/>
      <c r="AP471" s="358"/>
      <c r="AQ471" s="358"/>
      <c r="AR471" s="358"/>
      <c r="AS471" s="358"/>
      <c r="AT471" s="358"/>
      <c r="AU471" s="358"/>
      <c r="AV471" s="358"/>
      <c r="AW471" s="358"/>
      <c r="AX471" s="358"/>
      <c r="AY471" s="358"/>
      <c r="AZ471" s="358"/>
      <c r="BA471" s="358"/>
    </row>
    <row r="472" spans="1:53" s="376" customFormat="1" x14ac:dyDescent="0.15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  <c r="AF472" s="358"/>
      <c r="AG472" s="358"/>
      <c r="AH472" s="357"/>
      <c r="AI472" s="358"/>
      <c r="AJ472" s="358"/>
      <c r="AK472" s="358"/>
      <c r="AL472" s="358"/>
      <c r="AM472" s="358"/>
      <c r="AN472" s="358"/>
      <c r="AO472" s="358"/>
      <c r="AP472" s="358"/>
      <c r="AQ472" s="358"/>
      <c r="AR472" s="358"/>
      <c r="AS472" s="358"/>
      <c r="AT472" s="358"/>
      <c r="AU472" s="358"/>
      <c r="AV472" s="358"/>
      <c r="AW472" s="358"/>
      <c r="AX472" s="358"/>
      <c r="AY472" s="358"/>
      <c r="AZ472" s="358"/>
      <c r="BA472" s="358"/>
    </row>
    <row r="473" spans="1:53" s="376" customFormat="1" x14ac:dyDescent="0.15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  <c r="AF473" s="358"/>
      <c r="AG473" s="358"/>
      <c r="AH473" s="357"/>
      <c r="AI473" s="358"/>
      <c r="AJ473" s="358"/>
      <c r="AK473" s="358"/>
      <c r="AL473" s="358"/>
      <c r="AM473" s="358"/>
      <c r="AN473" s="358"/>
      <c r="AO473" s="358"/>
      <c r="AP473" s="358"/>
      <c r="AQ473" s="358"/>
      <c r="AR473" s="358"/>
      <c r="AS473" s="358"/>
      <c r="AT473" s="358"/>
      <c r="AU473" s="358"/>
      <c r="AV473" s="358"/>
      <c r="AW473" s="358"/>
      <c r="AX473" s="358"/>
      <c r="AY473" s="358"/>
      <c r="AZ473" s="358"/>
      <c r="BA473" s="358"/>
    </row>
    <row r="474" spans="1:53" x14ac:dyDescent="0.15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64"/>
      <c r="AF474" s="264"/>
      <c r="AG474" s="264"/>
      <c r="AH474" s="263"/>
      <c r="AI474" s="264"/>
      <c r="AJ474" s="264"/>
      <c r="AK474" s="264"/>
      <c r="AL474" s="264"/>
      <c r="AM474" s="264"/>
      <c r="AN474" s="264"/>
      <c r="AO474" s="264"/>
      <c r="AP474" s="264"/>
      <c r="AQ474" s="264"/>
      <c r="AR474" s="264"/>
      <c r="AS474" s="264"/>
      <c r="AT474" s="264"/>
      <c r="AU474" s="264"/>
      <c r="AV474" s="264"/>
      <c r="AW474" s="264"/>
      <c r="AX474" s="264"/>
      <c r="AY474" s="264"/>
      <c r="AZ474" s="264"/>
      <c r="BA474" s="264"/>
    </row>
    <row r="475" spans="1:53" x14ac:dyDescent="0.1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3"/>
      <c r="AI475" s="264"/>
      <c r="AJ475" s="264"/>
      <c r="AK475" s="264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</row>
    <row r="476" spans="1:53" x14ac:dyDescent="0.15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3"/>
      <c r="AI476" s="264"/>
      <c r="AJ476" s="264"/>
      <c r="AK476" s="26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</row>
    <row r="477" spans="1:53" x14ac:dyDescent="0.15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3"/>
      <c r="AI477" s="264"/>
      <c r="AJ477" s="264"/>
      <c r="AK477" s="26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</row>
    <row r="478" spans="1:53" x14ac:dyDescent="0.15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64"/>
      <c r="AF478" s="264"/>
      <c r="AG478" s="264"/>
      <c r="AH478" s="263"/>
      <c r="AI478" s="264"/>
      <c r="AJ478" s="264"/>
      <c r="AK478" s="264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</row>
    <row r="479" spans="1:53" x14ac:dyDescent="0.15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  <c r="AF479" s="264"/>
      <c r="AG479" s="264"/>
      <c r="AH479" s="263"/>
      <c r="AI479" s="264"/>
      <c r="AJ479" s="264"/>
      <c r="AK479" s="264"/>
      <c r="AL479" s="264"/>
      <c r="AM479" s="264"/>
      <c r="AN479" s="264"/>
      <c r="AO479" s="264"/>
      <c r="AP479" s="264"/>
      <c r="AQ479" s="264"/>
      <c r="AR479" s="264"/>
      <c r="AS479" s="264"/>
      <c r="AT479" s="264"/>
      <c r="AU479" s="264"/>
      <c r="AV479" s="264"/>
      <c r="AW479" s="264"/>
      <c r="AX479" s="264"/>
      <c r="AY479" s="264"/>
      <c r="AZ479" s="264"/>
      <c r="BA479" s="264"/>
    </row>
    <row r="480" spans="1:53" x14ac:dyDescent="0.15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  <c r="AF480" s="264"/>
      <c r="AG480" s="264"/>
      <c r="AH480" s="263"/>
      <c r="AI480" s="264"/>
      <c r="AJ480" s="264"/>
      <c r="AK480" s="264"/>
      <c r="AL480" s="264"/>
      <c r="AM480" s="264"/>
      <c r="AN480" s="264"/>
      <c r="AO480" s="264"/>
      <c r="AP480" s="264"/>
      <c r="AQ480" s="264"/>
      <c r="AR480" s="264"/>
      <c r="AS480" s="264"/>
      <c r="AT480" s="264"/>
      <c r="AU480" s="264"/>
      <c r="AV480" s="264"/>
      <c r="AW480" s="264"/>
      <c r="AX480" s="264"/>
      <c r="AY480" s="264"/>
      <c r="AZ480" s="264"/>
      <c r="BA480" s="264"/>
    </row>
    <row r="481" spans="1:53" x14ac:dyDescent="0.15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  <c r="AF481" s="264"/>
      <c r="AG481" s="264"/>
      <c r="AH481" s="263"/>
      <c r="AI481" s="264"/>
      <c r="AJ481" s="264"/>
      <c r="AK481" s="264"/>
      <c r="AL481" s="264"/>
      <c r="AM481" s="264"/>
      <c r="AN481" s="264"/>
      <c r="AO481" s="264"/>
      <c r="AP481" s="264"/>
      <c r="AQ481" s="264"/>
      <c r="AR481" s="264"/>
      <c r="AS481" s="264"/>
      <c r="AT481" s="264"/>
      <c r="AU481" s="264"/>
      <c r="AV481" s="264"/>
      <c r="AW481" s="264"/>
      <c r="AX481" s="264"/>
      <c r="AY481" s="264"/>
      <c r="AZ481" s="264"/>
      <c r="BA481" s="264"/>
    </row>
    <row r="482" spans="1:53" x14ac:dyDescent="0.15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64"/>
      <c r="AF482" s="264"/>
      <c r="AG482" s="264"/>
      <c r="AH482" s="263"/>
      <c r="AI482" s="264"/>
      <c r="AJ482" s="264"/>
      <c r="AK482" s="264"/>
      <c r="AL482" s="264"/>
      <c r="AM482" s="264"/>
      <c r="AN482" s="264"/>
      <c r="AO482" s="264"/>
      <c r="AP482" s="264"/>
      <c r="AQ482" s="264"/>
      <c r="AR482" s="264"/>
      <c r="AS482" s="264"/>
      <c r="AT482" s="264"/>
      <c r="AU482" s="264"/>
      <c r="AV482" s="264"/>
      <c r="AW482" s="264"/>
      <c r="AX482" s="264"/>
      <c r="AY482" s="264"/>
      <c r="AZ482" s="264"/>
      <c r="BA482" s="264"/>
    </row>
    <row r="483" spans="1:53" x14ac:dyDescent="0.15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64"/>
      <c r="AF483" s="264"/>
      <c r="AG483" s="264"/>
      <c r="AH483" s="263"/>
      <c r="AI483" s="264"/>
      <c r="AJ483" s="264"/>
      <c r="AK483" s="264"/>
      <c r="AL483" s="264"/>
      <c r="AM483" s="264"/>
      <c r="AN483" s="264"/>
      <c r="AO483" s="264"/>
      <c r="AP483" s="264"/>
      <c r="AQ483" s="264"/>
      <c r="AR483" s="264"/>
      <c r="AS483" s="264"/>
      <c r="AT483" s="264"/>
      <c r="AU483" s="264"/>
      <c r="AV483" s="264"/>
      <c r="AW483" s="264"/>
      <c r="AX483" s="264"/>
      <c r="AY483" s="264"/>
      <c r="AZ483" s="264"/>
      <c r="BA483" s="264"/>
    </row>
    <row r="484" spans="1:53" x14ac:dyDescent="0.15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64"/>
      <c r="AF484" s="264"/>
      <c r="AG484" s="264"/>
      <c r="AH484" s="263"/>
      <c r="AI484" s="264"/>
      <c r="AJ484" s="264"/>
      <c r="AK484" s="264"/>
      <c r="AL484" s="264"/>
      <c r="AM484" s="264"/>
      <c r="AN484" s="264"/>
      <c r="AO484" s="264"/>
      <c r="AP484" s="264"/>
      <c r="AQ484" s="264"/>
      <c r="AR484" s="264"/>
      <c r="AS484" s="264"/>
      <c r="AT484" s="264"/>
      <c r="AU484" s="264"/>
      <c r="AV484" s="264"/>
      <c r="AW484" s="264"/>
      <c r="AX484" s="264"/>
      <c r="AY484" s="264"/>
      <c r="AZ484" s="264"/>
      <c r="BA484" s="264"/>
    </row>
    <row r="485" spans="1:53" x14ac:dyDescent="0.1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64"/>
      <c r="AF485" s="264"/>
      <c r="AG485" s="264"/>
      <c r="AH485" s="263"/>
      <c r="AI485" s="264"/>
      <c r="AJ485" s="264"/>
      <c r="AK485" s="264"/>
      <c r="AL485" s="264"/>
      <c r="AM485" s="264"/>
      <c r="AN485" s="264"/>
      <c r="AO485" s="264"/>
      <c r="AP485" s="264"/>
      <c r="AQ485" s="264"/>
      <c r="AR485" s="264"/>
      <c r="AS485" s="264"/>
      <c r="AT485" s="264"/>
      <c r="AU485" s="264"/>
      <c r="AV485" s="264"/>
      <c r="AW485" s="264"/>
      <c r="AX485" s="264"/>
      <c r="AY485" s="264"/>
      <c r="AZ485" s="264"/>
      <c r="BA485" s="264"/>
    </row>
    <row r="486" spans="1:53" x14ac:dyDescent="0.15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  <c r="AF486" s="264"/>
      <c r="AG486" s="264"/>
      <c r="AH486" s="263"/>
      <c r="AI486" s="264"/>
      <c r="AJ486" s="264"/>
      <c r="AK486" s="264"/>
      <c r="AL486" s="264"/>
      <c r="AM486" s="264"/>
      <c r="AN486" s="264"/>
      <c r="AO486" s="264"/>
      <c r="AP486" s="264"/>
      <c r="AQ486" s="264"/>
      <c r="AR486" s="264"/>
      <c r="AS486" s="264"/>
      <c r="AT486" s="264"/>
      <c r="AU486" s="264"/>
      <c r="AV486" s="264"/>
      <c r="AW486" s="264"/>
      <c r="AX486" s="264"/>
      <c r="AY486" s="264"/>
      <c r="AZ486" s="264"/>
      <c r="BA486" s="264"/>
    </row>
    <row r="487" spans="1:53" x14ac:dyDescent="0.15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64"/>
      <c r="AF487" s="264"/>
      <c r="AG487" s="264"/>
      <c r="AH487" s="263"/>
      <c r="AI487" s="264"/>
      <c r="AJ487" s="264"/>
      <c r="AK487" s="264"/>
      <c r="AL487" s="264"/>
      <c r="AM487" s="264"/>
      <c r="AN487" s="264"/>
      <c r="AO487" s="264"/>
      <c r="AP487" s="264"/>
      <c r="AQ487" s="264"/>
      <c r="AR487" s="264"/>
      <c r="AS487" s="264"/>
      <c r="AT487" s="264"/>
      <c r="AU487" s="264"/>
      <c r="AV487" s="264"/>
      <c r="AW487" s="264"/>
      <c r="AX487" s="264"/>
      <c r="AY487" s="264"/>
      <c r="AZ487" s="264"/>
      <c r="BA487" s="264"/>
    </row>
    <row r="488" spans="1:53" x14ac:dyDescent="0.15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  <c r="AF488" s="264"/>
      <c r="AG488" s="264"/>
      <c r="AH488" s="263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64"/>
      <c r="AT488" s="264"/>
      <c r="AU488" s="264"/>
      <c r="AV488" s="264"/>
      <c r="AW488" s="264"/>
      <c r="AX488" s="264"/>
      <c r="AY488" s="264"/>
      <c r="AZ488" s="264"/>
      <c r="BA488" s="264"/>
    </row>
    <row r="489" spans="1:53" x14ac:dyDescent="0.15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64"/>
      <c r="AF489" s="264"/>
      <c r="AG489" s="264"/>
      <c r="AH489" s="263"/>
      <c r="AI489" s="264"/>
      <c r="AJ489" s="264"/>
      <c r="AK489" s="264"/>
      <c r="AL489" s="264"/>
      <c r="AM489" s="264"/>
      <c r="AN489" s="264"/>
      <c r="AO489" s="264"/>
      <c r="AP489" s="264"/>
      <c r="AQ489" s="264"/>
      <c r="AR489" s="264"/>
      <c r="AS489" s="264"/>
      <c r="AT489" s="264"/>
      <c r="AU489" s="264"/>
      <c r="AV489" s="264"/>
      <c r="AW489" s="264"/>
      <c r="AX489" s="264"/>
      <c r="AY489" s="264"/>
      <c r="AZ489" s="264"/>
      <c r="BA489" s="264"/>
    </row>
    <row r="490" spans="1:53" x14ac:dyDescent="0.15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64"/>
      <c r="AF490" s="264"/>
      <c r="AG490" s="264"/>
      <c r="AH490" s="263"/>
      <c r="AI490" s="264"/>
      <c r="AJ490" s="264"/>
      <c r="AK490" s="264"/>
      <c r="AL490" s="264"/>
      <c r="AM490" s="264"/>
      <c r="AN490" s="264"/>
      <c r="AO490" s="264"/>
      <c r="AP490" s="264"/>
      <c r="AQ490" s="264"/>
      <c r="AR490" s="264"/>
      <c r="AS490" s="264"/>
      <c r="AT490" s="264"/>
      <c r="AU490" s="264"/>
      <c r="AV490" s="264"/>
      <c r="AW490" s="264"/>
      <c r="AX490" s="264"/>
      <c r="AY490" s="264"/>
      <c r="AZ490" s="264"/>
      <c r="BA490" s="264"/>
    </row>
    <row r="491" spans="1:53" x14ac:dyDescent="0.15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64"/>
      <c r="AF491" s="264"/>
      <c r="AG491" s="264"/>
      <c r="AH491" s="263"/>
      <c r="AI491" s="264"/>
      <c r="AJ491" s="264"/>
      <c r="AK491" s="264"/>
      <c r="AL491" s="264"/>
      <c r="AM491" s="264"/>
      <c r="AN491" s="264"/>
      <c r="AO491" s="264"/>
      <c r="AP491" s="264"/>
      <c r="AQ491" s="264"/>
      <c r="AR491" s="264"/>
      <c r="AS491" s="264"/>
      <c r="AT491" s="264"/>
      <c r="AU491" s="264"/>
      <c r="AV491" s="264"/>
      <c r="AW491" s="264"/>
      <c r="AX491" s="264"/>
      <c r="AY491" s="264"/>
      <c r="AZ491" s="264"/>
      <c r="BA491" s="264"/>
    </row>
    <row r="492" spans="1:53" x14ac:dyDescent="0.15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64"/>
      <c r="AF492" s="264"/>
      <c r="AG492" s="264"/>
      <c r="AH492" s="263"/>
      <c r="AI492" s="264"/>
      <c r="AJ492" s="264"/>
      <c r="AK492" s="264"/>
      <c r="AL492" s="264"/>
      <c r="AM492" s="264"/>
      <c r="AN492" s="264"/>
      <c r="AO492" s="264"/>
      <c r="AP492" s="264"/>
      <c r="AQ492" s="264"/>
      <c r="AR492" s="264"/>
      <c r="AS492" s="264"/>
      <c r="AT492" s="264"/>
      <c r="AU492" s="264"/>
      <c r="AV492" s="264"/>
      <c r="AW492" s="264"/>
      <c r="AX492" s="264"/>
      <c r="AY492" s="264"/>
      <c r="AZ492" s="264"/>
      <c r="BA492" s="264"/>
    </row>
    <row r="493" spans="1:53" x14ac:dyDescent="0.15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64"/>
      <c r="AF493" s="264"/>
      <c r="AG493" s="264"/>
      <c r="AH493" s="263"/>
      <c r="AI493" s="264"/>
      <c r="AJ493" s="264"/>
      <c r="AK493" s="264"/>
      <c r="AL493" s="264"/>
      <c r="AM493" s="264"/>
      <c r="AN493" s="264"/>
      <c r="AO493" s="264"/>
      <c r="AP493" s="264"/>
      <c r="AQ493" s="264"/>
      <c r="AR493" s="264"/>
      <c r="AS493" s="264"/>
      <c r="AT493" s="264"/>
      <c r="AU493" s="264"/>
      <c r="AV493" s="264"/>
      <c r="AW493" s="264"/>
      <c r="AX493" s="264"/>
      <c r="AY493" s="264"/>
      <c r="AZ493" s="264"/>
      <c r="BA493" s="264"/>
    </row>
    <row r="494" spans="1:53" x14ac:dyDescent="0.15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  <c r="AF494" s="264"/>
      <c r="AG494" s="264"/>
      <c r="AH494" s="263"/>
      <c r="AI494" s="264"/>
      <c r="AJ494" s="264"/>
      <c r="AK494" s="264"/>
      <c r="AL494" s="264"/>
      <c r="AM494" s="264"/>
      <c r="AN494" s="264"/>
      <c r="AO494" s="264"/>
      <c r="AP494" s="264"/>
      <c r="AQ494" s="264"/>
      <c r="AR494" s="264"/>
      <c r="AS494" s="264"/>
      <c r="AT494" s="264"/>
      <c r="AU494" s="264"/>
      <c r="AV494" s="264"/>
      <c r="AW494" s="264"/>
      <c r="AX494" s="264"/>
      <c r="AY494" s="264"/>
      <c r="AZ494" s="264"/>
      <c r="BA494" s="264"/>
    </row>
    <row r="495" spans="1:53" x14ac:dyDescent="0.1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  <c r="AF495" s="264"/>
      <c r="AG495" s="264"/>
      <c r="AH495" s="263"/>
      <c r="AI495" s="264"/>
      <c r="AJ495" s="264"/>
      <c r="AK495" s="264"/>
      <c r="AL495" s="264"/>
      <c r="AM495" s="264"/>
      <c r="AN495" s="264"/>
      <c r="AO495" s="264"/>
      <c r="AP495" s="264"/>
      <c r="AQ495" s="264"/>
      <c r="AR495" s="264"/>
      <c r="AS495" s="264"/>
      <c r="AT495" s="264"/>
      <c r="AU495" s="264"/>
      <c r="AV495" s="264"/>
      <c r="AW495" s="264"/>
      <c r="AX495" s="264"/>
      <c r="AY495" s="264"/>
      <c r="AZ495" s="264"/>
      <c r="BA495" s="264"/>
    </row>
    <row r="496" spans="1:53" x14ac:dyDescent="0.15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  <c r="AF496" s="264"/>
      <c r="AG496" s="264"/>
      <c r="AH496" s="263"/>
      <c r="AI496" s="264"/>
      <c r="AJ496" s="264"/>
      <c r="AK496" s="264"/>
      <c r="AL496" s="264"/>
      <c r="AM496" s="264"/>
      <c r="AN496" s="264"/>
      <c r="AO496" s="264"/>
      <c r="AP496" s="264"/>
      <c r="AQ496" s="264"/>
      <c r="AR496" s="264"/>
      <c r="AS496" s="264"/>
      <c r="AT496" s="264"/>
      <c r="AU496" s="264"/>
      <c r="AV496" s="264"/>
      <c r="AW496" s="264"/>
      <c r="AX496" s="264"/>
      <c r="AY496" s="264"/>
      <c r="AZ496" s="264"/>
      <c r="BA496" s="264"/>
    </row>
    <row r="497" spans="1:53" x14ac:dyDescent="0.15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64"/>
      <c r="AF497" s="264"/>
      <c r="AG497" s="264"/>
      <c r="AH497" s="263"/>
      <c r="AI497" s="264"/>
      <c r="AJ497" s="264"/>
      <c r="AK497" s="264"/>
      <c r="AL497" s="264"/>
      <c r="AM497" s="264"/>
      <c r="AN497" s="264"/>
      <c r="AO497" s="264"/>
      <c r="AP497" s="264"/>
      <c r="AQ497" s="264"/>
      <c r="AR497" s="264"/>
      <c r="AS497" s="264"/>
      <c r="AT497" s="264"/>
      <c r="AU497" s="264"/>
      <c r="AV497" s="264"/>
      <c r="AW497" s="264"/>
      <c r="AX497" s="264"/>
      <c r="AY497" s="264"/>
      <c r="AZ497" s="264"/>
      <c r="BA497" s="264"/>
    </row>
    <row r="498" spans="1:53" x14ac:dyDescent="0.15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64"/>
      <c r="AF498" s="264"/>
      <c r="AG498" s="264"/>
      <c r="AH498" s="263"/>
      <c r="AI498" s="264"/>
      <c r="AJ498" s="264"/>
      <c r="AK498" s="264"/>
      <c r="AL498" s="264"/>
      <c r="AM498" s="264"/>
      <c r="AN498" s="264"/>
      <c r="AO498" s="264"/>
      <c r="AP498" s="264"/>
      <c r="AQ498" s="264"/>
      <c r="AR498" s="264"/>
      <c r="AS498" s="264"/>
      <c r="AT498" s="264"/>
      <c r="AU498" s="264"/>
      <c r="AV498" s="264"/>
      <c r="AW498" s="264"/>
      <c r="AX498" s="264"/>
      <c r="AY498" s="264"/>
      <c r="AZ498" s="264"/>
      <c r="BA498" s="264"/>
    </row>
    <row r="499" spans="1:53" x14ac:dyDescent="0.15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64"/>
      <c r="AF499" s="264"/>
      <c r="AG499" s="264"/>
      <c r="AH499" s="263"/>
      <c r="AI499" s="264"/>
      <c r="AJ499" s="264"/>
      <c r="AK499" s="264"/>
      <c r="AL499" s="264"/>
      <c r="AM499" s="264"/>
      <c r="AN499" s="264"/>
      <c r="AO499" s="264"/>
      <c r="AP499" s="264"/>
      <c r="AQ499" s="264"/>
      <c r="AR499" s="264"/>
      <c r="AS499" s="264"/>
      <c r="AT499" s="264"/>
      <c r="AU499" s="264"/>
      <c r="AV499" s="264"/>
      <c r="AW499" s="264"/>
      <c r="AX499" s="264"/>
      <c r="AY499" s="264"/>
      <c r="AZ499" s="264"/>
      <c r="BA499" s="264"/>
    </row>
    <row r="500" spans="1:53" x14ac:dyDescent="0.15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64"/>
      <c r="AF500" s="264"/>
      <c r="AG500" s="264"/>
      <c r="AH500" s="263"/>
      <c r="AI500" s="264"/>
      <c r="AJ500" s="264"/>
      <c r="AK500" s="264"/>
      <c r="AL500" s="264"/>
      <c r="AM500" s="264"/>
      <c r="AN500" s="264"/>
      <c r="AO500" s="264"/>
      <c r="AP500" s="264"/>
      <c r="AQ500" s="264"/>
      <c r="AR500" s="264"/>
      <c r="AS500" s="264"/>
      <c r="AT500" s="264"/>
      <c r="AU500" s="264"/>
      <c r="AV500" s="264"/>
      <c r="AW500" s="264"/>
      <c r="AX500" s="264"/>
      <c r="AY500" s="264"/>
      <c r="AZ500" s="264"/>
      <c r="BA500" s="264"/>
    </row>
    <row r="501" spans="1:53" x14ac:dyDescent="0.15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  <c r="AF501" s="264"/>
      <c r="AG501" s="264"/>
      <c r="AH501" s="263"/>
      <c r="AI501" s="264"/>
      <c r="AJ501" s="264"/>
      <c r="AK501" s="264"/>
      <c r="AL501" s="264"/>
      <c r="AM501" s="264"/>
      <c r="AN501" s="264"/>
      <c r="AO501" s="264"/>
      <c r="AP501" s="264"/>
      <c r="AQ501" s="264"/>
      <c r="AR501" s="264"/>
      <c r="AS501" s="264"/>
      <c r="AT501" s="264"/>
      <c r="AU501" s="264"/>
      <c r="AV501" s="264"/>
      <c r="AW501" s="264"/>
      <c r="AX501" s="264"/>
      <c r="AY501" s="264"/>
      <c r="AZ501" s="264"/>
      <c r="BA501" s="264"/>
    </row>
    <row r="502" spans="1:53" x14ac:dyDescent="0.15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64"/>
      <c r="AF502" s="264"/>
      <c r="AG502" s="264"/>
      <c r="AH502" s="263"/>
      <c r="AI502" s="264"/>
      <c r="AJ502" s="264"/>
      <c r="AK502" s="264"/>
      <c r="AL502" s="264"/>
      <c r="AM502" s="264"/>
      <c r="AN502" s="264"/>
      <c r="AO502" s="264"/>
      <c r="AP502" s="264"/>
      <c r="AQ502" s="264"/>
      <c r="AR502" s="264"/>
      <c r="AS502" s="264"/>
      <c r="AT502" s="264"/>
      <c r="AU502" s="264"/>
      <c r="AV502" s="264"/>
      <c r="AW502" s="264"/>
      <c r="AX502" s="264"/>
      <c r="AY502" s="264"/>
      <c r="AZ502" s="264"/>
      <c r="BA502" s="264"/>
    </row>
    <row r="503" spans="1:53" x14ac:dyDescent="0.15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64"/>
      <c r="AF503" s="264"/>
      <c r="AG503" s="264"/>
      <c r="AH503" s="263"/>
      <c r="AI503" s="264"/>
      <c r="AJ503" s="264"/>
      <c r="AK503" s="264"/>
      <c r="AL503" s="264"/>
      <c r="AM503" s="264"/>
      <c r="AN503" s="264"/>
      <c r="AO503" s="264"/>
      <c r="AP503" s="264"/>
      <c r="AQ503" s="264"/>
      <c r="AR503" s="264"/>
      <c r="AS503" s="264"/>
      <c r="AT503" s="264"/>
      <c r="AU503" s="264"/>
      <c r="AV503" s="264"/>
      <c r="AW503" s="264"/>
      <c r="AX503" s="264"/>
      <c r="AY503" s="264"/>
      <c r="AZ503" s="264"/>
      <c r="BA503" s="264"/>
    </row>
    <row r="504" spans="1:53" x14ac:dyDescent="0.15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64"/>
      <c r="AF504" s="264"/>
      <c r="AG504" s="264"/>
      <c r="AH504" s="263"/>
      <c r="AI504" s="264"/>
      <c r="AJ504" s="264"/>
      <c r="AK504" s="264"/>
      <c r="AL504" s="264"/>
      <c r="AM504" s="264"/>
      <c r="AN504" s="264"/>
      <c r="AO504" s="264"/>
      <c r="AP504" s="264"/>
      <c r="AQ504" s="264"/>
      <c r="AR504" s="264"/>
      <c r="AS504" s="264"/>
      <c r="AT504" s="264"/>
      <c r="AU504" s="264"/>
      <c r="AV504" s="264"/>
      <c r="AW504" s="264"/>
      <c r="AX504" s="264"/>
      <c r="AY504" s="264"/>
      <c r="AZ504" s="264"/>
      <c r="BA504" s="264"/>
    </row>
    <row r="505" spans="1:53" x14ac:dyDescent="0.1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64"/>
      <c r="AF505" s="264"/>
      <c r="AG505" s="264"/>
      <c r="AH505" s="263"/>
      <c r="AI505" s="264"/>
      <c r="AJ505" s="264"/>
      <c r="AK505" s="264"/>
      <c r="AL505" s="264"/>
      <c r="AM505" s="264"/>
      <c r="AN505" s="264"/>
      <c r="AO505" s="264"/>
      <c r="AP505" s="264"/>
      <c r="AQ505" s="264"/>
      <c r="AR505" s="264"/>
      <c r="AS505" s="264"/>
      <c r="AT505" s="264"/>
      <c r="AU505" s="264"/>
      <c r="AV505" s="264"/>
      <c r="AW505" s="264"/>
      <c r="AX505" s="264"/>
      <c r="AY505" s="264"/>
      <c r="AZ505" s="264"/>
      <c r="BA505" s="264"/>
    </row>
    <row r="506" spans="1:53" x14ac:dyDescent="0.15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64"/>
      <c r="AF506" s="264"/>
      <c r="AG506" s="264"/>
      <c r="AH506" s="263"/>
      <c r="AI506" s="264"/>
      <c r="AJ506" s="264"/>
      <c r="AK506" s="264"/>
      <c r="AL506" s="264"/>
      <c r="AM506" s="264"/>
      <c r="AN506" s="264"/>
      <c r="AO506" s="264"/>
      <c r="AP506" s="264"/>
      <c r="AQ506" s="264"/>
      <c r="AR506" s="264"/>
      <c r="AS506" s="264"/>
      <c r="AT506" s="264"/>
      <c r="AU506" s="264"/>
      <c r="AV506" s="264"/>
      <c r="AW506" s="264"/>
      <c r="AX506" s="264"/>
      <c r="AY506" s="264"/>
      <c r="AZ506" s="264"/>
      <c r="BA506" s="264"/>
    </row>
    <row r="507" spans="1:53" x14ac:dyDescent="0.15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64"/>
      <c r="AF507" s="264"/>
      <c r="AG507" s="264"/>
      <c r="AH507" s="263"/>
      <c r="AI507" s="264"/>
      <c r="AJ507" s="264"/>
      <c r="AK507" s="264"/>
      <c r="AL507" s="264"/>
      <c r="AM507" s="264"/>
      <c r="AN507" s="264"/>
      <c r="AO507" s="264"/>
      <c r="AP507" s="264"/>
      <c r="AQ507" s="264"/>
      <c r="AR507" s="264"/>
      <c r="AS507" s="264"/>
      <c r="AT507" s="264"/>
      <c r="AU507" s="264"/>
      <c r="AV507" s="264"/>
      <c r="AW507" s="264"/>
      <c r="AX507" s="264"/>
      <c r="AY507" s="264"/>
      <c r="AZ507" s="264"/>
      <c r="BA507" s="264"/>
    </row>
    <row r="508" spans="1:53" x14ac:dyDescent="0.15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64"/>
      <c r="AF508" s="264"/>
      <c r="AG508" s="264"/>
      <c r="AH508" s="263"/>
      <c r="AI508" s="264"/>
      <c r="AJ508" s="264"/>
      <c r="AK508" s="264"/>
      <c r="AL508" s="264"/>
      <c r="AM508" s="264"/>
      <c r="AN508" s="264"/>
      <c r="AO508" s="264"/>
      <c r="AP508" s="264"/>
      <c r="AQ508" s="264"/>
      <c r="AR508" s="264"/>
      <c r="AS508" s="264"/>
      <c r="AT508" s="264"/>
      <c r="AU508" s="264"/>
      <c r="AV508" s="264"/>
      <c r="AW508" s="264"/>
      <c r="AX508" s="264"/>
      <c r="AY508" s="264"/>
      <c r="AZ508" s="264"/>
      <c r="BA508" s="264"/>
    </row>
    <row r="509" spans="1:53" x14ac:dyDescent="0.15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  <c r="AF509" s="264"/>
      <c r="AG509" s="264"/>
      <c r="AH509" s="263"/>
      <c r="AI509" s="264"/>
      <c r="AJ509" s="264"/>
      <c r="AK509" s="264"/>
      <c r="AL509" s="264"/>
      <c r="AM509" s="264"/>
      <c r="AN509" s="264"/>
      <c r="AO509" s="264"/>
      <c r="AP509" s="264"/>
      <c r="AQ509" s="264"/>
      <c r="AR509" s="264"/>
      <c r="AS509" s="264"/>
      <c r="AT509" s="264"/>
      <c r="AU509" s="264"/>
      <c r="AV509" s="264"/>
      <c r="AW509" s="264"/>
      <c r="AX509" s="264"/>
      <c r="AY509" s="264"/>
      <c r="AZ509" s="264"/>
      <c r="BA509" s="264"/>
    </row>
    <row r="510" spans="1:53" x14ac:dyDescent="0.15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  <c r="AF510" s="264"/>
      <c r="AG510" s="264"/>
      <c r="AH510" s="263"/>
      <c r="AI510" s="264"/>
      <c r="AJ510" s="264"/>
      <c r="AK510" s="264"/>
      <c r="AL510" s="264"/>
      <c r="AM510" s="264"/>
      <c r="AN510" s="264"/>
      <c r="AO510" s="264"/>
      <c r="AP510" s="264"/>
      <c r="AQ510" s="264"/>
      <c r="AR510" s="264"/>
      <c r="AS510" s="264"/>
      <c r="AT510" s="264"/>
      <c r="AU510" s="264"/>
      <c r="AV510" s="264"/>
      <c r="AW510" s="264"/>
      <c r="AX510" s="264"/>
      <c r="AY510" s="264"/>
      <c r="AZ510" s="264"/>
      <c r="BA510" s="264"/>
    </row>
    <row r="511" spans="1:53" x14ac:dyDescent="0.15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  <c r="AF511" s="264"/>
      <c r="AG511" s="264"/>
      <c r="AH511" s="263"/>
      <c r="AI511" s="264"/>
      <c r="AJ511" s="264"/>
      <c r="AK511" s="264"/>
      <c r="AL511" s="264"/>
      <c r="AM511" s="264"/>
      <c r="AN511" s="264"/>
      <c r="AO511" s="264"/>
      <c r="AP511" s="264"/>
      <c r="AQ511" s="264"/>
      <c r="AR511" s="264"/>
      <c r="AS511" s="264"/>
      <c r="AT511" s="264"/>
      <c r="AU511" s="264"/>
      <c r="AV511" s="264"/>
      <c r="AW511" s="264"/>
      <c r="AX511" s="264"/>
      <c r="AY511" s="264"/>
      <c r="AZ511" s="264"/>
      <c r="BA511" s="264"/>
    </row>
    <row r="512" spans="1:53" x14ac:dyDescent="0.15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64"/>
      <c r="AF512" s="264"/>
      <c r="AG512" s="264"/>
      <c r="AH512" s="263"/>
      <c r="AI512" s="264"/>
      <c r="AJ512" s="264"/>
      <c r="AK512" s="264"/>
      <c r="AL512" s="264"/>
      <c r="AM512" s="264"/>
      <c r="AN512" s="264"/>
      <c r="AO512" s="264"/>
      <c r="AP512" s="264"/>
      <c r="AQ512" s="264"/>
      <c r="AR512" s="264"/>
      <c r="AS512" s="264"/>
      <c r="AT512" s="264"/>
      <c r="AU512" s="264"/>
      <c r="AV512" s="264"/>
      <c r="AW512" s="264"/>
      <c r="AX512" s="264"/>
      <c r="AY512" s="264"/>
      <c r="AZ512" s="264"/>
      <c r="BA512" s="264"/>
    </row>
    <row r="513" spans="1:53" x14ac:dyDescent="0.15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64"/>
      <c r="AF513" s="264"/>
      <c r="AG513" s="264"/>
      <c r="AH513" s="263"/>
      <c r="AI513" s="264"/>
      <c r="AJ513" s="264"/>
      <c r="AK513" s="264"/>
      <c r="AL513" s="264"/>
      <c r="AM513" s="264"/>
      <c r="AN513" s="264"/>
      <c r="AO513" s="264"/>
      <c r="AP513" s="264"/>
      <c r="AQ513" s="264"/>
      <c r="AR513" s="264"/>
      <c r="AS513" s="264"/>
      <c r="AT513" s="264"/>
      <c r="AU513" s="264"/>
      <c r="AV513" s="264"/>
      <c r="AW513" s="264"/>
      <c r="AX513" s="264"/>
      <c r="AY513" s="264"/>
      <c r="AZ513" s="264"/>
      <c r="BA513" s="264"/>
    </row>
    <row r="514" spans="1:53" x14ac:dyDescent="0.15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64"/>
      <c r="AF514" s="264"/>
      <c r="AG514" s="264"/>
      <c r="AH514" s="263"/>
      <c r="AI514" s="264"/>
      <c r="AJ514" s="264"/>
      <c r="AK514" s="264"/>
      <c r="AL514" s="264"/>
      <c r="AM514" s="264"/>
      <c r="AN514" s="264"/>
      <c r="AO514" s="264"/>
      <c r="AP514" s="264"/>
      <c r="AQ514" s="264"/>
      <c r="AR514" s="264"/>
      <c r="AS514" s="264"/>
      <c r="AT514" s="264"/>
      <c r="AU514" s="264"/>
      <c r="AV514" s="264"/>
      <c r="AW514" s="264"/>
      <c r="AX514" s="264"/>
      <c r="AY514" s="264"/>
      <c r="AZ514" s="264"/>
      <c r="BA514" s="264"/>
    </row>
    <row r="515" spans="1:53" x14ac:dyDescent="0.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64"/>
      <c r="AF515" s="264"/>
      <c r="AG515" s="264"/>
      <c r="AH515" s="263"/>
      <c r="AI515" s="264"/>
      <c r="AJ515" s="264"/>
      <c r="AK515" s="264"/>
      <c r="AL515" s="264"/>
      <c r="AM515" s="264"/>
      <c r="AN515" s="264"/>
      <c r="AO515" s="264"/>
      <c r="AP515" s="264"/>
      <c r="AQ515" s="264"/>
      <c r="AR515" s="264"/>
      <c r="AS515" s="264"/>
      <c r="AT515" s="264"/>
      <c r="AU515" s="264"/>
      <c r="AV515" s="264"/>
      <c r="AW515" s="264"/>
      <c r="AX515" s="264"/>
      <c r="AY515" s="264"/>
      <c r="AZ515" s="264"/>
      <c r="BA515" s="264"/>
    </row>
    <row r="516" spans="1:53" x14ac:dyDescent="0.15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64"/>
      <c r="AF516" s="264"/>
      <c r="AG516" s="264"/>
      <c r="AH516" s="263"/>
      <c r="AI516" s="264"/>
      <c r="AJ516" s="264"/>
      <c r="AK516" s="264"/>
      <c r="AL516" s="264"/>
      <c r="AM516" s="264"/>
      <c r="AN516" s="264"/>
      <c r="AO516" s="264"/>
      <c r="AP516" s="264"/>
      <c r="AQ516" s="264"/>
      <c r="AR516" s="264"/>
      <c r="AS516" s="264"/>
      <c r="AT516" s="264"/>
      <c r="AU516" s="264"/>
      <c r="AV516" s="264"/>
      <c r="AW516" s="264"/>
      <c r="AX516" s="264"/>
      <c r="AY516" s="264"/>
      <c r="AZ516" s="264"/>
      <c r="BA516" s="264"/>
    </row>
    <row r="517" spans="1:53" x14ac:dyDescent="0.15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64"/>
      <c r="AF517" s="264"/>
      <c r="AG517" s="264"/>
      <c r="AH517" s="263"/>
      <c r="AI517" s="264"/>
      <c r="AJ517" s="264"/>
      <c r="AK517" s="264"/>
      <c r="AL517" s="264"/>
      <c r="AM517" s="264"/>
      <c r="AN517" s="264"/>
      <c r="AO517" s="264"/>
      <c r="AP517" s="264"/>
      <c r="AQ517" s="264"/>
      <c r="AR517" s="264"/>
      <c r="AS517" s="264"/>
      <c r="AT517" s="264"/>
      <c r="AU517" s="264"/>
      <c r="AV517" s="264"/>
      <c r="AW517" s="264"/>
      <c r="AX517" s="264"/>
      <c r="AY517" s="264"/>
      <c r="AZ517" s="264"/>
      <c r="BA517" s="264"/>
    </row>
    <row r="518" spans="1:53" x14ac:dyDescent="0.15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64"/>
      <c r="AF518" s="264"/>
      <c r="AG518" s="264"/>
      <c r="AH518" s="263"/>
      <c r="AI518" s="264"/>
      <c r="AJ518" s="264"/>
      <c r="AK518" s="264"/>
      <c r="AL518" s="264"/>
      <c r="AM518" s="264"/>
      <c r="AN518" s="264"/>
      <c r="AO518" s="264"/>
      <c r="AP518" s="264"/>
      <c r="AQ518" s="264"/>
      <c r="AR518" s="264"/>
      <c r="AS518" s="264"/>
      <c r="AT518" s="264"/>
      <c r="AU518" s="264"/>
      <c r="AV518" s="264"/>
      <c r="AW518" s="264"/>
      <c r="AX518" s="264"/>
      <c r="AY518" s="264"/>
      <c r="AZ518" s="264"/>
      <c r="BA518" s="264"/>
    </row>
    <row r="519" spans="1:53" x14ac:dyDescent="0.15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64"/>
      <c r="AF519" s="264"/>
      <c r="AG519" s="264"/>
      <c r="AH519" s="263"/>
      <c r="AI519" s="264"/>
      <c r="AJ519" s="264"/>
      <c r="AK519" s="264"/>
      <c r="AL519" s="264"/>
      <c r="AM519" s="264"/>
      <c r="AN519" s="264"/>
      <c r="AO519" s="264"/>
      <c r="AP519" s="264"/>
      <c r="AQ519" s="264"/>
      <c r="AR519" s="264"/>
      <c r="AS519" s="264"/>
      <c r="AT519" s="264"/>
      <c r="AU519" s="264"/>
      <c r="AV519" s="264"/>
      <c r="AW519" s="264"/>
      <c r="AX519" s="264"/>
      <c r="AY519" s="264"/>
      <c r="AZ519" s="264"/>
      <c r="BA519" s="264"/>
    </row>
    <row r="520" spans="1:53" x14ac:dyDescent="0.15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64"/>
      <c r="AF520" s="264"/>
      <c r="AG520" s="264"/>
      <c r="AH520" s="263"/>
      <c r="AI520" s="264"/>
      <c r="AJ520" s="264"/>
      <c r="AK520" s="264"/>
      <c r="AL520" s="264"/>
      <c r="AM520" s="264"/>
      <c r="AN520" s="264"/>
      <c r="AO520" s="264"/>
      <c r="AP520" s="264"/>
      <c r="AQ520" s="264"/>
      <c r="AR520" s="264"/>
      <c r="AS520" s="264"/>
      <c r="AT520" s="264"/>
      <c r="AU520" s="264"/>
      <c r="AV520" s="264"/>
      <c r="AW520" s="264"/>
      <c r="AX520" s="264"/>
      <c r="AY520" s="264"/>
      <c r="AZ520" s="264"/>
      <c r="BA520" s="264"/>
    </row>
    <row r="521" spans="1:53" x14ac:dyDescent="0.15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64"/>
      <c r="AF521" s="264"/>
      <c r="AG521" s="264"/>
      <c r="AH521" s="263"/>
      <c r="AI521" s="264"/>
      <c r="AJ521" s="264"/>
      <c r="AK521" s="264"/>
      <c r="AL521" s="264"/>
      <c r="AM521" s="264"/>
      <c r="AN521" s="264"/>
      <c r="AO521" s="264"/>
      <c r="AP521" s="264"/>
      <c r="AQ521" s="264"/>
      <c r="AR521" s="264"/>
      <c r="AS521" s="264"/>
      <c r="AT521" s="264"/>
      <c r="AU521" s="264"/>
      <c r="AV521" s="264"/>
      <c r="AW521" s="264"/>
      <c r="AX521" s="264"/>
      <c r="AY521" s="264"/>
      <c r="AZ521" s="264"/>
      <c r="BA521" s="264"/>
    </row>
    <row r="522" spans="1:53" x14ac:dyDescent="0.15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64"/>
      <c r="AF522" s="264"/>
      <c r="AG522" s="264"/>
      <c r="AH522" s="263"/>
      <c r="AI522" s="264"/>
      <c r="AJ522" s="264"/>
      <c r="AK522" s="264"/>
      <c r="AL522" s="264"/>
      <c r="AM522" s="264"/>
      <c r="AN522" s="264"/>
      <c r="AO522" s="264"/>
      <c r="AP522" s="264"/>
      <c r="AQ522" s="264"/>
      <c r="AR522" s="264"/>
      <c r="AS522" s="264"/>
      <c r="AT522" s="264"/>
      <c r="AU522" s="264"/>
      <c r="AV522" s="264"/>
      <c r="AW522" s="264"/>
      <c r="AX522" s="264"/>
      <c r="AY522" s="264"/>
      <c r="AZ522" s="264"/>
      <c r="BA522" s="264"/>
    </row>
    <row r="523" spans="1:53" x14ac:dyDescent="0.15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64"/>
      <c r="AF523" s="264"/>
      <c r="AG523" s="264"/>
      <c r="AH523" s="263"/>
      <c r="AI523" s="264"/>
      <c r="AJ523" s="264"/>
      <c r="AK523" s="264"/>
      <c r="AL523" s="264"/>
      <c r="AM523" s="264"/>
      <c r="AN523" s="264"/>
      <c r="AO523" s="264"/>
      <c r="AP523" s="264"/>
      <c r="AQ523" s="264"/>
      <c r="AR523" s="264"/>
      <c r="AS523" s="264"/>
      <c r="AT523" s="264"/>
      <c r="AU523" s="264"/>
      <c r="AV523" s="264"/>
      <c r="AW523" s="264"/>
      <c r="AX523" s="264"/>
      <c r="AY523" s="264"/>
      <c r="AZ523" s="264"/>
      <c r="BA523" s="264"/>
    </row>
    <row r="524" spans="1:53" x14ac:dyDescent="0.15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3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  <c r="AT524" s="264"/>
      <c r="AU524" s="264"/>
      <c r="AV524" s="264"/>
      <c r="AW524" s="264"/>
      <c r="AX524" s="264"/>
      <c r="AY524" s="264"/>
      <c r="AZ524" s="264"/>
      <c r="BA524" s="264"/>
    </row>
    <row r="525" spans="1:53" x14ac:dyDescent="0.1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3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  <c r="AT525" s="264"/>
      <c r="AU525" s="264"/>
      <c r="AV525" s="264"/>
      <c r="AW525" s="264"/>
      <c r="AX525" s="264"/>
      <c r="AY525" s="264"/>
      <c r="AZ525" s="264"/>
      <c r="BA525" s="264"/>
    </row>
    <row r="526" spans="1:53" x14ac:dyDescent="0.15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64"/>
      <c r="AF526" s="264"/>
      <c r="AG526" s="264"/>
      <c r="AH526" s="263"/>
      <c r="AI526" s="264"/>
      <c r="AJ526" s="264"/>
      <c r="AK526" s="264"/>
      <c r="AL526" s="264"/>
      <c r="AM526" s="264"/>
      <c r="AN526" s="264"/>
      <c r="AO526" s="264"/>
      <c r="AP526" s="264"/>
      <c r="AQ526" s="264"/>
      <c r="AR526" s="264"/>
      <c r="AS526" s="264"/>
      <c r="AT526" s="264"/>
      <c r="AU526" s="264"/>
      <c r="AV526" s="264"/>
      <c r="AW526" s="264"/>
      <c r="AX526" s="264"/>
      <c r="AY526" s="264"/>
      <c r="AZ526" s="264"/>
      <c r="BA526" s="264"/>
    </row>
    <row r="527" spans="1:53" x14ac:dyDescent="0.15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64"/>
      <c r="AF527" s="264"/>
      <c r="AG527" s="264"/>
      <c r="AH527" s="263"/>
      <c r="AI527" s="264"/>
      <c r="AJ527" s="264"/>
      <c r="AK527" s="264"/>
      <c r="AL527" s="264"/>
      <c r="AM527" s="264"/>
      <c r="AN527" s="264"/>
      <c r="AO527" s="264"/>
      <c r="AP527" s="264"/>
      <c r="AQ527" s="264"/>
      <c r="AR527" s="264"/>
      <c r="AS527" s="264"/>
      <c r="AT527" s="264"/>
      <c r="AU527" s="264"/>
      <c r="AV527" s="264"/>
      <c r="AW527" s="264"/>
      <c r="AX527" s="264"/>
      <c r="AY527" s="264"/>
      <c r="AZ527" s="264"/>
      <c r="BA527" s="264"/>
    </row>
    <row r="528" spans="1:53" x14ac:dyDescent="0.15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64"/>
      <c r="AF528" s="264"/>
      <c r="AG528" s="264"/>
      <c r="AH528" s="263"/>
      <c r="AI528" s="264"/>
      <c r="AJ528" s="264"/>
      <c r="AK528" s="264"/>
      <c r="AL528" s="264"/>
      <c r="AM528" s="264"/>
      <c r="AN528" s="264"/>
      <c r="AO528" s="264"/>
      <c r="AP528" s="264"/>
      <c r="AQ528" s="264"/>
      <c r="AR528" s="264"/>
      <c r="AS528" s="264"/>
      <c r="AT528" s="264"/>
      <c r="AU528" s="264"/>
      <c r="AV528" s="264"/>
      <c r="AW528" s="264"/>
      <c r="AX528" s="264"/>
      <c r="AY528" s="264"/>
      <c r="AZ528" s="264"/>
      <c r="BA528" s="264"/>
    </row>
    <row r="529" spans="1:53" x14ac:dyDescent="0.15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64"/>
      <c r="AF529" s="264"/>
      <c r="AG529" s="264"/>
      <c r="AH529" s="263"/>
      <c r="AI529" s="264"/>
      <c r="AJ529" s="264"/>
      <c r="AK529" s="264"/>
      <c r="AL529" s="264"/>
      <c r="AM529" s="264"/>
      <c r="AN529" s="264"/>
      <c r="AO529" s="264"/>
      <c r="AP529" s="264"/>
      <c r="AQ529" s="264"/>
      <c r="AR529" s="264"/>
      <c r="AS529" s="264"/>
      <c r="AT529" s="264"/>
      <c r="AU529" s="264"/>
      <c r="AV529" s="264"/>
      <c r="AW529" s="264"/>
      <c r="AX529" s="264"/>
      <c r="AY529" s="264"/>
      <c r="AZ529" s="264"/>
      <c r="BA529" s="264"/>
    </row>
    <row r="530" spans="1:53" x14ac:dyDescent="0.15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64"/>
      <c r="AF530" s="264"/>
      <c r="AG530" s="264"/>
      <c r="AH530" s="263"/>
      <c r="AI530" s="264"/>
      <c r="AJ530" s="264"/>
      <c r="AK530" s="264"/>
      <c r="AL530" s="264"/>
      <c r="AM530" s="264"/>
      <c r="AN530" s="264"/>
      <c r="AO530" s="264"/>
      <c r="AP530" s="264"/>
      <c r="AQ530" s="264"/>
      <c r="AR530" s="264"/>
      <c r="AS530" s="264"/>
      <c r="AT530" s="264"/>
      <c r="AU530" s="264"/>
      <c r="AV530" s="264"/>
      <c r="AW530" s="264"/>
      <c r="AX530" s="264"/>
      <c r="AY530" s="264"/>
      <c r="AZ530" s="264"/>
      <c r="BA530" s="264"/>
    </row>
    <row r="531" spans="1:53" x14ac:dyDescent="0.15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64"/>
      <c r="AF531" s="264"/>
      <c r="AG531" s="264"/>
      <c r="AH531" s="263"/>
      <c r="AI531" s="264"/>
      <c r="AJ531" s="264"/>
      <c r="AK531" s="264"/>
      <c r="AL531" s="264"/>
      <c r="AM531" s="264"/>
      <c r="AN531" s="264"/>
      <c r="AO531" s="264"/>
      <c r="AP531" s="264"/>
      <c r="AQ531" s="264"/>
      <c r="AR531" s="264"/>
      <c r="AS531" s="264"/>
      <c r="AT531" s="264"/>
      <c r="AU531" s="264"/>
      <c r="AV531" s="264"/>
      <c r="AW531" s="264"/>
      <c r="AX531" s="264"/>
      <c r="AY531" s="264"/>
      <c r="AZ531" s="264"/>
      <c r="BA531" s="264"/>
    </row>
    <row r="532" spans="1:53" x14ac:dyDescent="0.15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64"/>
      <c r="AF532" s="264"/>
      <c r="AG532" s="264"/>
      <c r="AH532" s="263"/>
      <c r="AI532" s="264"/>
      <c r="AJ532" s="264"/>
      <c r="AK532" s="264"/>
      <c r="AL532" s="264"/>
      <c r="AM532" s="264"/>
      <c r="AN532" s="264"/>
      <c r="AO532" s="264"/>
      <c r="AP532" s="264"/>
      <c r="AQ532" s="264"/>
      <c r="AR532" s="264"/>
      <c r="AS532" s="264"/>
      <c r="AT532" s="264"/>
      <c r="AU532" s="264"/>
      <c r="AV532" s="264"/>
      <c r="AW532" s="264"/>
      <c r="AX532" s="264"/>
      <c r="AY532" s="264"/>
      <c r="AZ532" s="264"/>
      <c r="BA532" s="264"/>
    </row>
    <row r="533" spans="1:53" x14ac:dyDescent="0.15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64"/>
      <c r="AF533" s="264"/>
      <c r="AG533" s="264"/>
      <c r="AH533" s="263"/>
      <c r="AI533" s="264"/>
      <c r="AJ533" s="264"/>
      <c r="AK533" s="264"/>
      <c r="AL533" s="264"/>
      <c r="AM533" s="264"/>
      <c r="AN533" s="264"/>
      <c r="AO533" s="264"/>
      <c r="AP533" s="264"/>
      <c r="AQ533" s="264"/>
      <c r="AR533" s="264"/>
      <c r="AS533" s="264"/>
      <c r="AT533" s="264"/>
      <c r="AU533" s="264"/>
      <c r="AV533" s="264"/>
      <c r="AW533" s="264"/>
      <c r="AX533" s="264"/>
      <c r="AY533" s="264"/>
      <c r="AZ533" s="264"/>
      <c r="BA533" s="264"/>
    </row>
    <row r="534" spans="1:53" x14ac:dyDescent="0.15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64"/>
      <c r="AF534" s="264"/>
      <c r="AG534" s="264"/>
      <c r="AH534" s="263"/>
      <c r="AI534" s="264"/>
      <c r="AJ534" s="264"/>
      <c r="AK534" s="264"/>
      <c r="AL534" s="264"/>
      <c r="AM534" s="264"/>
      <c r="AN534" s="264"/>
      <c r="AO534" s="264"/>
      <c r="AP534" s="264"/>
      <c r="AQ534" s="264"/>
      <c r="AR534" s="264"/>
      <c r="AS534" s="264"/>
      <c r="AT534" s="264"/>
      <c r="AU534" s="264"/>
      <c r="AV534" s="264"/>
      <c r="AW534" s="264"/>
      <c r="AX534" s="264"/>
      <c r="AY534" s="264"/>
      <c r="AZ534" s="264"/>
      <c r="BA534" s="264"/>
    </row>
    <row r="535" spans="1:53" x14ac:dyDescent="0.1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64"/>
      <c r="AF535" s="264"/>
      <c r="AG535" s="264"/>
      <c r="AH535" s="263"/>
      <c r="AI535" s="264"/>
      <c r="AJ535" s="264"/>
      <c r="AK535" s="264"/>
      <c r="AL535" s="264"/>
      <c r="AM535" s="264"/>
      <c r="AN535" s="264"/>
      <c r="AO535" s="264"/>
      <c r="AP535" s="264"/>
      <c r="AQ535" s="264"/>
      <c r="AR535" s="264"/>
      <c r="AS535" s="264"/>
      <c r="AT535" s="264"/>
      <c r="AU535" s="264"/>
      <c r="AV535" s="264"/>
      <c r="AW535" s="264"/>
      <c r="AX535" s="264"/>
      <c r="AY535" s="264"/>
      <c r="AZ535" s="264"/>
      <c r="BA535" s="264"/>
    </row>
    <row r="536" spans="1:53" x14ac:dyDescent="0.15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64"/>
      <c r="AF536" s="264"/>
      <c r="AG536" s="264"/>
      <c r="AH536" s="263"/>
      <c r="AI536" s="264"/>
      <c r="AJ536" s="264"/>
      <c r="AK536" s="264"/>
      <c r="AL536" s="264"/>
      <c r="AM536" s="264"/>
      <c r="AN536" s="264"/>
      <c r="AO536" s="264"/>
      <c r="AP536" s="264"/>
      <c r="AQ536" s="264"/>
      <c r="AR536" s="264"/>
      <c r="AS536" s="264"/>
      <c r="AT536" s="264"/>
      <c r="AU536" s="264"/>
      <c r="AV536" s="264"/>
      <c r="AW536" s="264"/>
      <c r="AX536" s="264"/>
      <c r="AY536" s="264"/>
      <c r="AZ536" s="264"/>
      <c r="BA536" s="264"/>
    </row>
    <row r="537" spans="1:53" x14ac:dyDescent="0.15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64"/>
      <c r="AF537" s="264"/>
      <c r="AG537" s="264"/>
      <c r="AH537" s="263"/>
      <c r="AI537" s="264"/>
      <c r="AJ537" s="264"/>
      <c r="AK537" s="264"/>
      <c r="AL537" s="264"/>
      <c r="AM537" s="264"/>
      <c r="AN537" s="264"/>
      <c r="AO537" s="264"/>
      <c r="AP537" s="264"/>
      <c r="AQ537" s="264"/>
      <c r="AR537" s="264"/>
      <c r="AS537" s="264"/>
      <c r="AT537" s="264"/>
      <c r="AU537" s="264"/>
      <c r="AV537" s="264"/>
      <c r="AW537" s="264"/>
      <c r="AX537" s="264"/>
      <c r="AY537" s="264"/>
      <c r="AZ537" s="264"/>
      <c r="BA537" s="264"/>
    </row>
    <row r="538" spans="1:53" x14ac:dyDescent="0.15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64"/>
      <c r="AF538" s="264"/>
      <c r="AG538" s="264"/>
      <c r="AH538" s="263"/>
      <c r="AI538" s="264"/>
      <c r="AJ538" s="264"/>
      <c r="AK538" s="264"/>
      <c r="AL538" s="264"/>
      <c r="AM538" s="264"/>
      <c r="AN538" s="264"/>
      <c r="AO538" s="264"/>
      <c r="AP538" s="264"/>
      <c r="AQ538" s="264"/>
      <c r="AR538" s="264"/>
      <c r="AS538" s="264"/>
      <c r="AT538" s="264"/>
      <c r="AU538" s="264"/>
      <c r="AV538" s="264"/>
      <c r="AW538" s="264"/>
      <c r="AX538" s="264"/>
      <c r="AY538" s="264"/>
      <c r="AZ538" s="264"/>
      <c r="BA538" s="264"/>
    </row>
    <row r="539" spans="1:53" x14ac:dyDescent="0.15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64"/>
      <c r="AF539" s="264"/>
      <c r="AG539" s="264"/>
      <c r="AH539" s="263"/>
      <c r="AI539" s="264"/>
      <c r="AJ539" s="264"/>
      <c r="AK539" s="264"/>
      <c r="AL539" s="264"/>
      <c r="AM539" s="264"/>
      <c r="AN539" s="264"/>
      <c r="AO539" s="264"/>
      <c r="AP539" s="264"/>
      <c r="AQ539" s="264"/>
      <c r="AR539" s="264"/>
      <c r="AS539" s="264"/>
      <c r="AT539" s="264"/>
      <c r="AU539" s="264"/>
      <c r="AV539" s="264"/>
      <c r="AW539" s="264"/>
      <c r="AX539" s="264"/>
      <c r="AY539" s="264"/>
      <c r="AZ539" s="264"/>
      <c r="BA539" s="264"/>
    </row>
    <row r="540" spans="1:53" x14ac:dyDescent="0.15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64"/>
      <c r="AF540" s="264"/>
      <c r="AG540" s="264"/>
      <c r="AH540" s="263"/>
      <c r="AI540" s="264"/>
      <c r="AJ540" s="264"/>
      <c r="AK540" s="264"/>
      <c r="AL540" s="264"/>
      <c r="AM540" s="264"/>
      <c r="AN540" s="264"/>
      <c r="AO540" s="264"/>
      <c r="AP540" s="264"/>
      <c r="AQ540" s="264"/>
      <c r="AR540" s="264"/>
      <c r="AS540" s="264"/>
      <c r="AT540" s="264"/>
      <c r="AU540" s="264"/>
      <c r="AV540" s="264"/>
      <c r="AW540" s="264"/>
      <c r="AX540" s="264"/>
      <c r="AY540" s="264"/>
      <c r="AZ540" s="264"/>
      <c r="BA540" s="264"/>
    </row>
    <row r="541" spans="1:53" x14ac:dyDescent="0.15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64"/>
      <c r="AF541" s="264"/>
      <c r="AG541" s="264"/>
      <c r="AH541" s="263"/>
      <c r="AI541" s="264"/>
      <c r="AJ541" s="264"/>
      <c r="AK541" s="264"/>
      <c r="AL541" s="264"/>
      <c r="AM541" s="264"/>
      <c r="AN541" s="264"/>
      <c r="AO541" s="264"/>
      <c r="AP541" s="264"/>
      <c r="AQ541" s="264"/>
      <c r="AR541" s="264"/>
      <c r="AS541" s="264"/>
      <c r="AT541" s="264"/>
      <c r="AU541" s="264"/>
      <c r="AV541" s="264"/>
      <c r="AW541" s="264"/>
      <c r="AX541" s="264"/>
      <c r="AY541" s="264"/>
      <c r="AZ541" s="264"/>
      <c r="BA541" s="264"/>
    </row>
    <row r="542" spans="1:53" x14ac:dyDescent="0.15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64"/>
      <c r="AF542" s="264"/>
      <c r="AG542" s="264"/>
      <c r="AH542" s="263"/>
      <c r="AI542" s="264"/>
      <c r="AJ542" s="264"/>
      <c r="AK542" s="264"/>
      <c r="AL542" s="264"/>
      <c r="AM542" s="264"/>
      <c r="AN542" s="264"/>
      <c r="AO542" s="264"/>
      <c r="AP542" s="264"/>
      <c r="AQ542" s="264"/>
      <c r="AR542" s="264"/>
      <c r="AS542" s="264"/>
      <c r="AT542" s="264"/>
      <c r="AU542" s="264"/>
      <c r="AV542" s="264"/>
      <c r="AW542" s="264"/>
      <c r="AX542" s="264"/>
      <c r="AY542" s="264"/>
      <c r="AZ542" s="264"/>
      <c r="BA542" s="264"/>
    </row>
    <row r="543" spans="1:53" x14ac:dyDescent="0.15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64"/>
      <c r="AF543" s="264"/>
      <c r="AG543" s="264"/>
      <c r="AH543" s="263"/>
      <c r="AI543" s="264"/>
      <c r="AJ543" s="264"/>
      <c r="AK543" s="264"/>
      <c r="AL543" s="264"/>
      <c r="AM543" s="264"/>
      <c r="AN543" s="264"/>
      <c r="AO543" s="264"/>
      <c r="AP543" s="264"/>
      <c r="AQ543" s="264"/>
      <c r="AR543" s="264"/>
      <c r="AS543" s="264"/>
      <c r="AT543" s="264"/>
      <c r="AU543" s="264"/>
      <c r="AV543" s="264"/>
      <c r="AW543" s="264"/>
      <c r="AX543" s="264"/>
      <c r="AY543" s="264"/>
      <c r="AZ543" s="264"/>
      <c r="BA543" s="264"/>
    </row>
    <row r="544" spans="1:53" x14ac:dyDescent="0.15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64"/>
      <c r="AF544" s="264"/>
      <c r="AG544" s="264"/>
      <c r="AH544" s="263"/>
      <c r="AI544" s="264"/>
      <c r="AJ544" s="264"/>
      <c r="AK544" s="264"/>
      <c r="AL544" s="264"/>
      <c r="AM544" s="264"/>
      <c r="AN544" s="264"/>
      <c r="AO544" s="264"/>
      <c r="AP544" s="264"/>
      <c r="AQ544" s="264"/>
      <c r="AR544" s="264"/>
      <c r="AS544" s="264"/>
      <c r="AT544" s="264"/>
      <c r="AU544" s="264"/>
      <c r="AV544" s="264"/>
      <c r="AW544" s="264"/>
      <c r="AX544" s="264"/>
      <c r="AY544" s="264"/>
      <c r="AZ544" s="264"/>
      <c r="BA544" s="264"/>
    </row>
    <row r="545" spans="1:53" x14ac:dyDescent="0.1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64"/>
      <c r="AF545" s="264"/>
      <c r="AG545" s="264"/>
      <c r="AH545" s="263"/>
      <c r="AI545" s="264"/>
      <c r="AJ545" s="264"/>
      <c r="AK545" s="264"/>
      <c r="AL545" s="264"/>
      <c r="AM545" s="264"/>
      <c r="AN545" s="264"/>
      <c r="AO545" s="264"/>
      <c r="AP545" s="264"/>
      <c r="AQ545" s="264"/>
      <c r="AR545" s="264"/>
      <c r="AS545" s="264"/>
      <c r="AT545" s="264"/>
      <c r="AU545" s="264"/>
      <c r="AV545" s="264"/>
      <c r="AW545" s="264"/>
      <c r="AX545" s="264"/>
      <c r="AY545" s="264"/>
      <c r="AZ545" s="264"/>
      <c r="BA545" s="264"/>
    </row>
    <row r="546" spans="1:53" x14ac:dyDescent="0.15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64"/>
      <c r="AF546" s="264"/>
      <c r="AG546" s="264"/>
      <c r="AH546" s="263"/>
      <c r="AI546" s="264"/>
      <c r="AJ546" s="264"/>
      <c r="AK546" s="264"/>
      <c r="AL546" s="264"/>
      <c r="AM546" s="264"/>
      <c r="AN546" s="264"/>
      <c r="AO546" s="264"/>
      <c r="AP546" s="264"/>
      <c r="AQ546" s="264"/>
      <c r="AR546" s="264"/>
      <c r="AS546" s="264"/>
      <c r="AT546" s="264"/>
      <c r="AU546" s="264"/>
      <c r="AV546" s="264"/>
      <c r="AW546" s="264"/>
      <c r="AX546" s="264"/>
      <c r="AY546" s="264"/>
      <c r="AZ546" s="264"/>
      <c r="BA546" s="264"/>
    </row>
    <row r="547" spans="1:53" x14ac:dyDescent="0.15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64"/>
      <c r="AF547" s="264"/>
      <c r="AG547" s="264"/>
      <c r="AH547" s="263"/>
      <c r="AI547" s="264"/>
      <c r="AJ547" s="264"/>
      <c r="AK547" s="264"/>
      <c r="AL547" s="264"/>
      <c r="AM547" s="264"/>
      <c r="AN547" s="264"/>
      <c r="AO547" s="264"/>
      <c r="AP547" s="264"/>
      <c r="AQ547" s="264"/>
      <c r="AR547" s="264"/>
      <c r="AS547" s="264"/>
      <c r="AT547" s="264"/>
      <c r="AU547" s="264"/>
      <c r="AV547" s="264"/>
      <c r="AW547" s="264"/>
      <c r="AX547" s="264"/>
      <c r="AY547" s="264"/>
      <c r="AZ547" s="264"/>
      <c r="BA547" s="264"/>
    </row>
    <row r="548" spans="1:53" x14ac:dyDescent="0.15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64"/>
      <c r="AF548" s="264"/>
      <c r="AG548" s="264"/>
      <c r="AH548" s="263"/>
      <c r="AI548" s="264"/>
      <c r="AJ548" s="264"/>
      <c r="AK548" s="264"/>
      <c r="AL548" s="264"/>
      <c r="AM548" s="264"/>
      <c r="AN548" s="264"/>
      <c r="AO548" s="264"/>
      <c r="AP548" s="264"/>
      <c r="AQ548" s="264"/>
      <c r="AR548" s="264"/>
      <c r="AS548" s="264"/>
      <c r="AT548" s="264"/>
      <c r="AU548" s="264"/>
      <c r="AV548" s="264"/>
      <c r="AW548" s="264"/>
      <c r="AX548" s="264"/>
      <c r="AY548" s="264"/>
      <c r="AZ548" s="264"/>
      <c r="BA548" s="264"/>
    </row>
    <row r="549" spans="1:53" x14ac:dyDescent="0.15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64"/>
      <c r="AF549" s="264"/>
      <c r="AG549" s="264"/>
      <c r="AH549" s="263"/>
      <c r="AI549" s="264"/>
      <c r="AJ549" s="264"/>
      <c r="AK549" s="264"/>
      <c r="AL549" s="264"/>
      <c r="AM549" s="264"/>
      <c r="AN549" s="264"/>
      <c r="AO549" s="264"/>
      <c r="AP549" s="264"/>
      <c r="AQ549" s="264"/>
      <c r="AR549" s="264"/>
      <c r="AS549" s="264"/>
      <c r="AT549" s="264"/>
      <c r="AU549" s="264"/>
      <c r="AV549" s="264"/>
      <c r="AW549" s="264"/>
      <c r="AX549" s="264"/>
      <c r="AY549" s="264"/>
      <c r="AZ549" s="264"/>
      <c r="BA549" s="264"/>
    </row>
    <row r="550" spans="1:53" x14ac:dyDescent="0.15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64"/>
      <c r="AF550" s="264"/>
      <c r="AG550" s="264"/>
      <c r="AH550" s="263"/>
      <c r="AI550" s="264"/>
      <c r="AJ550" s="264"/>
      <c r="AK550" s="264"/>
      <c r="AL550" s="264"/>
      <c r="AM550" s="264"/>
      <c r="AN550" s="264"/>
      <c r="AO550" s="264"/>
      <c r="AP550" s="264"/>
      <c r="AQ550" s="264"/>
      <c r="AR550" s="264"/>
      <c r="AS550" s="264"/>
      <c r="AT550" s="264"/>
      <c r="AU550" s="264"/>
      <c r="AV550" s="264"/>
      <c r="AW550" s="264"/>
      <c r="AX550" s="264"/>
      <c r="AY550" s="264"/>
      <c r="AZ550" s="264"/>
      <c r="BA550" s="264"/>
    </row>
    <row r="551" spans="1:53" x14ac:dyDescent="0.15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64"/>
      <c r="AF551" s="264"/>
      <c r="AG551" s="264"/>
      <c r="AH551" s="263"/>
      <c r="AI551" s="264"/>
      <c r="AJ551" s="264"/>
      <c r="AK551" s="264"/>
      <c r="AL551" s="264"/>
      <c r="AM551" s="264"/>
      <c r="AN551" s="264"/>
      <c r="AO551" s="264"/>
      <c r="AP551" s="264"/>
      <c r="AQ551" s="264"/>
      <c r="AR551" s="264"/>
      <c r="AS551" s="264"/>
      <c r="AT551" s="264"/>
      <c r="AU551" s="264"/>
      <c r="AV551" s="264"/>
      <c r="AW551" s="264"/>
      <c r="AX551" s="264"/>
      <c r="AY551" s="264"/>
      <c r="AZ551" s="264"/>
      <c r="BA551" s="264"/>
    </row>
    <row r="552" spans="1:53" x14ac:dyDescent="0.15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64"/>
      <c r="AF552" s="264"/>
      <c r="AG552" s="264"/>
      <c r="AH552" s="263"/>
      <c r="AI552" s="264"/>
      <c r="AJ552" s="264"/>
      <c r="AK552" s="264"/>
      <c r="AL552" s="264"/>
      <c r="AM552" s="264"/>
      <c r="AN552" s="264"/>
      <c r="AO552" s="264"/>
      <c r="AP552" s="264"/>
      <c r="AQ552" s="264"/>
      <c r="AR552" s="264"/>
      <c r="AS552" s="264"/>
      <c r="AT552" s="264"/>
      <c r="AU552" s="264"/>
      <c r="AV552" s="264"/>
      <c r="AW552" s="264"/>
      <c r="AX552" s="264"/>
      <c r="AY552" s="264"/>
      <c r="AZ552" s="264"/>
      <c r="BA552" s="264"/>
    </row>
    <row r="553" spans="1:53" x14ac:dyDescent="0.15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64"/>
      <c r="AF553" s="264"/>
      <c r="AG553" s="264"/>
      <c r="AH553" s="263"/>
      <c r="AI553" s="264"/>
      <c r="AJ553" s="264"/>
      <c r="AK553" s="264"/>
      <c r="AL553" s="264"/>
      <c r="AM553" s="264"/>
      <c r="AN553" s="264"/>
      <c r="AO553" s="264"/>
      <c r="AP553" s="264"/>
      <c r="AQ553" s="264"/>
      <c r="AR553" s="264"/>
      <c r="AS553" s="264"/>
      <c r="AT553" s="264"/>
      <c r="AU553" s="264"/>
      <c r="AV553" s="264"/>
      <c r="AW553" s="264"/>
      <c r="AX553" s="264"/>
      <c r="AY553" s="264"/>
      <c r="AZ553" s="264"/>
      <c r="BA553" s="264"/>
    </row>
    <row r="554" spans="1:53" x14ac:dyDescent="0.15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64"/>
      <c r="AF554" s="264"/>
      <c r="AG554" s="264"/>
      <c r="AH554" s="263"/>
      <c r="AI554" s="264"/>
      <c r="AJ554" s="264"/>
      <c r="AK554" s="264"/>
      <c r="AL554" s="264"/>
      <c r="AM554" s="264"/>
      <c r="AN554" s="264"/>
      <c r="AO554" s="264"/>
      <c r="AP554" s="264"/>
      <c r="AQ554" s="264"/>
      <c r="AR554" s="264"/>
      <c r="AS554" s="264"/>
      <c r="AT554" s="264"/>
      <c r="AU554" s="264"/>
      <c r="AV554" s="264"/>
      <c r="AW554" s="264"/>
      <c r="AX554" s="264"/>
      <c r="AY554" s="264"/>
      <c r="AZ554" s="264"/>
      <c r="BA554" s="264"/>
    </row>
    <row r="555" spans="1:53" x14ac:dyDescent="0.1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64"/>
      <c r="AF555" s="264"/>
      <c r="AG555" s="264"/>
      <c r="AH555" s="263"/>
      <c r="AI555" s="264"/>
      <c r="AJ555" s="264"/>
      <c r="AK555" s="264"/>
      <c r="AL555" s="264"/>
      <c r="AM555" s="264"/>
      <c r="AN555" s="264"/>
      <c r="AO555" s="264"/>
      <c r="AP555" s="264"/>
      <c r="AQ555" s="264"/>
      <c r="AR555" s="264"/>
      <c r="AS555" s="264"/>
      <c r="AT555" s="264"/>
      <c r="AU555" s="264"/>
      <c r="AV555" s="264"/>
      <c r="AW555" s="264"/>
      <c r="AX555" s="264"/>
      <c r="AY555" s="264"/>
      <c r="AZ555" s="264"/>
      <c r="BA555" s="264"/>
    </row>
    <row r="556" spans="1:53" x14ac:dyDescent="0.15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  <c r="AF556" s="264"/>
      <c r="AG556" s="264"/>
      <c r="AH556" s="263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/>
      <c r="AS556" s="264"/>
      <c r="AT556" s="264"/>
      <c r="AU556" s="264"/>
      <c r="AV556" s="264"/>
      <c r="AW556" s="264"/>
      <c r="AX556" s="264"/>
      <c r="AY556" s="264"/>
      <c r="AZ556" s="264"/>
      <c r="BA556" s="264"/>
    </row>
    <row r="557" spans="1:53" x14ac:dyDescent="0.15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64"/>
      <c r="AF557" s="264"/>
      <c r="AG557" s="264"/>
      <c r="AH557" s="263"/>
      <c r="AI557" s="264"/>
      <c r="AJ557" s="264"/>
      <c r="AK557" s="264"/>
      <c r="AL557" s="264"/>
      <c r="AM557" s="264"/>
      <c r="AN557" s="264"/>
      <c r="AO557" s="264"/>
      <c r="AP557" s="264"/>
      <c r="AQ557" s="264"/>
      <c r="AR557" s="264"/>
      <c r="AS557" s="264"/>
      <c r="AT557" s="264"/>
      <c r="AU557" s="264"/>
      <c r="AV557" s="264"/>
      <c r="AW557" s="264"/>
      <c r="AX557" s="264"/>
      <c r="AY557" s="264"/>
      <c r="AZ557" s="264"/>
      <c r="BA557" s="264"/>
    </row>
    <row r="558" spans="1:53" x14ac:dyDescent="0.15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64"/>
      <c r="AF558" s="264"/>
      <c r="AG558" s="264"/>
      <c r="AH558" s="263"/>
      <c r="AI558" s="264"/>
      <c r="AJ558" s="264"/>
      <c r="AK558" s="264"/>
      <c r="AL558" s="264"/>
      <c r="AM558" s="264"/>
      <c r="AN558" s="264"/>
      <c r="AO558" s="264"/>
      <c r="AP558" s="264"/>
      <c r="AQ558" s="264"/>
      <c r="AR558" s="264"/>
      <c r="AS558" s="264"/>
      <c r="AT558" s="264"/>
      <c r="AU558" s="264"/>
      <c r="AV558" s="264"/>
      <c r="AW558" s="264"/>
      <c r="AX558" s="264"/>
      <c r="AY558" s="264"/>
      <c r="AZ558" s="264"/>
      <c r="BA558" s="264"/>
    </row>
    <row r="559" spans="1:53" x14ac:dyDescent="0.15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64"/>
      <c r="AF559" s="264"/>
      <c r="AG559" s="264"/>
      <c r="AH559" s="263"/>
      <c r="AI559" s="264"/>
      <c r="AJ559" s="264"/>
      <c r="AK559" s="264"/>
      <c r="AL559" s="264"/>
      <c r="AM559" s="264"/>
      <c r="AN559" s="264"/>
      <c r="AO559" s="264"/>
      <c r="AP559" s="264"/>
      <c r="AQ559" s="264"/>
      <c r="AR559" s="264"/>
      <c r="AS559" s="264"/>
      <c r="AT559" s="264"/>
      <c r="AU559" s="264"/>
      <c r="AV559" s="264"/>
      <c r="AW559" s="264"/>
      <c r="AX559" s="264"/>
      <c r="AY559" s="264"/>
      <c r="AZ559" s="264"/>
      <c r="BA559" s="264"/>
    </row>
    <row r="560" spans="1:53" x14ac:dyDescent="0.15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64"/>
      <c r="AF560" s="264"/>
      <c r="AG560" s="264"/>
      <c r="AH560" s="263"/>
      <c r="AI560" s="264"/>
      <c r="AJ560" s="264"/>
      <c r="AK560" s="264"/>
      <c r="AL560" s="264"/>
      <c r="AM560" s="264"/>
      <c r="AN560" s="264"/>
      <c r="AO560" s="264"/>
      <c r="AP560" s="264"/>
      <c r="AQ560" s="264"/>
      <c r="AR560" s="264"/>
      <c r="AS560" s="264"/>
      <c r="AT560" s="264"/>
      <c r="AU560" s="264"/>
      <c r="AV560" s="264"/>
      <c r="AW560" s="264"/>
      <c r="AX560" s="264"/>
      <c r="AY560" s="264"/>
      <c r="AZ560" s="264"/>
      <c r="BA560" s="264"/>
    </row>
    <row r="561" spans="1:53" x14ac:dyDescent="0.15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64"/>
      <c r="AF561" s="264"/>
      <c r="AG561" s="264"/>
      <c r="AH561" s="263"/>
      <c r="AI561" s="264"/>
      <c r="AJ561" s="264"/>
      <c r="AK561" s="264"/>
      <c r="AL561" s="264"/>
      <c r="AM561" s="264"/>
      <c r="AN561" s="264"/>
      <c r="AO561" s="264"/>
      <c r="AP561" s="264"/>
      <c r="AQ561" s="264"/>
      <c r="AR561" s="264"/>
      <c r="AS561" s="264"/>
      <c r="AT561" s="264"/>
      <c r="AU561" s="264"/>
      <c r="AV561" s="264"/>
      <c r="AW561" s="264"/>
      <c r="AX561" s="264"/>
      <c r="AY561" s="264"/>
      <c r="AZ561" s="264"/>
      <c r="BA561" s="264"/>
    </row>
    <row r="562" spans="1:53" x14ac:dyDescent="0.15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64"/>
      <c r="AF562" s="264"/>
      <c r="AG562" s="264"/>
      <c r="AH562" s="263"/>
      <c r="AI562" s="264"/>
      <c r="AJ562" s="264"/>
      <c r="AK562" s="264"/>
      <c r="AL562" s="264"/>
      <c r="AM562" s="264"/>
      <c r="AN562" s="264"/>
      <c r="AO562" s="264"/>
      <c r="AP562" s="264"/>
      <c r="AQ562" s="264"/>
      <c r="AR562" s="264"/>
      <c r="AS562" s="264"/>
      <c r="AT562" s="264"/>
      <c r="AU562" s="264"/>
      <c r="AV562" s="264"/>
      <c r="AW562" s="264"/>
      <c r="AX562" s="264"/>
      <c r="AY562" s="264"/>
      <c r="AZ562" s="264"/>
      <c r="BA562" s="264"/>
    </row>
    <row r="563" spans="1:53" x14ac:dyDescent="0.15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64"/>
      <c r="AF563" s="264"/>
      <c r="AG563" s="264"/>
      <c r="AH563" s="263"/>
      <c r="AI563" s="264"/>
      <c r="AJ563" s="264"/>
      <c r="AK563" s="264"/>
      <c r="AL563" s="264"/>
      <c r="AM563" s="264"/>
      <c r="AN563" s="264"/>
      <c r="AO563" s="264"/>
      <c r="AP563" s="264"/>
      <c r="AQ563" s="264"/>
      <c r="AR563" s="264"/>
      <c r="AS563" s="264"/>
      <c r="AT563" s="264"/>
      <c r="AU563" s="264"/>
      <c r="AV563" s="264"/>
      <c r="AW563" s="264"/>
      <c r="AX563" s="264"/>
      <c r="AY563" s="264"/>
      <c r="AZ563" s="264"/>
      <c r="BA563" s="264"/>
    </row>
    <row r="564" spans="1:53" x14ac:dyDescent="0.15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64"/>
      <c r="AF564" s="264"/>
      <c r="AG564" s="264"/>
      <c r="AH564" s="263"/>
      <c r="AI564" s="264"/>
      <c r="AJ564" s="264"/>
      <c r="AK564" s="264"/>
      <c r="AL564" s="264"/>
      <c r="AM564" s="264"/>
      <c r="AN564" s="264"/>
      <c r="AO564" s="264"/>
      <c r="AP564" s="264"/>
      <c r="AQ564" s="264"/>
      <c r="AR564" s="264"/>
      <c r="AS564" s="264"/>
      <c r="AT564" s="264"/>
      <c r="AU564" s="264"/>
      <c r="AV564" s="264"/>
      <c r="AW564" s="264"/>
      <c r="AX564" s="264"/>
      <c r="AY564" s="264"/>
      <c r="AZ564" s="264"/>
      <c r="BA564" s="264"/>
    </row>
    <row r="565" spans="1:53" x14ac:dyDescent="0.1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  <c r="AF565" s="264"/>
      <c r="AG565" s="264"/>
      <c r="AH565" s="263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64"/>
      <c r="AT565" s="264"/>
      <c r="AU565" s="264"/>
      <c r="AV565" s="264"/>
      <c r="AW565" s="264"/>
      <c r="AX565" s="264"/>
      <c r="AY565" s="264"/>
      <c r="AZ565" s="264"/>
      <c r="BA565" s="264"/>
    </row>
    <row r="566" spans="1:53" x14ac:dyDescent="0.15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64"/>
      <c r="AF566" s="264"/>
      <c r="AG566" s="264"/>
      <c r="AH566" s="263"/>
      <c r="AI566" s="264"/>
      <c r="AJ566" s="264"/>
      <c r="AK566" s="264"/>
      <c r="AL566" s="264"/>
      <c r="AM566" s="264"/>
      <c r="AN566" s="264"/>
      <c r="AO566" s="264"/>
      <c r="AP566" s="264"/>
      <c r="AQ566" s="264"/>
      <c r="AR566" s="264"/>
      <c r="AS566" s="264"/>
      <c r="AT566" s="264"/>
      <c r="AU566" s="264"/>
      <c r="AV566" s="264"/>
      <c r="AW566" s="264"/>
      <c r="AX566" s="264"/>
      <c r="AY566" s="264"/>
      <c r="AZ566" s="264"/>
      <c r="BA566" s="264"/>
    </row>
    <row r="567" spans="1:53" x14ac:dyDescent="0.15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64"/>
      <c r="AF567" s="264"/>
      <c r="AG567" s="264"/>
      <c r="AH567" s="263"/>
      <c r="AI567" s="264"/>
      <c r="AJ567" s="264"/>
      <c r="AK567" s="264"/>
      <c r="AL567" s="264"/>
      <c r="AM567" s="264"/>
      <c r="AN567" s="264"/>
      <c r="AO567" s="264"/>
      <c r="AP567" s="264"/>
      <c r="AQ567" s="264"/>
      <c r="AR567" s="264"/>
      <c r="AS567" s="264"/>
      <c r="AT567" s="264"/>
      <c r="AU567" s="264"/>
      <c r="AV567" s="264"/>
      <c r="AW567" s="264"/>
      <c r="AX567" s="264"/>
      <c r="AY567" s="264"/>
      <c r="AZ567" s="264"/>
      <c r="BA567" s="264"/>
    </row>
    <row r="568" spans="1:53" x14ac:dyDescent="0.15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64"/>
      <c r="AF568" s="264"/>
      <c r="AG568" s="264"/>
      <c r="AH568" s="263"/>
      <c r="AI568" s="264"/>
      <c r="AJ568" s="264"/>
      <c r="AK568" s="264"/>
      <c r="AL568" s="264"/>
      <c r="AM568" s="264"/>
      <c r="AN568" s="264"/>
      <c r="AO568" s="264"/>
      <c r="AP568" s="264"/>
      <c r="AQ568" s="264"/>
      <c r="AR568" s="264"/>
      <c r="AS568" s="264"/>
      <c r="AT568" s="264"/>
      <c r="AU568" s="264"/>
      <c r="AV568" s="264"/>
      <c r="AW568" s="264"/>
      <c r="AX568" s="264"/>
      <c r="AY568" s="264"/>
      <c r="AZ568" s="264"/>
      <c r="BA568" s="264"/>
    </row>
    <row r="569" spans="1:53" x14ac:dyDescent="0.15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64"/>
      <c r="AF569" s="264"/>
      <c r="AG569" s="264"/>
      <c r="AH569" s="263"/>
      <c r="AI569" s="264"/>
      <c r="AJ569" s="264"/>
      <c r="AK569" s="264"/>
      <c r="AL569" s="264"/>
      <c r="AM569" s="264"/>
      <c r="AN569" s="264"/>
      <c r="AO569" s="264"/>
      <c r="AP569" s="264"/>
      <c r="AQ569" s="264"/>
      <c r="AR569" s="264"/>
      <c r="AS569" s="264"/>
      <c r="AT569" s="264"/>
      <c r="AU569" s="264"/>
      <c r="AV569" s="264"/>
      <c r="AW569" s="264"/>
      <c r="AX569" s="264"/>
      <c r="AY569" s="264"/>
      <c r="AZ569" s="264"/>
      <c r="BA569" s="264"/>
    </row>
    <row r="570" spans="1:53" x14ac:dyDescent="0.15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64"/>
      <c r="AF570" s="264"/>
      <c r="AG570" s="264"/>
      <c r="AH570" s="263"/>
      <c r="AI570" s="264"/>
      <c r="AJ570" s="264"/>
      <c r="AK570" s="264"/>
      <c r="AL570" s="264"/>
      <c r="AM570" s="264"/>
      <c r="AN570" s="264"/>
      <c r="AO570" s="264"/>
      <c r="AP570" s="264"/>
      <c r="AQ570" s="264"/>
      <c r="AR570" s="264"/>
      <c r="AS570" s="264"/>
      <c r="AT570" s="264"/>
      <c r="AU570" s="264"/>
      <c r="AV570" s="264"/>
      <c r="AW570" s="264"/>
      <c r="AX570" s="264"/>
      <c r="AY570" s="264"/>
      <c r="AZ570" s="264"/>
      <c r="BA570" s="264"/>
    </row>
    <row r="571" spans="1:53" x14ac:dyDescent="0.15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64"/>
      <c r="AF571" s="264"/>
      <c r="AG571" s="264"/>
      <c r="AH571" s="263"/>
      <c r="AI571" s="264"/>
      <c r="AJ571" s="264"/>
      <c r="AK571" s="264"/>
      <c r="AL571" s="264"/>
      <c r="AM571" s="264"/>
      <c r="AN571" s="264"/>
      <c r="AO571" s="264"/>
      <c r="AP571" s="264"/>
      <c r="AQ571" s="264"/>
      <c r="AR571" s="264"/>
      <c r="AS571" s="264"/>
      <c r="AT571" s="264"/>
      <c r="AU571" s="264"/>
      <c r="AV571" s="264"/>
      <c r="AW571" s="264"/>
      <c r="AX571" s="264"/>
      <c r="AY571" s="264"/>
      <c r="AZ571" s="264"/>
      <c r="BA571" s="264"/>
    </row>
    <row r="572" spans="1:53" x14ac:dyDescent="0.15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64"/>
      <c r="AF572" s="264"/>
      <c r="AG572" s="264"/>
      <c r="AH572" s="263"/>
      <c r="AI572" s="264"/>
      <c r="AJ572" s="264"/>
      <c r="AK572" s="264"/>
      <c r="AL572" s="264"/>
      <c r="AM572" s="264"/>
      <c r="AN572" s="264"/>
      <c r="AO572" s="264"/>
      <c r="AP572" s="264"/>
      <c r="AQ572" s="264"/>
      <c r="AR572" s="264"/>
      <c r="AS572" s="264"/>
      <c r="AT572" s="264"/>
      <c r="AU572" s="264"/>
      <c r="AV572" s="264"/>
      <c r="AW572" s="264"/>
      <c r="AX572" s="264"/>
      <c r="AY572" s="264"/>
      <c r="AZ572" s="264"/>
      <c r="BA572" s="264"/>
    </row>
    <row r="573" spans="1:53" x14ac:dyDescent="0.15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64"/>
      <c r="AF573" s="264"/>
      <c r="AG573" s="264"/>
      <c r="AH573" s="263"/>
      <c r="AI573" s="264"/>
      <c r="AJ573" s="264"/>
      <c r="AK573" s="264"/>
      <c r="AL573" s="264"/>
      <c r="AM573" s="264"/>
      <c r="AN573" s="264"/>
      <c r="AO573" s="264"/>
      <c r="AP573" s="264"/>
      <c r="AQ573" s="264"/>
      <c r="AR573" s="264"/>
      <c r="AS573" s="264"/>
      <c r="AT573" s="264"/>
      <c r="AU573" s="264"/>
      <c r="AV573" s="264"/>
      <c r="AW573" s="264"/>
      <c r="AX573" s="264"/>
      <c r="AY573" s="264"/>
      <c r="AZ573" s="264"/>
      <c r="BA573" s="264"/>
    </row>
    <row r="574" spans="1:53" x14ac:dyDescent="0.15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64"/>
      <c r="AF574" s="264"/>
      <c r="AG574" s="264"/>
      <c r="AH574" s="263"/>
      <c r="AI574" s="264"/>
      <c r="AJ574" s="264"/>
      <c r="AK574" s="264"/>
      <c r="AL574" s="264"/>
      <c r="AM574" s="264"/>
      <c r="AN574" s="264"/>
      <c r="AO574" s="264"/>
      <c r="AP574" s="264"/>
      <c r="AQ574" s="264"/>
      <c r="AR574" s="264"/>
      <c r="AS574" s="264"/>
      <c r="AT574" s="264"/>
      <c r="AU574" s="264"/>
      <c r="AV574" s="264"/>
      <c r="AW574" s="264"/>
      <c r="AX574" s="264"/>
      <c r="AY574" s="264"/>
      <c r="AZ574" s="264"/>
      <c r="BA574" s="264"/>
    </row>
    <row r="575" spans="1:53" x14ac:dyDescent="0.1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64"/>
      <c r="AF575" s="264"/>
      <c r="AG575" s="264"/>
      <c r="AH575" s="263"/>
      <c r="AI575" s="264"/>
      <c r="AJ575" s="264"/>
      <c r="AK575" s="264"/>
      <c r="AL575" s="264"/>
      <c r="AM575" s="264"/>
      <c r="AN575" s="264"/>
      <c r="AO575" s="264"/>
      <c r="AP575" s="264"/>
      <c r="AQ575" s="264"/>
      <c r="AR575" s="264"/>
      <c r="AS575" s="264"/>
      <c r="AT575" s="264"/>
      <c r="AU575" s="264"/>
      <c r="AV575" s="264"/>
      <c r="AW575" s="264"/>
      <c r="AX575" s="264"/>
      <c r="AY575" s="264"/>
      <c r="AZ575" s="264"/>
      <c r="BA575" s="264"/>
    </row>
    <row r="576" spans="1:53" x14ac:dyDescent="0.15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64"/>
      <c r="AF576" s="264"/>
      <c r="AG576" s="264"/>
      <c r="AH576" s="263"/>
      <c r="AI576" s="264"/>
      <c r="AJ576" s="264"/>
      <c r="AK576" s="264"/>
      <c r="AL576" s="264"/>
      <c r="AM576" s="264"/>
      <c r="AN576" s="264"/>
      <c r="AO576" s="264"/>
      <c r="AP576" s="264"/>
      <c r="AQ576" s="264"/>
      <c r="AR576" s="264"/>
      <c r="AS576" s="264"/>
      <c r="AT576" s="264"/>
      <c r="AU576" s="264"/>
      <c r="AV576" s="264"/>
      <c r="AW576" s="264"/>
      <c r="AX576" s="264"/>
      <c r="AY576" s="264"/>
      <c r="AZ576" s="264"/>
      <c r="BA576" s="264"/>
    </row>
    <row r="577" spans="1:53" x14ac:dyDescent="0.15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64"/>
      <c r="AF577" s="264"/>
      <c r="AG577" s="264"/>
      <c r="AH577" s="263"/>
      <c r="AI577" s="264"/>
      <c r="AJ577" s="264"/>
      <c r="AK577" s="264"/>
      <c r="AL577" s="264"/>
      <c r="AM577" s="264"/>
      <c r="AN577" s="264"/>
      <c r="AO577" s="264"/>
      <c r="AP577" s="264"/>
      <c r="AQ577" s="264"/>
      <c r="AR577" s="264"/>
      <c r="AS577" s="264"/>
      <c r="AT577" s="264"/>
      <c r="AU577" s="264"/>
      <c r="AV577" s="264"/>
      <c r="AW577" s="264"/>
      <c r="AX577" s="264"/>
      <c r="AY577" s="264"/>
      <c r="AZ577" s="264"/>
      <c r="BA577" s="264"/>
    </row>
    <row r="578" spans="1:53" x14ac:dyDescent="0.15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64"/>
      <c r="AF578" s="264"/>
      <c r="AG578" s="264"/>
      <c r="AH578" s="263"/>
      <c r="AI578" s="264"/>
      <c r="AJ578" s="264"/>
      <c r="AK578" s="264"/>
      <c r="AL578" s="264"/>
      <c r="AM578" s="264"/>
      <c r="AN578" s="264"/>
      <c r="AO578" s="264"/>
      <c r="AP578" s="264"/>
      <c r="AQ578" s="264"/>
      <c r="AR578" s="264"/>
      <c r="AS578" s="264"/>
      <c r="AT578" s="264"/>
      <c r="AU578" s="264"/>
      <c r="AV578" s="264"/>
      <c r="AW578" s="264"/>
      <c r="AX578" s="264"/>
      <c r="AY578" s="264"/>
      <c r="AZ578" s="264"/>
      <c r="BA578" s="264"/>
    </row>
    <row r="579" spans="1:53" x14ac:dyDescent="0.15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64"/>
      <c r="AF579" s="264"/>
      <c r="AG579" s="264"/>
      <c r="AH579" s="263"/>
      <c r="AI579" s="264"/>
      <c r="AJ579" s="264"/>
      <c r="AK579" s="264"/>
      <c r="AL579" s="264"/>
      <c r="AM579" s="264"/>
      <c r="AN579" s="264"/>
      <c r="AO579" s="264"/>
      <c r="AP579" s="264"/>
      <c r="AQ579" s="264"/>
      <c r="AR579" s="264"/>
      <c r="AS579" s="264"/>
      <c r="AT579" s="264"/>
      <c r="AU579" s="264"/>
      <c r="AV579" s="264"/>
      <c r="AW579" s="264"/>
      <c r="AX579" s="264"/>
      <c r="AY579" s="264"/>
      <c r="AZ579" s="264"/>
      <c r="BA579" s="264"/>
    </row>
    <row r="580" spans="1:53" x14ac:dyDescent="0.15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  <c r="AA580" s="264"/>
      <c r="AB580" s="264"/>
      <c r="AC580" s="264"/>
      <c r="AD580" s="264"/>
      <c r="AE580" s="264"/>
      <c r="AF580" s="264"/>
      <c r="AG580" s="264"/>
      <c r="AH580" s="263"/>
      <c r="AI580" s="264"/>
      <c r="AJ580" s="264"/>
      <c r="AK580" s="264"/>
      <c r="AL580" s="264"/>
      <c r="AM580" s="264"/>
      <c r="AN580" s="264"/>
      <c r="AO580" s="264"/>
      <c r="AP580" s="264"/>
      <c r="AQ580" s="264"/>
      <c r="AR580" s="264"/>
      <c r="AS580" s="264"/>
      <c r="AT580" s="264"/>
      <c r="AU580" s="264"/>
      <c r="AV580" s="264"/>
      <c r="AW580" s="264"/>
      <c r="AX580" s="264"/>
      <c r="AY580" s="264"/>
      <c r="AZ580" s="264"/>
      <c r="BA580" s="264"/>
    </row>
    <row r="581" spans="1:53" x14ac:dyDescent="0.15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  <c r="AA581" s="264"/>
      <c r="AB581" s="264"/>
      <c r="AC581" s="264"/>
      <c r="AD581" s="264"/>
      <c r="AE581" s="264"/>
      <c r="AF581" s="264"/>
      <c r="AG581" s="264"/>
      <c r="AH581" s="263"/>
      <c r="AI581" s="264"/>
      <c r="AJ581" s="264"/>
      <c r="AK581" s="264"/>
      <c r="AL581" s="264"/>
      <c r="AM581" s="264"/>
      <c r="AN581" s="264"/>
      <c r="AO581" s="264"/>
      <c r="AP581" s="264"/>
      <c r="AQ581" s="264"/>
      <c r="AR581" s="264"/>
      <c r="AS581" s="264"/>
      <c r="AT581" s="264"/>
      <c r="AU581" s="264"/>
      <c r="AV581" s="264"/>
      <c r="AW581" s="264"/>
      <c r="AX581" s="264"/>
      <c r="AY581" s="264"/>
      <c r="AZ581" s="264"/>
      <c r="BA581" s="264"/>
    </row>
    <row r="582" spans="1:53" x14ac:dyDescent="0.15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  <c r="AA582" s="264"/>
      <c r="AB582" s="264"/>
      <c r="AC582" s="264"/>
      <c r="AD582" s="264"/>
      <c r="AE582" s="264"/>
      <c r="AF582" s="264"/>
      <c r="AG582" s="264"/>
      <c r="AH582" s="263"/>
      <c r="AI582" s="264"/>
      <c r="AJ582" s="264"/>
      <c r="AK582" s="264"/>
      <c r="AL582" s="264"/>
      <c r="AM582" s="264"/>
      <c r="AN582" s="264"/>
      <c r="AO582" s="264"/>
      <c r="AP582" s="264"/>
      <c r="AQ582" s="264"/>
      <c r="AR582" s="264"/>
      <c r="AS582" s="264"/>
      <c r="AT582" s="264"/>
      <c r="AU582" s="264"/>
      <c r="AV582" s="264"/>
      <c r="AW582" s="264"/>
      <c r="AX582" s="264"/>
      <c r="AY582" s="264"/>
      <c r="AZ582" s="264"/>
      <c r="BA582" s="264"/>
    </row>
    <row r="583" spans="1:53" x14ac:dyDescent="0.15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  <c r="AA583" s="264"/>
      <c r="AB583" s="264"/>
      <c r="AC583" s="264"/>
      <c r="AD583" s="264"/>
      <c r="AE583" s="264"/>
      <c r="AF583" s="264"/>
      <c r="AG583" s="264"/>
      <c r="AH583" s="263"/>
      <c r="AI583" s="264"/>
      <c r="AJ583" s="264"/>
      <c r="AK583" s="264"/>
      <c r="AL583" s="264"/>
      <c r="AM583" s="264"/>
      <c r="AN583" s="264"/>
      <c r="AO583" s="264"/>
      <c r="AP583" s="264"/>
      <c r="AQ583" s="264"/>
      <c r="AR583" s="264"/>
      <c r="AS583" s="264"/>
      <c r="AT583" s="264"/>
      <c r="AU583" s="264"/>
      <c r="AV583" s="264"/>
      <c r="AW583" s="264"/>
      <c r="AX583" s="264"/>
      <c r="AY583" s="264"/>
      <c r="AZ583" s="264"/>
      <c r="BA583" s="264"/>
    </row>
    <row r="584" spans="1:53" x14ac:dyDescent="0.15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  <c r="AA584" s="264"/>
      <c r="AB584" s="264"/>
      <c r="AC584" s="264"/>
      <c r="AD584" s="264"/>
      <c r="AE584" s="264"/>
      <c r="AF584" s="264"/>
      <c r="AG584" s="264"/>
      <c r="AH584" s="263"/>
      <c r="AI584" s="264"/>
      <c r="AJ584" s="264"/>
      <c r="AK584" s="264"/>
      <c r="AL584" s="264"/>
      <c r="AM584" s="264"/>
      <c r="AN584" s="264"/>
      <c r="AO584" s="264"/>
      <c r="AP584" s="264"/>
      <c r="AQ584" s="264"/>
      <c r="AR584" s="264"/>
      <c r="AS584" s="264"/>
      <c r="AT584" s="264"/>
      <c r="AU584" s="264"/>
      <c r="AV584" s="264"/>
      <c r="AW584" s="264"/>
      <c r="AX584" s="264"/>
      <c r="AY584" s="264"/>
      <c r="AZ584" s="264"/>
      <c r="BA584" s="264"/>
    </row>
    <row r="585" spans="1:53" x14ac:dyDescent="0.1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  <c r="AA585" s="264"/>
      <c r="AB585" s="264"/>
      <c r="AC585" s="264"/>
      <c r="AD585" s="264"/>
      <c r="AE585" s="264"/>
      <c r="AF585" s="264"/>
      <c r="AG585" s="264"/>
      <c r="AH585" s="263"/>
      <c r="AI585" s="264"/>
      <c r="AJ585" s="264"/>
      <c r="AK585" s="264"/>
      <c r="AL585" s="264"/>
      <c r="AM585" s="264"/>
      <c r="AN585" s="264"/>
      <c r="AO585" s="264"/>
      <c r="AP585" s="264"/>
      <c r="AQ585" s="264"/>
      <c r="AR585" s="264"/>
      <c r="AS585" s="264"/>
      <c r="AT585" s="264"/>
      <c r="AU585" s="264"/>
      <c r="AV585" s="264"/>
      <c r="AW585" s="264"/>
      <c r="AX585" s="264"/>
      <c r="AY585" s="264"/>
      <c r="AZ585" s="264"/>
      <c r="BA585" s="264"/>
    </row>
    <row r="586" spans="1:53" x14ac:dyDescent="0.15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  <c r="AA586" s="264"/>
      <c r="AB586" s="264"/>
      <c r="AC586" s="264"/>
      <c r="AD586" s="264"/>
      <c r="AE586" s="264"/>
      <c r="AF586" s="264"/>
      <c r="AG586" s="264"/>
      <c r="AH586" s="263"/>
      <c r="AI586" s="264"/>
      <c r="AJ586" s="264"/>
      <c r="AK586" s="264"/>
      <c r="AL586" s="264"/>
      <c r="AM586" s="264"/>
      <c r="AN586" s="264"/>
      <c r="AO586" s="264"/>
      <c r="AP586" s="264"/>
      <c r="AQ586" s="264"/>
      <c r="AR586" s="264"/>
      <c r="AS586" s="264"/>
      <c r="AT586" s="264"/>
      <c r="AU586" s="264"/>
      <c r="AV586" s="264"/>
      <c r="AW586" s="264"/>
      <c r="AX586" s="264"/>
      <c r="AY586" s="264"/>
      <c r="AZ586" s="264"/>
      <c r="BA586" s="264"/>
    </row>
    <row r="587" spans="1:53" x14ac:dyDescent="0.15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  <c r="AA587" s="264"/>
      <c r="AB587" s="264"/>
      <c r="AC587" s="264"/>
      <c r="AD587" s="264"/>
      <c r="AE587" s="264"/>
      <c r="AF587" s="264"/>
      <c r="AG587" s="264"/>
      <c r="AH587" s="263"/>
      <c r="AI587" s="264"/>
      <c r="AJ587" s="264"/>
      <c r="AK587" s="264"/>
      <c r="AL587" s="264"/>
      <c r="AM587" s="264"/>
      <c r="AN587" s="264"/>
      <c r="AO587" s="264"/>
      <c r="AP587" s="264"/>
      <c r="AQ587" s="264"/>
      <c r="AR587" s="264"/>
      <c r="AS587" s="264"/>
      <c r="AT587" s="264"/>
      <c r="AU587" s="264"/>
      <c r="AV587" s="264"/>
      <c r="AW587" s="264"/>
      <c r="AX587" s="264"/>
      <c r="AY587" s="264"/>
      <c r="AZ587" s="264"/>
      <c r="BA587" s="264"/>
    </row>
    <row r="588" spans="1:53" x14ac:dyDescent="0.15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  <c r="AA588" s="264"/>
      <c r="AB588" s="264"/>
      <c r="AC588" s="264"/>
      <c r="AD588" s="264"/>
      <c r="AE588" s="264"/>
      <c r="AF588" s="264"/>
      <c r="AG588" s="264"/>
      <c r="AH588" s="263"/>
      <c r="AI588" s="264"/>
      <c r="AJ588" s="264"/>
      <c r="AK588" s="264"/>
      <c r="AL588" s="264"/>
      <c r="AM588" s="264"/>
      <c r="AN588" s="264"/>
      <c r="AO588" s="264"/>
      <c r="AP588" s="264"/>
      <c r="AQ588" s="264"/>
      <c r="AR588" s="264"/>
      <c r="AS588" s="264"/>
      <c r="AT588" s="264"/>
      <c r="AU588" s="264"/>
      <c r="AV588" s="264"/>
      <c r="AW588" s="264"/>
      <c r="AX588" s="264"/>
      <c r="AY588" s="264"/>
      <c r="AZ588" s="264"/>
      <c r="BA588" s="264"/>
    </row>
    <row r="589" spans="1:53" x14ac:dyDescent="0.15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  <c r="AA589" s="264"/>
      <c r="AB589" s="264"/>
      <c r="AC589" s="264"/>
      <c r="AD589" s="264"/>
      <c r="AE589" s="264"/>
      <c r="AF589" s="264"/>
      <c r="AG589" s="264"/>
      <c r="AH589" s="263"/>
      <c r="AI589" s="264"/>
      <c r="AJ589" s="264"/>
      <c r="AK589" s="264"/>
      <c r="AL589" s="264"/>
      <c r="AM589" s="264"/>
      <c r="AN589" s="264"/>
      <c r="AO589" s="264"/>
      <c r="AP589" s="264"/>
      <c r="AQ589" s="264"/>
      <c r="AR589" s="264"/>
      <c r="AS589" s="264"/>
      <c r="AT589" s="264"/>
      <c r="AU589" s="264"/>
      <c r="AV589" s="264"/>
      <c r="AW589" s="264"/>
      <c r="AX589" s="264"/>
      <c r="AY589" s="264"/>
      <c r="AZ589" s="264"/>
      <c r="BA589" s="264"/>
    </row>
    <row r="590" spans="1:53" x14ac:dyDescent="0.15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  <c r="AA590" s="264"/>
      <c r="AB590" s="264"/>
      <c r="AC590" s="264"/>
      <c r="AD590" s="264"/>
      <c r="AE590" s="264"/>
      <c r="AF590" s="264"/>
      <c r="AG590" s="264"/>
      <c r="AH590" s="263"/>
      <c r="AI590" s="264"/>
      <c r="AJ590" s="264"/>
      <c r="AK590" s="264"/>
      <c r="AL590" s="264"/>
      <c r="AM590" s="264"/>
      <c r="AN590" s="264"/>
      <c r="AO590" s="264"/>
      <c r="AP590" s="264"/>
      <c r="AQ590" s="264"/>
      <c r="AR590" s="264"/>
      <c r="AS590" s="264"/>
      <c r="AT590" s="264"/>
      <c r="AU590" s="264"/>
      <c r="AV590" s="264"/>
      <c r="AW590" s="264"/>
      <c r="AX590" s="264"/>
      <c r="AY590" s="264"/>
      <c r="AZ590" s="264"/>
      <c r="BA590" s="264"/>
    </row>
    <row r="591" spans="1:53" x14ac:dyDescent="0.15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  <c r="AA591" s="264"/>
      <c r="AB591" s="264"/>
      <c r="AC591" s="264"/>
      <c r="AD591" s="264"/>
      <c r="AE591" s="264"/>
      <c r="AF591" s="264"/>
      <c r="AG591" s="264"/>
      <c r="AH591" s="263"/>
      <c r="AI591" s="264"/>
      <c r="AJ591" s="264"/>
      <c r="AK591" s="264"/>
      <c r="AL591" s="264"/>
      <c r="AM591" s="264"/>
      <c r="AN591" s="264"/>
      <c r="AO591" s="264"/>
      <c r="AP591" s="264"/>
      <c r="AQ591" s="264"/>
      <c r="AR591" s="264"/>
      <c r="AS591" s="264"/>
      <c r="AT591" s="264"/>
      <c r="AU591" s="264"/>
      <c r="AV591" s="264"/>
      <c r="AW591" s="264"/>
      <c r="AX591" s="264"/>
      <c r="AY591" s="264"/>
      <c r="AZ591" s="264"/>
      <c r="BA591" s="264"/>
    </row>
    <row r="592" spans="1:53" x14ac:dyDescent="0.15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  <c r="AA592" s="264"/>
      <c r="AB592" s="264"/>
      <c r="AC592" s="264"/>
      <c r="AD592" s="264"/>
      <c r="AE592" s="264"/>
      <c r="AF592" s="264"/>
      <c r="AG592" s="264"/>
      <c r="AH592" s="263"/>
      <c r="AI592" s="264"/>
      <c r="AJ592" s="264"/>
      <c r="AK592" s="264"/>
      <c r="AL592" s="264"/>
      <c r="AM592" s="264"/>
      <c r="AN592" s="264"/>
      <c r="AO592" s="264"/>
      <c r="AP592" s="264"/>
      <c r="AQ592" s="264"/>
      <c r="AR592" s="264"/>
      <c r="AS592" s="264"/>
      <c r="AT592" s="264"/>
      <c r="AU592" s="264"/>
      <c r="AV592" s="264"/>
      <c r="AW592" s="264"/>
      <c r="AX592" s="264"/>
      <c r="AY592" s="264"/>
      <c r="AZ592" s="264"/>
      <c r="BA592" s="264"/>
    </row>
    <row r="593" spans="1:53" x14ac:dyDescent="0.15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  <c r="AA593" s="264"/>
      <c r="AB593" s="264"/>
      <c r="AC593" s="264"/>
      <c r="AD593" s="264"/>
      <c r="AE593" s="264"/>
      <c r="AF593" s="264"/>
      <c r="AG593" s="264"/>
      <c r="AH593" s="263"/>
      <c r="AI593" s="264"/>
      <c r="AJ593" s="264"/>
      <c r="AK593" s="264"/>
      <c r="AL593" s="264"/>
      <c r="AM593" s="264"/>
      <c r="AN593" s="264"/>
      <c r="AO593" s="264"/>
      <c r="AP593" s="264"/>
      <c r="AQ593" s="264"/>
      <c r="AR593" s="264"/>
      <c r="AS593" s="264"/>
      <c r="AT593" s="264"/>
      <c r="AU593" s="264"/>
      <c r="AV593" s="264"/>
      <c r="AW593" s="264"/>
      <c r="AX593" s="264"/>
      <c r="AY593" s="264"/>
      <c r="AZ593" s="264"/>
      <c r="BA593" s="264"/>
    </row>
    <row r="594" spans="1:53" x14ac:dyDescent="0.15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  <c r="AA594" s="264"/>
      <c r="AB594" s="264"/>
      <c r="AC594" s="264"/>
      <c r="AD594" s="264"/>
      <c r="AE594" s="264"/>
      <c r="AF594" s="264"/>
      <c r="AG594" s="264"/>
      <c r="AH594" s="263"/>
      <c r="AI594" s="264"/>
      <c r="AJ594" s="264"/>
      <c r="AK594" s="264"/>
      <c r="AL594" s="264"/>
      <c r="AM594" s="264"/>
      <c r="AN594" s="264"/>
      <c r="AO594" s="264"/>
      <c r="AP594" s="264"/>
      <c r="AQ594" s="264"/>
      <c r="AR594" s="264"/>
      <c r="AS594" s="264"/>
      <c r="AT594" s="264"/>
      <c r="AU594" s="264"/>
      <c r="AV594" s="264"/>
      <c r="AW594" s="264"/>
      <c r="AX594" s="264"/>
      <c r="AY594" s="264"/>
      <c r="AZ594" s="264"/>
      <c r="BA594" s="264"/>
    </row>
    <row r="595" spans="1:53" x14ac:dyDescent="0.1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  <c r="AA595" s="264"/>
      <c r="AB595" s="264"/>
      <c r="AC595" s="264"/>
      <c r="AD595" s="264"/>
      <c r="AE595" s="264"/>
      <c r="AF595" s="264"/>
      <c r="AG595" s="264"/>
      <c r="AH595" s="263"/>
      <c r="AI595" s="264"/>
      <c r="AJ595" s="264"/>
      <c r="AK595" s="264"/>
      <c r="AL595" s="264"/>
      <c r="AM595" s="264"/>
      <c r="AN595" s="264"/>
      <c r="AO595" s="264"/>
      <c r="AP595" s="264"/>
      <c r="AQ595" s="264"/>
      <c r="AR595" s="264"/>
      <c r="AS595" s="264"/>
      <c r="AT595" s="264"/>
      <c r="AU595" s="264"/>
      <c r="AV595" s="264"/>
      <c r="AW595" s="264"/>
      <c r="AX595" s="264"/>
      <c r="AY595" s="264"/>
      <c r="AZ595" s="264"/>
      <c r="BA595" s="264"/>
    </row>
    <row r="596" spans="1:53" x14ac:dyDescent="0.15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  <c r="AA596" s="264"/>
      <c r="AB596" s="264"/>
      <c r="AC596" s="264"/>
      <c r="AD596" s="264"/>
      <c r="AE596" s="264"/>
      <c r="AF596" s="264"/>
      <c r="AG596" s="264"/>
      <c r="AH596" s="263"/>
      <c r="AI596" s="264"/>
      <c r="AJ596" s="264"/>
      <c r="AK596" s="264"/>
      <c r="AL596" s="264"/>
      <c r="AM596" s="264"/>
      <c r="AN596" s="264"/>
      <c r="AO596" s="264"/>
      <c r="AP596" s="264"/>
      <c r="AQ596" s="264"/>
      <c r="AR596" s="264"/>
      <c r="AS596" s="264"/>
      <c r="AT596" s="264"/>
      <c r="AU596" s="264"/>
      <c r="AV596" s="264"/>
      <c r="AW596" s="264"/>
      <c r="AX596" s="264"/>
      <c r="AY596" s="264"/>
      <c r="AZ596" s="264"/>
      <c r="BA596" s="264"/>
    </row>
    <row r="597" spans="1:53" x14ac:dyDescent="0.15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3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  <c r="AW597" s="264"/>
      <c r="AX597" s="264"/>
      <c r="AY597" s="264"/>
      <c r="AZ597" s="264"/>
      <c r="BA597" s="264"/>
    </row>
    <row r="598" spans="1:53" x14ac:dyDescent="0.15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3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  <c r="AW598" s="264"/>
      <c r="AX598" s="264"/>
      <c r="AY598" s="264"/>
      <c r="AZ598" s="264"/>
      <c r="BA598" s="264"/>
    </row>
    <row r="599" spans="1:53" x14ac:dyDescent="0.15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  <c r="AA599" s="264"/>
      <c r="AB599" s="264"/>
      <c r="AC599" s="264"/>
      <c r="AD599" s="264"/>
      <c r="AE599" s="264"/>
      <c r="AF599" s="264"/>
      <c r="AG599" s="264"/>
      <c r="AH599" s="263"/>
      <c r="AI599" s="264"/>
      <c r="AJ599" s="264"/>
      <c r="AK599" s="264"/>
      <c r="AL599" s="264"/>
      <c r="AM599" s="264"/>
      <c r="AN599" s="264"/>
      <c r="AO599" s="264"/>
      <c r="AP599" s="264"/>
      <c r="AQ599" s="264"/>
      <c r="AR599" s="264"/>
      <c r="AS599" s="264"/>
      <c r="AT599" s="264"/>
      <c r="AU599" s="264"/>
      <c r="AV599" s="264"/>
      <c r="AW599" s="264"/>
      <c r="AX599" s="264"/>
      <c r="AY599" s="264"/>
      <c r="AZ599" s="264"/>
      <c r="BA599" s="264"/>
    </row>
    <row r="600" spans="1:53" x14ac:dyDescent="0.15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3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  <c r="AW600" s="264"/>
      <c r="AX600" s="264"/>
      <c r="AY600" s="264"/>
      <c r="AZ600" s="264"/>
      <c r="BA600" s="264"/>
    </row>
    <row r="601" spans="1:53" x14ac:dyDescent="0.15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3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  <c r="AW601" s="264"/>
      <c r="AX601" s="264"/>
      <c r="AY601" s="264"/>
      <c r="AZ601" s="264"/>
      <c r="BA601" s="264"/>
    </row>
    <row r="602" spans="1:53" x14ac:dyDescent="0.15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  <c r="AA602" s="264"/>
      <c r="AB602" s="264"/>
      <c r="AC602" s="264"/>
      <c r="AD602" s="264"/>
      <c r="AE602" s="264"/>
      <c r="AF602" s="264"/>
      <c r="AG602" s="264"/>
      <c r="AH602" s="263"/>
      <c r="AI602" s="264"/>
      <c r="AJ602" s="264"/>
      <c r="AK602" s="264"/>
      <c r="AL602" s="264"/>
      <c r="AM602" s="264"/>
      <c r="AN602" s="264"/>
      <c r="AO602" s="264"/>
      <c r="AP602" s="264"/>
      <c r="AQ602" s="264"/>
      <c r="AR602" s="264"/>
      <c r="AS602" s="264"/>
      <c r="AT602" s="264"/>
      <c r="AU602" s="264"/>
      <c r="AV602" s="264"/>
      <c r="AW602" s="264"/>
      <c r="AX602" s="264"/>
      <c r="AY602" s="264"/>
      <c r="AZ602" s="264"/>
      <c r="BA602" s="264"/>
    </row>
    <row r="603" spans="1:53" x14ac:dyDescent="0.15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  <c r="AA603" s="264"/>
      <c r="AB603" s="264"/>
      <c r="AC603" s="264"/>
      <c r="AD603" s="264"/>
      <c r="AE603" s="264"/>
      <c r="AF603" s="264"/>
      <c r="AG603" s="264"/>
      <c r="AH603" s="263"/>
      <c r="AI603" s="264"/>
      <c r="AJ603" s="264"/>
      <c r="AK603" s="264"/>
      <c r="AL603" s="264"/>
      <c r="AM603" s="264"/>
      <c r="AN603" s="264"/>
      <c r="AO603" s="264"/>
      <c r="AP603" s="264"/>
      <c r="AQ603" s="264"/>
      <c r="AR603" s="264"/>
      <c r="AS603" s="264"/>
      <c r="AT603" s="264"/>
      <c r="AU603" s="264"/>
      <c r="AV603" s="264"/>
      <c r="AW603" s="264"/>
      <c r="AX603" s="264"/>
      <c r="AY603" s="264"/>
      <c r="AZ603" s="264"/>
      <c r="BA603" s="264"/>
    </row>
    <row r="604" spans="1:53" x14ac:dyDescent="0.15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  <c r="AA604" s="264"/>
      <c r="AB604" s="264"/>
      <c r="AC604" s="264"/>
      <c r="AD604" s="264"/>
      <c r="AE604" s="264"/>
      <c r="AF604" s="264"/>
      <c r="AG604" s="264"/>
      <c r="AH604" s="263"/>
      <c r="AI604" s="264"/>
      <c r="AJ604" s="264"/>
      <c r="AK604" s="264"/>
      <c r="AL604" s="264"/>
      <c r="AM604" s="264"/>
      <c r="AN604" s="264"/>
      <c r="AO604" s="264"/>
      <c r="AP604" s="264"/>
      <c r="AQ604" s="264"/>
      <c r="AR604" s="264"/>
      <c r="AS604" s="264"/>
      <c r="AT604" s="264"/>
      <c r="AU604" s="264"/>
      <c r="AV604" s="264"/>
      <c r="AW604" s="264"/>
      <c r="AX604" s="264"/>
      <c r="AY604" s="264"/>
      <c r="AZ604" s="264"/>
      <c r="BA604" s="264"/>
    </row>
    <row r="605" spans="1:53" x14ac:dyDescent="0.1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  <c r="AA605" s="264"/>
      <c r="AB605" s="264"/>
      <c r="AC605" s="264"/>
      <c r="AD605" s="264"/>
      <c r="AE605" s="264"/>
      <c r="AF605" s="264"/>
      <c r="AG605" s="264"/>
      <c r="AH605" s="263"/>
      <c r="AI605" s="264"/>
      <c r="AJ605" s="264"/>
      <c r="AK605" s="264"/>
      <c r="AL605" s="264"/>
      <c r="AM605" s="264"/>
      <c r="AN605" s="264"/>
      <c r="AO605" s="264"/>
      <c r="AP605" s="264"/>
      <c r="AQ605" s="264"/>
      <c r="AR605" s="264"/>
      <c r="AS605" s="264"/>
      <c r="AT605" s="264"/>
      <c r="AU605" s="264"/>
      <c r="AV605" s="264"/>
      <c r="AW605" s="264"/>
      <c r="AX605" s="264"/>
      <c r="AY605" s="264"/>
      <c r="AZ605" s="264"/>
      <c r="BA605" s="264"/>
    </row>
    <row r="606" spans="1:53" x14ac:dyDescent="0.15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  <c r="AA606" s="264"/>
      <c r="AB606" s="264"/>
      <c r="AC606" s="264"/>
      <c r="AD606" s="264"/>
      <c r="AE606" s="264"/>
      <c r="AF606" s="264"/>
      <c r="AG606" s="264"/>
      <c r="AH606" s="263"/>
      <c r="AI606" s="264"/>
      <c r="AJ606" s="264"/>
      <c r="AK606" s="264"/>
      <c r="AL606" s="264"/>
      <c r="AM606" s="264"/>
      <c r="AN606" s="264"/>
      <c r="AO606" s="264"/>
      <c r="AP606" s="264"/>
      <c r="AQ606" s="264"/>
      <c r="AR606" s="264"/>
      <c r="AS606" s="264"/>
      <c r="AT606" s="264"/>
      <c r="AU606" s="264"/>
      <c r="AV606" s="264"/>
      <c r="AW606" s="264"/>
      <c r="AX606" s="264"/>
      <c r="AY606" s="264"/>
      <c r="AZ606" s="264"/>
      <c r="BA606" s="264"/>
    </row>
    <row r="607" spans="1:53" x14ac:dyDescent="0.15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  <c r="AA607" s="264"/>
      <c r="AB607" s="264"/>
      <c r="AC607" s="264"/>
      <c r="AD607" s="264"/>
      <c r="AE607" s="264"/>
      <c r="AF607" s="264"/>
      <c r="AG607" s="264"/>
      <c r="AH607" s="263"/>
      <c r="AI607" s="264"/>
      <c r="AJ607" s="264"/>
      <c r="AK607" s="264"/>
      <c r="AL607" s="264"/>
      <c r="AM607" s="264"/>
      <c r="AN607" s="264"/>
      <c r="AO607" s="264"/>
      <c r="AP607" s="264"/>
      <c r="AQ607" s="264"/>
      <c r="AR607" s="264"/>
      <c r="AS607" s="264"/>
      <c r="AT607" s="264"/>
      <c r="AU607" s="264"/>
      <c r="AV607" s="264"/>
      <c r="AW607" s="264"/>
      <c r="AX607" s="264"/>
      <c r="AY607" s="264"/>
      <c r="AZ607" s="264"/>
      <c r="BA607" s="264"/>
    </row>
    <row r="608" spans="1:53" x14ac:dyDescent="0.15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  <c r="AA608" s="264"/>
      <c r="AB608" s="264"/>
      <c r="AC608" s="264"/>
      <c r="AD608" s="264"/>
      <c r="AE608" s="264"/>
      <c r="AF608" s="264"/>
      <c r="AG608" s="264"/>
      <c r="AH608" s="263"/>
      <c r="AI608" s="264"/>
      <c r="AJ608" s="264"/>
      <c r="AK608" s="264"/>
      <c r="AL608" s="264"/>
      <c r="AM608" s="264"/>
      <c r="AN608" s="264"/>
      <c r="AO608" s="264"/>
      <c r="AP608" s="264"/>
      <c r="AQ608" s="264"/>
      <c r="AR608" s="264"/>
      <c r="AS608" s="264"/>
      <c r="AT608" s="264"/>
      <c r="AU608" s="264"/>
      <c r="AV608" s="264"/>
      <c r="AW608" s="264"/>
      <c r="AX608" s="264"/>
      <c r="AY608" s="264"/>
      <c r="AZ608" s="264"/>
      <c r="BA608" s="264"/>
    </row>
    <row r="609" spans="1:53" x14ac:dyDescent="0.15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  <c r="AA609" s="264"/>
      <c r="AB609" s="264"/>
      <c r="AC609" s="264"/>
      <c r="AD609" s="264"/>
      <c r="AE609" s="264"/>
      <c r="AF609" s="264"/>
      <c r="AG609" s="264"/>
      <c r="AH609" s="263"/>
      <c r="AI609" s="264"/>
      <c r="AJ609" s="264"/>
      <c r="AK609" s="264"/>
      <c r="AL609" s="264"/>
      <c r="AM609" s="264"/>
      <c r="AN609" s="264"/>
      <c r="AO609" s="264"/>
      <c r="AP609" s="264"/>
      <c r="AQ609" s="264"/>
      <c r="AR609" s="264"/>
      <c r="AS609" s="264"/>
      <c r="AT609" s="264"/>
      <c r="AU609" s="264"/>
      <c r="AV609" s="264"/>
      <c r="AW609" s="264"/>
      <c r="AX609" s="264"/>
      <c r="AY609" s="264"/>
      <c r="AZ609" s="264"/>
      <c r="BA609" s="264"/>
    </row>
    <row r="610" spans="1:53" x14ac:dyDescent="0.15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  <c r="AA610" s="264"/>
      <c r="AB610" s="264"/>
      <c r="AC610" s="264"/>
      <c r="AD610" s="264"/>
      <c r="AE610" s="264"/>
      <c r="AF610" s="264"/>
      <c r="AG610" s="264"/>
      <c r="AH610" s="263"/>
      <c r="AI610" s="264"/>
      <c r="AJ610" s="264"/>
      <c r="AK610" s="264"/>
      <c r="AL610" s="264"/>
      <c r="AM610" s="264"/>
      <c r="AN610" s="264"/>
      <c r="AO610" s="264"/>
      <c r="AP610" s="264"/>
      <c r="AQ610" s="264"/>
      <c r="AR610" s="264"/>
      <c r="AS610" s="264"/>
      <c r="AT610" s="264"/>
      <c r="AU610" s="264"/>
      <c r="AV610" s="264"/>
      <c r="AW610" s="264"/>
      <c r="AX610" s="264"/>
      <c r="AY610" s="264"/>
      <c r="AZ610" s="264"/>
      <c r="BA610" s="264"/>
    </row>
    <row r="611" spans="1:53" x14ac:dyDescent="0.15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  <c r="AA611" s="264"/>
      <c r="AB611" s="264"/>
      <c r="AC611" s="264"/>
      <c r="AD611" s="264"/>
      <c r="AE611" s="264"/>
      <c r="AF611" s="264"/>
      <c r="AG611" s="264"/>
      <c r="AH611" s="263"/>
      <c r="AI611" s="264"/>
      <c r="AJ611" s="264"/>
      <c r="AK611" s="264"/>
      <c r="AL611" s="264"/>
      <c r="AM611" s="264"/>
      <c r="AN611" s="264"/>
      <c r="AO611" s="264"/>
      <c r="AP611" s="264"/>
      <c r="AQ611" s="264"/>
      <c r="AR611" s="264"/>
      <c r="AS611" s="264"/>
      <c r="AT611" s="264"/>
      <c r="AU611" s="264"/>
      <c r="AV611" s="264"/>
      <c r="AW611" s="264"/>
      <c r="AX611" s="264"/>
      <c r="AY611" s="264"/>
      <c r="AZ611" s="264"/>
      <c r="BA611" s="264"/>
    </row>
    <row r="612" spans="1:53" x14ac:dyDescent="0.15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  <c r="AA612" s="264"/>
      <c r="AB612" s="264"/>
      <c r="AC612" s="264"/>
      <c r="AD612" s="264"/>
      <c r="AE612" s="264"/>
      <c r="AF612" s="264"/>
      <c r="AG612" s="264"/>
      <c r="AH612" s="263"/>
      <c r="AI612" s="264"/>
      <c r="AJ612" s="264"/>
      <c r="AK612" s="264"/>
      <c r="AL612" s="264"/>
      <c r="AM612" s="264"/>
      <c r="AN612" s="264"/>
      <c r="AO612" s="264"/>
      <c r="AP612" s="264"/>
      <c r="AQ612" s="264"/>
      <c r="AR612" s="264"/>
      <c r="AS612" s="264"/>
      <c r="AT612" s="264"/>
      <c r="AU612" s="264"/>
      <c r="AV612" s="264"/>
      <c r="AW612" s="264"/>
      <c r="AX612" s="264"/>
      <c r="AY612" s="264"/>
      <c r="AZ612" s="264"/>
      <c r="BA612" s="264"/>
    </row>
    <row r="613" spans="1:53" x14ac:dyDescent="0.15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  <c r="AA613" s="264"/>
      <c r="AB613" s="264"/>
      <c r="AC613" s="264"/>
      <c r="AD613" s="264"/>
      <c r="AE613" s="264"/>
      <c r="AF613" s="264"/>
      <c r="AG613" s="264"/>
      <c r="AH613" s="263"/>
      <c r="AI613" s="264"/>
      <c r="AJ613" s="264"/>
      <c r="AK613" s="264"/>
      <c r="AL613" s="264"/>
      <c r="AM613" s="264"/>
      <c r="AN613" s="264"/>
      <c r="AO613" s="264"/>
      <c r="AP613" s="264"/>
      <c r="AQ613" s="264"/>
      <c r="AR613" s="264"/>
      <c r="AS613" s="264"/>
      <c r="AT613" s="264"/>
      <c r="AU613" s="264"/>
      <c r="AV613" s="264"/>
      <c r="AW613" s="264"/>
      <c r="AX613" s="264"/>
      <c r="AY613" s="264"/>
      <c r="AZ613" s="264"/>
      <c r="BA613" s="264"/>
    </row>
    <row r="614" spans="1:53" x14ac:dyDescent="0.15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  <c r="AA614" s="264"/>
      <c r="AB614" s="264"/>
      <c r="AC614" s="264"/>
      <c r="AD614" s="264"/>
      <c r="AE614" s="264"/>
      <c r="AF614" s="264"/>
      <c r="AG614" s="264"/>
      <c r="AH614" s="263"/>
      <c r="AI614" s="264"/>
      <c r="AJ614" s="264"/>
      <c r="AK614" s="264"/>
      <c r="AL614" s="264"/>
      <c r="AM614" s="264"/>
      <c r="AN614" s="264"/>
      <c r="AO614" s="264"/>
      <c r="AP614" s="264"/>
      <c r="AQ614" s="264"/>
      <c r="AR614" s="264"/>
      <c r="AS614" s="264"/>
      <c r="AT614" s="264"/>
      <c r="AU614" s="264"/>
      <c r="AV614" s="264"/>
      <c r="AW614" s="264"/>
      <c r="AX614" s="264"/>
      <c r="AY614" s="264"/>
      <c r="AZ614" s="264"/>
      <c r="BA614" s="264"/>
    </row>
    <row r="615" spans="1:53" x14ac:dyDescent="0.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  <c r="AA615" s="264"/>
      <c r="AB615" s="264"/>
      <c r="AC615" s="264"/>
      <c r="AD615" s="264"/>
      <c r="AE615" s="264"/>
      <c r="AF615" s="264"/>
      <c r="AG615" s="264"/>
      <c r="AH615" s="263"/>
      <c r="AI615" s="264"/>
      <c r="AJ615" s="264"/>
      <c r="AK615" s="264"/>
      <c r="AL615" s="264"/>
      <c r="AM615" s="264"/>
      <c r="AN615" s="264"/>
      <c r="AO615" s="264"/>
      <c r="AP615" s="264"/>
      <c r="AQ615" s="264"/>
      <c r="AR615" s="264"/>
      <c r="AS615" s="264"/>
      <c r="AT615" s="264"/>
      <c r="AU615" s="264"/>
      <c r="AV615" s="264"/>
      <c r="AW615" s="264"/>
      <c r="AX615" s="264"/>
      <c r="AY615" s="264"/>
      <c r="AZ615" s="264"/>
      <c r="BA615" s="264"/>
    </row>
    <row r="616" spans="1:53" x14ac:dyDescent="0.15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  <c r="AA616" s="264"/>
      <c r="AB616" s="264"/>
      <c r="AC616" s="264"/>
      <c r="AD616" s="264"/>
      <c r="AE616" s="264"/>
      <c r="AF616" s="264"/>
      <c r="AG616" s="264"/>
      <c r="AH616" s="263"/>
      <c r="AI616" s="264"/>
      <c r="AJ616" s="264"/>
      <c r="AK616" s="264"/>
      <c r="AL616" s="264"/>
      <c r="AM616" s="264"/>
      <c r="AN616" s="264"/>
      <c r="AO616" s="264"/>
      <c r="AP616" s="264"/>
      <c r="AQ616" s="264"/>
      <c r="AR616" s="264"/>
      <c r="AS616" s="264"/>
      <c r="AT616" s="264"/>
      <c r="AU616" s="264"/>
      <c r="AV616" s="264"/>
      <c r="AW616" s="264"/>
      <c r="AX616" s="264"/>
      <c r="AY616" s="264"/>
      <c r="AZ616" s="264"/>
      <c r="BA616" s="264"/>
    </row>
    <row r="617" spans="1:53" x14ac:dyDescent="0.15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  <c r="AA617" s="264"/>
      <c r="AB617" s="264"/>
      <c r="AC617" s="264"/>
      <c r="AD617" s="264"/>
      <c r="AE617" s="264"/>
      <c r="AF617" s="264"/>
      <c r="AG617" s="264"/>
      <c r="AH617" s="263"/>
      <c r="AI617" s="264"/>
      <c r="AJ617" s="264"/>
      <c r="AK617" s="264"/>
      <c r="AL617" s="264"/>
      <c r="AM617" s="264"/>
      <c r="AN617" s="264"/>
      <c r="AO617" s="264"/>
      <c r="AP617" s="264"/>
      <c r="AQ617" s="264"/>
      <c r="AR617" s="264"/>
      <c r="AS617" s="264"/>
      <c r="AT617" s="264"/>
      <c r="AU617" s="264"/>
      <c r="AV617" s="264"/>
      <c r="AW617" s="264"/>
      <c r="AX617" s="264"/>
      <c r="AY617" s="264"/>
      <c r="AZ617" s="264"/>
      <c r="BA617" s="264"/>
    </row>
    <row r="618" spans="1:53" x14ac:dyDescent="0.15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  <c r="AA618" s="264"/>
      <c r="AB618" s="264"/>
      <c r="AC618" s="264"/>
      <c r="AD618" s="264"/>
      <c r="AE618" s="264"/>
      <c r="AF618" s="264"/>
      <c r="AG618" s="264"/>
      <c r="AH618" s="263"/>
      <c r="AI618" s="264"/>
      <c r="AJ618" s="264"/>
      <c r="AK618" s="264"/>
      <c r="AL618" s="264"/>
      <c r="AM618" s="264"/>
      <c r="AN618" s="264"/>
      <c r="AO618" s="264"/>
      <c r="AP618" s="264"/>
      <c r="AQ618" s="264"/>
      <c r="AR618" s="264"/>
      <c r="AS618" s="264"/>
      <c r="AT618" s="264"/>
      <c r="AU618" s="264"/>
      <c r="AV618" s="264"/>
      <c r="AW618" s="264"/>
      <c r="AX618" s="264"/>
      <c r="AY618" s="264"/>
      <c r="AZ618" s="264"/>
      <c r="BA618" s="264"/>
    </row>
    <row r="619" spans="1:53" x14ac:dyDescent="0.15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  <c r="AA619" s="264"/>
      <c r="AB619" s="264"/>
      <c r="AC619" s="264"/>
      <c r="AD619" s="264"/>
      <c r="AE619" s="264"/>
      <c r="AF619" s="264"/>
      <c r="AG619" s="264"/>
      <c r="AH619" s="263"/>
      <c r="AI619" s="264"/>
      <c r="AJ619" s="264"/>
      <c r="AK619" s="264"/>
      <c r="AL619" s="264"/>
      <c r="AM619" s="264"/>
      <c r="AN619" s="264"/>
      <c r="AO619" s="264"/>
      <c r="AP619" s="264"/>
      <c r="AQ619" s="264"/>
      <c r="AR619" s="264"/>
      <c r="AS619" s="264"/>
      <c r="AT619" s="264"/>
      <c r="AU619" s="264"/>
      <c r="AV619" s="264"/>
      <c r="AW619" s="264"/>
      <c r="AX619" s="264"/>
      <c r="AY619" s="264"/>
      <c r="AZ619" s="264"/>
      <c r="BA619" s="264"/>
    </row>
    <row r="620" spans="1:53" x14ac:dyDescent="0.15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  <c r="AA620" s="264"/>
      <c r="AB620" s="264"/>
      <c r="AC620" s="264"/>
      <c r="AD620" s="264"/>
      <c r="AE620" s="264"/>
      <c r="AF620" s="264"/>
      <c r="AG620" s="264"/>
      <c r="AH620" s="263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264"/>
      <c r="AT620" s="264"/>
      <c r="AU620" s="264"/>
      <c r="AV620" s="264"/>
      <c r="AW620" s="264"/>
      <c r="AX620" s="264"/>
      <c r="AY620" s="264"/>
      <c r="AZ620" s="264"/>
      <c r="BA620" s="264"/>
    </row>
    <row r="621" spans="1:53" x14ac:dyDescent="0.15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  <c r="AA621" s="264"/>
      <c r="AB621" s="264"/>
      <c r="AC621" s="264"/>
      <c r="AD621" s="264"/>
      <c r="AE621" s="264"/>
      <c r="AF621" s="264"/>
      <c r="AG621" s="264"/>
      <c r="AH621" s="263"/>
      <c r="AI621" s="264"/>
      <c r="AJ621" s="264"/>
      <c r="AK621" s="264"/>
      <c r="AL621" s="264"/>
      <c r="AM621" s="264"/>
      <c r="AN621" s="264"/>
      <c r="AO621" s="264"/>
      <c r="AP621" s="264"/>
      <c r="AQ621" s="264"/>
      <c r="AR621" s="264"/>
      <c r="AS621" s="264"/>
      <c r="AT621" s="264"/>
      <c r="AU621" s="264"/>
      <c r="AV621" s="264"/>
      <c r="AW621" s="264"/>
      <c r="AX621" s="264"/>
      <c r="AY621" s="264"/>
      <c r="AZ621" s="264"/>
      <c r="BA621" s="264"/>
    </row>
    <row r="622" spans="1:53" x14ac:dyDescent="0.15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  <c r="AA622" s="264"/>
      <c r="AB622" s="264"/>
      <c r="AC622" s="264"/>
      <c r="AD622" s="264"/>
      <c r="AE622" s="264"/>
      <c r="AF622" s="264"/>
      <c r="AG622" s="264"/>
      <c r="AH622" s="263"/>
      <c r="AI622" s="264"/>
      <c r="AJ622" s="264"/>
      <c r="AK622" s="264"/>
      <c r="AL622" s="264"/>
      <c r="AM622" s="264"/>
      <c r="AN622" s="264"/>
      <c r="AO622" s="264"/>
      <c r="AP622" s="264"/>
      <c r="AQ622" s="264"/>
      <c r="AR622" s="264"/>
      <c r="AS622" s="264"/>
      <c r="AT622" s="264"/>
      <c r="AU622" s="264"/>
      <c r="AV622" s="264"/>
      <c r="AW622" s="264"/>
      <c r="AX622" s="264"/>
      <c r="AY622" s="264"/>
      <c r="AZ622" s="264"/>
      <c r="BA622" s="264"/>
    </row>
    <row r="623" spans="1:53" x14ac:dyDescent="0.15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  <c r="AA623" s="264"/>
      <c r="AB623" s="264"/>
      <c r="AC623" s="264"/>
      <c r="AD623" s="264"/>
      <c r="AE623" s="264"/>
      <c r="AF623" s="264"/>
      <c r="AG623" s="264"/>
      <c r="AH623" s="263"/>
      <c r="AI623" s="264"/>
      <c r="AJ623" s="264"/>
      <c r="AK623" s="264"/>
      <c r="AL623" s="264"/>
      <c r="AM623" s="264"/>
      <c r="AN623" s="264"/>
      <c r="AO623" s="264"/>
      <c r="AP623" s="264"/>
      <c r="AQ623" s="264"/>
      <c r="AR623" s="264"/>
      <c r="AS623" s="264"/>
      <c r="AT623" s="264"/>
      <c r="AU623" s="264"/>
      <c r="AV623" s="264"/>
      <c r="AW623" s="264"/>
      <c r="AX623" s="264"/>
      <c r="AY623" s="264"/>
      <c r="AZ623" s="264"/>
      <c r="BA623" s="264"/>
    </row>
    <row r="624" spans="1:53" x14ac:dyDescent="0.15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  <c r="AA624" s="264"/>
      <c r="AB624" s="264"/>
      <c r="AC624" s="264"/>
      <c r="AD624" s="264"/>
      <c r="AE624" s="264"/>
      <c r="AF624" s="264"/>
      <c r="AG624" s="264"/>
      <c r="AH624" s="263"/>
      <c r="AI624" s="264"/>
      <c r="AJ624" s="264"/>
      <c r="AK624" s="264"/>
      <c r="AL624" s="264"/>
      <c r="AM624" s="264"/>
      <c r="AN624" s="264"/>
      <c r="AO624" s="264"/>
      <c r="AP624" s="264"/>
      <c r="AQ624" s="264"/>
      <c r="AR624" s="264"/>
      <c r="AS624" s="264"/>
      <c r="AT624" s="264"/>
      <c r="AU624" s="264"/>
      <c r="AV624" s="264"/>
      <c r="AW624" s="264"/>
      <c r="AX624" s="264"/>
      <c r="AY624" s="264"/>
      <c r="AZ624" s="264"/>
      <c r="BA624" s="264"/>
    </row>
    <row r="625" spans="1:53" x14ac:dyDescent="0.1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  <c r="AA625" s="264"/>
      <c r="AB625" s="264"/>
      <c r="AC625" s="264"/>
      <c r="AD625" s="264"/>
      <c r="AE625" s="264"/>
      <c r="AF625" s="264"/>
      <c r="AG625" s="264"/>
      <c r="AH625" s="263"/>
      <c r="AI625" s="264"/>
      <c r="AJ625" s="264"/>
      <c r="AK625" s="264"/>
      <c r="AL625" s="264"/>
      <c r="AM625" s="264"/>
      <c r="AN625" s="264"/>
      <c r="AO625" s="264"/>
      <c r="AP625" s="264"/>
      <c r="AQ625" s="264"/>
      <c r="AR625" s="264"/>
      <c r="AS625" s="264"/>
      <c r="AT625" s="264"/>
      <c r="AU625" s="264"/>
      <c r="AV625" s="264"/>
      <c r="AW625" s="264"/>
      <c r="AX625" s="264"/>
      <c r="AY625" s="264"/>
      <c r="AZ625" s="264"/>
      <c r="BA625" s="264"/>
    </row>
    <row r="626" spans="1:53" x14ac:dyDescent="0.15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  <c r="AA626" s="264"/>
      <c r="AB626" s="264"/>
      <c r="AC626" s="264"/>
      <c r="AD626" s="264"/>
      <c r="AE626" s="264"/>
      <c r="AF626" s="264"/>
      <c r="AG626" s="264"/>
      <c r="AH626" s="263"/>
      <c r="AI626" s="264"/>
      <c r="AJ626" s="264"/>
      <c r="AK626" s="264"/>
      <c r="AL626" s="264"/>
      <c r="AM626" s="264"/>
      <c r="AN626" s="264"/>
      <c r="AO626" s="264"/>
      <c r="AP626" s="264"/>
      <c r="AQ626" s="264"/>
      <c r="AR626" s="264"/>
      <c r="AS626" s="264"/>
      <c r="AT626" s="264"/>
      <c r="AU626" s="264"/>
      <c r="AV626" s="264"/>
      <c r="AW626" s="264"/>
      <c r="AX626" s="264"/>
      <c r="AY626" s="264"/>
      <c r="AZ626" s="264"/>
      <c r="BA626" s="264"/>
    </row>
    <row r="627" spans="1:53" x14ac:dyDescent="0.15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  <c r="AA627" s="264"/>
      <c r="AB627" s="264"/>
      <c r="AC627" s="264"/>
      <c r="AD627" s="264"/>
      <c r="AE627" s="264"/>
      <c r="AF627" s="264"/>
      <c r="AG627" s="264"/>
      <c r="AH627" s="263"/>
      <c r="AI627" s="264"/>
      <c r="AJ627" s="264"/>
      <c r="AK627" s="264"/>
      <c r="AL627" s="264"/>
      <c r="AM627" s="264"/>
      <c r="AN627" s="264"/>
      <c r="AO627" s="264"/>
      <c r="AP627" s="264"/>
      <c r="AQ627" s="264"/>
      <c r="AR627" s="264"/>
      <c r="AS627" s="264"/>
      <c r="AT627" s="264"/>
      <c r="AU627" s="264"/>
      <c r="AV627" s="264"/>
      <c r="AW627" s="264"/>
      <c r="AX627" s="264"/>
      <c r="AY627" s="264"/>
      <c r="AZ627" s="264"/>
      <c r="BA627" s="264"/>
    </row>
    <row r="628" spans="1:53" x14ac:dyDescent="0.15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  <c r="AA628" s="264"/>
      <c r="AB628" s="264"/>
      <c r="AC628" s="264"/>
      <c r="AD628" s="264"/>
      <c r="AE628" s="264"/>
      <c r="AF628" s="264"/>
      <c r="AG628" s="264"/>
      <c r="AH628" s="263"/>
      <c r="AI628" s="264"/>
      <c r="AJ628" s="264"/>
      <c r="AK628" s="264"/>
      <c r="AL628" s="264"/>
      <c r="AM628" s="264"/>
      <c r="AN628" s="264"/>
      <c r="AO628" s="264"/>
      <c r="AP628" s="264"/>
      <c r="AQ628" s="264"/>
      <c r="AR628" s="264"/>
      <c r="AS628" s="264"/>
      <c r="AT628" s="264"/>
      <c r="AU628" s="264"/>
      <c r="AV628" s="264"/>
      <c r="AW628" s="264"/>
      <c r="AX628" s="264"/>
      <c r="AY628" s="264"/>
      <c r="AZ628" s="264"/>
      <c r="BA628" s="264"/>
    </row>
    <row r="629" spans="1:53" x14ac:dyDescent="0.15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  <c r="AA629" s="264"/>
      <c r="AB629" s="264"/>
      <c r="AC629" s="264"/>
      <c r="AD629" s="264"/>
      <c r="AE629" s="264"/>
      <c r="AF629" s="264"/>
      <c r="AG629" s="264"/>
      <c r="AH629" s="263"/>
      <c r="AI629" s="264"/>
      <c r="AJ629" s="264"/>
      <c r="AK629" s="264"/>
      <c r="AL629" s="264"/>
      <c r="AM629" s="264"/>
      <c r="AN629" s="264"/>
      <c r="AO629" s="264"/>
      <c r="AP629" s="264"/>
      <c r="AQ629" s="264"/>
      <c r="AR629" s="264"/>
      <c r="AS629" s="264"/>
      <c r="AT629" s="264"/>
      <c r="AU629" s="264"/>
      <c r="AV629" s="264"/>
      <c r="AW629" s="264"/>
      <c r="AX629" s="264"/>
      <c r="AY629" s="264"/>
      <c r="AZ629" s="264"/>
      <c r="BA629" s="264"/>
    </row>
    <row r="630" spans="1:53" x14ac:dyDescent="0.15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  <c r="AA630" s="264"/>
      <c r="AB630" s="264"/>
      <c r="AC630" s="264"/>
      <c r="AD630" s="264"/>
      <c r="AE630" s="264"/>
      <c r="AF630" s="264"/>
      <c r="AG630" s="264"/>
      <c r="AH630" s="263"/>
      <c r="AI630" s="264"/>
      <c r="AJ630" s="264"/>
      <c r="AK630" s="264"/>
      <c r="AL630" s="264"/>
      <c r="AM630" s="264"/>
      <c r="AN630" s="264"/>
      <c r="AO630" s="264"/>
      <c r="AP630" s="264"/>
      <c r="AQ630" s="264"/>
      <c r="AR630" s="264"/>
      <c r="AS630" s="264"/>
      <c r="AT630" s="264"/>
      <c r="AU630" s="264"/>
      <c r="AV630" s="264"/>
      <c r="AW630" s="264"/>
      <c r="AX630" s="264"/>
      <c r="AY630" s="264"/>
      <c r="AZ630" s="264"/>
      <c r="BA630" s="264"/>
    </row>
    <row r="631" spans="1:53" x14ac:dyDescent="0.15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  <c r="AA631" s="264"/>
      <c r="AB631" s="264"/>
      <c r="AC631" s="264"/>
      <c r="AD631" s="264"/>
      <c r="AE631" s="264"/>
      <c r="AF631" s="264"/>
      <c r="AG631" s="264"/>
      <c r="AH631" s="263"/>
      <c r="AI631" s="264"/>
      <c r="AJ631" s="264"/>
      <c r="AK631" s="264"/>
      <c r="AL631" s="264"/>
      <c r="AM631" s="264"/>
      <c r="AN631" s="264"/>
      <c r="AO631" s="264"/>
      <c r="AP631" s="264"/>
      <c r="AQ631" s="264"/>
      <c r="AR631" s="264"/>
      <c r="AS631" s="264"/>
      <c r="AT631" s="264"/>
      <c r="AU631" s="264"/>
      <c r="AV631" s="264"/>
      <c r="AW631" s="264"/>
      <c r="AX631" s="264"/>
      <c r="AY631" s="264"/>
      <c r="AZ631" s="264"/>
      <c r="BA631" s="264"/>
    </row>
    <row r="632" spans="1:53" x14ac:dyDescent="0.15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  <c r="AA632" s="264"/>
      <c r="AB632" s="264"/>
      <c r="AC632" s="264"/>
      <c r="AD632" s="264"/>
      <c r="AE632" s="264"/>
      <c r="AF632" s="264"/>
      <c r="AG632" s="264"/>
      <c r="AH632" s="263"/>
      <c r="AI632" s="264"/>
      <c r="AJ632" s="264"/>
      <c r="AK632" s="264"/>
      <c r="AL632" s="264"/>
      <c r="AM632" s="264"/>
      <c r="AN632" s="264"/>
      <c r="AO632" s="264"/>
      <c r="AP632" s="264"/>
      <c r="AQ632" s="264"/>
      <c r="AR632" s="264"/>
      <c r="AS632" s="264"/>
      <c r="AT632" s="264"/>
      <c r="AU632" s="264"/>
      <c r="AV632" s="264"/>
      <c r="AW632" s="264"/>
      <c r="AX632" s="264"/>
      <c r="AY632" s="264"/>
      <c r="AZ632" s="264"/>
      <c r="BA632" s="264"/>
    </row>
    <row r="633" spans="1:53" x14ac:dyDescent="0.15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  <c r="AA633" s="264"/>
      <c r="AB633" s="264"/>
      <c r="AC633" s="264"/>
      <c r="AD633" s="264"/>
      <c r="AE633" s="264"/>
      <c r="AF633" s="264"/>
      <c r="AG633" s="264"/>
      <c r="AH633" s="263"/>
      <c r="AI633" s="264"/>
      <c r="AJ633" s="264"/>
      <c r="AK633" s="264"/>
      <c r="AL633" s="264"/>
      <c r="AM633" s="264"/>
      <c r="AN633" s="264"/>
      <c r="AO633" s="264"/>
      <c r="AP633" s="264"/>
      <c r="AQ633" s="264"/>
      <c r="AR633" s="264"/>
      <c r="AS633" s="264"/>
      <c r="AT633" s="264"/>
      <c r="AU633" s="264"/>
      <c r="AV633" s="264"/>
      <c r="AW633" s="264"/>
      <c r="AX633" s="264"/>
      <c r="AY633" s="264"/>
      <c r="AZ633" s="264"/>
      <c r="BA633" s="264"/>
    </row>
    <row r="634" spans="1:53" x14ac:dyDescent="0.15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  <c r="AA634" s="264"/>
      <c r="AB634" s="264"/>
      <c r="AC634" s="264"/>
      <c r="AD634" s="264"/>
      <c r="AE634" s="264"/>
      <c r="AF634" s="264"/>
      <c r="AG634" s="264"/>
      <c r="AH634" s="263"/>
      <c r="AI634" s="264"/>
      <c r="AJ634" s="264"/>
      <c r="AK634" s="264"/>
      <c r="AL634" s="264"/>
      <c r="AM634" s="264"/>
      <c r="AN634" s="264"/>
      <c r="AO634" s="264"/>
      <c r="AP634" s="264"/>
      <c r="AQ634" s="264"/>
      <c r="AR634" s="264"/>
      <c r="AS634" s="264"/>
      <c r="AT634" s="264"/>
      <c r="AU634" s="264"/>
      <c r="AV634" s="264"/>
      <c r="AW634" s="264"/>
      <c r="AX634" s="264"/>
      <c r="AY634" s="264"/>
      <c r="AZ634" s="264"/>
      <c r="BA634" s="264"/>
    </row>
    <row r="635" spans="1:53" x14ac:dyDescent="0.1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  <c r="AA635" s="264"/>
      <c r="AB635" s="264"/>
      <c r="AC635" s="264"/>
      <c r="AD635" s="264"/>
      <c r="AE635" s="264"/>
      <c r="AF635" s="264"/>
      <c r="AG635" s="264"/>
      <c r="AH635" s="263"/>
      <c r="AI635" s="264"/>
      <c r="AJ635" s="264"/>
      <c r="AK635" s="264"/>
      <c r="AL635" s="264"/>
      <c r="AM635" s="264"/>
      <c r="AN635" s="264"/>
      <c r="AO635" s="264"/>
      <c r="AP635" s="264"/>
      <c r="AQ635" s="264"/>
      <c r="AR635" s="264"/>
      <c r="AS635" s="264"/>
      <c r="AT635" s="264"/>
      <c r="AU635" s="264"/>
      <c r="AV635" s="264"/>
      <c r="AW635" s="264"/>
      <c r="AX635" s="264"/>
      <c r="AY635" s="264"/>
      <c r="AZ635" s="264"/>
      <c r="BA635" s="264"/>
    </row>
    <row r="636" spans="1:53" x14ac:dyDescent="0.15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  <c r="AA636" s="264"/>
      <c r="AB636" s="264"/>
      <c r="AC636" s="264"/>
      <c r="AD636" s="264"/>
      <c r="AE636" s="264"/>
      <c r="AF636" s="264"/>
      <c r="AG636" s="264"/>
      <c r="AH636" s="263"/>
      <c r="AI636" s="264"/>
      <c r="AJ636" s="264"/>
      <c r="AK636" s="264"/>
      <c r="AL636" s="264"/>
      <c r="AM636" s="264"/>
      <c r="AN636" s="264"/>
      <c r="AO636" s="264"/>
      <c r="AP636" s="264"/>
      <c r="AQ636" s="264"/>
      <c r="AR636" s="264"/>
      <c r="AS636" s="264"/>
      <c r="AT636" s="264"/>
      <c r="AU636" s="264"/>
      <c r="AV636" s="264"/>
      <c r="AW636" s="264"/>
      <c r="AX636" s="264"/>
      <c r="AY636" s="264"/>
      <c r="AZ636" s="264"/>
      <c r="BA636" s="264"/>
    </row>
    <row r="637" spans="1:53" x14ac:dyDescent="0.15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  <c r="AA637" s="264"/>
      <c r="AB637" s="264"/>
      <c r="AC637" s="264"/>
      <c r="AD637" s="264"/>
      <c r="AE637" s="264"/>
      <c r="AF637" s="264"/>
      <c r="AG637" s="264"/>
      <c r="AH637" s="263"/>
      <c r="AI637" s="264"/>
      <c r="AJ637" s="264"/>
      <c r="AK637" s="264"/>
      <c r="AL637" s="264"/>
      <c r="AM637" s="264"/>
      <c r="AN637" s="264"/>
      <c r="AO637" s="264"/>
      <c r="AP637" s="264"/>
      <c r="AQ637" s="264"/>
      <c r="AR637" s="264"/>
      <c r="AS637" s="264"/>
      <c r="AT637" s="264"/>
      <c r="AU637" s="264"/>
      <c r="AV637" s="264"/>
      <c r="AW637" s="264"/>
      <c r="AX637" s="264"/>
      <c r="AY637" s="264"/>
      <c r="AZ637" s="264"/>
      <c r="BA637" s="264"/>
    </row>
    <row r="638" spans="1:53" x14ac:dyDescent="0.15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3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</row>
    <row r="639" spans="1:53" x14ac:dyDescent="0.15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3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</row>
    <row r="640" spans="1:53" x14ac:dyDescent="0.15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  <c r="AA640" s="264"/>
      <c r="AB640" s="264"/>
      <c r="AC640" s="264"/>
      <c r="AD640" s="264"/>
      <c r="AE640" s="264"/>
      <c r="AF640" s="264"/>
      <c r="AG640" s="264"/>
      <c r="AH640" s="263"/>
      <c r="AI640" s="264"/>
      <c r="AJ640" s="264"/>
      <c r="AK640" s="264"/>
      <c r="AL640" s="264"/>
      <c r="AM640" s="264"/>
      <c r="AN640" s="264"/>
      <c r="AO640" s="264"/>
      <c r="AP640" s="264"/>
      <c r="AQ640" s="264"/>
      <c r="AR640" s="264"/>
      <c r="AS640" s="264"/>
      <c r="AT640" s="264"/>
      <c r="AU640" s="264"/>
      <c r="AV640" s="264"/>
      <c r="AW640" s="264"/>
      <c r="AX640" s="264"/>
      <c r="AY640" s="264"/>
      <c r="AZ640" s="264"/>
      <c r="BA640" s="264"/>
    </row>
    <row r="641" spans="1:53" x14ac:dyDescent="0.15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3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  <c r="AW641" s="264"/>
      <c r="AX641" s="264"/>
      <c r="AY641" s="264"/>
      <c r="AZ641" s="264"/>
      <c r="BA641" s="264"/>
    </row>
    <row r="642" spans="1:53" x14ac:dyDescent="0.15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3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  <c r="AW642" s="264"/>
      <c r="AX642" s="264"/>
      <c r="AY642" s="264"/>
      <c r="AZ642" s="264"/>
      <c r="BA642" s="264"/>
    </row>
    <row r="643" spans="1:53" x14ac:dyDescent="0.15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3"/>
      <c r="AI643" s="264"/>
      <c r="AJ643" s="264"/>
      <c r="AK643" s="264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</row>
    <row r="644" spans="1:53" x14ac:dyDescent="0.15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3"/>
      <c r="AI644" s="264"/>
      <c r="AJ644" s="264"/>
      <c r="AK644" s="26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</row>
    <row r="645" spans="1:53" x14ac:dyDescent="0.1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3"/>
      <c r="AI645" s="264"/>
      <c r="AJ645" s="264"/>
      <c r="AK645" s="26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264"/>
    </row>
    <row r="646" spans="1:53" x14ac:dyDescent="0.15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  <c r="AA646" s="264"/>
      <c r="AB646" s="264"/>
      <c r="AC646" s="264"/>
      <c r="AD646" s="264"/>
      <c r="AE646" s="264"/>
      <c r="AF646" s="264"/>
      <c r="AG646" s="264"/>
      <c r="AH646" s="263"/>
      <c r="AI646" s="264"/>
      <c r="AJ646" s="264"/>
      <c r="AK646" s="264"/>
      <c r="AL646" s="264"/>
      <c r="AM646" s="264"/>
      <c r="AN646" s="264"/>
      <c r="AO646" s="264"/>
      <c r="AP646" s="264"/>
      <c r="AQ646" s="264"/>
      <c r="AR646" s="264"/>
      <c r="AS646" s="264"/>
      <c r="AT646" s="264"/>
      <c r="AU646" s="264"/>
      <c r="AV646" s="264"/>
      <c r="AW646" s="264"/>
      <c r="AX646" s="264"/>
      <c r="AY646" s="264"/>
      <c r="AZ646" s="264"/>
      <c r="BA646" s="264"/>
    </row>
    <row r="647" spans="1:53" x14ac:dyDescent="0.15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  <c r="AA647" s="264"/>
      <c r="AB647" s="264"/>
      <c r="AC647" s="264"/>
      <c r="AD647" s="264"/>
      <c r="AE647" s="264"/>
      <c r="AF647" s="264"/>
      <c r="AG647" s="264"/>
      <c r="AH647" s="263"/>
      <c r="AI647" s="264"/>
      <c r="AJ647" s="264"/>
      <c r="AK647" s="264"/>
      <c r="AL647" s="264"/>
      <c r="AM647" s="264"/>
      <c r="AN647" s="264"/>
      <c r="AO647" s="264"/>
      <c r="AP647" s="264"/>
      <c r="AQ647" s="264"/>
      <c r="AR647" s="264"/>
      <c r="AS647" s="264"/>
      <c r="AT647" s="264"/>
      <c r="AU647" s="264"/>
      <c r="AV647" s="264"/>
      <c r="AW647" s="264"/>
      <c r="AX647" s="264"/>
      <c r="AY647" s="264"/>
      <c r="AZ647" s="264"/>
      <c r="BA647" s="264"/>
    </row>
    <row r="648" spans="1:53" x14ac:dyDescent="0.15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  <c r="AA648" s="264"/>
      <c r="AB648" s="264"/>
      <c r="AC648" s="264"/>
      <c r="AD648" s="264"/>
      <c r="AE648" s="264"/>
      <c r="AF648" s="264"/>
      <c r="AG648" s="264"/>
      <c r="AH648" s="263"/>
      <c r="AI648" s="264"/>
      <c r="AJ648" s="264"/>
      <c r="AK648" s="264"/>
      <c r="AL648" s="264"/>
      <c r="AM648" s="264"/>
      <c r="AN648" s="264"/>
      <c r="AO648" s="264"/>
      <c r="AP648" s="264"/>
      <c r="AQ648" s="264"/>
      <c r="AR648" s="264"/>
      <c r="AS648" s="264"/>
      <c r="AT648" s="264"/>
      <c r="AU648" s="264"/>
      <c r="AV648" s="264"/>
      <c r="AW648" s="264"/>
      <c r="AX648" s="264"/>
      <c r="AY648" s="264"/>
      <c r="AZ648" s="264"/>
      <c r="BA648" s="264"/>
    </row>
    <row r="649" spans="1:53" x14ac:dyDescent="0.15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264"/>
      <c r="AF649" s="264"/>
      <c r="AG649" s="264"/>
      <c r="AH649" s="263"/>
      <c r="AI649" s="264"/>
      <c r="AJ649" s="264"/>
      <c r="AK649" s="264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</row>
    <row r="650" spans="1:53" x14ac:dyDescent="0.15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264"/>
      <c r="AF650" s="264"/>
      <c r="AG650" s="264"/>
      <c r="AH650" s="263"/>
      <c r="AI650" s="264"/>
      <c r="AJ650" s="264"/>
      <c r="AK650" s="26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</row>
    <row r="651" spans="1:53" x14ac:dyDescent="0.15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264"/>
      <c r="AF651" s="264"/>
      <c r="AG651" s="264"/>
      <c r="AH651" s="263"/>
      <c r="AI651" s="264"/>
      <c r="AJ651" s="264"/>
      <c r="AK651" s="26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</row>
    <row r="652" spans="1:53" x14ac:dyDescent="0.15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  <c r="AA652" s="264"/>
      <c r="AB652" s="264"/>
      <c r="AC652" s="264"/>
      <c r="AD652" s="264"/>
      <c r="AE652" s="264"/>
      <c r="AF652" s="264"/>
      <c r="AG652" s="264"/>
      <c r="AH652" s="263"/>
      <c r="AI652" s="264"/>
      <c r="AJ652" s="264"/>
      <c r="AK652" s="264"/>
      <c r="AL652" s="264"/>
      <c r="AM652" s="264"/>
      <c r="AN652" s="264"/>
      <c r="AO652" s="264"/>
      <c r="AP652" s="264"/>
      <c r="AQ652" s="264"/>
      <c r="AR652" s="264"/>
      <c r="AS652" s="264"/>
      <c r="AT652" s="264"/>
      <c r="AU652" s="264"/>
      <c r="AV652" s="264"/>
      <c r="AW652" s="264"/>
      <c r="AX652" s="264"/>
      <c r="AY652" s="264"/>
      <c r="AZ652" s="264"/>
      <c r="BA652" s="264"/>
    </row>
    <row r="653" spans="1:53" x14ac:dyDescent="0.15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  <c r="AA653" s="264"/>
      <c r="AB653" s="264"/>
      <c r="AC653" s="264"/>
      <c r="AD653" s="264"/>
      <c r="AE653" s="264"/>
      <c r="AF653" s="264"/>
      <c r="AG653" s="264"/>
      <c r="AH653" s="263"/>
      <c r="AI653" s="264"/>
      <c r="AJ653" s="264"/>
      <c r="AK653" s="264"/>
      <c r="AL653" s="264"/>
      <c r="AM653" s="264"/>
      <c r="AN653" s="264"/>
      <c r="AO653" s="264"/>
      <c r="AP653" s="264"/>
      <c r="AQ653" s="264"/>
      <c r="AR653" s="264"/>
      <c r="AS653" s="264"/>
      <c r="AT653" s="264"/>
      <c r="AU653" s="264"/>
      <c r="AV653" s="264"/>
      <c r="AW653" s="264"/>
      <c r="AX653" s="264"/>
      <c r="AY653" s="264"/>
      <c r="AZ653" s="264"/>
      <c r="BA653" s="264"/>
    </row>
    <row r="654" spans="1:53" x14ac:dyDescent="0.15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  <c r="AA654" s="264"/>
      <c r="AB654" s="264"/>
      <c r="AC654" s="264"/>
      <c r="AD654" s="264"/>
      <c r="AE654" s="264"/>
      <c r="AF654" s="264"/>
      <c r="AG654" s="264"/>
      <c r="AH654" s="263"/>
      <c r="AI654" s="264"/>
      <c r="AJ654" s="264"/>
      <c r="AK654" s="264"/>
      <c r="AL654" s="264"/>
      <c r="AM654" s="264"/>
      <c r="AN654" s="264"/>
      <c r="AO654" s="264"/>
      <c r="AP654" s="264"/>
      <c r="AQ654" s="264"/>
      <c r="AR654" s="264"/>
      <c r="AS654" s="264"/>
      <c r="AT654" s="264"/>
      <c r="AU654" s="264"/>
      <c r="AV654" s="264"/>
      <c r="AW654" s="264"/>
      <c r="AX654" s="264"/>
      <c r="AY654" s="264"/>
      <c r="AZ654" s="264"/>
      <c r="BA654" s="264"/>
    </row>
    <row r="655" spans="1:53" x14ac:dyDescent="0.1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  <c r="AA655" s="264"/>
      <c r="AB655" s="264"/>
      <c r="AC655" s="264"/>
      <c r="AD655" s="264"/>
      <c r="AE655" s="264"/>
      <c r="AF655" s="264"/>
      <c r="AG655" s="264"/>
      <c r="AH655" s="263"/>
      <c r="AI655" s="264"/>
      <c r="AJ655" s="264"/>
      <c r="AK655" s="264"/>
      <c r="AL655" s="264"/>
      <c r="AM655" s="264"/>
      <c r="AN655" s="264"/>
      <c r="AO655" s="264"/>
      <c r="AP655" s="264"/>
      <c r="AQ655" s="264"/>
      <c r="AR655" s="264"/>
      <c r="AS655" s="264"/>
      <c r="AT655" s="264"/>
      <c r="AU655" s="264"/>
      <c r="AV655" s="264"/>
      <c r="AW655" s="264"/>
      <c r="AX655" s="264"/>
      <c r="AY655" s="264"/>
      <c r="AZ655" s="264"/>
      <c r="BA655" s="264"/>
    </row>
    <row r="656" spans="1:53" x14ac:dyDescent="0.15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  <c r="AA656" s="264"/>
      <c r="AB656" s="264"/>
      <c r="AC656" s="264"/>
      <c r="AD656" s="264"/>
      <c r="AE656" s="264"/>
      <c r="AF656" s="264"/>
      <c r="AG656" s="264"/>
      <c r="AH656" s="263"/>
      <c r="AI656" s="264"/>
      <c r="AJ656" s="264"/>
      <c r="AK656" s="264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</row>
    <row r="657" spans="1:53" x14ac:dyDescent="0.15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264"/>
      <c r="AF657" s="264"/>
      <c r="AG657" s="264"/>
      <c r="AH657" s="263"/>
      <c r="AI657" s="264"/>
      <c r="AJ657" s="264"/>
      <c r="AK657" s="264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</row>
    <row r="658" spans="1:53" x14ac:dyDescent="0.15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  <c r="AA658" s="264"/>
      <c r="AB658" s="264"/>
      <c r="AC658" s="264"/>
      <c r="AD658" s="264"/>
      <c r="AE658" s="264"/>
      <c r="AF658" s="264"/>
      <c r="AG658" s="264"/>
      <c r="AH658" s="263"/>
      <c r="AI658" s="264"/>
      <c r="AJ658" s="264"/>
      <c r="AK658" s="264"/>
      <c r="AL658" s="264"/>
      <c r="AM658" s="264"/>
      <c r="AN658" s="264"/>
      <c r="AO658" s="264"/>
      <c r="AP658" s="264"/>
      <c r="AQ658" s="264"/>
      <c r="AR658" s="264"/>
      <c r="AS658" s="264"/>
      <c r="AT658" s="264"/>
      <c r="AU658" s="264"/>
      <c r="AV658" s="264"/>
      <c r="AW658" s="264"/>
      <c r="AX658" s="264"/>
      <c r="AY658" s="264"/>
      <c r="AZ658" s="264"/>
      <c r="BA658" s="264"/>
    </row>
    <row r="659" spans="1:53" x14ac:dyDescent="0.15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  <c r="AA659" s="264"/>
      <c r="AB659" s="264"/>
      <c r="AC659" s="264"/>
      <c r="AD659" s="264"/>
      <c r="AE659" s="264"/>
      <c r="AF659" s="264"/>
      <c r="AG659" s="264"/>
      <c r="AH659" s="263"/>
      <c r="AI659" s="264"/>
      <c r="AJ659" s="264"/>
      <c r="AK659" s="264"/>
      <c r="AL659" s="264"/>
      <c r="AM659" s="264"/>
      <c r="AN659" s="264"/>
      <c r="AO659" s="264"/>
      <c r="AP659" s="264"/>
      <c r="AQ659" s="264"/>
      <c r="AR659" s="264"/>
      <c r="AS659" s="264"/>
      <c r="AT659" s="264"/>
      <c r="AU659" s="264"/>
      <c r="AV659" s="264"/>
      <c r="AW659" s="264"/>
      <c r="AX659" s="264"/>
      <c r="AY659" s="264"/>
      <c r="AZ659" s="264"/>
      <c r="BA659" s="264"/>
    </row>
    <row r="660" spans="1:53" x14ac:dyDescent="0.15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  <c r="AA660" s="264"/>
      <c r="AB660" s="264"/>
      <c r="AC660" s="264"/>
      <c r="AD660" s="264"/>
      <c r="AE660" s="264"/>
      <c r="AF660" s="264"/>
      <c r="AG660" s="264"/>
      <c r="AH660" s="263"/>
      <c r="AI660" s="264"/>
      <c r="AJ660" s="264"/>
      <c r="AK660" s="264"/>
      <c r="AL660" s="264"/>
      <c r="AM660" s="264"/>
      <c r="AN660" s="264"/>
      <c r="AO660" s="264"/>
      <c r="AP660" s="264"/>
      <c r="AQ660" s="264"/>
      <c r="AR660" s="264"/>
      <c r="AS660" s="264"/>
      <c r="AT660" s="264"/>
      <c r="AU660" s="264"/>
      <c r="AV660" s="264"/>
      <c r="AW660" s="264"/>
      <c r="AX660" s="264"/>
      <c r="AY660" s="264"/>
      <c r="AZ660" s="264"/>
      <c r="BA660" s="264"/>
    </row>
    <row r="661" spans="1:53" x14ac:dyDescent="0.15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3"/>
      <c r="AI661" s="264"/>
      <c r="AJ661" s="264"/>
      <c r="AK661" s="264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</row>
    <row r="662" spans="1:53" x14ac:dyDescent="0.15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3"/>
      <c r="AI662" s="264"/>
      <c r="AJ662" s="264"/>
      <c r="AK662" s="264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</row>
    <row r="663" spans="1:53" x14ac:dyDescent="0.15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  <c r="AA663" s="264"/>
      <c r="AB663" s="264"/>
      <c r="AC663" s="264"/>
      <c r="AD663" s="264"/>
      <c r="AE663" s="264"/>
      <c r="AF663" s="264"/>
      <c r="AG663" s="264"/>
      <c r="AH663" s="263"/>
      <c r="AI663" s="264"/>
      <c r="AJ663" s="264"/>
      <c r="AK663" s="264"/>
      <c r="AL663" s="264"/>
      <c r="AM663" s="264"/>
      <c r="AN663" s="264"/>
      <c r="AO663" s="264"/>
      <c r="AP663" s="264"/>
      <c r="AQ663" s="264"/>
      <c r="AR663" s="264"/>
      <c r="AS663" s="264"/>
      <c r="AT663" s="264"/>
      <c r="AU663" s="264"/>
      <c r="AV663" s="264"/>
      <c r="AW663" s="264"/>
      <c r="AX663" s="264"/>
      <c r="AY663" s="264"/>
      <c r="AZ663" s="264"/>
      <c r="BA663" s="264"/>
    </row>
    <row r="664" spans="1:53" x14ac:dyDescent="0.15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  <c r="AA664" s="264"/>
      <c r="AB664" s="264"/>
      <c r="AC664" s="264"/>
      <c r="AD664" s="264"/>
      <c r="AE664" s="264"/>
      <c r="AF664" s="264"/>
      <c r="AG664" s="264"/>
      <c r="AH664" s="263"/>
      <c r="AI664" s="264"/>
      <c r="AJ664" s="264"/>
      <c r="AK664" s="264"/>
      <c r="AL664" s="264"/>
      <c r="AM664" s="264"/>
      <c r="AN664" s="264"/>
      <c r="AO664" s="264"/>
      <c r="AP664" s="264"/>
      <c r="AQ664" s="264"/>
      <c r="AR664" s="264"/>
      <c r="AS664" s="264"/>
      <c r="AT664" s="264"/>
      <c r="AU664" s="264"/>
      <c r="AV664" s="264"/>
      <c r="AW664" s="264"/>
      <c r="AX664" s="264"/>
      <c r="AY664" s="264"/>
      <c r="AZ664" s="264"/>
      <c r="BA664" s="264"/>
    </row>
    <row r="665" spans="1:53" x14ac:dyDescent="0.1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  <c r="AA665" s="264"/>
      <c r="AB665" s="264"/>
      <c r="AC665" s="264"/>
      <c r="AD665" s="264"/>
      <c r="AE665" s="264"/>
      <c r="AF665" s="264"/>
      <c r="AG665" s="264"/>
      <c r="AH665" s="263"/>
      <c r="AI665" s="264"/>
      <c r="AJ665" s="264"/>
      <c r="AK665" s="264"/>
      <c r="AL665" s="264"/>
      <c r="AM665" s="264"/>
      <c r="AN665" s="264"/>
      <c r="AO665" s="264"/>
      <c r="AP665" s="264"/>
      <c r="AQ665" s="264"/>
      <c r="AR665" s="264"/>
      <c r="AS665" s="264"/>
      <c r="AT665" s="264"/>
      <c r="AU665" s="264"/>
      <c r="AV665" s="264"/>
      <c r="AW665" s="264"/>
      <c r="AX665" s="264"/>
      <c r="AY665" s="264"/>
      <c r="AZ665" s="264"/>
      <c r="BA665" s="264"/>
    </row>
    <row r="666" spans="1:53" x14ac:dyDescent="0.15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  <c r="AA666" s="264"/>
      <c r="AB666" s="264"/>
      <c r="AC666" s="264"/>
      <c r="AD666" s="264"/>
      <c r="AE666" s="264"/>
      <c r="AF666" s="264"/>
      <c r="AG666" s="264"/>
      <c r="AH666" s="263"/>
      <c r="AI666" s="264"/>
      <c r="AJ666" s="264"/>
      <c r="AK666" s="264"/>
      <c r="AL666" s="264"/>
      <c r="AM666" s="264"/>
      <c r="AN666" s="264"/>
      <c r="AO666" s="264"/>
      <c r="AP666" s="264"/>
      <c r="AQ666" s="264"/>
      <c r="AR666" s="264"/>
      <c r="AS666" s="264"/>
      <c r="AT666" s="264"/>
      <c r="AU666" s="264"/>
      <c r="AV666" s="264"/>
      <c r="AW666" s="264"/>
      <c r="AX666" s="264"/>
      <c r="AY666" s="264"/>
      <c r="AZ666" s="264"/>
      <c r="BA666" s="264"/>
    </row>
    <row r="667" spans="1:53" x14ac:dyDescent="0.15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  <c r="AA667" s="264"/>
      <c r="AB667" s="264"/>
      <c r="AC667" s="264"/>
      <c r="AD667" s="264"/>
      <c r="AE667" s="264"/>
      <c r="AF667" s="264"/>
      <c r="AG667" s="264"/>
      <c r="AH667" s="263"/>
      <c r="AI667" s="264"/>
      <c r="AJ667" s="264"/>
      <c r="AK667" s="264"/>
      <c r="AL667" s="264"/>
      <c r="AM667" s="264"/>
      <c r="AN667" s="264"/>
      <c r="AO667" s="264"/>
      <c r="AP667" s="264"/>
      <c r="AQ667" s="264"/>
      <c r="AR667" s="264"/>
      <c r="AS667" s="264"/>
      <c r="AT667" s="264"/>
      <c r="AU667" s="264"/>
      <c r="AV667" s="264"/>
      <c r="AW667" s="264"/>
      <c r="AX667" s="264"/>
      <c r="AY667" s="264"/>
      <c r="AZ667" s="264"/>
      <c r="BA667" s="264"/>
    </row>
    <row r="668" spans="1:53" x14ac:dyDescent="0.15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  <c r="AA668" s="264"/>
      <c r="AB668" s="264"/>
      <c r="AC668" s="264"/>
      <c r="AD668" s="264"/>
      <c r="AE668" s="264"/>
      <c r="AF668" s="264"/>
      <c r="AG668" s="264"/>
      <c r="AH668" s="263"/>
      <c r="AI668" s="264"/>
      <c r="AJ668" s="264"/>
      <c r="AK668" s="264"/>
      <c r="AL668" s="264"/>
      <c r="AM668" s="264"/>
      <c r="AN668" s="264"/>
      <c r="AO668" s="264"/>
      <c r="AP668" s="264"/>
      <c r="AQ668" s="264"/>
      <c r="AR668" s="264"/>
      <c r="AS668" s="264"/>
      <c r="AT668" s="264"/>
      <c r="AU668" s="264"/>
      <c r="AV668" s="264"/>
      <c r="AW668" s="264"/>
      <c r="AX668" s="264"/>
      <c r="AY668" s="264"/>
      <c r="AZ668" s="264"/>
      <c r="BA668" s="264"/>
    </row>
    <row r="669" spans="1:53" x14ac:dyDescent="0.15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  <c r="AA669" s="264"/>
      <c r="AB669" s="264"/>
      <c r="AC669" s="264"/>
      <c r="AD669" s="264"/>
      <c r="AE669" s="264"/>
      <c r="AF669" s="264"/>
      <c r="AG669" s="264"/>
      <c r="AH669" s="263"/>
      <c r="AI669" s="264"/>
      <c r="AJ669" s="264"/>
      <c r="AK669" s="264"/>
      <c r="AL669" s="264"/>
      <c r="AM669" s="264"/>
      <c r="AN669" s="264"/>
      <c r="AO669" s="264"/>
      <c r="AP669" s="264"/>
      <c r="AQ669" s="264"/>
      <c r="AR669" s="264"/>
      <c r="AS669" s="264"/>
      <c r="AT669" s="264"/>
      <c r="AU669" s="264"/>
      <c r="AV669" s="264"/>
      <c r="AW669" s="264"/>
      <c r="AX669" s="264"/>
      <c r="AY669" s="264"/>
      <c r="AZ669" s="264"/>
      <c r="BA669" s="264"/>
    </row>
    <row r="670" spans="1:53" x14ac:dyDescent="0.15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  <c r="AA670" s="264"/>
      <c r="AB670" s="264"/>
      <c r="AC670" s="264"/>
      <c r="AD670" s="264"/>
      <c r="AE670" s="264"/>
      <c r="AF670" s="264"/>
      <c r="AG670" s="264"/>
      <c r="AH670" s="263"/>
      <c r="AI670" s="264"/>
      <c r="AJ670" s="264"/>
      <c r="AK670" s="264"/>
      <c r="AL670" s="264"/>
      <c r="AM670" s="264"/>
      <c r="AN670" s="264"/>
      <c r="AO670" s="264"/>
      <c r="AP670" s="264"/>
      <c r="AQ670" s="264"/>
      <c r="AR670" s="264"/>
      <c r="AS670" s="264"/>
      <c r="AT670" s="264"/>
      <c r="AU670" s="264"/>
      <c r="AV670" s="264"/>
      <c r="AW670" s="264"/>
      <c r="AX670" s="264"/>
      <c r="AY670" s="264"/>
      <c r="AZ670" s="264"/>
      <c r="BA670" s="264"/>
    </row>
    <row r="671" spans="1:53" x14ac:dyDescent="0.15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  <c r="AA671" s="264"/>
      <c r="AB671" s="264"/>
      <c r="AC671" s="264"/>
      <c r="AD671" s="264"/>
      <c r="AE671" s="264"/>
      <c r="AF671" s="264"/>
      <c r="AG671" s="264"/>
      <c r="AH671" s="263"/>
      <c r="AI671" s="264"/>
      <c r="AJ671" s="264"/>
      <c r="AK671" s="264"/>
      <c r="AL671" s="264"/>
      <c r="AM671" s="264"/>
      <c r="AN671" s="264"/>
      <c r="AO671" s="264"/>
      <c r="AP671" s="264"/>
      <c r="AQ671" s="264"/>
      <c r="AR671" s="264"/>
      <c r="AS671" s="264"/>
      <c r="AT671" s="264"/>
      <c r="AU671" s="264"/>
      <c r="AV671" s="264"/>
      <c r="AW671" s="264"/>
      <c r="AX671" s="264"/>
      <c r="AY671" s="264"/>
      <c r="AZ671" s="264"/>
      <c r="BA671" s="264"/>
    </row>
    <row r="672" spans="1:53" x14ac:dyDescent="0.15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  <c r="AA672" s="264"/>
      <c r="AB672" s="264"/>
      <c r="AC672" s="264"/>
      <c r="AD672" s="264"/>
      <c r="AE672" s="264"/>
      <c r="AF672" s="264"/>
      <c r="AG672" s="264"/>
      <c r="AH672" s="263"/>
      <c r="AI672" s="264"/>
      <c r="AJ672" s="264"/>
      <c r="AK672" s="264"/>
      <c r="AL672" s="264"/>
      <c r="AM672" s="264"/>
      <c r="AN672" s="264"/>
      <c r="AO672" s="264"/>
      <c r="AP672" s="264"/>
      <c r="AQ672" s="264"/>
      <c r="AR672" s="264"/>
      <c r="AS672" s="264"/>
      <c r="AT672" s="264"/>
      <c r="AU672" s="264"/>
      <c r="AV672" s="264"/>
      <c r="AW672" s="264"/>
      <c r="AX672" s="264"/>
      <c r="AY672" s="264"/>
      <c r="AZ672" s="264"/>
      <c r="BA672" s="264"/>
    </row>
    <row r="673" spans="1:53" x14ac:dyDescent="0.15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  <c r="AA673" s="264"/>
      <c r="AB673" s="264"/>
      <c r="AC673" s="264"/>
      <c r="AD673" s="264"/>
      <c r="AE673" s="264"/>
      <c r="AF673" s="264"/>
      <c r="AG673" s="264"/>
      <c r="AH673" s="263"/>
      <c r="AI673" s="264"/>
      <c r="AJ673" s="264"/>
      <c r="AK673" s="264"/>
      <c r="AL673" s="264"/>
      <c r="AM673" s="264"/>
      <c r="AN673" s="264"/>
      <c r="AO673" s="264"/>
      <c r="AP673" s="264"/>
      <c r="AQ673" s="264"/>
      <c r="AR673" s="264"/>
      <c r="AS673" s="264"/>
      <c r="AT673" s="264"/>
      <c r="AU673" s="264"/>
      <c r="AV673" s="264"/>
      <c r="AW673" s="264"/>
      <c r="AX673" s="264"/>
      <c r="AY673" s="264"/>
      <c r="AZ673" s="264"/>
      <c r="BA673" s="264"/>
    </row>
    <row r="674" spans="1:53" x14ac:dyDescent="0.15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  <c r="AA674" s="264"/>
      <c r="AB674" s="264"/>
      <c r="AC674" s="264"/>
      <c r="AD674" s="264"/>
      <c r="AE674" s="264"/>
      <c r="AF674" s="264"/>
      <c r="AG674" s="264"/>
      <c r="AH674" s="263"/>
      <c r="AI674" s="264"/>
      <c r="AJ674" s="264"/>
      <c r="AK674" s="264"/>
      <c r="AL674" s="264"/>
      <c r="AM674" s="264"/>
      <c r="AN674" s="264"/>
      <c r="AO674" s="264"/>
      <c r="AP674" s="264"/>
      <c r="AQ674" s="264"/>
      <c r="AR674" s="264"/>
      <c r="AS674" s="264"/>
      <c r="AT674" s="264"/>
      <c r="AU674" s="264"/>
      <c r="AV674" s="264"/>
      <c r="AW674" s="264"/>
      <c r="AX674" s="264"/>
      <c r="AY674" s="264"/>
      <c r="AZ674" s="264"/>
      <c r="BA674" s="264"/>
    </row>
    <row r="675" spans="1:53" x14ac:dyDescent="0.1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  <c r="AF675" s="264"/>
      <c r="AG675" s="264"/>
      <c r="AH675" s="263"/>
      <c r="AI675" s="264"/>
      <c r="AJ675" s="264"/>
      <c r="AK675" s="264"/>
      <c r="AL675" s="264"/>
      <c r="AM675" s="264"/>
      <c r="AN675" s="264"/>
      <c r="AO675" s="264"/>
      <c r="AP675" s="264"/>
      <c r="AQ675" s="264"/>
      <c r="AR675" s="264"/>
      <c r="AS675" s="264"/>
      <c r="AT675" s="264"/>
      <c r="AU675" s="264"/>
      <c r="AV675" s="264"/>
      <c r="AW675" s="264"/>
      <c r="AX675" s="264"/>
      <c r="AY675" s="264"/>
      <c r="AZ675" s="264"/>
      <c r="BA675" s="264"/>
    </row>
    <row r="676" spans="1:53" x14ac:dyDescent="0.15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  <c r="AA676" s="264"/>
      <c r="AB676" s="264"/>
      <c r="AC676" s="264"/>
      <c r="AD676" s="264"/>
      <c r="AE676" s="264"/>
      <c r="AF676" s="264"/>
      <c r="AG676" s="264"/>
      <c r="AH676" s="263"/>
      <c r="AI676" s="264"/>
      <c r="AJ676" s="264"/>
      <c r="AK676" s="264"/>
      <c r="AL676" s="264"/>
      <c r="AM676" s="264"/>
      <c r="AN676" s="264"/>
      <c r="AO676" s="264"/>
      <c r="AP676" s="264"/>
      <c r="AQ676" s="264"/>
      <c r="AR676" s="264"/>
      <c r="AS676" s="264"/>
      <c r="AT676" s="264"/>
      <c r="AU676" s="264"/>
      <c r="AV676" s="264"/>
      <c r="AW676" s="264"/>
      <c r="AX676" s="264"/>
      <c r="AY676" s="264"/>
      <c r="AZ676" s="264"/>
      <c r="BA676" s="264"/>
    </row>
    <row r="677" spans="1:53" x14ac:dyDescent="0.15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  <c r="AA677" s="264"/>
      <c r="AB677" s="264"/>
      <c r="AC677" s="264"/>
      <c r="AD677" s="264"/>
      <c r="AE677" s="264"/>
      <c r="AF677" s="264"/>
      <c r="AG677" s="264"/>
      <c r="AH677" s="263"/>
      <c r="AI677" s="264"/>
      <c r="AJ677" s="264"/>
      <c r="AK677" s="264"/>
      <c r="AL677" s="264"/>
      <c r="AM677" s="264"/>
      <c r="AN677" s="264"/>
      <c r="AO677" s="264"/>
      <c r="AP677" s="264"/>
      <c r="AQ677" s="264"/>
      <c r="AR677" s="264"/>
      <c r="AS677" s="264"/>
      <c r="AT677" s="264"/>
      <c r="AU677" s="264"/>
      <c r="AV677" s="264"/>
      <c r="AW677" s="264"/>
      <c r="AX677" s="264"/>
      <c r="AY677" s="264"/>
      <c r="AZ677" s="264"/>
      <c r="BA677" s="264"/>
    </row>
    <row r="678" spans="1:53" x14ac:dyDescent="0.15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  <c r="AA678" s="264"/>
      <c r="AB678" s="264"/>
      <c r="AC678" s="264"/>
      <c r="AD678" s="264"/>
      <c r="AE678" s="264"/>
      <c r="AF678" s="264"/>
      <c r="AG678" s="264"/>
      <c r="AH678" s="263"/>
      <c r="AI678" s="264"/>
      <c r="AJ678" s="264"/>
      <c r="AK678" s="264"/>
      <c r="AL678" s="264"/>
      <c r="AM678" s="264"/>
      <c r="AN678" s="264"/>
      <c r="AO678" s="264"/>
      <c r="AP678" s="264"/>
      <c r="AQ678" s="264"/>
      <c r="AR678" s="264"/>
      <c r="AS678" s="264"/>
      <c r="AT678" s="264"/>
      <c r="AU678" s="264"/>
      <c r="AV678" s="264"/>
      <c r="AW678" s="264"/>
      <c r="AX678" s="264"/>
      <c r="AY678" s="264"/>
      <c r="AZ678" s="264"/>
      <c r="BA678" s="264"/>
    </row>
    <row r="679" spans="1:53" x14ac:dyDescent="0.15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  <c r="AA679" s="264"/>
      <c r="AB679" s="264"/>
      <c r="AC679" s="264"/>
      <c r="AD679" s="264"/>
      <c r="AE679" s="264"/>
      <c r="AF679" s="264"/>
      <c r="AG679" s="264"/>
      <c r="AH679" s="263"/>
      <c r="AI679" s="264"/>
      <c r="AJ679" s="264"/>
      <c r="AK679" s="264"/>
      <c r="AL679" s="264"/>
      <c r="AM679" s="264"/>
      <c r="AN679" s="264"/>
      <c r="AO679" s="264"/>
      <c r="AP679" s="264"/>
      <c r="AQ679" s="264"/>
      <c r="AR679" s="264"/>
      <c r="AS679" s="264"/>
      <c r="AT679" s="264"/>
      <c r="AU679" s="264"/>
      <c r="AV679" s="264"/>
      <c r="AW679" s="264"/>
      <c r="AX679" s="264"/>
      <c r="AY679" s="264"/>
      <c r="AZ679" s="264"/>
      <c r="BA679" s="264"/>
    </row>
    <row r="680" spans="1:53" x14ac:dyDescent="0.15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  <c r="AA680" s="264"/>
      <c r="AB680" s="264"/>
      <c r="AC680" s="264"/>
      <c r="AD680" s="264"/>
      <c r="AE680" s="264"/>
      <c r="AF680" s="264"/>
      <c r="AG680" s="264"/>
      <c r="AH680" s="263"/>
      <c r="AI680" s="264"/>
      <c r="AJ680" s="264"/>
      <c r="AK680" s="264"/>
      <c r="AL680" s="264"/>
      <c r="AM680" s="264"/>
      <c r="AN680" s="264"/>
      <c r="AO680" s="264"/>
      <c r="AP680" s="264"/>
      <c r="AQ680" s="264"/>
      <c r="AR680" s="264"/>
      <c r="AS680" s="264"/>
      <c r="AT680" s="264"/>
      <c r="AU680" s="264"/>
      <c r="AV680" s="264"/>
      <c r="AW680" s="264"/>
      <c r="AX680" s="264"/>
      <c r="AY680" s="264"/>
      <c r="AZ680" s="264"/>
      <c r="BA680" s="264"/>
    </row>
    <row r="681" spans="1:53" x14ac:dyDescent="0.15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  <c r="AA681" s="264"/>
      <c r="AB681" s="264"/>
      <c r="AC681" s="264"/>
      <c r="AD681" s="264"/>
      <c r="AE681" s="264"/>
      <c r="AF681" s="264"/>
      <c r="AG681" s="264"/>
      <c r="AH681" s="263"/>
      <c r="AI681" s="264"/>
      <c r="AJ681" s="264"/>
      <c r="AK681" s="264"/>
      <c r="AL681" s="264"/>
      <c r="AM681" s="264"/>
      <c r="AN681" s="264"/>
      <c r="AO681" s="264"/>
      <c r="AP681" s="264"/>
      <c r="AQ681" s="264"/>
      <c r="AR681" s="264"/>
      <c r="AS681" s="264"/>
      <c r="AT681" s="264"/>
      <c r="AU681" s="264"/>
      <c r="AV681" s="264"/>
      <c r="AW681" s="264"/>
      <c r="AX681" s="264"/>
      <c r="AY681" s="264"/>
      <c r="AZ681" s="264"/>
      <c r="BA681" s="264"/>
    </row>
    <row r="682" spans="1:53" x14ac:dyDescent="0.15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  <c r="AA682" s="264"/>
      <c r="AB682" s="264"/>
      <c r="AC682" s="264"/>
      <c r="AD682" s="264"/>
      <c r="AE682" s="264"/>
      <c r="AF682" s="264"/>
      <c r="AG682" s="264"/>
      <c r="AH682" s="263"/>
      <c r="AI682" s="264"/>
      <c r="AJ682" s="264"/>
      <c r="AK682" s="264"/>
      <c r="AL682" s="264"/>
      <c r="AM682" s="264"/>
      <c r="AN682" s="264"/>
      <c r="AO682" s="264"/>
      <c r="AP682" s="264"/>
      <c r="AQ682" s="264"/>
      <c r="AR682" s="264"/>
      <c r="AS682" s="264"/>
      <c r="AT682" s="264"/>
      <c r="AU682" s="264"/>
      <c r="AV682" s="264"/>
      <c r="AW682" s="264"/>
      <c r="AX682" s="264"/>
      <c r="AY682" s="264"/>
      <c r="AZ682" s="264"/>
      <c r="BA682" s="264"/>
    </row>
    <row r="683" spans="1:53" x14ac:dyDescent="0.15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  <c r="AF683" s="264"/>
      <c r="AG683" s="264"/>
      <c r="AH683" s="263"/>
      <c r="AI683" s="264"/>
      <c r="AJ683" s="264"/>
      <c r="AK683" s="264"/>
      <c r="AL683" s="264"/>
      <c r="AM683" s="264"/>
      <c r="AN683" s="264"/>
      <c r="AO683" s="264"/>
      <c r="AP683" s="264"/>
      <c r="AQ683" s="264"/>
      <c r="AR683" s="264"/>
      <c r="AS683" s="264"/>
      <c r="AT683" s="264"/>
      <c r="AU683" s="264"/>
      <c r="AV683" s="264"/>
      <c r="AW683" s="264"/>
      <c r="AX683" s="264"/>
      <c r="AY683" s="264"/>
      <c r="AZ683" s="264"/>
      <c r="BA683" s="264"/>
    </row>
    <row r="684" spans="1:53" x14ac:dyDescent="0.15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  <c r="AA684" s="264"/>
      <c r="AB684" s="264"/>
      <c r="AC684" s="264"/>
      <c r="AD684" s="264"/>
      <c r="AE684" s="264"/>
      <c r="AF684" s="264"/>
      <c r="AG684" s="264"/>
      <c r="AH684" s="263"/>
      <c r="AI684" s="264"/>
      <c r="AJ684" s="264"/>
      <c r="AK684" s="264"/>
      <c r="AL684" s="264"/>
      <c r="AM684" s="264"/>
      <c r="AN684" s="264"/>
      <c r="AO684" s="264"/>
      <c r="AP684" s="264"/>
      <c r="AQ684" s="264"/>
      <c r="AR684" s="264"/>
      <c r="AS684" s="264"/>
      <c r="AT684" s="264"/>
      <c r="AU684" s="264"/>
      <c r="AV684" s="264"/>
      <c r="AW684" s="264"/>
      <c r="AX684" s="264"/>
      <c r="AY684" s="264"/>
      <c r="AZ684" s="264"/>
      <c r="BA684" s="264"/>
    </row>
    <row r="685" spans="1:53" x14ac:dyDescent="0.1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  <c r="AA685" s="264"/>
      <c r="AB685" s="264"/>
      <c r="AC685" s="264"/>
      <c r="AD685" s="264"/>
      <c r="AE685" s="264"/>
      <c r="AF685" s="264"/>
      <c r="AG685" s="264"/>
      <c r="AH685" s="263"/>
      <c r="AI685" s="264"/>
      <c r="AJ685" s="264"/>
      <c r="AK685" s="264"/>
      <c r="AL685" s="264"/>
      <c r="AM685" s="264"/>
      <c r="AN685" s="264"/>
      <c r="AO685" s="264"/>
      <c r="AP685" s="264"/>
      <c r="AQ685" s="264"/>
      <c r="AR685" s="264"/>
      <c r="AS685" s="264"/>
      <c r="AT685" s="264"/>
      <c r="AU685" s="264"/>
      <c r="AV685" s="264"/>
      <c r="AW685" s="264"/>
      <c r="AX685" s="264"/>
      <c r="AY685" s="264"/>
      <c r="AZ685" s="264"/>
      <c r="BA685" s="264"/>
    </row>
    <row r="686" spans="1:53" x14ac:dyDescent="0.15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  <c r="AA686" s="264"/>
      <c r="AB686" s="264"/>
      <c r="AC686" s="264"/>
      <c r="AD686" s="264"/>
      <c r="AE686" s="264"/>
      <c r="AF686" s="264"/>
      <c r="AG686" s="264"/>
      <c r="AH686" s="263"/>
      <c r="AI686" s="264"/>
      <c r="AJ686" s="264"/>
      <c r="AK686" s="264"/>
      <c r="AL686" s="264"/>
      <c r="AM686" s="264"/>
      <c r="AN686" s="264"/>
      <c r="AO686" s="264"/>
      <c r="AP686" s="264"/>
      <c r="AQ686" s="264"/>
      <c r="AR686" s="264"/>
      <c r="AS686" s="264"/>
      <c r="AT686" s="264"/>
      <c r="AU686" s="264"/>
      <c r="AV686" s="264"/>
      <c r="AW686" s="264"/>
      <c r="AX686" s="264"/>
      <c r="AY686" s="264"/>
      <c r="AZ686" s="264"/>
      <c r="BA686" s="264"/>
    </row>
    <row r="687" spans="1:53" x14ac:dyDescent="0.15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  <c r="AA687" s="264"/>
      <c r="AB687" s="264"/>
      <c r="AC687" s="264"/>
      <c r="AD687" s="264"/>
      <c r="AE687" s="264"/>
      <c r="AF687" s="264"/>
      <c r="AG687" s="264"/>
      <c r="AH687" s="263"/>
      <c r="AI687" s="264"/>
      <c r="AJ687" s="264"/>
      <c r="AK687" s="264"/>
      <c r="AL687" s="264"/>
      <c r="AM687" s="264"/>
      <c r="AN687" s="264"/>
      <c r="AO687" s="264"/>
      <c r="AP687" s="264"/>
      <c r="AQ687" s="264"/>
      <c r="AR687" s="264"/>
      <c r="AS687" s="264"/>
      <c r="AT687" s="264"/>
      <c r="AU687" s="264"/>
      <c r="AV687" s="264"/>
      <c r="AW687" s="264"/>
      <c r="AX687" s="264"/>
      <c r="AY687" s="264"/>
      <c r="AZ687" s="264"/>
      <c r="BA687" s="264"/>
    </row>
    <row r="688" spans="1:53" x14ac:dyDescent="0.15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  <c r="AA688" s="264"/>
      <c r="AB688" s="264"/>
      <c r="AC688" s="264"/>
      <c r="AD688" s="264"/>
      <c r="AE688" s="264"/>
      <c r="AF688" s="264"/>
      <c r="AG688" s="264"/>
      <c r="AH688" s="263"/>
      <c r="AI688" s="264"/>
      <c r="AJ688" s="264"/>
      <c r="AK688" s="264"/>
      <c r="AL688" s="264"/>
      <c r="AM688" s="264"/>
      <c r="AN688" s="264"/>
      <c r="AO688" s="264"/>
      <c r="AP688" s="264"/>
      <c r="AQ688" s="264"/>
      <c r="AR688" s="264"/>
      <c r="AS688" s="264"/>
      <c r="AT688" s="264"/>
      <c r="AU688" s="264"/>
      <c r="AV688" s="264"/>
      <c r="AW688" s="264"/>
      <c r="AX688" s="264"/>
      <c r="AY688" s="264"/>
      <c r="AZ688" s="264"/>
      <c r="BA688" s="264"/>
    </row>
    <row r="689" spans="1:53" x14ac:dyDescent="0.15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  <c r="AA689" s="264"/>
      <c r="AB689" s="264"/>
      <c r="AC689" s="264"/>
      <c r="AD689" s="264"/>
      <c r="AE689" s="264"/>
      <c r="AF689" s="264"/>
      <c r="AG689" s="264"/>
      <c r="AH689" s="263"/>
      <c r="AI689" s="264"/>
      <c r="AJ689" s="264"/>
      <c r="AK689" s="264"/>
      <c r="AL689" s="264"/>
      <c r="AM689" s="264"/>
      <c r="AN689" s="264"/>
      <c r="AO689" s="264"/>
      <c r="AP689" s="264"/>
      <c r="AQ689" s="264"/>
      <c r="AR689" s="264"/>
      <c r="AS689" s="264"/>
      <c r="AT689" s="264"/>
      <c r="AU689" s="264"/>
      <c r="AV689" s="264"/>
      <c r="AW689" s="264"/>
      <c r="AX689" s="264"/>
      <c r="AY689" s="264"/>
      <c r="AZ689" s="264"/>
      <c r="BA689" s="264"/>
    </row>
    <row r="690" spans="1:53" x14ac:dyDescent="0.15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  <c r="AA690" s="264"/>
      <c r="AB690" s="264"/>
      <c r="AC690" s="264"/>
      <c r="AD690" s="264"/>
      <c r="AE690" s="264"/>
      <c r="AF690" s="264"/>
      <c r="AG690" s="264"/>
      <c r="AH690" s="263"/>
      <c r="AI690" s="264"/>
      <c r="AJ690" s="264"/>
      <c r="AK690" s="264"/>
      <c r="AL690" s="264"/>
      <c r="AM690" s="264"/>
      <c r="AN690" s="264"/>
      <c r="AO690" s="264"/>
      <c r="AP690" s="264"/>
      <c r="AQ690" s="264"/>
      <c r="AR690" s="264"/>
      <c r="AS690" s="264"/>
      <c r="AT690" s="264"/>
      <c r="AU690" s="264"/>
      <c r="AV690" s="264"/>
      <c r="AW690" s="264"/>
      <c r="AX690" s="264"/>
      <c r="AY690" s="264"/>
      <c r="AZ690" s="264"/>
      <c r="BA690" s="264"/>
    </row>
    <row r="691" spans="1:53" x14ac:dyDescent="0.15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  <c r="AA691" s="264"/>
      <c r="AB691" s="264"/>
      <c r="AC691" s="264"/>
      <c r="AD691" s="264"/>
      <c r="AE691" s="264"/>
      <c r="AF691" s="264"/>
      <c r="AG691" s="264"/>
      <c r="AH691" s="263"/>
      <c r="AI691" s="264"/>
      <c r="AJ691" s="264"/>
      <c r="AK691" s="264"/>
      <c r="AL691" s="264"/>
      <c r="AM691" s="264"/>
      <c r="AN691" s="264"/>
      <c r="AO691" s="264"/>
      <c r="AP691" s="264"/>
      <c r="AQ691" s="264"/>
      <c r="AR691" s="264"/>
      <c r="AS691" s="264"/>
      <c r="AT691" s="264"/>
      <c r="AU691" s="264"/>
      <c r="AV691" s="264"/>
      <c r="AW691" s="264"/>
      <c r="AX691" s="264"/>
      <c r="AY691" s="264"/>
      <c r="AZ691" s="264"/>
      <c r="BA691" s="264"/>
    </row>
    <row r="692" spans="1:53" x14ac:dyDescent="0.15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  <c r="AA692" s="264"/>
      <c r="AB692" s="264"/>
      <c r="AC692" s="264"/>
      <c r="AD692" s="264"/>
      <c r="AE692" s="264"/>
      <c r="AF692" s="264"/>
      <c r="AG692" s="264"/>
      <c r="AH692" s="263"/>
      <c r="AI692" s="264"/>
      <c r="AJ692" s="264"/>
      <c r="AK692" s="264"/>
      <c r="AL692" s="264"/>
      <c r="AM692" s="264"/>
      <c r="AN692" s="264"/>
      <c r="AO692" s="264"/>
      <c r="AP692" s="264"/>
      <c r="AQ692" s="264"/>
      <c r="AR692" s="264"/>
      <c r="AS692" s="264"/>
      <c r="AT692" s="264"/>
      <c r="AU692" s="264"/>
      <c r="AV692" s="264"/>
      <c r="AW692" s="264"/>
      <c r="AX692" s="264"/>
      <c r="AY692" s="264"/>
      <c r="AZ692" s="264"/>
      <c r="BA692" s="264"/>
    </row>
    <row r="693" spans="1:53" x14ac:dyDescent="0.15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  <c r="AA693" s="264"/>
      <c r="AB693" s="264"/>
      <c r="AC693" s="264"/>
      <c r="AD693" s="264"/>
      <c r="AE693" s="264"/>
      <c r="AF693" s="264"/>
      <c r="AG693" s="264"/>
      <c r="AH693" s="263"/>
      <c r="AI693" s="264"/>
      <c r="AJ693" s="264"/>
      <c r="AK693" s="264"/>
      <c r="AL693" s="264"/>
      <c r="AM693" s="264"/>
      <c r="AN693" s="264"/>
      <c r="AO693" s="264"/>
      <c r="AP693" s="264"/>
      <c r="AQ693" s="264"/>
      <c r="AR693" s="264"/>
      <c r="AS693" s="264"/>
      <c r="AT693" s="264"/>
      <c r="AU693" s="264"/>
      <c r="AV693" s="264"/>
      <c r="AW693" s="264"/>
      <c r="AX693" s="264"/>
      <c r="AY693" s="264"/>
      <c r="AZ693" s="264"/>
      <c r="BA693" s="264"/>
    </row>
    <row r="694" spans="1:53" x14ac:dyDescent="0.15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  <c r="AA694" s="264"/>
      <c r="AB694" s="264"/>
      <c r="AC694" s="264"/>
      <c r="AD694" s="264"/>
      <c r="AE694" s="264"/>
      <c r="AF694" s="264"/>
      <c r="AG694" s="264"/>
      <c r="AH694" s="263"/>
      <c r="AI694" s="264"/>
      <c r="AJ694" s="264"/>
      <c r="AK694" s="264"/>
      <c r="AL694" s="264"/>
      <c r="AM694" s="264"/>
      <c r="AN694" s="264"/>
      <c r="AO694" s="264"/>
      <c r="AP694" s="264"/>
      <c r="AQ694" s="264"/>
      <c r="AR694" s="264"/>
      <c r="AS694" s="264"/>
      <c r="AT694" s="264"/>
      <c r="AU694" s="264"/>
      <c r="AV694" s="264"/>
      <c r="AW694" s="264"/>
      <c r="AX694" s="264"/>
      <c r="AY694" s="264"/>
      <c r="AZ694" s="264"/>
      <c r="BA694" s="264"/>
    </row>
    <row r="695" spans="1:53" x14ac:dyDescent="0.1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  <c r="AA695" s="264"/>
      <c r="AB695" s="264"/>
      <c r="AC695" s="264"/>
      <c r="AD695" s="264"/>
      <c r="AE695" s="264"/>
      <c r="AF695" s="264"/>
      <c r="AG695" s="264"/>
      <c r="AH695" s="263"/>
      <c r="AI695" s="264"/>
      <c r="AJ695" s="264"/>
      <c r="AK695" s="264"/>
      <c r="AL695" s="264"/>
      <c r="AM695" s="264"/>
      <c r="AN695" s="264"/>
      <c r="AO695" s="264"/>
      <c r="AP695" s="264"/>
      <c r="AQ695" s="264"/>
      <c r="AR695" s="264"/>
      <c r="AS695" s="264"/>
      <c r="AT695" s="264"/>
      <c r="AU695" s="264"/>
      <c r="AV695" s="264"/>
      <c r="AW695" s="264"/>
      <c r="AX695" s="264"/>
      <c r="AY695" s="264"/>
      <c r="AZ695" s="264"/>
      <c r="BA695" s="264"/>
    </row>
    <row r="696" spans="1:53" x14ac:dyDescent="0.15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  <c r="AA696" s="264"/>
      <c r="AB696" s="264"/>
      <c r="AC696" s="264"/>
      <c r="AD696" s="264"/>
      <c r="AE696" s="264"/>
      <c r="AF696" s="264"/>
      <c r="AG696" s="264"/>
      <c r="AH696" s="263"/>
      <c r="AI696" s="264"/>
      <c r="AJ696" s="264"/>
      <c r="AK696" s="264"/>
      <c r="AL696" s="264"/>
      <c r="AM696" s="264"/>
      <c r="AN696" s="264"/>
      <c r="AO696" s="264"/>
      <c r="AP696" s="264"/>
      <c r="AQ696" s="264"/>
      <c r="AR696" s="264"/>
      <c r="AS696" s="264"/>
      <c r="AT696" s="264"/>
      <c r="AU696" s="264"/>
      <c r="AV696" s="264"/>
      <c r="AW696" s="264"/>
      <c r="AX696" s="264"/>
      <c r="AY696" s="264"/>
      <c r="AZ696" s="264"/>
      <c r="BA696" s="264"/>
    </row>
    <row r="697" spans="1:53" x14ac:dyDescent="0.15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  <c r="AA697" s="264"/>
      <c r="AB697" s="264"/>
      <c r="AC697" s="264"/>
      <c r="AD697" s="264"/>
      <c r="AE697" s="264"/>
      <c r="AF697" s="264"/>
      <c r="AG697" s="264"/>
      <c r="AH697" s="263"/>
      <c r="AI697" s="264"/>
      <c r="AJ697" s="264"/>
      <c r="AK697" s="264"/>
      <c r="AL697" s="264"/>
      <c r="AM697" s="264"/>
      <c r="AN697" s="264"/>
      <c r="AO697" s="264"/>
      <c r="AP697" s="264"/>
      <c r="AQ697" s="264"/>
      <c r="AR697" s="264"/>
      <c r="AS697" s="264"/>
      <c r="AT697" s="264"/>
      <c r="AU697" s="264"/>
      <c r="AV697" s="264"/>
      <c r="AW697" s="264"/>
      <c r="AX697" s="264"/>
      <c r="AY697" s="264"/>
      <c r="AZ697" s="264"/>
      <c r="BA697" s="264"/>
    </row>
    <row r="698" spans="1:53" x14ac:dyDescent="0.15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  <c r="AA698" s="264"/>
      <c r="AB698" s="264"/>
      <c r="AC698" s="264"/>
      <c r="AD698" s="264"/>
      <c r="AE698" s="264"/>
      <c r="AF698" s="264"/>
      <c r="AG698" s="264"/>
      <c r="AH698" s="263"/>
      <c r="AI698" s="264"/>
      <c r="AJ698" s="264"/>
      <c r="AK698" s="264"/>
      <c r="AL698" s="264"/>
      <c r="AM698" s="264"/>
      <c r="AN698" s="264"/>
      <c r="AO698" s="264"/>
      <c r="AP698" s="264"/>
      <c r="AQ698" s="264"/>
      <c r="AR698" s="264"/>
      <c r="AS698" s="264"/>
      <c r="AT698" s="264"/>
      <c r="AU698" s="264"/>
      <c r="AV698" s="264"/>
      <c r="AW698" s="264"/>
      <c r="AX698" s="264"/>
      <c r="AY698" s="264"/>
      <c r="AZ698" s="264"/>
      <c r="BA698" s="264"/>
    </row>
    <row r="699" spans="1:53" x14ac:dyDescent="0.15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3"/>
      <c r="AI699" s="264"/>
      <c r="AJ699" s="264"/>
      <c r="AK699" s="264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</row>
    <row r="700" spans="1:53" x14ac:dyDescent="0.15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3"/>
      <c r="AI700" s="264"/>
      <c r="AJ700" s="264"/>
      <c r="AK700" s="264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</row>
    <row r="701" spans="1:53" x14ac:dyDescent="0.15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  <c r="AA701" s="264"/>
      <c r="AB701" s="264"/>
      <c r="AC701" s="264"/>
      <c r="AD701" s="264"/>
      <c r="AE701" s="264"/>
      <c r="AF701" s="264"/>
      <c r="AG701" s="264"/>
      <c r="AH701" s="263"/>
      <c r="AI701" s="264"/>
      <c r="AJ701" s="264"/>
      <c r="AK701" s="264"/>
      <c r="AL701" s="264"/>
      <c r="AM701" s="264"/>
      <c r="AN701" s="264"/>
      <c r="AO701" s="264"/>
      <c r="AP701" s="264"/>
      <c r="AQ701" s="264"/>
      <c r="AR701" s="264"/>
      <c r="AS701" s="264"/>
      <c r="AT701" s="264"/>
      <c r="AU701" s="264"/>
      <c r="AV701" s="264"/>
      <c r="AW701" s="264"/>
      <c r="AX701" s="264"/>
      <c r="AY701" s="264"/>
      <c r="AZ701" s="264"/>
      <c r="BA701" s="264"/>
    </row>
    <row r="702" spans="1:53" x14ac:dyDescent="0.15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  <c r="AA702" s="264"/>
      <c r="AB702" s="264"/>
      <c r="AC702" s="264"/>
      <c r="AD702" s="264"/>
      <c r="AE702" s="264"/>
      <c r="AF702" s="264"/>
      <c r="AG702" s="264"/>
      <c r="AH702" s="263"/>
      <c r="AI702" s="264"/>
      <c r="AJ702" s="264"/>
      <c r="AK702" s="264"/>
      <c r="AL702" s="264"/>
      <c r="AM702" s="264"/>
      <c r="AN702" s="264"/>
      <c r="AO702" s="264"/>
      <c r="AP702" s="264"/>
      <c r="AQ702" s="264"/>
      <c r="AR702" s="264"/>
      <c r="AS702" s="264"/>
      <c r="AT702" s="264"/>
      <c r="AU702" s="264"/>
      <c r="AV702" s="264"/>
      <c r="AW702" s="264"/>
      <c r="AX702" s="264"/>
      <c r="AY702" s="264"/>
      <c r="AZ702" s="264"/>
      <c r="BA702" s="264"/>
    </row>
    <row r="703" spans="1:53" x14ac:dyDescent="0.15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3"/>
      <c r="AI703" s="264"/>
      <c r="AJ703" s="264"/>
      <c r="AK703" s="264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</row>
    <row r="704" spans="1:53" x14ac:dyDescent="0.15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3"/>
      <c r="AI704" s="264"/>
      <c r="AJ704" s="264"/>
      <c r="AK704" s="264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</row>
    <row r="705" spans="1:53" x14ac:dyDescent="0.1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  <c r="AA705" s="264"/>
      <c r="AB705" s="264"/>
      <c r="AC705" s="264"/>
      <c r="AD705" s="264"/>
      <c r="AE705" s="264"/>
      <c r="AF705" s="264"/>
      <c r="AG705" s="264"/>
      <c r="AH705" s="263"/>
      <c r="AI705" s="264"/>
      <c r="AJ705" s="264"/>
      <c r="AK705" s="264"/>
      <c r="AL705" s="264"/>
      <c r="AM705" s="264"/>
      <c r="AN705" s="264"/>
      <c r="AO705" s="264"/>
      <c r="AP705" s="264"/>
      <c r="AQ705" s="264"/>
      <c r="AR705" s="264"/>
      <c r="AS705" s="264"/>
      <c r="AT705" s="264"/>
      <c r="AU705" s="264"/>
      <c r="AV705" s="264"/>
      <c r="AW705" s="264"/>
      <c r="AX705" s="264"/>
      <c r="AY705" s="264"/>
      <c r="AZ705" s="264"/>
      <c r="BA705" s="264"/>
    </row>
    <row r="706" spans="1:53" x14ac:dyDescent="0.15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  <c r="AA706" s="264"/>
      <c r="AB706" s="264"/>
      <c r="AC706" s="264"/>
      <c r="AD706" s="264"/>
      <c r="AE706" s="264"/>
      <c r="AF706" s="264"/>
      <c r="AG706" s="264"/>
      <c r="AH706" s="263"/>
      <c r="AI706" s="264"/>
      <c r="AJ706" s="264"/>
      <c r="AK706" s="264"/>
      <c r="AL706" s="264"/>
      <c r="AM706" s="264"/>
      <c r="AN706" s="264"/>
      <c r="AO706" s="264"/>
      <c r="AP706" s="264"/>
      <c r="AQ706" s="264"/>
      <c r="AR706" s="264"/>
      <c r="AS706" s="264"/>
      <c r="AT706" s="264"/>
      <c r="AU706" s="264"/>
      <c r="AV706" s="264"/>
      <c r="AW706" s="264"/>
      <c r="AX706" s="264"/>
      <c r="AY706" s="264"/>
      <c r="AZ706" s="264"/>
      <c r="BA706" s="264"/>
    </row>
    <row r="707" spans="1:53" x14ac:dyDescent="0.15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  <c r="AA707" s="264"/>
      <c r="AB707" s="264"/>
      <c r="AC707" s="264"/>
      <c r="AD707" s="264"/>
      <c r="AE707" s="264"/>
      <c r="AF707" s="264"/>
      <c r="AG707" s="264"/>
      <c r="AH707" s="263"/>
      <c r="AI707" s="264"/>
      <c r="AJ707" s="264"/>
      <c r="AK707" s="264"/>
      <c r="AL707" s="264"/>
      <c r="AM707" s="264"/>
      <c r="AN707" s="264"/>
      <c r="AO707" s="264"/>
      <c r="AP707" s="264"/>
      <c r="AQ707" s="264"/>
      <c r="AR707" s="264"/>
      <c r="AS707" s="264"/>
      <c r="AT707" s="264"/>
      <c r="AU707" s="264"/>
      <c r="AV707" s="264"/>
      <c r="AW707" s="264"/>
      <c r="AX707" s="264"/>
      <c r="AY707" s="264"/>
      <c r="AZ707" s="264"/>
      <c r="BA707" s="264"/>
    </row>
    <row r="708" spans="1:53" x14ac:dyDescent="0.15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  <c r="AA708" s="264"/>
      <c r="AB708" s="264"/>
      <c r="AC708" s="264"/>
      <c r="AD708" s="264"/>
      <c r="AE708" s="264"/>
      <c r="AF708" s="264"/>
      <c r="AG708" s="264"/>
      <c r="AH708" s="263"/>
      <c r="AI708" s="264"/>
      <c r="AJ708" s="264"/>
      <c r="AK708" s="264"/>
      <c r="AL708" s="264"/>
      <c r="AM708" s="264"/>
      <c r="AN708" s="264"/>
      <c r="AO708" s="264"/>
      <c r="AP708" s="264"/>
      <c r="AQ708" s="264"/>
      <c r="AR708" s="264"/>
      <c r="AS708" s="264"/>
      <c r="AT708" s="264"/>
      <c r="AU708" s="264"/>
      <c r="AV708" s="264"/>
      <c r="AW708" s="264"/>
      <c r="AX708" s="264"/>
      <c r="AY708" s="264"/>
      <c r="AZ708" s="264"/>
      <c r="BA708" s="264"/>
    </row>
    <row r="709" spans="1:53" x14ac:dyDescent="0.15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3"/>
      <c r="AI709" s="264"/>
      <c r="AJ709" s="264"/>
      <c r="AK709" s="264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</row>
    <row r="710" spans="1:53" x14ac:dyDescent="0.15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3"/>
      <c r="AI710" s="264"/>
      <c r="AJ710" s="264"/>
      <c r="AK710" s="264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</row>
    <row r="711" spans="1:53" x14ac:dyDescent="0.15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  <c r="AA711" s="264"/>
      <c r="AB711" s="264"/>
      <c r="AC711" s="264"/>
      <c r="AD711" s="264"/>
      <c r="AE711" s="264"/>
      <c r="AF711" s="264"/>
      <c r="AG711" s="264"/>
      <c r="AH711" s="263"/>
      <c r="AI711" s="264"/>
      <c r="AJ711" s="264"/>
      <c r="AK711" s="264"/>
      <c r="AL711" s="264"/>
      <c r="AM711" s="264"/>
      <c r="AN711" s="264"/>
      <c r="AO711" s="264"/>
      <c r="AP711" s="264"/>
      <c r="AQ711" s="264"/>
      <c r="AR711" s="264"/>
      <c r="AS711" s="264"/>
      <c r="AT711" s="264"/>
      <c r="AU711" s="264"/>
      <c r="AV711" s="264"/>
      <c r="AW711" s="264"/>
      <c r="AX711" s="264"/>
      <c r="AY711" s="264"/>
      <c r="AZ711" s="264"/>
      <c r="BA711" s="264"/>
    </row>
    <row r="712" spans="1:53" x14ac:dyDescent="0.15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  <c r="AA712" s="264"/>
      <c r="AB712" s="264"/>
      <c r="AC712" s="264"/>
      <c r="AD712" s="264"/>
      <c r="AE712" s="264"/>
      <c r="AF712" s="264"/>
      <c r="AG712" s="264"/>
      <c r="AH712" s="263"/>
      <c r="AI712" s="264"/>
      <c r="AJ712" s="264"/>
      <c r="AK712" s="264"/>
      <c r="AL712" s="264"/>
      <c r="AM712" s="264"/>
      <c r="AN712" s="264"/>
      <c r="AO712" s="264"/>
      <c r="AP712" s="264"/>
      <c r="AQ712" s="264"/>
      <c r="AR712" s="264"/>
      <c r="AS712" s="264"/>
      <c r="AT712" s="264"/>
      <c r="AU712" s="264"/>
      <c r="AV712" s="264"/>
      <c r="AW712" s="264"/>
      <c r="AX712" s="264"/>
      <c r="AY712" s="264"/>
      <c r="AZ712" s="264"/>
      <c r="BA712" s="264"/>
    </row>
    <row r="713" spans="1:53" x14ac:dyDescent="0.15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  <c r="AA713" s="264"/>
      <c r="AB713" s="264"/>
      <c r="AC713" s="264"/>
      <c r="AD713" s="264"/>
      <c r="AE713" s="264"/>
      <c r="AF713" s="264"/>
      <c r="AG713" s="264"/>
      <c r="AH713" s="263"/>
      <c r="AI713" s="264"/>
      <c r="AJ713" s="264"/>
      <c r="AK713" s="264"/>
      <c r="AL713" s="264"/>
      <c r="AM713" s="264"/>
      <c r="AN713" s="264"/>
      <c r="AO713" s="264"/>
      <c r="AP713" s="264"/>
      <c r="AQ713" s="264"/>
      <c r="AR713" s="264"/>
      <c r="AS713" s="264"/>
      <c r="AT713" s="264"/>
      <c r="AU713" s="264"/>
      <c r="AV713" s="264"/>
      <c r="AW713" s="264"/>
      <c r="AX713" s="264"/>
      <c r="AY713" s="264"/>
      <c r="AZ713" s="264"/>
      <c r="BA713" s="264"/>
    </row>
    <row r="714" spans="1:53" x14ac:dyDescent="0.15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  <c r="AA714" s="264"/>
      <c r="AB714" s="264"/>
      <c r="AC714" s="264"/>
      <c r="AD714" s="264"/>
      <c r="AE714" s="264"/>
      <c r="AF714" s="264"/>
      <c r="AG714" s="264"/>
      <c r="AH714" s="263"/>
      <c r="AI714" s="264"/>
      <c r="AJ714" s="264"/>
      <c r="AK714" s="264"/>
      <c r="AL714" s="264"/>
      <c r="AM714" s="264"/>
      <c r="AN714" s="264"/>
      <c r="AO714" s="264"/>
      <c r="AP714" s="264"/>
      <c r="AQ714" s="264"/>
      <c r="AR714" s="264"/>
      <c r="AS714" s="264"/>
      <c r="AT714" s="264"/>
      <c r="AU714" s="264"/>
      <c r="AV714" s="264"/>
      <c r="AW714" s="264"/>
      <c r="AX714" s="264"/>
      <c r="AY714" s="264"/>
      <c r="AZ714" s="264"/>
      <c r="BA714" s="264"/>
    </row>
    <row r="715" spans="1:53" x14ac:dyDescent="0.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3"/>
      <c r="AI715" s="264"/>
      <c r="AJ715" s="264"/>
      <c r="AK715" s="264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</row>
    <row r="716" spans="1:53" x14ac:dyDescent="0.15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3"/>
      <c r="AI716" s="264"/>
      <c r="AJ716" s="264"/>
      <c r="AK716" s="264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</row>
    <row r="717" spans="1:53" x14ac:dyDescent="0.15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  <c r="AA717" s="264"/>
      <c r="AB717" s="264"/>
      <c r="AC717" s="264"/>
      <c r="AD717" s="264"/>
      <c r="AE717" s="264"/>
      <c r="AF717" s="264"/>
      <c r="AG717" s="264"/>
      <c r="AH717" s="263"/>
      <c r="AI717" s="264"/>
      <c r="AJ717" s="264"/>
      <c r="AK717" s="264"/>
      <c r="AL717" s="264"/>
      <c r="AM717" s="264"/>
      <c r="AN717" s="264"/>
      <c r="AO717" s="264"/>
      <c r="AP717" s="264"/>
      <c r="AQ717" s="264"/>
      <c r="AR717" s="264"/>
      <c r="AS717" s="264"/>
      <c r="AT717" s="264"/>
      <c r="AU717" s="264"/>
      <c r="AV717" s="264"/>
      <c r="AW717" s="264"/>
      <c r="AX717" s="264"/>
      <c r="AY717" s="264"/>
      <c r="AZ717" s="264"/>
      <c r="BA717" s="264"/>
    </row>
    <row r="718" spans="1:53" x14ac:dyDescent="0.15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  <c r="AA718" s="264"/>
      <c r="AB718" s="264"/>
      <c r="AC718" s="264"/>
      <c r="AD718" s="264"/>
      <c r="AE718" s="264"/>
      <c r="AF718" s="264"/>
      <c r="AG718" s="264"/>
      <c r="AH718" s="263"/>
      <c r="AI718" s="264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  <c r="AT718" s="264"/>
      <c r="AU718" s="264"/>
      <c r="AV718" s="264"/>
      <c r="AW718" s="264"/>
      <c r="AX718" s="264"/>
      <c r="AY718" s="264"/>
      <c r="AZ718" s="264"/>
      <c r="BA718" s="264"/>
    </row>
    <row r="719" spans="1:53" x14ac:dyDescent="0.15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  <c r="AA719" s="264"/>
      <c r="AB719" s="264"/>
      <c r="AC719" s="264"/>
      <c r="AD719" s="264"/>
      <c r="AE719" s="264"/>
      <c r="AF719" s="264"/>
      <c r="AG719" s="264"/>
      <c r="AH719" s="263"/>
      <c r="AI719" s="264"/>
      <c r="AJ719" s="264"/>
      <c r="AK719" s="264"/>
      <c r="AL719" s="264"/>
      <c r="AM719" s="264"/>
      <c r="AN719" s="264"/>
      <c r="AO719" s="264"/>
      <c r="AP719" s="264"/>
      <c r="AQ719" s="264"/>
      <c r="AR719" s="264"/>
      <c r="AS719" s="264"/>
      <c r="AT719" s="264"/>
      <c r="AU719" s="264"/>
      <c r="AV719" s="264"/>
      <c r="AW719" s="264"/>
      <c r="AX719" s="264"/>
      <c r="AY719" s="264"/>
      <c r="AZ719" s="264"/>
      <c r="BA719" s="264"/>
    </row>
    <row r="720" spans="1:53" x14ac:dyDescent="0.15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3"/>
      <c r="AI720" s="264"/>
      <c r="AJ720" s="264"/>
      <c r="AK720" s="264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</row>
    <row r="721" spans="1:53" x14ac:dyDescent="0.15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3"/>
      <c r="AI721" s="264"/>
      <c r="AJ721" s="264"/>
      <c r="AK721" s="264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</row>
    <row r="722" spans="1:53" x14ac:dyDescent="0.15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  <c r="AF722" s="264"/>
      <c r="AG722" s="264"/>
      <c r="AH722" s="263"/>
      <c r="AI722" s="264"/>
      <c r="AJ722" s="264"/>
      <c r="AK722" s="264"/>
      <c r="AL722" s="264"/>
      <c r="AM722" s="264"/>
      <c r="AN722" s="264"/>
      <c r="AO722" s="264"/>
      <c r="AP722" s="264"/>
      <c r="AQ722" s="264"/>
      <c r="AR722" s="264"/>
      <c r="AS722" s="264"/>
      <c r="AT722" s="264"/>
      <c r="AU722" s="264"/>
      <c r="AV722" s="264"/>
      <c r="AW722" s="264"/>
      <c r="AX722" s="264"/>
      <c r="AY722" s="264"/>
      <c r="AZ722" s="264"/>
      <c r="BA722" s="264"/>
    </row>
    <row r="723" spans="1:53" x14ac:dyDescent="0.15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  <c r="AF723" s="264"/>
      <c r="AG723" s="264"/>
      <c r="AH723" s="263"/>
      <c r="AI723" s="264"/>
      <c r="AJ723" s="264"/>
      <c r="AK723" s="264"/>
      <c r="AL723" s="264"/>
      <c r="AM723" s="264"/>
      <c r="AN723" s="264"/>
      <c r="AO723" s="264"/>
      <c r="AP723" s="264"/>
      <c r="AQ723" s="264"/>
      <c r="AR723" s="264"/>
      <c r="AS723" s="264"/>
      <c r="AT723" s="264"/>
      <c r="AU723" s="264"/>
      <c r="AV723" s="264"/>
      <c r="AW723" s="264"/>
      <c r="AX723" s="264"/>
      <c r="AY723" s="264"/>
      <c r="AZ723" s="264"/>
      <c r="BA723" s="264"/>
    </row>
    <row r="724" spans="1:53" x14ac:dyDescent="0.15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  <c r="AF724" s="264"/>
      <c r="AG724" s="264"/>
      <c r="AH724" s="263"/>
      <c r="AI724" s="264"/>
      <c r="AJ724" s="264"/>
      <c r="AK724" s="264"/>
      <c r="AL724" s="264"/>
      <c r="AM724" s="264"/>
      <c r="AN724" s="264"/>
      <c r="AO724" s="264"/>
      <c r="AP724" s="264"/>
      <c r="AQ724" s="264"/>
      <c r="AR724" s="264"/>
      <c r="AS724" s="264"/>
      <c r="AT724" s="264"/>
      <c r="AU724" s="264"/>
      <c r="AV724" s="264"/>
      <c r="AW724" s="264"/>
      <c r="AX724" s="264"/>
      <c r="AY724" s="264"/>
      <c r="AZ724" s="264"/>
      <c r="BA724" s="264"/>
    </row>
    <row r="725" spans="1:53" x14ac:dyDescent="0.1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3"/>
      <c r="AI725" s="264"/>
      <c r="AJ725" s="264"/>
      <c r="AK725" s="264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</row>
    <row r="726" spans="1:53" x14ac:dyDescent="0.15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3"/>
      <c r="AI726" s="264"/>
      <c r="AJ726" s="264"/>
      <c r="AK726" s="264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</row>
    <row r="727" spans="1:53" x14ac:dyDescent="0.15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  <c r="AF727" s="264"/>
      <c r="AG727" s="264"/>
      <c r="AH727" s="263"/>
      <c r="AI727" s="264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  <c r="AV727" s="264"/>
      <c r="AW727" s="264"/>
      <c r="AX727" s="264"/>
      <c r="AY727" s="264"/>
      <c r="AZ727" s="264"/>
      <c r="BA727" s="264"/>
    </row>
    <row r="728" spans="1:53" x14ac:dyDescent="0.15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  <c r="AF728" s="264"/>
      <c r="AG728" s="264"/>
      <c r="AH728" s="263"/>
      <c r="AI728" s="264"/>
      <c r="AJ728" s="264"/>
      <c r="AK728" s="264"/>
      <c r="AL728" s="264"/>
      <c r="AM728" s="264"/>
      <c r="AN728" s="264"/>
      <c r="AO728" s="264"/>
      <c r="AP728" s="264"/>
      <c r="AQ728" s="264"/>
      <c r="AR728" s="264"/>
      <c r="AS728" s="264"/>
      <c r="AT728" s="264"/>
      <c r="AU728" s="264"/>
      <c r="AV728" s="264"/>
      <c r="AW728" s="264"/>
      <c r="AX728" s="264"/>
      <c r="AY728" s="264"/>
      <c r="AZ728" s="264"/>
      <c r="BA728" s="264"/>
    </row>
    <row r="729" spans="1:53" x14ac:dyDescent="0.15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  <c r="AF729" s="264"/>
      <c r="AG729" s="264"/>
      <c r="AH729" s="263"/>
      <c r="AI729" s="264"/>
      <c r="AJ729" s="264"/>
      <c r="AK729" s="264"/>
      <c r="AL729" s="264"/>
      <c r="AM729" s="264"/>
      <c r="AN729" s="264"/>
      <c r="AO729" s="264"/>
      <c r="AP729" s="264"/>
      <c r="AQ729" s="264"/>
      <c r="AR729" s="264"/>
      <c r="AS729" s="264"/>
      <c r="AT729" s="264"/>
      <c r="AU729" s="264"/>
      <c r="AV729" s="264"/>
      <c r="AW729" s="264"/>
      <c r="AX729" s="264"/>
      <c r="AY729" s="264"/>
      <c r="AZ729" s="264"/>
      <c r="BA729" s="264"/>
    </row>
    <row r="730" spans="1:53" x14ac:dyDescent="0.15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  <c r="AA730" s="264"/>
      <c r="AB730" s="264"/>
      <c r="AC730" s="264"/>
      <c r="AD730" s="264"/>
      <c r="AE730" s="264"/>
      <c r="AF730" s="264"/>
      <c r="AG730" s="264"/>
      <c r="AH730" s="263"/>
      <c r="AI730" s="264"/>
      <c r="AJ730" s="264"/>
      <c r="AK730" s="264"/>
      <c r="AL730" s="264"/>
      <c r="AM730" s="264"/>
      <c r="AN730" s="264"/>
      <c r="AO730" s="264"/>
      <c r="AP730" s="264"/>
      <c r="AQ730" s="264"/>
      <c r="AR730" s="264"/>
      <c r="AS730" s="264"/>
      <c r="AT730" s="264"/>
      <c r="AU730" s="264"/>
      <c r="AV730" s="264"/>
      <c r="AW730" s="264"/>
      <c r="AX730" s="264"/>
      <c r="AY730" s="264"/>
      <c r="AZ730" s="264"/>
      <c r="BA730" s="264"/>
    </row>
    <row r="731" spans="1:53" x14ac:dyDescent="0.15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264"/>
      <c r="AD731" s="264"/>
      <c r="AE731" s="264"/>
      <c r="AF731" s="264"/>
      <c r="AG731" s="264"/>
      <c r="AH731" s="263"/>
      <c r="AI731" s="264"/>
      <c r="AJ731" s="264"/>
      <c r="AK731" s="264"/>
      <c r="AL731" s="264"/>
      <c r="AM731" s="264"/>
      <c r="AN731" s="264"/>
      <c r="AO731" s="264"/>
      <c r="AP731" s="264"/>
      <c r="AQ731" s="264"/>
      <c r="AR731" s="264"/>
      <c r="AS731" s="264"/>
      <c r="AT731" s="264"/>
      <c r="AU731" s="264"/>
      <c r="AV731" s="264"/>
      <c r="AW731" s="264"/>
      <c r="AX731" s="264"/>
      <c r="AY731" s="264"/>
      <c r="AZ731" s="264"/>
      <c r="BA731" s="264"/>
    </row>
    <row r="732" spans="1:53" x14ac:dyDescent="0.15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  <c r="AA732" s="264"/>
      <c r="AB732" s="264"/>
      <c r="AC732" s="264"/>
      <c r="AD732" s="264"/>
      <c r="AE732" s="264"/>
      <c r="AF732" s="264"/>
      <c r="AG732" s="264"/>
      <c r="AH732" s="263"/>
      <c r="AI732" s="264"/>
      <c r="AJ732" s="264"/>
      <c r="AK732" s="264"/>
      <c r="AL732" s="264"/>
      <c r="AM732" s="264"/>
      <c r="AN732" s="264"/>
      <c r="AO732" s="264"/>
      <c r="AP732" s="264"/>
      <c r="AQ732" s="264"/>
      <c r="AR732" s="264"/>
      <c r="AS732" s="264"/>
      <c r="AT732" s="264"/>
      <c r="AU732" s="264"/>
      <c r="AV732" s="264"/>
      <c r="AW732" s="264"/>
      <c r="AX732" s="264"/>
      <c r="AY732" s="264"/>
      <c r="AZ732" s="264"/>
      <c r="BA732" s="264"/>
    </row>
    <row r="733" spans="1:53" x14ac:dyDescent="0.15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  <c r="AA733" s="264"/>
      <c r="AB733" s="264"/>
      <c r="AC733" s="264"/>
      <c r="AD733" s="264"/>
      <c r="AE733" s="264"/>
      <c r="AF733" s="264"/>
      <c r="AG733" s="264"/>
      <c r="AH733" s="263"/>
      <c r="AI733" s="264"/>
      <c r="AJ733" s="264"/>
      <c r="AK733" s="264"/>
      <c r="AL733" s="264"/>
      <c r="AM733" s="264"/>
      <c r="AN733" s="264"/>
      <c r="AO733" s="264"/>
      <c r="AP733" s="264"/>
      <c r="AQ733" s="264"/>
      <c r="AR733" s="264"/>
      <c r="AS733" s="264"/>
      <c r="AT733" s="264"/>
      <c r="AU733" s="264"/>
      <c r="AV733" s="264"/>
      <c r="AW733" s="264"/>
      <c r="AX733" s="264"/>
      <c r="AY733" s="264"/>
      <c r="AZ733" s="264"/>
      <c r="BA733" s="264"/>
    </row>
    <row r="734" spans="1:53" x14ac:dyDescent="0.15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264"/>
      <c r="AD734" s="264"/>
      <c r="AE734" s="264"/>
      <c r="AF734" s="264"/>
      <c r="AG734" s="264"/>
      <c r="AH734" s="263"/>
      <c r="AI734" s="264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  <c r="AV734" s="264"/>
      <c r="AW734" s="264"/>
      <c r="AX734" s="264"/>
      <c r="AY734" s="264"/>
      <c r="AZ734" s="264"/>
      <c r="BA734" s="264"/>
    </row>
    <row r="735" spans="1:53" x14ac:dyDescent="0.1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264"/>
      <c r="AD735" s="264"/>
      <c r="AE735" s="264"/>
      <c r="AF735" s="264"/>
      <c r="AG735" s="264"/>
      <c r="AH735" s="263"/>
      <c r="AI735" s="264"/>
      <c r="AJ735" s="264"/>
      <c r="AK735" s="264"/>
      <c r="AL735" s="264"/>
      <c r="AM735" s="264"/>
      <c r="AN735" s="264"/>
      <c r="AO735" s="264"/>
      <c r="AP735" s="264"/>
      <c r="AQ735" s="264"/>
      <c r="AR735" s="264"/>
      <c r="AS735" s="264"/>
      <c r="AT735" s="264"/>
      <c r="AU735" s="264"/>
      <c r="AV735" s="264"/>
      <c r="AW735" s="264"/>
      <c r="AX735" s="264"/>
      <c r="AY735" s="264"/>
      <c r="AZ735" s="264"/>
      <c r="BA735" s="264"/>
    </row>
    <row r="736" spans="1:53" x14ac:dyDescent="0.15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  <c r="AA736" s="264"/>
      <c r="AB736" s="264"/>
      <c r="AC736" s="264"/>
      <c r="AD736" s="264"/>
      <c r="AE736" s="264"/>
      <c r="AF736" s="264"/>
      <c r="AG736" s="264"/>
      <c r="AH736" s="263"/>
      <c r="AI736" s="264"/>
      <c r="AJ736" s="264"/>
      <c r="AK736" s="264"/>
      <c r="AL736" s="264"/>
      <c r="AM736" s="264"/>
      <c r="AN736" s="264"/>
      <c r="AO736" s="264"/>
      <c r="AP736" s="264"/>
      <c r="AQ736" s="264"/>
      <c r="AR736" s="264"/>
      <c r="AS736" s="264"/>
      <c r="AT736" s="264"/>
      <c r="AU736" s="264"/>
      <c r="AV736" s="264"/>
      <c r="AW736" s="264"/>
      <c r="AX736" s="264"/>
      <c r="AY736" s="264"/>
      <c r="AZ736" s="264"/>
      <c r="BA736" s="264"/>
    </row>
    <row r="737" spans="1:53" x14ac:dyDescent="0.15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  <c r="AA737" s="264"/>
      <c r="AB737" s="264"/>
      <c r="AC737" s="264"/>
      <c r="AD737" s="264"/>
      <c r="AE737" s="264"/>
      <c r="AF737" s="264"/>
      <c r="AG737" s="264"/>
      <c r="AH737" s="263"/>
      <c r="AI737" s="264"/>
      <c r="AJ737" s="264"/>
      <c r="AK737" s="264"/>
      <c r="AL737" s="264"/>
      <c r="AM737" s="264"/>
      <c r="AN737" s="264"/>
      <c r="AO737" s="264"/>
      <c r="AP737" s="264"/>
      <c r="AQ737" s="264"/>
      <c r="AR737" s="264"/>
      <c r="AS737" s="264"/>
      <c r="AT737" s="264"/>
      <c r="AU737" s="264"/>
      <c r="AV737" s="264"/>
      <c r="AW737" s="264"/>
      <c r="AX737" s="264"/>
      <c r="AY737" s="264"/>
      <c r="AZ737" s="264"/>
      <c r="BA737" s="264"/>
    </row>
    <row r="738" spans="1:53" x14ac:dyDescent="0.15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3"/>
      <c r="AI738" s="264"/>
      <c r="AJ738" s="264"/>
      <c r="AK738" s="264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</row>
    <row r="739" spans="1:53" x14ac:dyDescent="0.15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3"/>
      <c r="AI739" s="264"/>
      <c r="AJ739" s="264"/>
      <c r="AK739" s="264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</row>
    <row r="740" spans="1:53" x14ac:dyDescent="0.15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  <c r="AA740" s="264"/>
      <c r="AB740" s="264"/>
      <c r="AC740" s="264"/>
      <c r="AD740" s="264"/>
      <c r="AE740" s="264"/>
      <c r="AF740" s="264"/>
      <c r="AG740" s="264"/>
      <c r="AH740" s="263"/>
      <c r="AI740" s="264"/>
      <c r="AJ740" s="264"/>
      <c r="AK740" s="264"/>
      <c r="AL740" s="264"/>
      <c r="AM740" s="264"/>
      <c r="AN740" s="264"/>
      <c r="AO740" s="264"/>
      <c r="AP740" s="264"/>
      <c r="AQ740" s="264"/>
      <c r="AR740" s="264"/>
      <c r="AS740" s="264"/>
      <c r="AT740" s="264"/>
      <c r="AU740" s="264"/>
      <c r="AV740" s="264"/>
      <c r="AW740" s="264"/>
      <c r="AX740" s="264"/>
      <c r="AY740" s="264"/>
      <c r="AZ740" s="264"/>
      <c r="BA740" s="264"/>
    </row>
    <row r="741" spans="1:53" x14ac:dyDescent="0.15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  <c r="AA741" s="264"/>
      <c r="AB741" s="264"/>
      <c r="AC741" s="264"/>
      <c r="AD741" s="264"/>
      <c r="AE741" s="264"/>
      <c r="AF741" s="264"/>
      <c r="AG741" s="264"/>
      <c r="AH741" s="263"/>
      <c r="AI741" s="264"/>
      <c r="AJ741" s="264"/>
      <c r="AK741" s="264"/>
      <c r="AL741" s="264"/>
      <c r="AM741" s="264"/>
      <c r="AN741" s="264"/>
      <c r="AO741" s="264"/>
      <c r="AP741" s="264"/>
      <c r="AQ741" s="264"/>
      <c r="AR741" s="264"/>
      <c r="AS741" s="264"/>
      <c r="AT741" s="264"/>
      <c r="AU741" s="264"/>
      <c r="AV741" s="264"/>
      <c r="AW741" s="264"/>
      <c r="AX741" s="264"/>
      <c r="AY741" s="264"/>
      <c r="AZ741" s="264"/>
      <c r="BA741" s="264"/>
    </row>
    <row r="742" spans="1:53" x14ac:dyDescent="0.15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  <c r="AA742" s="264"/>
      <c r="AB742" s="264"/>
      <c r="AC742" s="264"/>
      <c r="AD742" s="264"/>
      <c r="AE742" s="264"/>
      <c r="AF742" s="264"/>
      <c r="AG742" s="264"/>
      <c r="AH742" s="263"/>
      <c r="AI742" s="264"/>
      <c r="AJ742" s="264"/>
      <c r="AK742" s="264"/>
      <c r="AL742" s="264"/>
      <c r="AM742" s="264"/>
      <c r="AN742" s="264"/>
      <c r="AO742" s="264"/>
      <c r="AP742" s="264"/>
      <c r="AQ742" s="264"/>
      <c r="AR742" s="264"/>
      <c r="AS742" s="264"/>
      <c r="AT742" s="264"/>
      <c r="AU742" s="264"/>
      <c r="AV742" s="264"/>
      <c r="AW742" s="264"/>
      <c r="AX742" s="264"/>
      <c r="AY742" s="264"/>
      <c r="AZ742" s="264"/>
      <c r="BA742" s="264"/>
    </row>
    <row r="743" spans="1:53" x14ac:dyDescent="0.15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  <c r="AA743" s="264"/>
      <c r="AB743" s="264"/>
      <c r="AC743" s="264"/>
      <c r="AD743" s="264"/>
      <c r="AE743" s="264"/>
      <c r="AF743" s="264"/>
      <c r="AG743" s="264"/>
      <c r="AH743" s="263"/>
      <c r="AI743" s="264"/>
      <c r="AJ743" s="264"/>
      <c r="AK743" s="264"/>
      <c r="AL743" s="264"/>
      <c r="AM743" s="264"/>
      <c r="AN743" s="264"/>
      <c r="AO743" s="264"/>
      <c r="AP743" s="264"/>
      <c r="AQ743" s="264"/>
      <c r="AR743" s="264"/>
      <c r="AS743" s="264"/>
      <c r="AT743" s="264"/>
      <c r="AU743" s="264"/>
      <c r="AV743" s="264"/>
      <c r="AW743" s="264"/>
      <c r="AX743" s="264"/>
      <c r="AY743" s="264"/>
      <c r="AZ743" s="264"/>
      <c r="BA743" s="264"/>
    </row>
    <row r="744" spans="1:53" x14ac:dyDescent="0.15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3"/>
      <c r="AI744" s="264"/>
      <c r="AJ744" s="264"/>
      <c r="AK744" s="264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</row>
    <row r="745" spans="1:53" x14ac:dyDescent="0.1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3"/>
      <c r="AI745" s="264"/>
      <c r="AJ745" s="264"/>
      <c r="AK745" s="264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</row>
    <row r="746" spans="1:53" x14ac:dyDescent="0.15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  <c r="AA746" s="264"/>
      <c r="AB746" s="264"/>
      <c r="AC746" s="264"/>
      <c r="AD746" s="264"/>
      <c r="AE746" s="264"/>
      <c r="AF746" s="264"/>
      <c r="AG746" s="264"/>
      <c r="AH746" s="263"/>
      <c r="AI746" s="264"/>
      <c r="AJ746" s="264"/>
      <c r="AK746" s="264"/>
      <c r="AL746" s="264"/>
      <c r="AM746" s="264"/>
      <c r="AN746" s="264"/>
      <c r="AO746" s="264"/>
      <c r="AP746" s="264"/>
      <c r="AQ746" s="264"/>
      <c r="AR746" s="264"/>
      <c r="AS746" s="264"/>
      <c r="AT746" s="264"/>
      <c r="AU746" s="264"/>
      <c r="AV746" s="264"/>
      <c r="AW746" s="264"/>
      <c r="AX746" s="264"/>
      <c r="AY746" s="264"/>
      <c r="AZ746" s="264"/>
      <c r="BA746" s="264"/>
    </row>
    <row r="747" spans="1:53" x14ac:dyDescent="0.15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  <c r="AA747" s="264"/>
      <c r="AB747" s="264"/>
      <c r="AC747" s="264"/>
      <c r="AD747" s="264"/>
      <c r="AE747" s="264"/>
      <c r="AF747" s="264"/>
      <c r="AG747" s="264"/>
      <c r="AH747" s="263"/>
      <c r="AI747" s="264"/>
      <c r="AJ747" s="264"/>
      <c r="AK747" s="264"/>
      <c r="AL747" s="264"/>
      <c r="AM747" s="264"/>
      <c r="AN747" s="264"/>
      <c r="AO747" s="264"/>
      <c r="AP747" s="264"/>
      <c r="AQ747" s="264"/>
      <c r="AR747" s="264"/>
      <c r="AS747" s="264"/>
      <c r="AT747" s="264"/>
      <c r="AU747" s="264"/>
      <c r="AV747" s="264"/>
      <c r="AW747" s="264"/>
      <c r="AX747" s="264"/>
      <c r="AY747" s="264"/>
      <c r="AZ747" s="264"/>
      <c r="BA747" s="264"/>
    </row>
    <row r="748" spans="1:53" x14ac:dyDescent="0.15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  <c r="AA748" s="264"/>
      <c r="AB748" s="264"/>
      <c r="AC748" s="264"/>
      <c r="AD748" s="264"/>
      <c r="AE748" s="264"/>
      <c r="AF748" s="264"/>
      <c r="AG748" s="264"/>
      <c r="AH748" s="263"/>
      <c r="AI748" s="264"/>
      <c r="AJ748" s="264"/>
      <c r="AK748" s="264"/>
      <c r="AL748" s="264"/>
      <c r="AM748" s="264"/>
      <c r="AN748" s="264"/>
      <c r="AO748" s="264"/>
      <c r="AP748" s="264"/>
      <c r="AQ748" s="264"/>
      <c r="AR748" s="264"/>
      <c r="AS748" s="264"/>
      <c r="AT748" s="264"/>
      <c r="AU748" s="264"/>
      <c r="AV748" s="264"/>
      <c r="AW748" s="264"/>
      <c r="AX748" s="264"/>
      <c r="AY748" s="264"/>
      <c r="AZ748" s="264"/>
      <c r="BA748" s="264"/>
    </row>
    <row r="749" spans="1:53" x14ac:dyDescent="0.15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  <c r="AA749" s="264"/>
      <c r="AB749" s="264"/>
      <c r="AC749" s="264"/>
      <c r="AD749" s="264"/>
      <c r="AE749" s="264"/>
      <c r="AF749" s="264"/>
      <c r="AG749" s="264"/>
      <c r="AH749" s="263"/>
      <c r="AI749" s="264"/>
      <c r="AJ749" s="264"/>
      <c r="AK749" s="264"/>
      <c r="AL749" s="264"/>
      <c r="AM749" s="264"/>
      <c r="AN749" s="264"/>
      <c r="AO749" s="264"/>
      <c r="AP749" s="264"/>
      <c r="AQ749" s="264"/>
      <c r="AR749" s="264"/>
      <c r="AS749" s="264"/>
      <c r="AT749" s="264"/>
      <c r="AU749" s="264"/>
      <c r="AV749" s="264"/>
      <c r="AW749" s="264"/>
      <c r="AX749" s="264"/>
      <c r="AY749" s="264"/>
      <c r="AZ749" s="264"/>
      <c r="BA749" s="264"/>
    </row>
    <row r="750" spans="1:53" x14ac:dyDescent="0.15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3"/>
      <c r="AI750" s="264"/>
      <c r="AJ750" s="264"/>
      <c r="AK750" s="264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</row>
    <row r="751" spans="1:53" x14ac:dyDescent="0.15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3"/>
      <c r="AI751" s="264"/>
      <c r="AJ751" s="264"/>
      <c r="AK751" s="264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</row>
    <row r="752" spans="1:53" x14ac:dyDescent="0.15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  <c r="AA752" s="264"/>
      <c r="AB752" s="264"/>
      <c r="AC752" s="264"/>
      <c r="AD752" s="264"/>
      <c r="AE752" s="264"/>
      <c r="AF752" s="264"/>
      <c r="AG752" s="264"/>
      <c r="AH752" s="263"/>
      <c r="AI752" s="264"/>
      <c r="AJ752" s="264"/>
      <c r="AK752" s="264"/>
      <c r="AL752" s="264"/>
      <c r="AM752" s="264"/>
      <c r="AN752" s="264"/>
      <c r="AO752" s="264"/>
      <c r="AP752" s="264"/>
      <c r="AQ752" s="264"/>
      <c r="AR752" s="264"/>
      <c r="AS752" s="264"/>
      <c r="AT752" s="264"/>
      <c r="AU752" s="264"/>
      <c r="AV752" s="264"/>
      <c r="AW752" s="264"/>
      <c r="AX752" s="264"/>
      <c r="AY752" s="264"/>
      <c r="AZ752" s="264"/>
      <c r="BA752" s="264"/>
    </row>
    <row r="753" spans="1:53" x14ac:dyDescent="0.15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  <c r="AA753" s="264"/>
      <c r="AB753" s="264"/>
      <c r="AC753" s="264"/>
      <c r="AD753" s="264"/>
      <c r="AE753" s="264"/>
      <c r="AF753" s="264"/>
      <c r="AG753" s="264"/>
      <c r="AH753" s="263"/>
      <c r="AI753" s="264"/>
      <c r="AJ753" s="264"/>
      <c r="AK753" s="264"/>
      <c r="AL753" s="264"/>
      <c r="AM753" s="264"/>
      <c r="AN753" s="264"/>
      <c r="AO753" s="264"/>
      <c r="AP753" s="264"/>
      <c r="AQ753" s="264"/>
      <c r="AR753" s="264"/>
      <c r="AS753" s="264"/>
      <c r="AT753" s="264"/>
      <c r="AU753" s="264"/>
      <c r="AV753" s="264"/>
      <c r="AW753" s="264"/>
      <c r="AX753" s="264"/>
      <c r="AY753" s="264"/>
      <c r="AZ753" s="264"/>
      <c r="BA753" s="264"/>
    </row>
    <row r="754" spans="1:53" x14ac:dyDescent="0.15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  <c r="AA754" s="264"/>
      <c r="AB754" s="264"/>
      <c r="AC754" s="264"/>
      <c r="AD754" s="264"/>
      <c r="AE754" s="264"/>
      <c r="AF754" s="264"/>
      <c r="AG754" s="264"/>
      <c r="AH754" s="263"/>
      <c r="AI754" s="264"/>
      <c r="AJ754" s="264"/>
      <c r="AK754" s="264"/>
      <c r="AL754" s="264"/>
      <c r="AM754" s="264"/>
      <c r="AN754" s="264"/>
      <c r="AO754" s="264"/>
      <c r="AP754" s="264"/>
      <c r="AQ754" s="264"/>
      <c r="AR754" s="264"/>
      <c r="AS754" s="264"/>
      <c r="AT754" s="264"/>
      <c r="AU754" s="264"/>
      <c r="AV754" s="264"/>
      <c r="AW754" s="264"/>
      <c r="AX754" s="264"/>
      <c r="AY754" s="264"/>
      <c r="AZ754" s="264"/>
      <c r="BA754" s="264"/>
    </row>
    <row r="755" spans="1:53" x14ac:dyDescent="0.1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  <c r="AA755" s="264"/>
      <c r="AB755" s="264"/>
      <c r="AC755" s="264"/>
      <c r="AD755" s="264"/>
      <c r="AE755" s="264"/>
      <c r="AF755" s="264"/>
      <c r="AG755" s="264"/>
      <c r="AH755" s="263"/>
      <c r="AI755" s="264"/>
      <c r="AJ755" s="264"/>
      <c r="AK755" s="264"/>
      <c r="AL755" s="264"/>
      <c r="AM755" s="264"/>
      <c r="AN755" s="264"/>
      <c r="AO755" s="264"/>
      <c r="AP755" s="264"/>
      <c r="AQ755" s="264"/>
      <c r="AR755" s="264"/>
      <c r="AS755" s="264"/>
      <c r="AT755" s="264"/>
      <c r="AU755" s="264"/>
      <c r="AV755" s="264"/>
      <c r="AW755" s="264"/>
      <c r="AX755" s="264"/>
      <c r="AY755" s="264"/>
      <c r="AZ755" s="264"/>
      <c r="BA755" s="264"/>
    </row>
    <row r="756" spans="1:53" x14ac:dyDescent="0.15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  <c r="AA756" s="264"/>
      <c r="AB756" s="264"/>
      <c r="AC756" s="264"/>
      <c r="AD756" s="264"/>
      <c r="AE756" s="264"/>
      <c r="AF756" s="264"/>
      <c r="AG756" s="264"/>
      <c r="AH756" s="263"/>
      <c r="AI756" s="264"/>
      <c r="AJ756" s="264"/>
      <c r="AK756" s="264"/>
      <c r="AL756" s="264"/>
      <c r="AM756" s="264"/>
      <c r="AN756" s="264"/>
      <c r="AO756" s="264"/>
      <c r="AP756" s="264"/>
      <c r="AQ756" s="264"/>
      <c r="AR756" s="264"/>
      <c r="AS756" s="264"/>
      <c r="AT756" s="264"/>
      <c r="AU756" s="264"/>
      <c r="AV756" s="264"/>
      <c r="AW756" s="264"/>
      <c r="AX756" s="264"/>
      <c r="AY756" s="264"/>
      <c r="AZ756" s="264"/>
      <c r="BA756" s="264"/>
    </row>
    <row r="757" spans="1:53" x14ac:dyDescent="0.15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  <c r="AA757" s="264"/>
      <c r="AB757" s="264"/>
      <c r="AC757" s="264"/>
      <c r="AD757" s="264"/>
      <c r="AE757" s="264"/>
      <c r="AF757" s="264"/>
      <c r="AG757" s="264"/>
      <c r="AH757" s="263"/>
      <c r="AI757" s="264"/>
      <c r="AJ757" s="264"/>
      <c r="AK757" s="264"/>
      <c r="AL757" s="264"/>
      <c r="AM757" s="264"/>
      <c r="AN757" s="264"/>
      <c r="AO757" s="264"/>
      <c r="AP757" s="264"/>
      <c r="AQ757" s="264"/>
      <c r="AR757" s="264"/>
      <c r="AS757" s="264"/>
      <c r="AT757" s="264"/>
      <c r="AU757" s="264"/>
      <c r="AV757" s="264"/>
      <c r="AW757" s="264"/>
      <c r="AX757" s="264"/>
      <c r="AY757" s="264"/>
      <c r="AZ757" s="264"/>
      <c r="BA757" s="264"/>
    </row>
    <row r="758" spans="1:53" x14ac:dyDescent="0.15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  <c r="AA758" s="264"/>
      <c r="AB758" s="264"/>
      <c r="AC758" s="264"/>
      <c r="AD758" s="264"/>
      <c r="AE758" s="264"/>
      <c r="AF758" s="264"/>
      <c r="AG758" s="264"/>
      <c r="AH758" s="263"/>
      <c r="AI758" s="264"/>
      <c r="AJ758" s="264"/>
      <c r="AK758" s="264"/>
      <c r="AL758" s="264"/>
      <c r="AM758" s="264"/>
      <c r="AN758" s="264"/>
      <c r="AO758" s="264"/>
      <c r="AP758" s="264"/>
      <c r="AQ758" s="264"/>
      <c r="AR758" s="264"/>
      <c r="AS758" s="264"/>
      <c r="AT758" s="264"/>
      <c r="AU758" s="264"/>
      <c r="AV758" s="264"/>
      <c r="AW758" s="264"/>
      <c r="AX758" s="264"/>
      <c r="AY758" s="264"/>
      <c r="AZ758" s="264"/>
      <c r="BA758" s="264"/>
    </row>
    <row r="759" spans="1:53" x14ac:dyDescent="0.15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63"/>
      <c r="AI759" s="264"/>
      <c r="AJ759" s="264"/>
      <c r="AK759" s="264"/>
      <c r="AL759" s="264"/>
      <c r="AM759" s="264"/>
      <c r="AN759" s="264"/>
      <c r="AO759" s="264"/>
      <c r="AP759" s="264"/>
      <c r="AQ759" s="264"/>
      <c r="AR759" s="264"/>
      <c r="AS759" s="264"/>
      <c r="AT759" s="264"/>
      <c r="AU759" s="264"/>
      <c r="AV759" s="264"/>
      <c r="AW759" s="264"/>
      <c r="AX759" s="264"/>
      <c r="AY759" s="264"/>
      <c r="AZ759" s="264"/>
      <c r="BA759" s="264"/>
    </row>
    <row r="760" spans="1:53" x14ac:dyDescent="0.15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  <c r="AA760" s="264"/>
      <c r="AB760" s="264"/>
      <c r="AC760" s="264"/>
      <c r="AD760" s="264"/>
      <c r="AE760" s="264"/>
      <c r="AF760" s="264"/>
      <c r="AG760" s="264"/>
      <c r="AH760" s="263"/>
      <c r="AI760" s="264"/>
      <c r="AJ760" s="264"/>
      <c r="AK760" s="264"/>
      <c r="AL760" s="264"/>
      <c r="AM760" s="264"/>
      <c r="AN760" s="264"/>
      <c r="AO760" s="264"/>
      <c r="AP760" s="264"/>
      <c r="AQ760" s="264"/>
      <c r="AR760" s="264"/>
      <c r="AS760" s="264"/>
      <c r="AT760" s="264"/>
      <c r="AU760" s="264"/>
      <c r="AV760" s="264"/>
      <c r="AW760" s="264"/>
      <c r="AX760" s="264"/>
      <c r="AY760" s="264"/>
      <c r="AZ760" s="264"/>
      <c r="BA760" s="264"/>
    </row>
    <row r="761" spans="1:53" x14ac:dyDescent="0.15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3"/>
      <c r="AI761" s="264"/>
      <c r="AJ761" s="264"/>
      <c r="AK761" s="264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</row>
    <row r="762" spans="1:53" x14ac:dyDescent="0.15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3"/>
      <c r="AI762" s="264"/>
      <c r="AJ762" s="264"/>
      <c r="AK762" s="264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</row>
    <row r="763" spans="1:53" x14ac:dyDescent="0.15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3"/>
      <c r="AI763" s="264"/>
      <c r="AJ763" s="264"/>
      <c r="AK763" s="264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</row>
    <row r="764" spans="1:53" x14ac:dyDescent="0.15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3"/>
      <c r="AI764" s="264"/>
      <c r="AJ764" s="264"/>
      <c r="AK764" s="264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</row>
    <row r="765" spans="1:53" x14ac:dyDescent="0.1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3"/>
      <c r="AI765" s="264"/>
      <c r="AJ765" s="264"/>
      <c r="AK765" s="264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</row>
    <row r="766" spans="1:53" x14ac:dyDescent="0.15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3"/>
      <c r="AI766" s="264"/>
      <c r="AJ766" s="264"/>
      <c r="AK766" s="264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</row>
    <row r="767" spans="1:53" x14ac:dyDescent="0.15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3"/>
      <c r="AI767" s="264"/>
      <c r="AJ767" s="264"/>
      <c r="AK767" s="264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</row>
    <row r="768" spans="1:53" x14ac:dyDescent="0.15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3"/>
      <c r="AI768" s="264"/>
      <c r="AJ768" s="264"/>
      <c r="AK768" s="264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</row>
    <row r="769" spans="1:53" x14ac:dyDescent="0.15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3"/>
      <c r="AI769" s="264"/>
      <c r="AJ769" s="264"/>
      <c r="AK769" s="264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</row>
    <row r="770" spans="1:53" x14ac:dyDescent="0.15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  <c r="AA770" s="264"/>
      <c r="AB770" s="264"/>
      <c r="AC770" s="264"/>
      <c r="AD770" s="264"/>
      <c r="AE770" s="264"/>
      <c r="AF770" s="264"/>
      <c r="AG770" s="264"/>
      <c r="AH770" s="263"/>
      <c r="AI770" s="264"/>
      <c r="AJ770" s="264"/>
      <c r="AK770" s="264"/>
      <c r="AL770" s="264"/>
      <c r="AM770" s="264"/>
      <c r="AN770" s="264"/>
      <c r="AO770" s="264"/>
      <c r="AP770" s="264"/>
      <c r="AQ770" s="264"/>
      <c r="AR770" s="264"/>
      <c r="AS770" s="264"/>
      <c r="AT770" s="264"/>
      <c r="AU770" s="264"/>
      <c r="AV770" s="264"/>
      <c r="AW770" s="264"/>
      <c r="AX770" s="264"/>
      <c r="AY770" s="264"/>
      <c r="AZ770" s="264"/>
      <c r="BA770" s="264"/>
    </row>
    <row r="771" spans="1:53" x14ac:dyDescent="0.15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  <c r="AA771" s="264"/>
      <c r="AB771" s="264"/>
      <c r="AC771" s="264"/>
      <c r="AD771" s="264"/>
      <c r="AE771" s="264"/>
      <c r="AF771" s="264"/>
      <c r="AG771" s="264"/>
      <c r="AH771" s="263"/>
      <c r="AI771" s="264"/>
      <c r="AJ771" s="264"/>
      <c r="AK771" s="264"/>
      <c r="AL771" s="264"/>
      <c r="AM771" s="264"/>
      <c r="AN771" s="264"/>
      <c r="AO771" s="264"/>
      <c r="AP771" s="264"/>
      <c r="AQ771" s="264"/>
      <c r="AR771" s="264"/>
      <c r="AS771" s="264"/>
      <c r="AT771" s="264"/>
      <c r="AU771" s="264"/>
      <c r="AV771" s="264"/>
      <c r="AW771" s="264"/>
      <c r="AX771" s="264"/>
      <c r="AY771" s="264"/>
      <c r="AZ771" s="264"/>
      <c r="BA771" s="264"/>
    </row>
    <row r="772" spans="1:53" x14ac:dyDescent="0.15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  <c r="AA772" s="264"/>
      <c r="AB772" s="264"/>
      <c r="AC772" s="264"/>
      <c r="AD772" s="264"/>
      <c r="AE772" s="264"/>
      <c r="AF772" s="264"/>
      <c r="AG772" s="264"/>
      <c r="AH772" s="263"/>
      <c r="AI772" s="264"/>
      <c r="AJ772" s="264"/>
      <c r="AK772" s="264"/>
      <c r="AL772" s="264"/>
      <c r="AM772" s="264"/>
      <c r="AN772" s="264"/>
      <c r="AO772" s="264"/>
      <c r="AP772" s="264"/>
      <c r="AQ772" s="264"/>
      <c r="AR772" s="264"/>
      <c r="AS772" s="264"/>
      <c r="AT772" s="264"/>
      <c r="AU772" s="264"/>
      <c r="AV772" s="264"/>
      <c r="AW772" s="264"/>
      <c r="AX772" s="264"/>
      <c r="AY772" s="264"/>
      <c r="AZ772" s="264"/>
      <c r="BA772" s="264"/>
    </row>
    <row r="773" spans="1:53" x14ac:dyDescent="0.15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  <c r="AA773" s="264"/>
      <c r="AB773" s="264"/>
      <c r="AC773" s="264"/>
      <c r="AD773" s="264"/>
      <c r="AE773" s="264"/>
      <c r="AF773" s="264"/>
      <c r="AG773" s="264"/>
      <c r="AH773" s="263"/>
      <c r="AI773" s="264"/>
      <c r="AJ773" s="264"/>
      <c r="AK773" s="264"/>
      <c r="AL773" s="264"/>
      <c r="AM773" s="264"/>
      <c r="AN773" s="264"/>
      <c r="AO773" s="264"/>
      <c r="AP773" s="264"/>
      <c r="AQ773" s="264"/>
      <c r="AR773" s="264"/>
      <c r="AS773" s="264"/>
      <c r="AT773" s="264"/>
      <c r="AU773" s="264"/>
      <c r="AV773" s="264"/>
      <c r="AW773" s="264"/>
      <c r="AX773" s="264"/>
      <c r="AY773" s="264"/>
      <c r="AZ773" s="264"/>
      <c r="BA773" s="264"/>
    </row>
    <row r="774" spans="1:53" x14ac:dyDescent="0.15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  <c r="AA774" s="264"/>
      <c r="AB774" s="264"/>
      <c r="AC774" s="264"/>
      <c r="AD774" s="264"/>
      <c r="AE774" s="264"/>
      <c r="AF774" s="264"/>
      <c r="AG774" s="264"/>
      <c r="AH774" s="263"/>
      <c r="AI774" s="264"/>
      <c r="AJ774" s="264"/>
      <c r="AK774" s="264"/>
      <c r="AL774" s="264"/>
      <c r="AM774" s="264"/>
      <c r="AN774" s="264"/>
      <c r="AO774" s="264"/>
      <c r="AP774" s="264"/>
      <c r="AQ774" s="264"/>
      <c r="AR774" s="264"/>
      <c r="AS774" s="264"/>
      <c r="AT774" s="264"/>
      <c r="AU774" s="264"/>
      <c r="AV774" s="264"/>
      <c r="AW774" s="264"/>
      <c r="AX774" s="264"/>
      <c r="AY774" s="264"/>
      <c r="AZ774" s="264"/>
      <c r="BA774" s="264"/>
    </row>
    <row r="775" spans="1:53" x14ac:dyDescent="0.1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  <c r="AA775" s="264"/>
      <c r="AB775" s="264"/>
      <c r="AC775" s="264"/>
      <c r="AD775" s="264"/>
      <c r="AE775" s="264"/>
      <c r="AF775" s="264"/>
      <c r="AG775" s="264"/>
      <c r="AH775" s="263"/>
      <c r="AI775" s="264"/>
      <c r="AJ775" s="264"/>
      <c r="AK775" s="264"/>
      <c r="AL775" s="264"/>
      <c r="AM775" s="264"/>
      <c r="AN775" s="264"/>
      <c r="AO775" s="264"/>
      <c r="AP775" s="264"/>
      <c r="AQ775" s="264"/>
      <c r="AR775" s="264"/>
      <c r="AS775" s="264"/>
      <c r="AT775" s="264"/>
      <c r="AU775" s="264"/>
      <c r="AV775" s="264"/>
      <c r="AW775" s="264"/>
      <c r="AX775" s="264"/>
      <c r="AY775" s="264"/>
      <c r="AZ775" s="264"/>
      <c r="BA775" s="264"/>
    </row>
    <row r="776" spans="1:53" x14ac:dyDescent="0.15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  <c r="AA776" s="264"/>
      <c r="AB776" s="264"/>
      <c r="AC776" s="264"/>
      <c r="AD776" s="264"/>
      <c r="AE776" s="264"/>
      <c r="AF776" s="264"/>
      <c r="AG776" s="264"/>
      <c r="AH776" s="263"/>
      <c r="AI776" s="264"/>
      <c r="AJ776" s="264"/>
      <c r="AK776" s="264"/>
      <c r="AL776" s="264"/>
      <c r="AM776" s="264"/>
      <c r="AN776" s="264"/>
      <c r="AO776" s="264"/>
      <c r="AP776" s="264"/>
      <c r="AQ776" s="264"/>
      <c r="AR776" s="264"/>
      <c r="AS776" s="264"/>
      <c r="AT776" s="264"/>
      <c r="AU776" s="264"/>
      <c r="AV776" s="264"/>
      <c r="AW776" s="264"/>
      <c r="AX776" s="264"/>
      <c r="AY776" s="264"/>
      <c r="AZ776" s="264"/>
      <c r="BA776" s="264"/>
    </row>
    <row r="777" spans="1:53" x14ac:dyDescent="0.15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  <c r="AA777" s="264"/>
      <c r="AB777" s="264"/>
      <c r="AC777" s="264"/>
      <c r="AD777" s="264"/>
      <c r="AE777" s="264"/>
      <c r="AF777" s="264"/>
      <c r="AG777" s="264"/>
      <c r="AH777" s="263"/>
      <c r="AI777" s="264"/>
      <c r="AJ777" s="264"/>
      <c r="AK777" s="264"/>
      <c r="AL777" s="264"/>
      <c r="AM777" s="264"/>
      <c r="AN777" s="264"/>
      <c r="AO777" s="264"/>
      <c r="AP777" s="264"/>
      <c r="AQ777" s="264"/>
      <c r="AR777" s="264"/>
      <c r="AS777" s="264"/>
      <c r="AT777" s="264"/>
      <c r="AU777" s="264"/>
      <c r="AV777" s="264"/>
      <c r="AW777" s="264"/>
      <c r="AX777" s="264"/>
      <c r="AY777" s="264"/>
      <c r="AZ777" s="264"/>
      <c r="BA777" s="264"/>
    </row>
    <row r="778" spans="1:53" x14ac:dyDescent="0.15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  <c r="AA778" s="264"/>
      <c r="AB778" s="264"/>
      <c r="AC778" s="264"/>
      <c r="AD778" s="264"/>
      <c r="AE778" s="264"/>
      <c r="AF778" s="264"/>
      <c r="AG778" s="264"/>
      <c r="AH778" s="263"/>
      <c r="AI778" s="264"/>
      <c r="AJ778" s="264"/>
      <c r="AK778" s="264"/>
      <c r="AL778" s="264"/>
      <c r="AM778" s="264"/>
      <c r="AN778" s="264"/>
      <c r="AO778" s="264"/>
      <c r="AP778" s="264"/>
      <c r="AQ778" s="264"/>
      <c r="AR778" s="264"/>
      <c r="AS778" s="264"/>
      <c r="AT778" s="264"/>
      <c r="AU778" s="264"/>
      <c r="AV778" s="264"/>
      <c r="AW778" s="264"/>
      <c r="AX778" s="264"/>
      <c r="AY778" s="264"/>
      <c r="AZ778" s="264"/>
      <c r="BA778" s="264"/>
    </row>
    <row r="779" spans="1:53" x14ac:dyDescent="0.15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  <c r="AA779" s="264"/>
      <c r="AB779" s="264"/>
      <c r="AC779" s="264"/>
      <c r="AD779" s="264"/>
      <c r="AE779" s="264"/>
      <c r="AF779" s="264"/>
      <c r="AG779" s="264"/>
      <c r="AH779" s="263"/>
      <c r="AI779" s="264"/>
      <c r="AJ779" s="264"/>
      <c r="AK779" s="264"/>
      <c r="AL779" s="264"/>
      <c r="AM779" s="264"/>
      <c r="AN779" s="264"/>
      <c r="AO779" s="264"/>
      <c r="AP779" s="264"/>
      <c r="AQ779" s="264"/>
      <c r="AR779" s="264"/>
      <c r="AS779" s="264"/>
      <c r="AT779" s="264"/>
      <c r="AU779" s="264"/>
      <c r="AV779" s="264"/>
      <c r="AW779" s="264"/>
      <c r="AX779" s="264"/>
      <c r="AY779" s="264"/>
      <c r="AZ779" s="264"/>
      <c r="BA779" s="264"/>
    </row>
    <row r="780" spans="1:53" x14ac:dyDescent="0.15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  <c r="AA780" s="264"/>
      <c r="AB780" s="264"/>
      <c r="AC780" s="264"/>
      <c r="AD780" s="264"/>
      <c r="AE780" s="264"/>
      <c r="AF780" s="264"/>
      <c r="AG780" s="264"/>
      <c r="AH780" s="263"/>
      <c r="AI780" s="264"/>
      <c r="AJ780" s="264"/>
      <c r="AK780" s="264"/>
      <c r="AL780" s="264"/>
      <c r="AM780" s="264"/>
      <c r="AN780" s="264"/>
      <c r="AO780" s="264"/>
      <c r="AP780" s="264"/>
      <c r="AQ780" s="264"/>
      <c r="AR780" s="264"/>
      <c r="AS780" s="264"/>
      <c r="AT780" s="264"/>
      <c r="AU780" s="264"/>
      <c r="AV780" s="264"/>
      <c r="AW780" s="264"/>
      <c r="AX780" s="264"/>
      <c r="AY780" s="264"/>
      <c r="AZ780" s="264"/>
      <c r="BA780" s="264"/>
    </row>
    <row r="781" spans="1:53" x14ac:dyDescent="0.15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  <c r="AA781" s="264"/>
      <c r="AB781" s="264"/>
      <c r="AC781" s="264"/>
      <c r="AD781" s="264"/>
      <c r="AE781" s="264"/>
      <c r="AF781" s="264"/>
      <c r="AG781" s="264"/>
      <c r="AH781" s="263"/>
      <c r="AI781" s="264"/>
      <c r="AJ781" s="264"/>
      <c r="AK781" s="264"/>
      <c r="AL781" s="264"/>
      <c r="AM781" s="264"/>
      <c r="AN781" s="264"/>
      <c r="AO781" s="264"/>
      <c r="AP781" s="264"/>
      <c r="AQ781" s="264"/>
      <c r="AR781" s="264"/>
      <c r="AS781" s="264"/>
      <c r="AT781" s="264"/>
      <c r="AU781" s="264"/>
      <c r="AV781" s="264"/>
      <c r="AW781" s="264"/>
      <c r="AX781" s="264"/>
      <c r="AY781" s="264"/>
      <c r="AZ781" s="264"/>
      <c r="BA781" s="264"/>
    </row>
    <row r="782" spans="1:53" x14ac:dyDescent="0.15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  <c r="AA782" s="264"/>
      <c r="AB782" s="264"/>
      <c r="AC782" s="264"/>
      <c r="AD782" s="264"/>
      <c r="AE782" s="264"/>
      <c r="AF782" s="264"/>
      <c r="AG782" s="264"/>
      <c r="AH782" s="263"/>
      <c r="AI782" s="264"/>
      <c r="AJ782" s="264"/>
      <c r="AK782" s="264"/>
      <c r="AL782" s="264"/>
      <c r="AM782" s="264"/>
      <c r="AN782" s="264"/>
      <c r="AO782" s="264"/>
      <c r="AP782" s="264"/>
      <c r="AQ782" s="264"/>
      <c r="AR782" s="264"/>
      <c r="AS782" s="264"/>
      <c r="AT782" s="264"/>
      <c r="AU782" s="264"/>
      <c r="AV782" s="264"/>
      <c r="AW782" s="264"/>
      <c r="AX782" s="264"/>
      <c r="AY782" s="264"/>
      <c r="AZ782" s="264"/>
      <c r="BA782" s="264"/>
    </row>
    <row r="783" spans="1:53" x14ac:dyDescent="0.15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  <c r="AA783" s="264"/>
      <c r="AB783" s="264"/>
      <c r="AC783" s="264"/>
      <c r="AD783" s="264"/>
      <c r="AE783" s="264"/>
      <c r="AF783" s="264"/>
      <c r="AG783" s="264"/>
      <c r="AH783" s="263"/>
      <c r="AI783" s="264"/>
      <c r="AJ783" s="264"/>
      <c r="AK783" s="264"/>
      <c r="AL783" s="264"/>
      <c r="AM783" s="264"/>
      <c r="AN783" s="264"/>
      <c r="AO783" s="264"/>
      <c r="AP783" s="264"/>
      <c r="AQ783" s="264"/>
      <c r="AR783" s="264"/>
      <c r="AS783" s="264"/>
      <c r="AT783" s="264"/>
      <c r="AU783" s="264"/>
      <c r="AV783" s="264"/>
      <c r="AW783" s="264"/>
      <c r="AX783" s="264"/>
      <c r="AY783" s="264"/>
      <c r="AZ783" s="264"/>
      <c r="BA783" s="264"/>
    </row>
    <row r="784" spans="1:53" x14ac:dyDescent="0.15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  <c r="AA784" s="264"/>
      <c r="AB784" s="264"/>
      <c r="AC784" s="264"/>
      <c r="AD784" s="264"/>
      <c r="AE784" s="264"/>
      <c r="AF784" s="264"/>
      <c r="AG784" s="264"/>
      <c r="AH784" s="263"/>
      <c r="AI784" s="264"/>
      <c r="AJ784" s="264"/>
      <c r="AK784" s="264"/>
      <c r="AL784" s="264"/>
      <c r="AM784" s="264"/>
      <c r="AN784" s="264"/>
      <c r="AO784" s="264"/>
      <c r="AP784" s="264"/>
      <c r="AQ784" s="264"/>
      <c r="AR784" s="264"/>
      <c r="AS784" s="264"/>
      <c r="AT784" s="264"/>
      <c r="AU784" s="264"/>
      <c r="AV784" s="264"/>
      <c r="AW784" s="264"/>
      <c r="AX784" s="264"/>
      <c r="AY784" s="264"/>
      <c r="AZ784" s="264"/>
      <c r="BA784" s="264"/>
    </row>
    <row r="785" spans="1:53" x14ac:dyDescent="0.1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  <c r="AA785" s="264"/>
      <c r="AB785" s="264"/>
      <c r="AC785" s="264"/>
      <c r="AD785" s="264"/>
      <c r="AE785" s="264"/>
      <c r="AF785" s="264"/>
      <c r="AG785" s="264"/>
      <c r="AH785" s="263"/>
      <c r="AI785" s="264"/>
      <c r="AJ785" s="264"/>
      <c r="AK785" s="264"/>
      <c r="AL785" s="264"/>
      <c r="AM785" s="264"/>
      <c r="AN785" s="264"/>
      <c r="AO785" s="264"/>
      <c r="AP785" s="264"/>
      <c r="AQ785" s="264"/>
      <c r="AR785" s="264"/>
      <c r="AS785" s="264"/>
      <c r="AT785" s="264"/>
      <c r="AU785" s="264"/>
      <c r="AV785" s="264"/>
      <c r="AW785" s="264"/>
      <c r="AX785" s="264"/>
      <c r="AY785" s="264"/>
      <c r="AZ785" s="264"/>
      <c r="BA785" s="264"/>
    </row>
    <row r="786" spans="1:53" x14ac:dyDescent="0.15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  <c r="AA786" s="264"/>
      <c r="AB786" s="264"/>
      <c r="AC786" s="264"/>
      <c r="AD786" s="264"/>
      <c r="AE786" s="264"/>
      <c r="AF786" s="264"/>
      <c r="AG786" s="264"/>
      <c r="AH786" s="263"/>
      <c r="AI786" s="264"/>
      <c r="AJ786" s="264"/>
      <c r="AK786" s="264"/>
      <c r="AL786" s="264"/>
      <c r="AM786" s="264"/>
      <c r="AN786" s="264"/>
      <c r="AO786" s="264"/>
      <c r="AP786" s="264"/>
      <c r="AQ786" s="264"/>
      <c r="AR786" s="264"/>
      <c r="AS786" s="264"/>
      <c r="AT786" s="264"/>
      <c r="AU786" s="264"/>
      <c r="AV786" s="264"/>
      <c r="AW786" s="264"/>
      <c r="AX786" s="264"/>
      <c r="AY786" s="264"/>
      <c r="AZ786" s="264"/>
      <c r="BA786" s="264"/>
    </row>
    <row r="787" spans="1:53" x14ac:dyDescent="0.15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  <c r="AA787" s="264"/>
      <c r="AB787" s="264"/>
      <c r="AC787" s="264"/>
      <c r="AD787" s="264"/>
      <c r="AE787" s="264"/>
      <c r="AF787" s="264"/>
      <c r="AG787" s="264"/>
      <c r="AH787" s="263"/>
      <c r="AI787" s="264"/>
      <c r="AJ787" s="264"/>
      <c r="AK787" s="264"/>
      <c r="AL787" s="264"/>
      <c r="AM787" s="264"/>
      <c r="AN787" s="264"/>
      <c r="AO787" s="264"/>
      <c r="AP787" s="264"/>
      <c r="AQ787" s="264"/>
      <c r="AR787" s="264"/>
      <c r="AS787" s="264"/>
      <c r="AT787" s="264"/>
      <c r="AU787" s="264"/>
      <c r="AV787" s="264"/>
      <c r="AW787" s="264"/>
      <c r="AX787" s="264"/>
      <c r="AY787" s="264"/>
      <c r="AZ787" s="264"/>
      <c r="BA787" s="264"/>
    </row>
    <row r="788" spans="1:53" x14ac:dyDescent="0.15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  <c r="AA788" s="264"/>
      <c r="AB788" s="264"/>
      <c r="AC788" s="264"/>
      <c r="AD788" s="264"/>
      <c r="AE788" s="264"/>
      <c r="AF788" s="264"/>
      <c r="AG788" s="264"/>
      <c r="AH788" s="263"/>
      <c r="AI788" s="264"/>
      <c r="AJ788" s="264"/>
      <c r="AK788" s="264"/>
      <c r="AL788" s="264"/>
      <c r="AM788" s="264"/>
      <c r="AN788" s="264"/>
      <c r="AO788" s="264"/>
      <c r="AP788" s="264"/>
      <c r="AQ788" s="264"/>
      <c r="AR788" s="264"/>
      <c r="AS788" s="264"/>
      <c r="AT788" s="264"/>
      <c r="AU788" s="264"/>
      <c r="AV788" s="264"/>
      <c r="AW788" s="264"/>
      <c r="AX788" s="264"/>
      <c r="AY788" s="264"/>
      <c r="AZ788" s="264"/>
      <c r="BA788" s="264"/>
    </row>
    <row r="789" spans="1:53" x14ac:dyDescent="0.15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  <c r="AA789" s="264"/>
      <c r="AB789" s="264"/>
      <c r="AC789" s="264"/>
      <c r="AD789" s="264"/>
      <c r="AE789" s="264"/>
      <c r="AF789" s="264"/>
      <c r="AG789" s="264"/>
      <c r="AH789" s="263"/>
      <c r="AI789" s="264"/>
      <c r="AJ789" s="264"/>
      <c r="AK789" s="264"/>
      <c r="AL789" s="264"/>
      <c r="AM789" s="264"/>
      <c r="AN789" s="264"/>
      <c r="AO789" s="264"/>
      <c r="AP789" s="264"/>
      <c r="AQ789" s="264"/>
      <c r="AR789" s="264"/>
      <c r="AS789" s="264"/>
      <c r="AT789" s="264"/>
      <c r="AU789" s="264"/>
      <c r="AV789" s="264"/>
      <c r="AW789" s="264"/>
      <c r="AX789" s="264"/>
      <c r="AY789" s="264"/>
      <c r="AZ789" s="264"/>
      <c r="BA789" s="264"/>
    </row>
    <row r="790" spans="1:53" x14ac:dyDescent="0.15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  <c r="AA790" s="264"/>
      <c r="AB790" s="264"/>
      <c r="AC790" s="264"/>
      <c r="AD790" s="264"/>
      <c r="AE790" s="264"/>
      <c r="AF790" s="264"/>
      <c r="AG790" s="264"/>
      <c r="AH790" s="263"/>
      <c r="AI790" s="264"/>
      <c r="AJ790" s="264"/>
      <c r="AK790" s="264"/>
      <c r="AL790" s="264"/>
      <c r="AM790" s="264"/>
      <c r="AN790" s="264"/>
      <c r="AO790" s="264"/>
      <c r="AP790" s="264"/>
      <c r="AQ790" s="264"/>
      <c r="AR790" s="264"/>
      <c r="AS790" s="264"/>
      <c r="AT790" s="264"/>
      <c r="AU790" s="264"/>
      <c r="AV790" s="264"/>
      <c r="AW790" s="264"/>
      <c r="AX790" s="264"/>
      <c r="AY790" s="264"/>
      <c r="AZ790" s="264"/>
      <c r="BA790" s="264"/>
    </row>
    <row r="791" spans="1:53" x14ac:dyDescent="0.15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  <c r="AA791" s="264"/>
      <c r="AB791" s="264"/>
      <c r="AC791" s="264"/>
      <c r="AD791" s="264"/>
      <c r="AE791" s="264"/>
      <c r="AF791" s="264"/>
      <c r="AG791" s="264"/>
      <c r="AH791" s="263"/>
      <c r="AI791" s="264"/>
      <c r="AJ791" s="264"/>
      <c r="AK791" s="264"/>
      <c r="AL791" s="264"/>
      <c r="AM791" s="264"/>
      <c r="AN791" s="264"/>
      <c r="AO791" s="264"/>
      <c r="AP791" s="264"/>
      <c r="AQ791" s="264"/>
      <c r="AR791" s="264"/>
      <c r="AS791" s="264"/>
      <c r="AT791" s="264"/>
      <c r="AU791" s="264"/>
      <c r="AV791" s="264"/>
      <c r="AW791" s="264"/>
      <c r="AX791" s="264"/>
      <c r="AY791" s="264"/>
      <c r="AZ791" s="264"/>
      <c r="BA791" s="264"/>
    </row>
    <row r="792" spans="1:53" x14ac:dyDescent="0.15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  <c r="AA792" s="264"/>
      <c r="AB792" s="264"/>
      <c r="AC792" s="264"/>
      <c r="AD792" s="264"/>
      <c r="AE792" s="264"/>
      <c r="AF792" s="264"/>
      <c r="AG792" s="264"/>
      <c r="AH792" s="263"/>
      <c r="AI792" s="264"/>
      <c r="AJ792" s="264"/>
      <c r="AK792" s="264"/>
      <c r="AL792" s="264"/>
      <c r="AM792" s="264"/>
      <c r="AN792" s="264"/>
      <c r="AO792" s="264"/>
      <c r="AP792" s="264"/>
      <c r="AQ792" s="264"/>
      <c r="AR792" s="264"/>
      <c r="AS792" s="264"/>
      <c r="AT792" s="264"/>
      <c r="AU792" s="264"/>
      <c r="AV792" s="264"/>
      <c r="AW792" s="264"/>
      <c r="AX792" s="264"/>
      <c r="AY792" s="264"/>
      <c r="AZ792" s="264"/>
      <c r="BA792" s="264"/>
    </row>
    <row r="793" spans="1:53" x14ac:dyDescent="0.15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  <c r="AA793" s="264"/>
      <c r="AB793" s="264"/>
      <c r="AC793" s="264"/>
      <c r="AD793" s="264"/>
      <c r="AE793" s="264"/>
      <c r="AF793" s="264"/>
      <c r="AG793" s="264"/>
      <c r="AH793" s="263"/>
      <c r="AI793" s="264"/>
      <c r="AJ793" s="264"/>
      <c r="AK793" s="264"/>
      <c r="AL793" s="264"/>
      <c r="AM793" s="264"/>
      <c r="AN793" s="264"/>
      <c r="AO793" s="264"/>
      <c r="AP793" s="264"/>
      <c r="AQ793" s="264"/>
      <c r="AR793" s="264"/>
      <c r="AS793" s="264"/>
      <c r="AT793" s="264"/>
      <c r="AU793" s="264"/>
      <c r="AV793" s="264"/>
      <c r="AW793" s="264"/>
      <c r="AX793" s="264"/>
      <c r="AY793" s="264"/>
      <c r="AZ793" s="264"/>
      <c r="BA793" s="264"/>
    </row>
    <row r="794" spans="1:53" x14ac:dyDescent="0.15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  <c r="AA794" s="264"/>
      <c r="AB794" s="264"/>
      <c r="AC794" s="264"/>
      <c r="AD794" s="264"/>
      <c r="AE794" s="264"/>
      <c r="AF794" s="264"/>
      <c r="AG794" s="264"/>
      <c r="AH794" s="263"/>
      <c r="AI794" s="264"/>
      <c r="AJ794" s="264"/>
      <c r="AK794" s="264"/>
      <c r="AL794" s="264"/>
      <c r="AM794" s="264"/>
      <c r="AN794" s="264"/>
      <c r="AO794" s="264"/>
      <c r="AP794" s="264"/>
      <c r="AQ794" s="264"/>
      <c r="AR794" s="264"/>
      <c r="AS794" s="264"/>
      <c r="AT794" s="264"/>
      <c r="AU794" s="264"/>
      <c r="AV794" s="264"/>
      <c r="AW794" s="264"/>
      <c r="AX794" s="264"/>
      <c r="AY794" s="264"/>
      <c r="AZ794" s="264"/>
      <c r="BA794" s="264"/>
    </row>
    <row r="795" spans="1:53" x14ac:dyDescent="0.1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  <c r="AA795" s="264"/>
      <c r="AB795" s="264"/>
      <c r="AC795" s="264"/>
      <c r="AD795" s="264"/>
      <c r="AE795" s="264"/>
      <c r="AF795" s="264"/>
      <c r="AG795" s="264"/>
      <c r="AH795" s="263"/>
      <c r="AI795" s="264"/>
      <c r="AJ795" s="264"/>
      <c r="AK795" s="264"/>
      <c r="AL795" s="264"/>
      <c r="AM795" s="264"/>
      <c r="AN795" s="264"/>
      <c r="AO795" s="264"/>
      <c r="AP795" s="264"/>
      <c r="AQ795" s="264"/>
      <c r="AR795" s="264"/>
      <c r="AS795" s="264"/>
      <c r="AT795" s="264"/>
      <c r="AU795" s="264"/>
      <c r="AV795" s="264"/>
      <c r="AW795" s="264"/>
      <c r="AX795" s="264"/>
      <c r="AY795" s="264"/>
      <c r="AZ795" s="264"/>
      <c r="BA795" s="264"/>
    </row>
    <row r="796" spans="1:53" x14ac:dyDescent="0.15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  <c r="AA796" s="264"/>
      <c r="AB796" s="264"/>
      <c r="AC796" s="264"/>
      <c r="AD796" s="264"/>
      <c r="AE796" s="264"/>
      <c r="AF796" s="264"/>
      <c r="AG796" s="264"/>
      <c r="AH796" s="263"/>
      <c r="AI796" s="264"/>
      <c r="AJ796" s="264"/>
      <c r="AK796" s="264"/>
      <c r="AL796" s="264"/>
      <c r="AM796" s="264"/>
      <c r="AN796" s="264"/>
      <c r="AO796" s="264"/>
      <c r="AP796" s="264"/>
      <c r="AQ796" s="264"/>
      <c r="AR796" s="264"/>
      <c r="AS796" s="264"/>
      <c r="AT796" s="264"/>
      <c r="AU796" s="264"/>
      <c r="AV796" s="264"/>
      <c r="AW796" s="264"/>
      <c r="AX796" s="264"/>
      <c r="AY796" s="264"/>
      <c r="AZ796" s="264"/>
      <c r="BA796" s="264"/>
    </row>
    <row r="797" spans="1:53" x14ac:dyDescent="0.15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  <c r="AA797" s="264"/>
      <c r="AB797" s="264"/>
      <c r="AC797" s="264"/>
      <c r="AD797" s="264"/>
      <c r="AE797" s="264"/>
      <c r="AF797" s="264"/>
      <c r="AG797" s="264"/>
      <c r="AH797" s="263"/>
      <c r="AI797" s="264"/>
      <c r="AJ797" s="264"/>
      <c r="AK797" s="264"/>
      <c r="AL797" s="264"/>
      <c r="AM797" s="264"/>
      <c r="AN797" s="264"/>
      <c r="AO797" s="264"/>
      <c r="AP797" s="264"/>
      <c r="AQ797" s="264"/>
      <c r="AR797" s="264"/>
      <c r="AS797" s="264"/>
      <c r="AT797" s="264"/>
      <c r="AU797" s="264"/>
      <c r="AV797" s="264"/>
      <c r="AW797" s="264"/>
      <c r="AX797" s="264"/>
      <c r="AY797" s="264"/>
      <c r="AZ797" s="264"/>
      <c r="BA797" s="264"/>
    </row>
    <row r="798" spans="1:53" x14ac:dyDescent="0.15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  <c r="AA798" s="264"/>
      <c r="AB798" s="264"/>
      <c r="AC798" s="264"/>
      <c r="AD798" s="264"/>
      <c r="AE798" s="264"/>
      <c r="AF798" s="264"/>
      <c r="AG798" s="264"/>
      <c r="AH798" s="263"/>
      <c r="AI798" s="264"/>
      <c r="AJ798" s="264"/>
      <c r="AK798" s="264"/>
      <c r="AL798" s="264"/>
      <c r="AM798" s="264"/>
      <c r="AN798" s="264"/>
      <c r="AO798" s="264"/>
      <c r="AP798" s="264"/>
      <c r="AQ798" s="264"/>
      <c r="AR798" s="264"/>
      <c r="AS798" s="264"/>
      <c r="AT798" s="264"/>
      <c r="AU798" s="264"/>
      <c r="AV798" s="264"/>
      <c r="AW798" s="264"/>
      <c r="AX798" s="264"/>
      <c r="AY798" s="264"/>
      <c r="AZ798" s="264"/>
      <c r="BA798" s="264"/>
    </row>
    <row r="799" spans="1:53" x14ac:dyDescent="0.15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  <c r="AA799" s="264"/>
      <c r="AB799" s="264"/>
      <c r="AC799" s="264"/>
      <c r="AD799" s="264"/>
      <c r="AE799" s="264"/>
      <c r="AF799" s="264"/>
      <c r="AG799" s="264"/>
      <c r="AH799" s="263"/>
      <c r="AI799" s="264"/>
      <c r="AJ799" s="264"/>
      <c r="AK799" s="264"/>
      <c r="AL799" s="264"/>
      <c r="AM799" s="264"/>
      <c r="AN799" s="264"/>
      <c r="AO799" s="264"/>
      <c r="AP799" s="264"/>
      <c r="AQ799" s="264"/>
      <c r="AR799" s="264"/>
      <c r="AS799" s="264"/>
      <c r="AT799" s="264"/>
      <c r="AU799" s="264"/>
      <c r="AV799" s="264"/>
      <c r="AW799" s="264"/>
      <c r="AX799" s="264"/>
      <c r="AY799" s="264"/>
      <c r="AZ799" s="264"/>
      <c r="BA799" s="264"/>
    </row>
    <row r="800" spans="1:53" x14ac:dyDescent="0.15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  <c r="AA800" s="264"/>
      <c r="AB800" s="264"/>
      <c r="AC800" s="264"/>
      <c r="AD800" s="264"/>
      <c r="AE800" s="264"/>
      <c r="AF800" s="264"/>
      <c r="AG800" s="264"/>
      <c r="AH800" s="263"/>
      <c r="AI800" s="264"/>
      <c r="AJ800" s="264"/>
      <c r="AK800" s="264"/>
      <c r="AL800" s="264"/>
      <c r="AM800" s="264"/>
      <c r="AN800" s="264"/>
      <c r="AO800" s="264"/>
      <c r="AP800" s="264"/>
      <c r="AQ800" s="264"/>
      <c r="AR800" s="264"/>
      <c r="AS800" s="264"/>
      <c r="AT800" s="264"/>
      <c r="AU800" s="264"/>
      <c r="AV800" s="264"/>
      <c r="AW800" s="264"/>
      <c r="AX800" s="264"/>
      <c r="AY800" s="264"/>
      <c r="AZ800" s="264"/>
      <c r="BA800" s="264"/>
    </row>
    <row r="801" spans="1:53" x14ac:dyDescent="0.15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  <c r="AA801" s="264"/>
      <c r="AB801" s="264"/>
      <c r="AC801" s="264"/>
      <c r="AD801" s="264"/>
      <c r="AE801" s="264"/>
      <c r="AF801" s="264"/>
      <c r="AG801" s="264"/>
      <c r="AH801" s="263"/>
      <c r="AI801" s="264"/>
      <c r="AJ801" s="264"/>
      <c r="AK801" s="264"/>
      <c r="AL801" s="264"/>
      <c r="AM801" s="264"/>
      <c r="AN801" s="264"/>
      <c r="AO801" s="264"/>
      <c r="AP801" s="264"/>
      <c r="AQ801" s="264"/>
      <c r="AR801" s="264"/>
      <c r="AS801" s="264"/>
      <c r="AT801" s="264"/>
      <c r="AU801" s="264"/>
      <c r="AV801" s="264"/>
      <c r="AW801" s="264"/>
      <c r="AX801" s="264"/>
      <c r="AY801" s="264"/>
      <c r="AZ801" s="264"/>
      <c r="BA801" s="264"/>
    </row>
    <row r="802" spans="1:53" x14ac:dyDescent="0.15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  <c r="AA802" s="264"/>
      <c r="AB802" s="264"/>
      <c r="AC802" s="264"/>
      <c r="AD802" s="264"/>
      <c r="AE802" s="264"/>
      <c r="AF802" s="264"/>
      <c r="AG802" s="264"/>
      <c r="AH802" s="263"/>
      <c r="AI802" s="264"/>
      <c r="AJ802" s="264"/>
      <c r="AK802" s="264"/>
      <c r="AL802" s="264"/>
      <c r="AM802" s="264"/>
      <c r="AN802" s="264"/>
      <c r="AO802" s="264"/>
      <c r="AP802" s="264"/>
      <c r="AQ802" s="264"/>
      <c r="AR802" s="264"/>
      <c r="AS802" s="264"/>
      <c r="AT802" s="264"/>
      <c r="AU802" s="264"/>
      <c r="AV802" s="264"/>
      <c r="AW802" s="264"/>
      <c r="AX802" s="264"/>
      <c r="AY802" s="264"/>
      <c r="AZ802" s="264"/>
      <c r="BA802" s="264"/>
    </row>
    <row r="803" spans="1:53" x14ac:dyDescent="0.15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  <c r="AA803" s="264"/>
      <c r="AB803" s="264"/>
      <c r="AC803" s="264"/>
      <c r="AD803" s="264"/>
      <c r="AE803" s="264"/>
      <c r="AF803" s="264"/>
      <c r="AG803" s="264"/>
      <c r="AH803" s="263"/>
      <c r="AI803" s="264"/>
      <c r="AJ803" s="264"/>
      <c r="AK803" s="264"/>
      <c r="AL803" s="264"/>
      <c r="AM803" s="264"/>
      <c r="AN803" s="264"/>
      <c r="AO803" s="264"/>
      <c r="AP803" s="264"/>
      <c r="AQ803" s="264"/>
      <c r="AR803" s="264"/>
      <c r="AS803" s="264"/>
      <c r="AT803" s="264"/>
      <c r="AU803" s="264"/>
      <c r="AV803" s="264"/>
      <c r="AW803" s="264"/>
      <c r="AX803" s="264"/>
      <c r="AY803" s="264"/>
      <c r="AZ803" s="264"/>
      <c r="BA803" s="264"/>
    </row>
    <row r="804" spans="1:53" x14ac:dyDescent="0.15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  <c r="AA804" s="264"/>
      <c r="AB804" s="264"/>
      <c r="AC804" s="264"/>
      <c r="AD804" s="264"/>
      <c r="AE804" s="264"/>
      <c r="AF804" s="264"/>
      <c r="AG804" s="264"/>
      <c r="AH804" s="263"/>
      <c r="AI804" s="264"/>
      <c r="AJ804" s="264"/>
      <c r="AK804" s="264"/>
      <c r="AL804" s="264"/>
      <c r="AM804" s="264"/>
      <c r="AN804" s="264"/>
      <c r="AO804" s="264"/>
      <c r="AP804" s="264"/>
      <c r="AQ804" s="264"/>
      <c r="AR804" s="264"/>
      <c r="AS804" s="264"/>
      <c r="AT804" s="264"/>
      <c r="AU804" s="264"/>
      <c r="AV804" s="264"/>
      <c r="AW804" s="264"/>
      <c r="AX804" s="264"/>
      <c r="AY804" s="264"/>
      <c r="AZ804" s="264"/>
      <c r="BA804" s="264"/>
    </row>
    <row r="805" spans="1:53" x14ac:dyDescent="0.1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  <c r="AA805" s="264"/>
      <c r="AB805" s="264"/>
      <c r="AC805" s="264"/>
      <c r="AD805" s="264"/>
      <c r="AE805" s="264"/>
      <c r="AF805" s="264"/>
      <c r="AG805" s="264"/>
      <c r="AH805" s="263"/>
      <c r="AI805" s="264"/>
      <c r="AJ805" s="264"/>
      <c r="AK805" s="264"/>
      <c r="AL805" s="264"/>
      <c r="AM805" s="264"/>
      <c r="AN805" s="264"/>
      <c r="AO805" s="264"/>
      <c r="AP805" s="264"/>
      <c r="AQ805" s="264"/>
      <c r="AR805" s="264"/>
      <c r="AS805" s="264"/>
      <c r="AT805" s="264"/>
      <c r="AU805" s="264"/>
      <c r="AV805" s="264"/>
      <c r="AW805" s="264"/>
      <c r="AX805" s="264"/>
      <c r="AY805" s="264"/>
      <c r="AZ805" s="264"/>
      <c r="BA805" s="264"/>
    </row>
    <row r="806" spans="1:53" x14ac:dyDescent="0.15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  <c r="AF806" s="264"/>
      <c r="AG806" s="264"/>
      <c r="AH806" s="263"/>
      <c r="AI806" s="264"/>
      <c r="AJ806" s="264"/>
      <c r="AK806" s="264"/>
      <c r="AL806" s="264"/>
      <c r="AM806" s="264"/>
      <c r="AN806" s="264"/>
      <c r="AO806" s="264"/>
      <c r="AP806" s="264"/>
      <c r="AQ806" s="264"/>
      <c r="AR806" s="264"/>
      <c r="AS806" s="264"/>
      <c r="AT806" s="264"/>
      <c r="AU806" s="264"/>
      <c r="AV806" s="264"/>
      <c r="AW806" s="264"/>
      <c r="AX806" s="264"/>
      <c r="AY806" s="264"/>
      <c r="AZ806" s="264"/>
      <c r="BA806" s="264"/>
    </row>
    <row r="807" spans="1:53" x14ac:dyDescent="0.15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  <c r="AA807" s="264"/>
      <c r="AB807" s="264"/>
      <c r="AC807" s="264"/>
      <c r="AD807" s="264"/>
      <c r="AE807" s="264"/>
      <c r="AF807" s="264"/>
      <c r="AG807" s="264"/>
      <c r="AH807" s="263"/>
      <c r="AI807" s="264"/>
      <c r="AJ807" s="264"/>
      <c r="AK807" s="264"/>
      <c r="AL807" s="264"/>
      <c r="AM807" s="264"/>
      <c r="AN807" s="264"/>
      <c r="AO807" s="264"/>
      <c r="AP807" s="264"/>
      <c r="AQ807" s="264"/>
      <c r="AR807" s="264"/>
      <c r="AS807" s="264"/>
      <c r="AT807" s="264"/>
      <c r="AU807" s="264"/>
      <c r="AV807" s="264"/>
      <c r="AW807" s="264"/>
      <c r="AX807" s="264"/>
      <c r="AY807" s="264"/>
      <c r="AZ807" s="264"/>
      <c r="BA807" s="264"/>
    </row>
    <row r="808" spans="1:53" x14ac:dyDescent="0.15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  <c r="AA808" s="264"/>
      <c r="AB808" s="264"/>
      <c r="AC808" s="264"/>
      <c r="AD808" s="264"/>
      <c r="AE808" s="264"/>
      <c r="AF808" s="264"/>
      <c r="AG808" s="264"/>
      <c r="AH808" s="263"/>
      <c r="AI808" s="264"/>
      <c r="AJ808" s="264"/>
      <c r="AK808" s="264"/>
      <c r="AL808" s="264"/>
      <c r="AM808" s="264"/>
      <c r="AN808" s="264"/>
      <c r="AO808" s="264"/>
      <c r="AP808" s="264"/>
      <c r="AQ808" s="264"/>
      <c r="AR808" s="264"/>
      <c r="AS808" s="264"/>
      <c r="AT808" s="264"/>
      <c r="AU808" s="264"/>
      <c r="AV808" s="264"/>
      <c r="AW808" s="264"/>
      <c r="AX808" s="264"/>
      <c r="AY808" s="264"/>
      <c r="AZ808" s="264"/>
      <c r="BA808" s="264"/>
    </row>
    <row r="809" spans="1:53" x14ac:dyDescent="0.15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  <c r="AA809" s="264"/>
      <c r="AB809" s="264"/>
      <c r="AC809" s="264"/>
      <c r="AD809" s="264"/>
      <c r="AE809" s="264"/>
      <c r="AF809" s="264"/>
      <c r="AG809" s="264"/>
      <c r="AH809" s="263"/>
      <c r="AI809" s="264"/>
      <c r="AJ809" s="264"/>
      <c r="AK809" s="264"/>
      <c r="AL809" s="264"/>
      <c r="AM809" s="264"/>
      <c r="AN809" s="264"/>
      <c r="AO809" s="264"/>
      <c r="AP809" s="264"/>
      <c r="AQ809" s="264"/>
      <c r="AR809" s="264"/>
      <c r="AS809" s="264"/>
      <c r="AT809" s="264"/>
      <c r="AU809" s="264"/>
      <c r="AV809" s="264"/>
      <c r="AW809" s="264"/>
      <c r="AX809" s="264"/>
      <c r="AY809" s="264"/>
      <c r="AZ809" s="264"/>
      <c r="BA809" s="264"/>
    </row>
    <row r="810" spans="1:53" x14ac:dyDescent="0.15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  <c r="AA810" s="264"/>
      <c r="AB810" s="264"/>
      <c r="AC810" s="264"/>
      <c r="AD810" s="264"/>
      <c r="AE810" s="264"/>
      <c r="AF810" s="264"/>
      <c r="AG810" s="264"/>
      <c r="AH810" s="263"/>
      <c r="AI810" s="264"/>
      <c r="AJ810" s="264"/>
      <c r="AK810" s="264"/>
      <c r="AL810" s="264"/>
      <c r="AM810" s="264"/>
      <c r="AN810" s="264"/>
      <c r="AO810" s="264"/>
      <c r="AP810" s="264"/>
      <c r="AQ810" s="264"/>
      <c r="AR810" s="264"/>
      <c r="AS810" s="264"/>
      <c r="AT810" s="264"/>
      <c r="AU810" s="264"/>
      <c r="AV810" s="264"/>
      <c r="AW810" s="264"/>
      <c r="AX810" s="264"/>
      <c r="AY810" s="264"/>
      <c r="AZ810" s="264"/>
      <c r="BA810" s="264"/>
    </row>
    <row r="811" spans="1:53" x14ac:dyDescent="0.15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  <c r="AA811" s="264"/>
      <c r="AB811" s="264"/>
      <c r="AC811" s="264"/>
      <c r="AD811" s="264"/>
      <c r="AE811" s="264"/>
      <c r="AF811" s="264"/>
      <c r="AG811" s="264"/>
      <c r="AH811" s="263"/>
      <c r="AI811" s="264"/>
      <c r="AJ811" s="264"/>
      <c r="AK811" s="264"/>
      <c r="AL811" s="264"/>
      <c r="AM811" s="264"/>
      <c r="AN811" s="264"/>
      <c r="AO811" s="264"/>
      <c r="AP811" s="264"/>
      <c r="AQ811" s="264"/>
      <c r="AR811" s="264"/>
      <c r="AS811" s="264"/>
      <c r="AT811" s="264"/>
      <c r="AU811" s="264"/>
      <c r="AV811" s="264"/>
      <c r="AW811" s="264"/>
      <c r="AX811" s="264"/>
      <c r="AY811" s="264"/>
      <c r="AZ811" s="264"/>
      <c r="BA811" s="264"/>
    </row>
    <row r="812" spans="1:53" x14ac:dyDescent="0.15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  <c r="AA812" s="264"/>
      <c r="AB812" s="264"/>
      <c r="AC812" s="264"/>
      <c r="AD812" s="264"/>
      <c r="AE812" s="264"/>
      <c r="AF812" s="264"/>
      <c r="AG812" s="264"/>
      <c r="AH812" s="263"/>
      <c r="AI812" s="264"/>
      <c r="AJ812" s="264"/>
      <c r="AK812" s="264"/>
      <c r="AL812" s="264"/>
      <c r="AM812" s="264"/>
      <c r="AN812" s="264"/>
      <c r="AO812" s="264"/>
      <c r="AP812" s="264"/>
      <c r="AQ812" s="264"/>
      <c r="AR812" s="264"/>
      <c r="AS812" s="264"/>
      <c r="AT812" s="264"/>
      <c r="AU812" s="264"/>
      <c r="AV812" s="264"/>
      <c r="AW812" s="264"/>
      <c r="AX812" s="264"/>
      <c r="AY812" s="264"/>
      <c r="AZ812" s="264"/>
      <c r="BA812" s="264"/>
    </row>
    <row r="813" spans="1:53" x14ac:dyDescent="0.15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  <c r="AA813" s="264"/>
      <c r="AB813" s="264"/>
      <c r="AC813" s="264"/>
      <c r="AD813" s="264"/>
      <c r="AE813" s="264"/>
      <c r="AF813" s="264"/>
      <c r="AG813" s="264"/>
      <c r="AH813" s="263"/>
      <c r="AI813" s="264"/>
      <c r="AJ813" s="264"/>
      <c r="AK813" s="264"/>
      <c r="AL813" s="264"/>
      <c r="AM813" s="264"/>
      <c r="AN813" s="264"/>
      <c r="AO813" s="264"/>
      <c r="AP813" s="264"/>
      <c r="AQ813" s="264"/>
      <c r="AR813" s="264"/>
      <c r="AS813" s="264"/>
      <c r="AT813" s="264"/>
      <c r="AU813" s="264"/>
      <c r="AV813" s="264"/>
      <c r="AW813" s="264"/>
      <c r="AX813" s="264"/>
      <c r="AY813" s="264"/>
      <c r="AZ813" s="264"/>
      <c r="BA813" s="264"/>
    </row>
    <row r="814" spans="1:53" x14ac:dyDescent="0.15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  <c r="AF814" s="264"/>
      <c r="AG814" s="264"/>
      <c r="AH814" s="263"/>
      <c r="AI814" s="264"/>
      <c r="AJ814" s="264"/>
      <c r="AK814" s="264"/>
      <c r="AL814" s="264"/>
      <c r="AM814" s="264"/>
      <c r="AN814" s="264"/>
      <c r="AO814" s="264"/>
      <c r="AP814" s="264"/>
      <c r="AQ814" s="264"/>
      <c r="AR814" s="264"/>
      <c r="AS814" s="264"/>
      <c r="AT814" s="264"/>
      <c r="AU814" s="264"/>
      <c r="AV814" s="264"/>
      <c r="AW814" s="264"/>
      <c r="AX814" s="264"/>
      <c r="AY814" s="264"/>
      <c r="AZ814" s="264"/>
      <c r="BA814" s="264"/>
    </row>
    <row r="815" spans="1:53" x14ac:dyDescent="0.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  <c r="AA815" s="264"/>
      <c r="AB815" s="264"/>
      <c r="AC815" s="264"/>
      <c r="AD815" s="264"/>
      <c r="AE815" s="264"/>
      <c r="AF815" s="264"/>
      <c r="AG815" s="264"/>
      <c r="AH815" s="263"/>
      <c r="AI815" s="264"/>
      <c r="AJ815" s="264"/>
      <c r="AK815" s="264"/>
      <c r="AL815" s="264"/>
      <c r="AM815" s="264"/>
      <c r="AN815" s="264"/>
      <c r="AO815" s="264"/>
      <c r="AP815" s="264"/>
      <c r="AQ815" s="264"/>
      <c r="AR815" s="264"/>
      <c r="AS815" s="264"/>
      <c r="AT815" s="264"/>
      <c r="AU815" s="264"/>
      <c r="AV815" s="264"/>
      <c r="AW815" s="264"/>
      <c r="AX815" s="264"/>
      <c r="AY815" s="264"/>
      <c r="AZ815" s="264"/>
      <c r="BA815" s="264"/>
    </row>
    <row r="816" spans="1:53" x14ac:dyDescent="0.15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  <c r="AA816" s="264"/>
      <c r="AB816" s="264"/>
      <c r="AC816" s="264"/>
      <c r="AD816" s="264"/>
      <c r="AE816" s="264"/>
      <c r="AF816" s="264"/>
      <c r="AG816" s="264"/>
      <c r="AH816" s="263"/>
      <c r="AI816" s="264"/>
      <c r="AJ816" s="264"/>
      <c r="AK816" s="264"/>
      <c r="AL816" s="264"/>
      <c r="AM816" s="264"/>
      <c r="AN816" s="264"/>
      <c r="AO816" s="264"/>
      <c r="AP816" s="264"/>
      <c r="AQ816" s="264"/>
      <c r="AR816" s="264"/>
      <c r="AS816" s="264"/>
      <c r="AT816" s="264"/>
      <c r="AU816" s="264"/>
      <c r="AV816" s="264"/>
      <c r="AW816" s="264"/>
      <c r="AX816" s="264"/>
      <c r="AY816" s="264"/>
      <c r="AZ816" s="264"/>
      <c r="BA816" s="264"/>
    </row>
    <row r="817" spans="1:53" x14ac:dyDescent="0.15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  <c r="AA817" s="264"/>
      <c r="AB817" s="264"/>
      <c r="AC817" s="264"/>
      <c r="AD817" s="264"/>
      <c r="AE817" s="264"/>
      <c r="AF817" s="264"/>
      <c r="AG817" s="264"/>
      <c r="AH817" s="263"/>
      <c r="AI817" s="264"/>
      <c r="AJ817" s="264"/>
      <c r="AK817" s="264"/>
      <c r="AL817" s="264"/>
      <c r="AM817" s="264"/>
      <c r="AN817" s="264"/>
      <c r="AO817" s="264"/>
      <c r="AP817" s="264"/>
      <c r="AQ817" s="264"/>
      <c r="AR817" s="264"/>
      <c r="AS817" s="264"/>
      <c r="AT817" s="264"/>
      <c r="AU817" s="264"/>
      <c r="AV817" s="264"/>
      <c r="AW817" s="264"/>
      <c r="AX817" s="264"/>
      <c r="AY817" s="264"/>
      <c r="AZ817" s="264"/>
      <c r="BA817" s="264"/>
    </row>
    <row r="818" spans="1:53" x14ac:dyDescent="0.15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  <c r="AF818" s="264"/>
      <c r="AG818" s="264"/>
      <c r="AH818" s="263"/>
      <c r="AI818" s="264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  <c r="AV818" s="264"/>
      <c r="AW818" s="264"/>
      <c r="AX818" s="264"/>
      <c r="AY818" s="264"/>
      <c r="AZ818" s="264"/>
      <c r="BA818" s="264"/>
    </row>
  </sheetData>
  <mergeCells count="10">
    <mergeCell ref="A1:AG1"/>
    <mergeCell ref="A2:B2"/>
    <mergeCell ref="C2:M2"/>
    <mergeCell ref="N2:P2"/>
    <mergeCell ref="Q2:S2"/>
    <mergeCell ref="T2:V2"/>
    <mergeCell ref="W2:Y2"/>
    <mergeCell ref="Z2:AA2"/>
    <mergeCell ref="AB2:AC2"/>
    <mergeCell ref="AD2:AG2"/>
  </mergeCells>
  <phoneticPr fontId="13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821"/>
  <sheetViews>
    <sheetView workbookViewId="0">
      <pane xSplit="2" ySplit="4" topLeftCell="P58" activePane="bottomRight" state="frozen"/>
      <selection pane="topRight"/>
      <selection pane="bottomLeft"/>
      <selection pane="bottomRight" activeCell="AA63" sqref="AA63"/>
    </sheetView>
  </sheetViews>
  <sheetFormatPr defaultColWidth="9" defaultRowHeight="14.25" x14ac:dyDescent="0.15"/>
  <cols>
    <col min="1" max="1" width="9.625" style="159" customWidth="1"/>
    <col min="2" max="2" width="6" style="159" customWidth="1"/>
    <col min="3" max="3" width="10.375" style="159" customWidth="1"/>
    <col min="4" max="4" width="8.75" style="159" customWidth="1"/>
    <col min="5" max="5" width="10.5" style="159" customWidth="1"/>
    <col min="6" max="6" width="9.5" style="160" customWidth="1"/>
    <col min="7" max="7" width="9.5" style="159" customWidth="1"/>
    <col min="8" max="8" width="7.5" style="159" hidden="1" customWidth="1"/>
    <col min="9" max="9" width="8.5" style="159" hidden="1" customWidth="1"/>
    <col min="10" max="10" width="11.25" style="159" customWidth="1"/>
    <col min="11" max="12" width="9" style="159"/>
    <col min="13" max="13" width="11.625" style="161" customWidth="1"/>
    <col min="14" max="14" width="11" style="159" customWidth="1"/>
    <col min="15" max="15" width="12.75" style="159" customWidth="1"/>
    <col min="16" max="16" width="10.625" style="159" customWidth="1"/>
    <col min="17" max="17" width="11.875" style="159" customWidth="1"/>
    <col min="18" max="18" width="10.125" style="159" customWidth="1"/>
    <col min="19" max="19" width="12.25" style="159" customWidth="1"/>
    <col min="20" max="25" width="10.625" style="159" customWidth="1"/>
    <col min="26" max="26" width="8.75" style="162" customWidth="1"/>
    <col min="27" max="27" width="10.75" style="162" customWidth="1"/>
    <col min="28" max="28" width="9.75" style="159" customWidth="1"/>
    <col min="29" max="29" width="15.125" style="159" customWidth="1"/>
    <col min="30" max="30" width="13.25" style="159" customWidth="1"/>
    <col min="31" max="33" width="9" style="159"/>
    <col min="34" max="34" width="16.25" style="156" customWidth="1"/>
    <col min="35" max="35" width="13.875" style="159" bestFit="1" customWidth="1"/>
    <col min="36" max="36" width="12.75" style="159" customWidth="1"/>
    <col min="37" max="16384" width="9" style="159"/>
  </cols>
  <sheetData>
    <row r="1" spans="1:55" ht="15" customHeight="1" x14ac:dyDescent="0.15">
      <c r="A1" s="467" t="s">
        <v>0</v>
      </c>
      <c r="B1" s="467"/>
      <c r="C1" s="467"/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  <c r="Q1" s="467"/>
      <c r="R1" s="467"/>
      <c r="S1" s="467"/>
      <c r="T1" s="467"/>
      <c r="U1" s="467"/>
      <c r="V1" s="467"/>
      <c r="W1" s="467"/>
      <c r="X1" s="467"/>
      <c r="Y1" s="467"/>
      <c r="Z1" s="467"/>
      <c r="AA1" s="467"/>
      <c r="AB1" s="467"/>
      <c r="AC1" s="467"/>
      <c r="AD1" s="467"/>
      <c r="AE1" s="467"/>
      <c r="AF1" s="467"/>
      <c r="AG1" s="467"/>
      <c r="AH1" s="263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</row>
    <row r="2" spans="1:55" ht="15" customHeight="1" x14ac:dyDescent="0.15">
      <c r="A2" s="468"/>
      <c r="B2" s="469"/>
      <c r="C2" s="468" t="s">
        <v>1</v>
      </c>
      <c r="D2" s="469"/>
      <c r="E2" s="469"/>
      <c r="F2" s="469"/>
      <c r="G2" s="469"/>
      <c r="H2" s="469"/>
      <c r="I2" s="469"/>
      <c r="J2" s="469"/>
      <c r="K2" s="469"/>
      <c r="L2" s="469"/>
      <c r="M2" s="470"/>
      <c r="N2" s="468" t="s">
        <v>2</v>
      </c>
      <c r="O2" s="469"/>
      <c r="P2" s="470"/>
      <c r="Q2" s="469" t="s">
        <v>3</v>
      </c>
      <c r="R2" s="469"/>
      <c r="S2" s="470"/>
      <c r="T2" s="468" t="s">
        <v>4</v>
      </c>
      <c r="U2" s="469"/>
      <c r="V2" s="470"/>
      <c r="W2" s="471" t="s">
        <v>5</v>
      </c>
      <c r="X2" s="472"/>
      <c r="Y2" s="473"/>
      <c r="Z2" s="474"/>
      <c r="AA2" s="475"/>
      <c r="AB2" s="476"/>
      <c r="AC2" s="477"/>
      <c r="AD2" s="468"/>
      <c r="AE2" s="469"/>
      <c r="AF2" s="469"/>
      <c r="AG2" s="470"/>
      <c r="AH2" s="263"/>
      <c r="AI2" s="264"/>
      <c r="AJ2" s="264"/>
      <c r="AK2" s="264"/>
      <c r="AL2" s="264"/>
      <c r="AM2" s="264"/>
      <c r="AN2" s="264"/>
      <c r="AO2" s="264"/>
      <c r="AP2" s="264"/>
      <c r="AQ2" s="264"/>
      <c r="AR2" s="264"/>
      <c r="AS2" s="264"/>
      <c r="AT2" s="264"/>
      <c r="AU2" s="264"/>
      <c r="AV2" s="264"/>
      <c r="AW2" s="264"/>
      <c r="AX2" s="264"/>
      <c r="AY2" s="264"/>
      <c r="AZ2" s="264"/>
      <c r="BA2" s="264"/>
      <c r="BB2" s="264"/>
      <c r="BC2" s="264"/>
    </row>
    <row r="3" spans="1:55" s="156" customFormat="1" ht="24.75" customHeight="1" x14ac:dyDescent="0.15">
      <c r="A3" s="163" t="s">
        <v>6</v>
      </c>
      <c r="B3" s="164" t="s">
        <v>7</v>
      </c>
      <c r="C3" s="165" t="s">
        <v>8</v>
      </c>
      <c r="D3" s="166" t="s">
        <v>9</v>
      </c>
      <c r="E3" s="166" t="s">
        <v>10</v>
      </c>
      <c r="F3" s="167" t="s">
        <v>11</v>
      </c>
      <c r="G3" s="168" t="s">
        <v>12</v>
      </c>
      <c r="H3" s="169" t="s">
        <v>13</v>
      </c>
      <c r="I3" s="169" t="s">
        <v>14</v>
      </c>
      <c r="J3" s="163" t="s">
        <v>15</v>
      </c>
      <c r="K3" s="168" t="s">
        <v>16</v>
      </c>
      <c r="L3" s="168" t="s">
        <v>17</v>
      </c>
      <c r="M3" s="199" t="s">
        <v>18</v>
      </c>
      <c r="N3" s="200" t="s">
        <v>8</v>
      </c>
      <c r="O3" s="164" t="s">
        <v>9</v>
      </c>
      <c r="P3" s="201" t="s">
        <v>10</v>
      </c>
      <c r="Q3" s="223" t="s">
        <v>8</v>
      </c>
      <c r="R3" s="164" t="s">
        <v>9</v>
      </c>
      <c r="S3" s="201" t="s">
        <v>10</v>
      </c>
      <c r="T3" s="200" t="s">
        <v>8</v>
      </c>
      <c r="U3" s="164" t="s">
        <v>9</v>
      </c>
      <c r="V3" s="164" t="s">
        <v>10</v>
      </c>
      <c r="W3" s="164" t="s">
        <v>8</v>
      </c>
      <c r="X3" s="164" t="s">
        <v>9</v>
      </c>
      <c r="Y3" s="201" t="s">
        <v>10</v>
      </c>
      <c r="Z3" s="237" t="s">
        <v>19</v>
      </c>
      <c r="AA3" s="238" t="s">
        <v>20</v>
      </c>
      <c r="AB3" s="239" t="s">
        <v>21</v>
      </c>
      <c r="AC3" s="240" t="s">
        <v>22</v>
      </c>
      <c r="AD3" s="239" t="s">
        <v>23</v>
      </c>
      <c r="AE3" s="241" t="s">
        <v>24</v>
      </c>
      <c r="AF3" s="241" t="s">
        <v>25</v>
      </c>
      <c r="AG3" s="240" t="s">
        <v>26</v>
      </c>
      <c r="AH3" s="263" t="s">
        <v>27</v>
      </c>
      <c r="AI3" s="264" t="s">
        <v>28</v>
      </c>
      <c r="AJ3" s="264"/>
      <c r="AK3" s="264"/>
      <c r="AL3" s="264"/>
      <c r="AM3" s="264"/>
      <c r="AN3" s="264"/>
      <c r="AO3" s="264"/>
      <c r="AP3" s="264"/>
      <c r="AQ3" s="264"/>
      <c r="AR3" s="264"/>
      <c r="AS3" s="264"/>
      <c r="AT3" s="264"/>
      <c r="AU3" s="264"/>
      <c r="AV3" s="264"/>
      <c r="AW3" s="264"/>
      <c r="AX3" s="264"/>
      <c r="AY3" s="264"/>
      <c r="AZ3" s="264"/>
      <c r="BA3" s="264"/>
      <c r="BB3" s="264"/>
      <c r="BC3" s="264"/>
    </row>
    <row r="4" spans="1:55" s="156" customFormat="1" ht="15" customHeight="1" x14ac:dyDescent="0.15">
      <c r="A4" s="170"/>
      <c r="B4" s="171"/>
      <c r="C4" s="172" t="s">
        <v>29</v>
      </c>
      <c r="D4" s="170" t="s">
        <v>29</v>
      </c>
      <c r="E4" s="170" t="s">
        <v>29</v>
      </c>
      <c r="F4" s="173" t="s">
        <v>30</v>
      </c>
      <c r="G4" s="170" t="s">
        <v>30</v>
      </c>
      <c r="H4" s="170" t="s">
        <v>30</v>
      </c>
      <c r="I4" s="170" t="s">
        <v>30</v>
      </c>
      <c r="J4" s="170" t="s">
        <v>29</v>
      </c>
      <c r="K4" s="170" t="s">
        <v>29</v>
      </c>
      <c r="L4" s="170" t="s">
        <v>29</v>
      </c>
      <c r="M4" s="202" t="s">
        <v>29</v>
      </c>
      <c r="N4" s="172" t="s">
        <v>29</v>
      </c>
      <c r="O4" s="170" t="s">
        <v>29</v>
      </c>
      <c r="P4" s="203" t="s">
        <v>29</v>
      </c>
      <c r="Q4" s="224" t="s">
        <v>29</v>
      </c>
      <c r="R4" s="170" t="s">
        <v>29</v>
      </c>
      <c r="S4" s="203" t="s">
        <v>29</v>
      </c>
      <c r="T4" s="172" t="s">
        <v>31</v>
      </c>
      <c r="U4" s="170" t="s">
        <v>31</v>
      </c>
      <c r="V4" s="170" t="s">
        <v>31</v>
      </c>
      <c r="W4" s="170" t="s">
        <v>31</v>
      </c>
      <c r="X4" s="170" t="s">
        <v>31</v>
      </c>
      <c r="Y4" s="203" t="s">
        <v>31</v>
      </c>
      <c r="Z4" s="242" t="s">
        <v>32</v>
      </c>
      <c r="AA4" s="243" t="s">
        <v>32</v>
      </c>
      <c r="AB4" s="172" t="s">
        <v>30</v>
      </c>
      <c r="AC4" s="203" t="s">
        <v>33</v>
      </c>
      <c r="AD4" s="172" t="s">
        <v>29</v>
      </c>
      <c r="AE4" s="170" t="s">
        <v>29</v>
      </c>
      <c r="AF4" s="170" t="s">
        <v>29</v>
      </c>
      <c r="AG4" s="203" t="s">
        <v>29</v>
      </c>
      <c r="AH4" s="263"/>
      <c r="AI4" s="264"/>
      <c r="AJ4" s="264"/>
      <c r="AK4" s="264"/>
      <c r="AL4" s="264"/>
      <c r="AM4" s="264"/>
      <c r="AN4" s="264"/>
      <c r="AO4" s="264"/>
      <c r="AP4" s="264"/>
      <c r="AQ4" s="264"/>
      <c r="AR4" s="264"/>
      <c r="AS4" s="264"/>
      <c r="AT4" s="264"/>
      <c r="AU4" s="264"/>
      <c r="AV4" s="264"/>
      <c r="AW4" s="264"/>
      <c r="AX4" s="264"/>
      <c r="AY4" s="264"/>
      <c r="AZ4" s="264"/>
      <c r="BA4" s="264"/>
      <c r="BB4" s="264"/>
      <c r="BC4" s="264"/>
    </row>
    <row r="5" spans="1:55" ht="15" customHeight="1" x14ac:dyDescent="0.15">
      <c r="A5" s="174">
        <v>42736</v>
      </c>
      <c r="B5" s="175" t="s">
        <v>34</v>
      </c>
      <c r="C5" s="176">
        <v>54475</v>
      </c>
      <c r="D5" s="177">
        <v>28247</v>
      </c>
      <c r="E5" s="177">
        <v>84371</v>
      </c>
      <c r="F5" s="178">
        <v>3959</v>
      </c>
      <c r="G5" s="177">
        <v>3143</v>
      </c>
      <c r="H5" s="179"/>
      <c r="I5" s="179"/>
      <c r="J5" s="204">
        <f t="shared" ref="J5:J68" si="0">E5-D5</f>
        <v>56124</v>
      </c>
      <c r="K5" s="177">
        <v>212</v>
      </c>
      <c r="L5" s="177">
        <v>717</v>
      </c>
      <c r="M5" s="205">
        <f>J5-K5-L5-C5</f>
        <v>720</v>
      </c>
      <c r="N5" s="206">
        <f>C5</f>
        <v>54475</v>
      </c>
      <c r="O5" s="207">
        <f>D5</f>
        <v>28247</v>
      </c>
      <c r="P5" s="208">
        <f>E5</f>
        <v>84371</v>
      </c>
      <c r="Q5" s="225">
        <f>N5</f>
        <v>54475</v>
      </c>
      <c r="R5" s="207">
        <f>O5</f>
        <v>28247</v>
      </c>
      <c r="S5" s="226">
        <f>P5</f>
        <v>84371</v>
      </c>
      <c r="T5" s="227">
        <f>N5/'2017'!N5-1</f>
        <v>3.0299018402587308E-2</v>
      </c>
      <c r="U5" s="228">
        <f>O5/'2017'!O5-1</f>
        <v>0.16324177408063245</v>
      </c>
      <c r="V5" s="228">
        <f>P5/'2017'!P5-1</f>
        <v>7.1228145909777663E-2</v>
      </c>
      <c r="W5" s="228">
        <f>Q5/'2017'!Q5-1</f>
        <v>3.0299018402587308E-2</v>
      </c>
      <c r="X5" s="228">
        <f>R5/'2017'!R5-1</f>
        <v>0.16324177408063245</v>
      </c>
      <c r="Y5" s="244">
        <f>S5/'2017'!S5-1</f>
        <v>7.1228145909777663E-2</v>
      </c>
      <c r="Z5" s="245"/>
      <c r="AA5" s="246">
        <f t="shared" ref="AA5:AA8" si="1">Q5/10000-Z5</f>
        <v>5.4474999999999998</v>
      </c>
      <c r="AB5" s="247">
        <v>4269.4799999999996</v>
      </c>
      <c r="AC5" s="248">
        <f t="shared" ref="AC5:AC8" si="2">AA5*10000/AB5</f>
        <v>12.759165050544798</v>
      </c>
      <c r="AD5" s="247">
        <f>S5-R5</f>
        <v>56124</v>
      </c>
      <c r="AE5" s="177">
        <f>K5</f>
        <v>212</v>
      </c>
      <c r="AF5" s="177">
        <f>L5</f>
        <v>717</v>
      </c>
      <c r="AG5" s="248">
        <f>AD5-Q5-AE5-AF5</f>
        <v>720</v>
      </c>
      <c r="AH5" s="263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</row>
    <row r="6" spans="1:55" ht="15" customHeight="1" x14ac:dyDescent="0.15">
      <c r="A6" s="180">
        <v>42737</v>
      </c>
      <c r="B6" s="175" t="s">
        <v>35</v>
      </c>
      <c r="C6" s="176">
        <v>67248</v>
      </c>
      <c r="D6" s="177">
        <v>34711</v>
      </c>
      <c r="E6" s="177">
        <v>103369</v>
      </c>
      <c r="F6" s="178">
        <v>5422</v>
      </c>
      <c r="G6" s="177">
        <v>2814</v>
      </c>
      <c r="H6" s="179"/>
      <c r="I6" s="179"/>
      <c r="J6" s="204">
        <f t="shared" si="0"/>
        <v>68658</v>
      </c>
      <c r="K6" s="177">
        <v>189</v>
      </c>
      <c r="L6" s="177">
        <v>792</v>
      </c>
      <c r="M6" s="205">
        <f t="shared" ref="M6:M69" si="3">J6-K6-L6-C6</f>
        <v>429</v>
      </c>
      <c r="N6" s="206">
        <f t="shared" ref="N6:P21" si="4">N5+C6</f>
        <v>121723</v>
      </c>
      <c r="O6" s="209">
        <f t="shared" si="4"/>
        <v>62958</v>
      </c>
      <c r="P6" s="208">
        <f t="shared" si="4"/>
        <v>187740</v>
      </c>
      <c r="Q6" s="225">
        <f t="shared" ref="Q6:S35" si="5">N6</f>
        <v>121723</v>
      </c>
      <c r="R6" s="207">
        <f t="shared" si="5"/>
        <v>62958</v>
      </c>
      <c r="S6" s="226">
        <f t="shared" si="5"/>
        <v>187740</v>
      </c>
      <c r="T6" s="227">
        <f>N6/'2017'!N6-1</f>
        <v>4.0954726597909996E-2</v>
      </c>
      <c r="U6" s="228">
        <f>O6/'2017'!O6-1</f>
        <v>0.29831724820588956</v>
      </c>
      <c r="V6" s="228">
        <f>P6/'2017'!P6-1</f>
        <v>0.11294883423144642</v>
      </c>
      <c r="W6" s="228">
        <f>Q6/'2017'!Q6-1</f>
        <v>4.0954726597909996E-2</v>
      </c>
      <c r="X6" s="228">
        <f>R6/'2017'!R6-1</f>
        <v>0.29831724820588956</v>
      </c>
      <c r="Y6" s="244">
        <f>S6/'2017'!S6-1</f>
        <v>0.11294883423144642</v>
      </c>
      <c r="Z6" s="245"/>
      <c r="AA6" s="246">
        <f t="shared" si="1"/>
        <v>12.1723</v>
      </c>
      <c r="AB6" s="247"/>
      <c r="AC6" s="248"/>
      <c r="AD6" s="247">
        <f t="shared" ref="AD6:AD69" si="6">S6-R6</f>
        <v>124782</v>
      </c>
      <c r="AE6" s="177">
        <f>AE5+K6</f>
        <v>401</v>
      </c>
      <c r="AF6" s="177">
        <f>AF5+L6</f>
        <v>1509</v>
      </c>
      <c r="AG6" s="248">
        <f>AD6-Q6-AE6-AF6</f>
        <v>1149</v>
      </c>
      <c r="AH6" s="263"/>
      <c r="AI6" s="264"/>
      <c r="AJ6" s="264"/>
      <c r="AK6" s="264"/>
      <c r="AL6" s="264"/>
      <c r="AM6" s="264"/>
      <c r="AN6" s="264"/>
      <c r="AO6" s="264"/>
      <c r="AP6" s="264"/>
      <c r="AQ6" s="264"/>
      <c r="AR6" s="264"/>
      <c r="AS6" s="264"/>
      <c r="AT6" s="264"/>
      <c r="AU6" s="264"/>
      <c r="AV6" s="264"/>
      <c r="AW6" s="264"/>
      <c r="AX6" s="264"/>
      <c r="AY6" s="264"/>
      <c r="AZ6" s="264"/>
      <c r="BA6" s="264"/>
      <c r="BB6" s="264"/>
      <c r="BC6" s="264"/>
    </row>
    <row r="7" spans="1:55" ht="15" customHeight="1" x14ac:dyDescent="0.15">
      <c r="A7" s="180">
        <v>42738</v>
      </c>
      <c r="B7" s="175" t="s">
        <v>36</v>
      </c>
      <c r="C7" s="176">
        <v>75259</v>
      </c>
      <c r="D7" s="177">
        <v>35409</v>
      </c>
      <c r="E7" s="177">
        <v>112157</v>
      </c>
      <c r="F7" s="178">
        <v>5761</v>
      </c>
      <c r="G7" s="177">
        <v>3391</v>
      </c>
      <c r="H7" s="179"/>
      <c r="I7" s="179"/>
      <c r="J7" s="204">
        <f t="shared" si="0"/>
        <v>76748</v>
      </c>
      <c r="K7" s="177">
        <v>466</v>
      </c>
      <c r="L7" s="177">
        <v>794</v>
      </c>
      <c r="M7" s="205">
        <f t="shared" si="3"/>
        <v>229</v>
      </c>
      <c r="N7" s="206">
        <f t="shared" si="4"/>
        <v>196982</v>
      </c>
      <c r="O7" s="209">
        <f t="shared" si="4"/>
        <v>98367</v>
      </c>
      <c r="P7" s="208">
        <f t="shared" si="4"/>
        <v>299897</v>
      </c>
      <c r="Q7" s="225">
        <f t="shared" si="5"/>
        <v>196982</v>
      </c>
      <c r="R7" s="207">
        <f t="shared" si="5"/>
        <v>98367</v>
      </c>
      <c r="S7" s="226">
        <f t="shared" si="5"/>
        <v>299897</v>
      </c>
      <c r="T7" s="227">
        <f>N7/'2017'!N7-1</f>
        <v>6.776886383347791E-2</v>
      </c>
      <c r="U7" s="228">
        <f>O7/'2017'!O7-1</f>
        <v>0.3173563680192848</v>
      </c>
      <c r="V7" s="228">
        <f>P7/'2017'!P7-1</f>
        <v>0.13470124405969064</v>
      </c>
      <c r="W7" s="228">
        <f>Q7/'2017'!Q7-1</f>
        <v>6.776886383347791E-2</v>
      </c>
      <c r="X7" s="228">
        <f>R7/'2017'!R7-1</f>
        <v>0.3173563680192848</v>
      </c>
      <c r="Y7" s="244">
        <f>S7/'2017'!S7-1</f>
        <v>0.13470124405969064</v>
      </c>
      <c r="Z7" s="245"/>
      <c r="AA7" s="246">
        <f t="shared" si="1"/>
        <v>19.6982</v>
      </c>
      <c r="AB7" s="247"/>
      <c r="AC7" s="248"/>
      <c r="AD7" s="247">
        <f t="shared" si="6"/>
        <v>201530</v>
      </c>
      <c r="AE7" s="177">
        <f t="shared" ref="AE7:AE70" si="7">AE6+K7</f>
        <v>867</v>
      </c>
      <c r="AF7" s="177">
        <f t="shared" ref="AF7:AF22" si="8">AF6+L7</f>
        <v>2303</v>
      </c>
      <c r="AG7" s="248">
        <f t="shared" ref="AG7:AG69" si="9">AD7-Q7-AE7-AF7</f>
        <v>1378</v>
      </c>
      <c r="AH7" s="263"/>
      <c r="AI7" s="264"/>
      <c r="AJ7" s="264"/>
      <c r="AK7" s="264"/>
      <c r="AL7" s="264"/>
      <c r="AM7" s="264"/>
      <c r="AN7" s="264"/>
      <c r="AO7" s="264"/>
      <c r="AP7" s="264"/>
      <c r="AQ7" s="264"/>
      <c r="AR7" s="264"/>
      <c r="AS7" s="264"/>
      <c r="AT7" s="264"/>
      <c r="AU7" s="264"/>
      <c r="AV7" s="264"/>
      <c r="AW7" s="264"/>
      <c r="AX7" s="264"/>
      <c r="AY7" s="264"/>
      <c r="AZ7" s="264"/>
      <c r="BA7" s="264"/>
      <c r="BB7" s="264"/>
      <c r="BC7" s="264"/>
    </row>
    <row r="8" spans="1:55" s="157" customFormat="1" ht="15" customHeight="1" x14ac:dyDescent="0.15">
      <c r="A8" s="181">
        <v>42739</v>
      </c>
      <c r="B8" s="182" t="s">
        <v>37</v>
      </c>
      <c r="C8" s="183">
        <v>77845</v>
      </c>
      <c r="D8" s="184">
        <v>36293</v>
      </c>
      <c r="E8" s="184">
        <v>115997</v>
      </c>
      <c r="F8" s="185">
        <v>5988</v>
      </c>
      <c r="G8" s="184">
        <v>3516</v>
      </c>
      <c r="H8" s="186"/>
      <c r="I8" s="186"/>
      <c r="J8" s="210">
        <f t="shared" si="0"/>
        <v>79704</v>
      </c>
      <c r="K8" s="184">
        <v>841</v>
      </c>
      <c r="L8" s="184">
        <v>792</v>
      </c>
      <c r="M8" s="211">
        <f t="shared" si="3"/>
        <v>226</v>
      </c>
      <c r="N8" s="212">
        <f t="shared" si="4"/>
        <v>274827</v>
      </c>
      <c r="O8" s="213">
        <f>O7+D8</f>
        <v>134660</v>
      </c>
      <c r="P8" s="214">
        <f t="shared" si="4"/>
        <v>415894</v>
      </c>
      <c r="Q8" s="229">
        <f t="shared" si="5"/>
        <v>274827</v>
      </c>
      <c r="R8" s="213">
        <f t="shared" si="5"/>
        <v>134660</v>
      </c>
      <c r="S8" s="230">
        <f t="shared" si="5"/>
        <v>415894</v>
      </c>
      <c r="T8" s="231">
        <f>N8/'2017'!N8-1</f>
        <v>8.4536611353367208E-2</v>
      </c>
      <c r="U8" s="232">
        <f>O8/'2017'!O8-1</f>
        <v>0.33431099572933287</v>
      </c>
      <c r="V8" s="232">
        <f>P8/'2017'!P8-1</f>
        <v>0.15302232609461064</v>
      </c>
      <c r="W8" s="232">
        <f>Q8/'2017'!Q8-1</f>
        <v>8.4536611353367208E-2</v>
      </c>
      <c r="X8" s="232">
        <f>R8/'2017'!R8-1</f>
        <v>0.33431099572933287</v>
      </c>
      <c r="Y8" s="249">
        <f>S8/'2017'!S8-1</f>
        <v>0.15302232609461064</v>
      </c>
      <c r="Z8" s="250">
        <v>0.78</v>
      </c>
      <c r="AA8" s="251">
        <f t="shared" si="1"/>
        <v>26.7027</v>
      </c>
      <c r="AB8" s="252">
        <v>4269.4799999999996</v>
      </c>
      <c r="AC8" s="211">
        <f t="shared" si="2"/>
        <v>62.543213693470875</v>
      </c>
      <c r="AD8" s="252">
        <f t="shared" si="6"/>
        <v>281234</v>
      </c>
      <c r="AE8" s="184">
        <f t="shared" si="7"/>
        <v>1708</v>
      </c>
      <c r="AF8" s="184">
        <f t="shared" si="8"/>
        <v>3095</v>
      </c>
      <c r="AG8" s="211">
        <f t="shared" si="9"/>
        <v>1604</v>
      </c>
      <c r="AH8" s="263"/>
      <c r="AI8" s="264"/>
      <c r="AJ8" s="264"/>
      <c r="AK8" s="264"/>
      <c r="AL8" s="264"/>
      <c r="AM8" s="264"/>
      <c r="AN8" s="264"/>
      <c r="AO8" s="264"/>
      <c r="AP8" s="264"/>
      <c r="AQ8" s="264"/>
      <c r="AR8" s="264"/>
      <c r="AS8" s="264"/>
      <c r="AT8" s="264"/>
      <c r="AU8" s="264"/>
      <c r="AV8" s="264"/>
      <c r="AW8" s="264"/>
      <c r="AX8" s="264"/>
      <c r="AY8" s="264"/>
      <c r="AZ8" s="264"/>
      <c r="BA8" s="264"/>
      <c r="BB8" s="264"/>
      <c r="BC8" s="264"/>
    </row>
    <row r="9" spans="1:55" ht="15" customHeight="1" x14ac:dyDescent="0.15">
      <c r="A9" s="180">
        <v>42740</v>
      </c>
      <c r="B9" s="175" t="s">
        <v>38</v>
      </c>
      <c r="C9" s="176">
        <v>78434</v>
      </c>
      <c r="D9" s="177">
        <v>38172</v>
      </c>
      <c r="E9" s="177">
        <v>118071</v>
      </c>
      <c r="F9" s="178">
        <v>6023</v>
      </c>
      <c r="G9" s="177">
        <v>3535</v>
      </c>
      <c r="H9" s="179"/>
      <c r="I9" s="179"/>
      <c r="J9" s="204">
        <f t="shared" si="0"/>
        <v>79899</v>
      </c>
      <c r="K9" s="177">
        <v>462</v>
      </c>
      <c r="L9" s="177">
        <v>793</v>
      </c>
      <c r="M9" s="205">
        <f t="shared" si="3"/>
        <v>210</v>
      </c>
      <c r="N9" s="206">
        <f t="shared" si="4"/>
        <v>353261</v>
      </c>
      <c r="O9" s="209">
        <f t="shared" si="4"/>
        <v>172832</v>
      </c>
      <c r="P9" s="208">
        <f t="shared" si="4"/>
        <v>533965</v>
      </c>
      <c r="Q9" s="225">
        <f t="shared" si="5"/>
        <v>353261</v>
      </c>
      <c r="R9" s="207">
        <f t="shared" si="5"/>
        <v>172832</v>
      </c>
      <c r="S9" s="226">
        <f t="shared" si="5"/>
        <v>533965</v>
      </c>
      <c r="T9" s="227">
        <f>N9/'2017'!N9-1</f>
        <v>9.6368827783122724E-2</v>
      </c>
      <c r="U9" s="228">
        <f>O9/'2017'!O9-1</f>
        <v>0.35588539868829816</v>
      </c>
      <c r="V9" s="228">
        <f>P9/'2017'!P9-1</f>
        <v>0.16771855700764537</v>
      </c>
      <c r="W9" s="228">
        <f>Q9/'2017'!Q9-1</f>
        <v>9.6368827783122724E-2</v>
      </c>
      <c r="X9" s="228">
        <f>R9/'2017'!R9-1</f>
        <v>0.35588539868829816</v>
      </c>
      <c r="Y9" s="253">
        <f>S9/'2017'!S9-1</f>
        <v>0.16771855700764537</v>
      </c>
      <c r="Z9" s="245"/>
      <c r="AA9" s="246">
        <f t="shared" ref="AA9:AA72" si="10">Q9/10000-Z9</f>
        <v>35.326099999999997</v>
      </c>
      <c r="AB9" s="247"/>
      <c r="AC9" s="248"/>
      <c r="AD9" s="247">
        <f t="shared" si="6"/>
        <v>361133</v>
      </c>
      <c r="AE9" s="177">
        <f t="shared" si="7"/>
        <v>2170</v>
      </c>
      <c r="AF9" s="177">
        <f t="shared" si="8"/>
        <v>3888</v>
      </c>
      <c r="AG9" s="248">
        <f t="shared" si="9"/>
        <v>1814</v>
      </c>
      <c r="AH9" s="263"/>
      <c r="AI9" s="264"/>
      <c r="AJ9" s="264"/>
      <c r="AK9" s="264"/>
      <c r="AL9" s="264"/>
      <c r="AM9" s="264"/>
      <c r="AN9" s="264"/>
      <c r="AO9" s="264"/>
      <c r="AP9" s="264"/>
      <c r="AQ9" s="264"/>
      <c r="AR9" s="264"/>
      <c r="AS9" s="264"/>
      <c r="AT9" s="264"/>
      <c r="AU9" s="264"/>
      <c r="AV9" s="264"/>
      <c r="AW9" s="264"/>
      <c r="AX9" s="264"/>
      <c r="AY9" s="264"/>
      <c r="AZ9" s="264"/>
      <c r="BA9" s="264"/>
      <c r="BB9" s="264"/>
      <c r="BC9" s="264"/>
    </row>
    <row r="10" spans="1:55" ht="15" customHeight="1" x14ac:dyDescent="0.15">
      <c r="A10" s="180">
        <v>42741</v>
      </c>
      <c r="B10" s="175" t="s">
        <v>39</v>
      </c>
      <c r="C10" s="176">
        <v>78871</v>
      </c>
      <c r="D10" s="177">
        <v>37382</v>
      </c>
      <c r="E10" s="177">
        <v>117812</v>
      </c>
      <c r="F10" s="178">
        <v>5856</v>
      </c>
      <c r="G10" s="177">
        <v>3665</v>
      </c>
      <c r="H10" s="179"/>
      <c r="I10" s="179"/>
      <c r="J10" s="204">
        <f t="shared" si="0"/>
        <v>80430</v>
      </c>
      <c r="K10" s="177">
        <v>440</v>
      </c>
      <c r="L10" s="177">
        <v>793</v>
      </c>
      <c r="M10" s="205">
        <f t="shared" si="3"/>
        <v>326</v>
      </c>
      <c r="N10" s="206">
        <f t="shared" si="4"/>
        <v>432132</v>
      </c>
      <c r="O10" s="209">
        <f t="shared" si="4"/>
        <v>210214</v>
      </c>
      <c r="P10" s="208">
        <f t="shared" si="4"/>
        <v>651777</v>
      </c>
      <c r="Q10" s="225">
        <f t="shared" si="5"/>
        <v>432132</v>
      </c>
      <c r="R10" s="207">
        <f t="shared" si="5"/>
        <v>210214</v>
      </c>
      <c r="S10" s="226">
        <f t="shared" si="5"/>
        <v>651777</v>
      </c>
      <c r="T10" s="227">
        <f>N10/'2017'!N10-1</f>
        <v>0.10373469419030545</v>
      </c>
      <c r="U10" s="228">
        <f>O10/'2017'!O10-1</f>
        <v>0.36227488643064976</v>
      </c>
      <c r="V10" s="228">
        <f>P10/'2017'!P10-1</f>
        <v>0.17500599422030971</v>
      </c>
      <c r="W10" s="228">
        <f>Q10/'2017'!Q10-1</f>
        <v>0.10373469419030545</v>
      </c>
      <c r="X10" s="228">
        <f>R10/'2017'!R10-1</f>
        <v>0.36227488643064976</v>
      </c>
      <c r="Y10" s="244">
        <f>S10/'2017'!S10-1</f>
        <v>0.17500599422030971</v>
      </c>
      <c r="Z10" s="245"/>
      <c r="AA10" s="246">
        <f t="shared" si="10"/>
        <v>43.213200000000001</v>
      </c>
      <c r="AB10" s="247"/>
      <c r="AC10" s="248"/>
      <c r="AD10" s="247">
        <f t="shared" si="6"/>
        <v>441563</v>
      </c>
      <c r="AE10" s="177">
        <f t="shared" si="7"/>
        <v>2610</v>
      </c>
      <c r="AF10" s="177">
        <f t="shared" si="8"/>
        <v>4681</v>
      </c>
      <c r="AG10" s="248">
        <f t="shared" si="9"/>
        <v>2140</v>
      </c>
      <c r="AH10" s="263"/>
      <c r="AI10" s="264"/>
      <c r="AJ10" s="264"/>
      <c r="AK10" s="264"/>
      <c r="AL10" s="264"/>
      <c r="AM10" s="264"/>
      <c r="AN10" s="264"/>
      <c r="AO10" s="264"/>
      <c r="AP10" s="264"/>
      <c r="AQ10" s="264"/>
      <c r="AR10" s="264"/>
      <c r="AS10" s="264"/>
      <c r="AT10" s="264"/>
      <c r="AU10" s="264"/>
      <c r="AV10" s="264"/>
      <c r="AW10" s="264"/>
      <c r="AX10" s="264"/>
      <c r="AY10" s="264"/>
      <c r="AZ10" s="264"/>
      <c r="BA10" s="264"/>
      <c r="BB10" s="264"/>
      <c r="BC10" s="264"/>
    </row>
    <row r="11" spans="1:55" ht="15" customHeight="1" x14ac:dyDescent="0.15">
      <c r="A11" s="180">
        <v>42742</v>
      </c>
      <c r="B11" s="175" t="s">
        <v>1</v>
      </c>
      <c r="C11" s="176">
        <v>74912</v>
      </c>
      <c r="D11" s="177">
        <f>9428+26736</f>
        <v>36164</v>
      </c>
      <c r="E11" s="177">
        <v>112478</v>
      </c>
      <c r="F11" s="178">
        <v>5684</v>
      </c>
      <c r="G11" s="177">
        <v>3587</v>
      </c>
      <c r="H11" s="179"/>
      <c r="I11" s="179"/>
      <c r="J11" s="204">
        <f t="shared" si="0"/>
        <v>76314</v>
      </c>
      <c r="K11" s="177">
        <v>359</v>
      </c>
      <c r="L11" s="177">
        <v>791</v>
      </c>
      <c r="M11" s="205">
        <f t="shared" si="3"/>
        <v>252</v>
      </c>
      <c r="N11" s="206">
        <f t="shared" si="4"/>
        <v>507044</v>
      </c>
      <c r="O11" s="209">
        <f t="shared" si="4"/>
        <v>246378</v>
      </c>
      <c r="P11" s="208">
        <f t="shared" si="4"/>
        <v>764255</v>
      </c>
      <c r="Q11" s="225">
        <f t="shared" si="5"/>
        <v>507044</v>
      </c>
      <c r="R11" s="207">
        <f t="shared" si="5"/>
        <v>246378</v>
      </c>
      <c r="S11" s="226">
        <f t="shared" si="5"/>
        <v>764255</v>
      </c>
      <c r="T11" s="227">
        <f>N11/'2017'!N11-1</f>
        <v>0.1065055571437612</v>
      </c>
      <c r="U11" s="228">
        <f>O11/'2017'!O11-1</f>
        <v>0.36124202326031107</v>
      </c>
      <c r="V11" s="228">
        <f>P11/'2017'!P11-1</f>
        <v>0.17688500557447928</v>
      </c>
      <c r="W11" s="228">
        <f>Q11/'2017'!Q11-1</f>
        <v>0.1065055571437612</v>
      </c>
      <c r="X11" s="228">
        <f>R11/'2017'!R11-1</f>
        <v>0.36124202326031107</v>
      </c>
      <c r="Y11" s="244">
        <f>S11/'2017'!S11-1</f>
        <v>0.17688500557447928</v>
      </c>
      <c r="Z11" s="245"/>
      <c r="AA11" s="246">
        <f t="shared" si="10"/>
        <v>50.7044</v>
      </c>
      <c r="AB11" s="247"/>
      <c r="AC11" s="248"/>
      <c r="AD11" s="247">
        <f t="shared" si="6"/>
        <v>517877</v>
      </c>
      <c r="AE11" s="177">
        <f t="shared" si="7"/>
        <v>2969</v>
      </c>
      <c r="AF11" s="177">
        <f t="shared" si="8"/>
        <v>5472</v>
      </c>
      <c r="AG11" s="248">
        <f t="shared" si="9"/>
        <v>2392</v>
      </c>
      <c r="AH11" s="263"/>
      <c r="AI11" s="264"/>
      <c r="AJ11" s="264"/>
      <c r="AK11" s="264"/>
      <c r="AL11" s="264"/>
      <c r="AM11" s="264"/>
      <c r="AN11" s="264"/>
      <c r="AO11" s="264"/>
      <c r="AP11" s="264"/>
      <c r="AQ11" s="264"/>
      <c r="AR11" s="264"/>
      <c r="AS11" s="264"/>
      <c r="AT11" s="264"/>
      <c r="AU11" s="264"/>
      <c r="AV11" s="264"/>
      <c r="AW11" s="264"/>
      <c r="AX11" s="264"/>
      <c r="AY11" s="264"/>
      <c r="AZ11" s="264"/>
      <c r="BA11" s="264"/>
      <c r="BB11" s="264"/>
      <c r="BC11" s="264"/>
    </row>
    <row r="12" spans="1:55" ht="15" customHeight="1" x14ac:dyDescent="0.15">
      <c r="A12" s="180">
        <v>42743</v>
      </c>
      <c r="B12" s="175" t="s">
        <v>34</v>
      </c>
      <c r="C12" s="176">
        <v>78131</v>
      </c>
      <c r="D12" s="177">
        <f>10125+28741</f>
        <v>38866</v>
      </c>
      <c r="E12" s="177">
        <v>118403</v>
      </c>
      <c r="F12" s="178">
        <v>6137</v>
      </c>
      <c r="G12" s="177">
        <v>3417</v>
      </c>
      <c r="H12" s="179"/>
      <c r="I12" s="179"/>
      <c r="J12" s="204">
        <f t="shared" si="0"/>
        <v>79537</v>
      </c>
      <c r="K12" s="177">
        <v>298</v>
      </c>
      <c r="L12" s="177">
        <v>794</v>
      </c>
      <c r="M12" s="205">
        <f t="shared" si="3"/>
        <v>314</v>
      </c>
      <c r="N12" s="206">
        <f t="shared" si="4"/>
        <v>585175</v>
      </c>
      <c r="O12" s="209">
        <f t="shared" si="4"/>
        <v>285244</v>
      </c>
      <c r="P12" s="208">
        <f t="shared" si="4"/>
        <v>882658</v>
      </c>
      <c r="Q12" s="225">
        <f t="shared" si="5"/>
        <v>585175</v>
      </c>
      <c r="R12" s="207">
        <f t="shared" si="5"/>
        <v>285244</v>
      </c>
      <c r="S12" s="226">
        <f t="shared" si="5"/>
        <v>882658</v>
      </c>
      <c r="T12" s="227">
        <f>N12/'2017'!N12-1</f>
        <v>0.1224742291771368</v>
      </c>
      <c r="U12" s="228">
        <f>O12/'2017'!O12-1</f>
        <v>0.37339245906217355</v>
      </c>
      <c r="V12" s="228">
        <f>P12/'2017'!P12-1</f>
        <v>0.19225423360217841</v>
      </c>
      <c r="W12" s="228">
        <f>Q12/'2017'!Q12-1</f>
        <v>0.1224742291771368</v>
      </c>
      <c r="X12" s="228">
        <f>R12/'2017'!R12-1</f>
        <v>0.37339245906217355</v>
      </c>
      <c r="Y12" s="244">
        <f>S12/'2017'!S12-1</f>
        <v>0.19225423360217841</v>
      </c>
      <c r="Z12" s="245"/>
      <c r="AA12" s="246">
        <f t="shared" si="10"/>
        <v>58.517499999999998</v>
      </c>
      <c r="AB12" s="247"/>
      <c r="AC12" s="248"/>
      <c r="AD12" s="247">
        <f t="shared" si="6"/>
        <v>597414</v>
      </c>
      <c r="AE12" s="177">
        <f t="shared" si="7"/>
        <v>3267</v>
      </c>
      <c r="AF12" s="177">
        <f t="shared" si="8"/>
        <v>6266</v>
      </c>
      <c r="AG12" s="248">
        <f t="shared" si="9"/>
        <v>2706</v>
      </c>
      <c r="AH12" s="263"/>
      <c r="AI12" s="264"/>
      <c r="AJ12" s="264"/>
      <c r="AK12" s="264"/>
      <c r="AL12" s="264"/>
      <c r="AM12" s="264"/>
      <c r="AN12" s="264"/>
      <c r="AO12" s="264"/>
      <c r="AP12" s="264"/>
      <c r="AQ12" s="264"/>
      <c r="AR12" s="264"/>
      <c r="AS12" s="264"/>
      <c r="AT12" s="264"/>
      <c r="AU12" s="264"/>
      <c r="AV12" s="264"/>
      <c r="AW12" s="264"/>
      <c r="AX12" s="264"/>
      <c r="AY12" s="264"/>
      <c r="AZ12" s="264"/>
      <c r="BA12" s="264"/>
      <c r="BB12" s="264"/>
      <c r="BC12" s="264"/>
    </row>
    <row r="13" spans="1:55" ht="15" customHeight="1" x14ac:dyDescent="0.15">
      <c r="A13" s="180">
        <v>42744</v>
      </c>
      <c r="B13" s="175" t="s">
        <v>35</v>
      </c>
      <c r="C13" s="176">
        <v>74508</v>
      </c>
      <c r="D13" s="177">
        <f>10974+28829</f>
        <v>39803</v>
      </c>
      <c r="E13" s="177">
        <v>116463</v>
      </c>
      <c r="F13" s="178">
        <v>5731</v>
      </c>
      <c r="G13" s="177">
        <v>3660</v>
      </c>
      <c r="H13" s="179"/>
      <c r="I13" s="179"/>
      <c r="J13" s="204">
        <f t="shared" si="0"/>
        <v>76660</v>
      </c>
      <c r="K13" s="177">
        <v>433</v>
      </c>
      <c r="L13" s="177">
        <v>793</v>
      </c>
      <c r="M13" s="205">
        <f t="shared" si="3"/>
        <v>926</v>
      </c>
      <c r="N13" s="206">
        <f t="shared" si="4"/>
        <v>659683</v>
      </c>
      <c r="O13" s="209">
        <f t="shared" si="4"/>
        <v>325047</v>
      </c>
      <c r="P13" s="208">
        <f t="shared" si="4"/>
        <v>999121</v>
      </c>
      <c r="Q13" s="225">
        <f t="shared" si="5"/>
        <v>659683</v>
      </c>
      <c r="R13" s="207">
        <f t="shared" si="5"/>
        <v>325047</v>
      </c>
      <c r="S13" s="226">
        <f t="shared" si="5"/>
        <v>999121</v>
      </c>
      <c r="T13" s="227">
        <f>N13/'2017'!N13-1</f>
        <v>0.11752150145093498</v>
      </c>
      <c r="U13" s="228">
        <f>O13/'2017'!O13-1</f>
        <v>0.39050996530644544</v>
      </c>
      <c r="V13" s="228">
        <f>P13/'2017'!P13-1</f>
        <v>0.19436076563717819</v>
      </c>
      <c r="W13" s="228">
        <f>Q13/'2017'!Q13-1</f>
        <v>0.11752150145093498</v>
      </c>
      <c r="X13" s="228">
        <f>R13/'2017'!R13-1</f>
        <v>0.39050996530644544</v>
      </c>
      <c r="Y13" s="244">
        <f>S13/'2017'!S13-1</f>
        <v>0.19436076563717819</v>
      </c>
      <c r="Z13" s="245"/>
      <c r="AA13" s="246">
        <f t="shared" si="10"/>
        <v>65.968299999999999</v>
      </c>
      <c r="AB13" s="247"/>
      <c r="AC13" s="248"/>
      <c r="AD13" s="247">
        <f t="shared" si="6"/>
        <v>674074</v>
      </c>
      <c r="AE13" s="177">
        <f t="shared" si="7"/>
        <v>3700</v>
      </c>
      <c r="AF13" s="177">
        <f t="shared" si="8"/>
        <v>7059</v>
      </c>
      <c r="AG13" s="248">
        <f t="shared" si="9"/>
        <v>3632</v>
      </c>
      <c r="AH13" s="263"/>
      <c r="AI13" s="264"/>
      <c r="AJ13" s="264"/>
      <c r="AK13" s="264"/>
      <c r="AL13" s="264"/>
      <c r="AM13" s="264"/>
      <c r="AN13" s="264"/>
      <c r="AO13" s="264"/>
      <c r="AP13" s="264"/>
      <c r="AQ13" s="264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</row>
    <row r="14" spans="1:55" ht="15" customHeight="1" x14ac:dyDescent="0.15">
      <c r="A14" s="180">
        <v>42745</v>
      </c>
      <c r="B14" s="175" t="s">
        <v>36</v>
      </c>
      <c r="C14" s="176">
        <v>73401</v>
      </c>
      <c r="D14" s="177">
        <v>40349</v>
      </c>
      <c r="E14" s="177">
        <v>115853</v>
      </c>
      <c r="F14" s="178">
        <v>5685</v>
      </c>
      <c r="G14" s="177">
        <v>3693</v>
      </c>
      <c r="H14" s="179"/>
      <c r="I14" s="179"/>
      <c r="J14" s="204">
        <f t="shared" si="0"/>
        <v>75504</v>
      </c>
      <c r="K14" s="177">
        <v>294</v>
      </c>
      <c r="L14" s="177">
        <v>792</v>
      </c>
      <c r="M14" s="205">
        <f t="shared" si="3"/>
        <v>1017</v>
      </c>
      <c r="N14" s="206">
        <f>N13+C14</f>
        <v>733084</v>
      </c>
      <c r="O14" s="209">
        <f t="shared" si="4"/>
        <v>365396</v>
      </c>
      <c r="P14" s="208">
        <f t="shared" si="4"/>
        <v>1114974</v>
      </c>
      <c r="Q14" s="225">
        <f t="shared" si="5"/>
        <v>733084</v>
      </c>
      <c r="R14" s="207">
        <f t="shared" si="5"/>
        <v>365396</v>
      </c>
      <c r="S14" s="226">
        <f t="shared" si="5"/>
        <v>1114974</v>
      </c>
      <c r="T14" s="227">
        <f>N14/'2017'!N14-1</f>
        <v>0.1106458279044682</v>
      </c>
      <c r="U14" s="228">
        <f>O14/'2017'!O14-1</f>
        <v>0.40143980915049715</v>
      </c>
      <c r="V14" s="228">
        <f>P14/'2017'!P14-1</f>
        <v>0.19281725399576355</v>
      </c>
      <c r="W14" s="228">
        <f>Q14/'2017'!Q14-1</f>
        <v>0.1106458279044682</v>
      </c>
      <c r="X14" s="228">
        <f>R14/'2017'!R14-1</f>
        <v>0.40143980915049715</v>
      </c>
      <c r="Y14" s="244">
        <f>S14/'2017'!S14-1</f>
        <v>0.19281725399576355</v>
      </c>
      <c r="Z14" s="245"/>
      <c r="AA14" s="246">
        <f t="shared" si="10"/>
        <v>73.308400000000006</v>
      </c>
      <c r="AB14" s="247"/>
      <c r="AC14" s="248"/>
      <c r="AD14" s="247">
        <f t="shared" si="6"/>
        <v>749578</v>
      </c>
      <c r="AE14" s="177">
        <f t="shared" si="7"/>
        <v>3994</v>
      </c>
      <c r="AF14" s="177">
        <f t="shared" si="8"/>
        <v>7851</v>
      </c>
      <c r="AG14" s="248">
        <f t="shared" si="9"/>
        <v>4649</v>
      </c>
      <c r="AH14" s="263"/>
      <c r="AI14" s="264"/>
      <c r="AJ14" s="264"/>
      <c r="AK14" s="264"/>
      <c r="AL14" s="264"/>
      <c r="AM14" s="264"/>
      <c r="AN14" s="264"/>
      <c r="AO14" s="264"/>
      <c r="AP14" s="264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</row>
    <row r="15" spans="1:55" s="157" customFormat="1" ht="15" customHeight="1" x14ac:dyDescent="0.15">
      <c r="A15" s="181">
        <v>42746</v>
      </c>
      <c r="B15" s="182" t="s">
        <v>37</v>
      </c>
      <c r="C15" s="183">
        <v>75718</v>
      </c>
      <c r="D15" s="184">
        <f>11136+29117</f>
        <v>40253</v>
      </c>
      <c r="E15" s="184">
        <v>118053</v>
      </c>
      <c r="F15" s="185">
        <v>5789</v>
      </c>
      <c r="G15" s="184">
        <v>3701</v>
      </c>
      <c r="H15" s="186"/>
      <c r="I15" s="186"/>
      <c r="J15" s="210">
        <f t="shared" si="0"/>
        <v>77800</v>
      </c>
      <c r="K15" s="184">
        <v>307</v>
      </c>
      <c r="L15" s="184">
        <v>793</v>
      </c>
      <c r="M15" s="211">
        <f t="shared" si="3"/>
        <v>982</v>
      </c>
      <c r="N15" s="212">
        <f>N14+C15</f>
        <v>808802</v>
      </c>
      <c r="O15" s="215">
        <f t="shared" si="4"/>
        <v>405649</v>
      </c>
      <c r="P15" s="214">
        <f t="shared" si="4"/>
        <v>1233027</v>
      </c>
      <c r="Q15" s="229">
        <f>N15</f>
        <v>808802</v>
      </c>
      <c r="R15" s="213">
        <f t="shared" si="5"/>
        <v>405649</v>
      </c>
      <c r="S15" s="230">
        <f t="shared" si="5"/>
        <v>1233027</v>
      </c>
      <c r="T15" s="231">
        <f>N15/'2017'!N15-1</f>
        <v>0.10808911272257982</v>
      </c>
      <c r="U15" s="232">
        <f>O15/'2017'!O15-1</f>
        <v>0.40740393789574125</v>
      </c>
      <c r="V15" s="232">
        <f>P15/'2017'!P15-1</f>
        <v>0.1929394623085825</v>
      </c>
      <c r="W15" s="232">
        <f>Q15/'2017'!Q15-1</f>
        <v>0.10808911272257982</v>
      </c>
      <c r="X15" s="232">
        <f>R15/'2017'!R15-1</f>
        <v>0.40740393789574125</v>
      </c>
      <c r="Y15" s="249">
        <f>S15/'2017'!S15-1</f>
        <v>0.1929394623085825</v>
      </c>
      <c r="Z15" s="250">
        <v>2.81</v>
      </c>
      <c r="AA15" s="251">
        <f t="shared" si="10"/>
        <v>78.0702</v>
      </c>
      <c r="AB15" s="252">
        <v>4269.4799999999996</v>
      </c>
      <c r="AC15" s="211">
        <f>AA15*10000/AB15</f>
        <v>182.8564602715085</v>
      </c>
      <c r="AD15" s="252">
        <f t="shared" si="6"/>
        <v>827378</v>
      </c>
      <c r="AE15" s="184">
        <f t="shared" si="7"/>
        <v>4301</v>
      </c>
      <c r="AF15" s="184">
        <f t="shared" si="8"/>
        <v>8644</v>
      </c>
      <c r="AG15" s="211">
        <f t="shared" si="9"/>
        <v>5631</v>
      </c>
      <c r="AH15" s="263"/>
      <c r="AI15" s="264"/>
      <c r="AJ15" s="264"/>
      <c r="AK15" s="264"/>
      <c r="AL15" s="264"/>
      <c r="AM15" s="264"/>
      <c r="AN15" s="264"/>
      <c r="AO15" s="264"/>
      <c r="AP15" s="264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</row>
    <row r="16" spans="1:55" ht="15" customHeight="1" x14ac:dyDescent="0.15">
      <c r="A16" s="180">
        <v>42747</v>
      </c>
      <c r="B16" s="175" t="s">
        <v>38</v>
      </c>
      <c r="C16" s="176">
        <v>83108</v>
      </c>
      <c r="D16" s="177">
        <v>36635</v>
      </c>
      <c r="E16" s="177">
        <v>121553</v>
      </c>
      <c r="F16" s="178">
        <v>6014</v>
      </c>
      <c r="G16" s="177">
        <v>3848</v>
      </c>
      <c r="H16" s="179"/>
      <c r="I16" s="179"/>
      <c r="J16" s="204">
        <f t="shared" si="0"/>
        <v>84918</v>
      </c>
      <c r="K16" s="177">
        <v>405</v>
      </c>
      <c r="L16" s="177">
        <v>793</v>
      </c>
      <c r="M16" s="205">
        <f t="shared" si="3"/>
        <v>612</v>
      </c>
      <c r="N16" s="206">
        <f t="shared" si="4"/>
        <v>891910</v>
      </c>
      <c r="O16" s="209">
        <f t="shared" si="4"/>
        <v>442284</v>
      </c>
      <c r="P16" s="208">
        <f t="shared" si="4"/>
        <v>1354580</v>
      </c>
      <c r="Q16" s="225">
        <f t="shared" si="5"/>
        <v>891910</v>
      </c>
      <c r="R16" s="207">
        <f t="shared" si="5"/>
        <v>442284</v>
      </c>
      <c r="S16" s="226">
        <f t="shared" si="5"/>
        <v>1354580</v>
      </c>
      <c r="T16" s="227">
        <f>N16/'2017'!N16-1</f>
        <v>0.11484569328650185</v>
      </c>
      <c r="U16" s="228">
        <f>O16/'2017'!O16-1</f>
        <v>0.40408956275774055</v>
      </c>
      <c r="V16" s="228">
        <f>P16/'2017'!P16-1</f>
        <v>0.19654405133219743</v>
      </c>
      <c r="W16" s="228">
        <f>Q16/'2017'!Q16-1</f>
        <v>0.11484569328650185</v>
      </c>
      <c r="X16" s="228">
        <f>R16/'2017'!R16-1</f>
        <v>0.40408956275774055</v>
      </c>
      <c r="Y16" s="244">
        <f>S16/'2017'!S16-1</f>
        <v>0.19654405133219743</v>
      </c>
      <c r="Z16" s="245"/>
      <c r="AA16" s="246">
        <f t="shared" si="10"/>
        <v>89.191000000000003</v>
      </c>
      <c r="AB16" s="247"/>
      <c r="AC16" s="248"/>
      <c r="AD16" s="247">
        <f t="shared" si="6"/>
        <v>912296</v>
      </c>
      <c r="AE16" s="177">
        <f t="shared" si="7"/>
        <v>4706</v>
      </c>
      <c r="AF16" s="177">
        <f t="shared" si="8"/>
        <v>9437</v>
      </c>
      <c r="AG16" s="248">
        <f t="shared" si="9"/>
        <v>6243</v>
      </c>
      <c r="AH16" s="263"/>
      <c r="AI16" s="264"/>
      <c r="AJ16" s="264"/>
      <c r="AK16" s="264"/>
      <c r="AL16" s="264"/>
      <c r="AM16" s="264"/>
      <c r="AN16" s="264"/>
      <c r="AO16" s="264"/>
      <c r="AP16" s="264"/>
      <c r="AQ16" s="264"/>
      <c r="AR16" s="264"/>
      <c r="AS16" s="264"/>
      <c r="AT16" s="264"/>
      <c r="AU16" s="264"/>
      <c r="AV16" s="264"/>
      <c r="AW16" s="264"/>
      <c r="AX16" s="264"/>
      <c r="AY16" s="264"/>
      <c r="AZ16" s="264"/>
      <c r="BA16" s="264"/>
      <c r="BB16" s="264"/>
      <c r="BC16" s="264"/>
    </row>
    <row r="17" spans="1:55" x14ac:dyDescent="0.15">
      <c r="A17" s="180">
        <v>42748</v>
      </c>
      <c r="B17" s="175" t="s">
        <v>39</v>
      </c>
      <c r="C17" s="176">
        <v>74229</v>
      </c>
      <c r="D17" s="177">
        <v>37208</v>
      </c>
      <c r="E17" s="177">
        <v>113001</v>
      </c>
      <c r="F17" s="178">
        <v>5524</v>
      </c>
      <c r="G17" s="177">
        <v>3773</v>
      </c>
      <c r="H17" s="179"/>
      <c r="I17" s="179"/>
      <c r="J17" s="204">
        <f t="shared" si="0"/>
        <v>75793</v>
      </c>
      <c r="K17" s="177">
        <v>179</v>
      </c>
      <c r="L17" s="177">
        <v>790</v>
      </c>
      <c r="M17" s="205">
        <f t="shared" si="3"/>
        <v>595</v>
      </c>
      <c r="N17" s="206">
        <f t="shared" si="4"/>
        <v>966139</v>
      </c>
      <c r="O17" s="209">
        <f t="shared" si="4"/>
        <v>479492</v>
      </c>
      <c r="P17" s="208">
        <f t="shared" si="4"/>
        <v>1467581</v>
      </c>
      <c r="Q17" s="225">
        <f t="shared" si="5"/>
        <v>966139</v>
      </c>
      <c r="R17" s="207">
        <f t="shared" si="5"/>
        <v>479492</v>
      </c>
      <c r="S17" s="226">
        <f t="shared" si="5"/>
        <v>1467581</v>
      </c>
      <c r="T17" s="227">
        <f>N17/'2017'!N17-1</f>
        <v>0.11416083815278877</v>
      </c>
      <c r="U17" s="228">
        <f>O17/'2017'!O17-1</f>
        <v>0.41319673677261148</v>
      </c>
      <c r="V17" s="228">
        <f>P17/'2017'!P17-1</f>
        <v>0.19834225542102568</v>
      </c>
      <c r="W17" s="228">
        <f>Q17/'2017'!Q17-1</f>
        <v>0.11416083815278877</v>
      </c>
      <c r="X17" s="228">
        <f>R17/'2017'!R17-1</f>
        <v>0.41319673677261148</v>
      </c>
      <c r="Y17" s="244">
        <f>S17/'2017'!S17-1</f>
        <v>0.19834225542102568</v>
      </c>
      <c r="Z17" s="245"/>
      <c r="AA17" s="246">
        <f t="shared" si="10"/>
        <v>96.613900000000001</v>
      </c>
      <c r="AB17" s="247"/>
      <c r="AC17" s="248"/>
      <c r="AD17" s="247">
        <f t="shared" si="6"/>
        <v>988089</v>
      </c>
      <c r="AE17" s="177">
        <f t="shared" si="7"/>
        <v>4885</v>
      </c>
      <c r="AF17" s="177">
        <f t="shared" si="8"/>
        <v>10227</v>
      </c>
      <c r="AG17" s="248">
        <f t="shared" si="9"/>
        <v>6838</v>
      </c>
      <c r="AH17" s="263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  <c r="AX17" s="264"/>
      <c r="AY17" s="264"/>
      <c r="AZ17" s="264"/>
      <c r="BA17" s="264"/>
      <c r="BB17" s="264"/>
      <c r="BC17" s="264"/>
    </row>
    <row r="18" spans="1:55" x14ac:dyDescent="0.15">
      <c r="A18" s="180">
        <v>42749</v>
      </c>
      <c r="B18" s="175" t="s">
        <v>1</v>
      </c>
      <c r="C18" s="176">
        <v>74230</v>
      </c>
      <c r="D18" s="177">
        <f>11032+26176</f>
        <v>37208</v>
      </c>
      <c r="E18" s="177">
        <v>113002</v>
      </c>
      <c r="F18" s="178">
        <v>5530</v>
      </c>
      <c r="G18" s="177">
        <v>3770</v>
      </c>
      <c r="H18" s="179"/>
      <c r="I18" s="179"/>
      <c r="J18" s="204">
        <f t="shared" si="0"/>
        <v>75794</v>
      </c>
      <c r="K18" s="177">
        <v>179</v>
      </c>
      <c r="L18" s="177">
        <v>791</v>
      </c>
      <c r="M18" s="205">
        <f t="shared" si="3"/>
        <v>594</v>
      </c>
      <c r="N18" s="206">
        <f t="shared" si="4"/>
        <v>1040369</v>
      </c>
      <c r="O18" s="209">
        <f t="shared" si="4"/>
        <v>516700</v>
      </c>
      <c r="P18" s="208">
        <f t="shared" si="4"/>
        <v>1580583</v>
      </c>
      <c r="Q18" s="225">
        <f t="shared" si="5"/>
        <v>1040369</v>
      </c>
      <c r="R18" s="207">
        <f t="shared" si="5"/>
        <v>516700</v>
      </c>
      <c r="S18" s="226">
        <f t="shared" si="5"/>
        <v>1580583</v>
      </c>
      <c r="T18" s="227">
        <f>N18/'2017'!N18-1</f>
        <v>0.11709919221572118</v>
      </c>
      <c r="U18" s="228">
        <f>O18/'2017'!O18-1</f>
        <v>0.42256557374792481</v>
      </c>
      <c r="V18" s="228">
        <f>P18/'2017'!P18-1</f>
        <v>0.20288174173913642</v>
      </c>
      <c r="W18" s="228">
        <f>Q18/'2017'!Q18-1</f>
        <v>0.11709919221572118</v>
      </c>
      <c r="X18" s="228">
        <f>R18/'2017'!R18-1</f>
        <v>0.42256557374792481</v>
      </c>
      <c r="Y18" s="244">
        <f>S18/'2017'!S18-1</f>
        <v>0.20288174173913642</v>
      </c>
      <c r="Z18" s="245"/>
      <c r="AA18" s="246">
        <f t="shared" si="10"/>
        <v>104.0369</v>
      </c>
      <c r="AB18" s="247"/>
      <c r="AC18" s="248"/>
      <c r="AD18" s="247">
        <f t="shared" si="6"/>
        <v>1063883</v>
      </c>
      <c r="AE18" s="177">
        <f t="shared" si="7"/>
        <v>5064</v>
      </c>
      <c r="AF18" s="177">
        <f t="shared" si="8"/>
        <v>11018</v>
      </c>
      <c r="AG18" s="248">
        <f t="shared" si="9"/>
        <v>7432</v>
      </c>
      <c r="AH18" s="263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</row>
    <row r="19" spans="1:55" x14ac:dyDescent="0.15">
      <c r="A19" s="180">
        <v>42750</v>
      </c>
      <c r="B19" s="175" t="s">
        <v>34</v>
      </c>
      <c r="C19" s="176">
        <v>73054</v>
      </c>
      <c r="D19" s="177">
        <f>11124+25972</f>
        <v>37096</v>
      </c>
      <c r="E19" s="177">
        <v>111892</v>
      </c>
      <c r="F19" s="178">
        <v>5648</v>
      </c>
      <c r="G19" s="177">
        <v>3524</v>
      </c>
      <c r="H19" s="179"/>
      <c r="I19" s="179"/>
      <c r="J19" s="204">
        <f t="shared" si="0"/>
        <v>74796</v>
      </c>
      <c r="K19" s="177">
        <v>120</v>
      </c>
      <c r="L19" s="177">
        <v>794</v>
      </c>
      <c r="M19" s="205">
        <f t="shared" si="3"/>
        <v>828</v>
      </c>
      <c r="N19" s="206">
        <f t="shared" si="4"/>
        <v>1113423</v>
      </c>
      <c r="O19" s="209">
        <f t="shared" si="4"/>
        <v>553796</v>
      </c>
      <c r="P19" s="208">
        <f t="shared" si="4"/>
        <v>1692475</v>
      </c>
      <c r="Q19" s="225">
        <f t="shared" si="5"/>
        <v>1113423</v>
      </c>
      <c r="R19" s="207">
        <f t="shared" si="5"/>
        <v>553796</v>
      </c>
      <c r="S19" s="226">
        <f t="shared" si="5"/>
        <v>1692475</v>
      </c>
      <c r="T19" s="227">
        <f>N19/'2017'!N19-1</f>
        <v>0.12280742445358306</v>
      </c>
      <c r="U19" s="228">
        <f>O19/'2017'!O19-1</f>
        <v>0.43191872807051568</v>
      </c>
      <c r="V19" s="228">
        <f>P19/'2017'!P19-1</f>
        <v>0.20947657654116747</v>
      </c>
      <c r="W19" s="228">
        <f>Q19/'2017'!Q19-1</f>
        <v>0.12280742445358306</v>
      </c>
      <c r="X19" s="228">
        <f>R19/'2017'!R19-1</f>
        <v>0.43191872807051568</v>
      </c>
      <c r="Y19" s="244">
        <f>S19/'2017'!S19-1</f>
        <v>0.20947657654116747</v>
      </c>
      <c r="Z19" s="245"/>
      <c r="AA19" s="246">
        <f t="shared" si="10"/>
        <v>111.34229999999999</v>
      </c>
      <c r="AB19" s="247"/>
      <c r="AC19" s="248"/>
      <c r="AD19" s="247">
        <f t="shared" si="6"/>
        <v>1138679</v>
      </c>
      <c r="AE19" s="177">
        <f t="shared" si="7"/>
        <v>5184</v>
      </c>
      <c r="AF19" s="177">
        <f t="shared" si="8"/>
        <v>11812</v>
      </c>
      <c r="AG19" s="248">
        <f t="shared" si="9"/>
        <v>8260</v>
      </c>
      <c r="AH19" s="263"/>
      <c r="AI19" s="264"/>
      <c r="AJ19" s="264"/>
      <c r="AK19" s="264"/>
      <c r="AL19" s="264"/>
      <c r="AM19" s="264"/>
      <c r="AN19" s="264"/>
      <c r="AO19" s="264"/>
      <c r="AP19" s="264"/>
      <c r="AQ19" s="264"/>
      <c r="AR19" s="264"/>
      <c r="AS19" s="264"/>
      <c r="AT19" s="264"/>
      <c r="AU19" s="264"/>
      <c r="AV19" s="264"/>
      <c r="AW19" s="264"/>
      <c r="AX19" s="264"/>
      <c r="AY19" s="264"/>
      <c r="AZ19" s="264"/>
      <c r="BA19" s="264"/>
      <c r="BB19" s="264"/>
      <c r="BC19" s="264"/>
    </row>
    <row r="20" spans="1:55" x14ac:dyDescent="0.15">
      <c r="A20" s="180">
        <v>42751</v>
      </c>
      <c r="B20" s="175" t="s">
        <v>35</v>
      </c>
      <c r="C20" s="176">
        <v>71985</v>
      </c>
      <c r="D20" s="177">
        <f>11178+25494</f>
        <v>36672</v>
      </c>
      <c r="E20" s="177">
        <v>110112</v>
      </c>
      <c r="F20" s="178">
        <v>5535</v>
      </c>
      <c r="G20" s="177">
        <v>3490</v>
      </c>
      <c r="H20" s="179"/>
      <c r="I20" s="179"/>
      <c r="J20" s="204">
        <f t="shared" si="0"/>
        <v>73440</v>
      </c>
      <c r="K20" s="177">
        <v>100</v>
      </c>
      <c r="L20" s="177">
        <v>792</v>
      </c>
      <c r="M20" s="205">
        <f t="shared" si="3"/>
        <v>563</v>
      </c>
      <c r="N20" s="206">
        <f t="shared" si="4"/>
        <v>1185408</v>
      </c>
      <c r="O20" s="209">
        <f t="shared" si="4"/>
        <v>590468</v>
      </c>
      <c r="P20" s="208">
        <f t="shared" si="4"/>
        <v>1802587</v>
      </c>
      <c r="Q20" s="225">
        <f t="shared" si="5"/>
        <v>1185408</v>
      </c>
      <c r="R20" s="207">
        <f t="shared" si="5"/>
        <v>590468</v>
      </c>
      <c r="S20" s="226">
        <f t="shared" si="5"/>
        <v>1802587</v>
      </c>
      <c r="T20" s="227">
        <f>N20/'2017'!N20-1</f>
        <v>0.12814021810817477</v>
      </c>
      <c r="U20" s="228">
        <f>O20/'2017'!O20-1</f>
        <v>0.43863949224603171</v>
      </c>
      <c r="V20" s="228">
        <f>P20/'2017'!P20-1</f>
        <v>0.21491540822557442</v>
      </c>
      <c r="W20" s="228">
        <f>Q20/'2017'!Q20-1</f>
        <v>0.12814021810817477</v>
      </c>
      <c r="X20" s="228">
        <f>R20/'2017'!R20-1</f>
        <v>0.43863949224603171</v>
      </c>
      <c r="Y20" s="244">
        <f>S20/'2017'!S20-1</f>
        <v>0.21491540822557442</v>
      </c>
      <c r="Z20" s="245"/>
      <c r="AA20" s="246">
        <f t="shared" si="10"/>
        <v>118.5408</v>
      </c>
      <c r="AB20" s="247"/>
      <c r="AC20" s="248"/>
      <c r="AD20" s="247">
        <f t="shared" si="6"/>
        <v>1212119</v>
      </c>
      <c r="AE20" s="177">
        <f t="shared" si="7"/>
        <v>5284</v>
      </c>
      <c r="AF20" s="177">
        <f t="shared" si="8"/>
        <v>12604</v>
      </c>
      <c r="AG20" s="248">
        <f t="shared" si="9"/>
        <v>8823</v>
      </c>
      <c r="AH20" s="263"/>
      <c r="AI20" s="264"/>
      <c r="AJ20" s="264"/>
      <c r="AK20" s="264"/>
      <c r="AL20" s="264"/>
      <c r="AM20" s="264"/>
      <c r="AN20" s="264"/>
      <c r="AO20" s="264"/>
      <c r="AP20" s="264"/>
      <c r="AQ20" s="264"/>
      <c r="AR20" s="264"/>
      <c r="AS20" s="264"/>
      <c r="AT20" s="264"/>
      <c r="AU20" s="264"/>
      <c r="AV20" s="264"/>
      <c r="AW20" s="264"/>
      <c r="AX20" s="264"/>
      <c r="AY20" s="264"/>
      <c r="AZ20" s="264"/>
      <c r="BA20" s="264"/>
      <c r="BB20" s="264"/>
      <c r="BC20" s="264"/>
    </row>
    <row r="21" spans="1:55" x14ac:dyDescent="0.15">
      <c r="A21" s="180">
        <v>42752</v>
      </c>
      <c r="B21" s="175" t="s">
        <v>36</v>
      </c>
      <c r="C21" s="176">
        <v>71286</v>
      </c>
      <c r="D21" s="177">
        <v>36388</v>
      </c>
      <c r="E21" s="177">
        <v>109137</v>
      </c>
      <c r="F21" s="178">
        <v>5519</v>
      </c>
      <c r="G21" s="177">
        <v>3416</v>
      </c>
      <c r="H21" s="179"/>
      <c r="I21" s="179"/>
      <c r="J21" s="204">
        <f t="shared" si="0"/>
        <v>72749</v>
      </c>
      <c r="K21" s="177">
        <v>105</v>
      </c>
      <c r="L21" s="177">
        <v>795</v>
      </c>
      <c r="M21" s="205">
        <f t="shared" si="3"/>
        <v>563</v>
      </c>
      <c r="N21" s="206">
        <f t="shared" si="4"/>
        <v>1256694</v>
      </c>
      <c r="O21" s="209">
        <f t="shared" si="4"/>
        <v>626856</v>
      </c>
      <c r="P21" s="208">
        <f t="shared" si="4"/>
        <v>1911724</v>
      </c>
      <c r="Q21" s="225">
        <f t="shared" si="5"/>
        <v>1256694</v>
      </c>
      <c r="R21" s="207">
        <f t="shared" si="5"/>
        <v>626856</v>
      </c>
      <c r="S21" s="226">
        <f t="shared" si="5"/>
        <v>1911724</v>
      </c>
      <c r="T21" s="227">
        <f>N21/'2017'!N21-1</f>
        <v>0.13361922768833301</v>
      </c>
      <c r="U21" s="228">
        <f>O21/'2017'!O21-1</f>
        <v>0.44352051214148358</v>
      </c>
      <c r="V21" s="228">
        <f>P21/'2017'!P21-1</f>
        <v>0.22008789475094992</v>
      </c>
      <c r="W21" s="228">
        <f>Q21/'2017'!Q21-1</f>
        <v>0.13361922768833301</v>
      </c>
      <c r="X21" s="228">
        <f>R21/'2017'!R21-1</f>
        <v>0.44352051214148358</v>
      </c>
      <c r="Y21" s="244">
        <f>S21/'2017'!S21-1</f>
        <v>0.22008789475094992</v>
      </c>
      <c r="Z21" s="245"/>
      <c r="AA21" s="246">
        <f t="shared" si="10"/>
        <v>125.6694</v>
      </c>
      <c r="AB21" s="247"/>
      <c r="AC21" s="248"/>
      <c r="AD21" s="247">
        <f t="shared" si="6"/>
        <v>1284868</v>
      </c>
      <c r="AE21" s="177">
        <f t="shared" si="7"/>
        <v>5389</v>
      </c>
      <c r="AF21" s="177">
        <f t="shared" si="8"/>
        <v>13399</v>
      </c>
      <c r="AG21" s="248">
        <f t="shared" si="9"/>
        <v>9386</v>
      </c>
      <c r="AH21" s="263"/>
      <c r="AI21" s="264"/>
      <c r="AJ21" s="264"/>
      <c r="AK21" s="264"/>
      <c r="AL21" s="264"/>
      <c r="AM21" s="264"/>
      <c r="AN21" s="264"/>
      <c r="AO21" s="264"/>
      <c r="AP21" s="264"/>
      <c r="AQ21" s="264"/>
      <c r="AR21" s="264"/>
      <c r="AS21" s="264"/>
      <c r="AT21" s="264"/>
      <c r="AU21" s="264"/>
      <c r="AV21" s="264"/>
      <c r="AW21" s="264"/>
      <c r="AX21" s="264"/>
      <c r="AY21" s="264"/>
      <c r="AZ21" s="264"/>
      <c r="BA21" s="264"/>
      <c r="BB21" s="264"/>
      <c r="BC21" s="264"/>
    </row>
    <row r="22" spans="1:55" s="157" customFormat="1" x14ac:dyDescent="0.15">
      <c r="A22" s="181">
        <v>42753</v>
      </c>
      <c r="B22" s="182" t="s">
        <v>37</v>
      </c>
      <c r="C22" s="183">
        <v>73810</v>
      </c>
      <c r="D22" s="184">
        <v>36701</v>
      </c>
      <c r="E22" s="184">
        <v>111724</v>
      </c>
      <c r="F22" s="185">
        <v>5641</v>
      </c>
      <c r="G22" s="184">
        <v>3444</v>
      </c>
      <c r="H22" s="186"/>
      <c r="I22" s="186"/>
      <c r="J22" s="210">
        <f t="shared" si="0"/>
        <v>75023</v>
      </c>
      <c r="K22" s="184">
        <v>131</v>
      </c>
      <c r="L22" s="184">
        <v>793</v>
      </c>
      <c r="M22" s="211">
        <f t="shared" si="3"/>
        <v>289</v>
      </c>
      <c r="N22" s="212">
        <f t="shared" ref="N22:P34" si="11">N21+C22</f>
        <v>1330504</v>
      </c>
      <c r="O22" s="215">
        <f t="shared" si="11"/>
        <v>663557</v>
      </c>
      <c r="P22" s="214">
        <f t="shared" si="11"/>
        <v>2023448</v>
      </c>
      <c r="Q22" s="229">
        <f t="shared" si="5"/>
        <v>1330504</v>
      </c>
      <c r="R22" s="213">
        <f t="shared" si="5"/>
        <v>663557</v>
      </c>
      <c r="S22" s="230">
        <f t="shared" si="5"/>
        <v>2023448</v>
      </c>
      <c r="T22" s="231">
        <f>N22/'2017'!N22-1</f>
        <v>0.14589563036558317</v>
      </c>
      <c r="U22" s="232">
        <f>O22/'2017'!O22-1</f>
        <v>0.44865309758083716</v>
      </c>
      <c r="V22" s="232">
        <f>P22/'2017'!P22-1</f>
        <v>0.23011715441999403</v>
      </c>
      <c r="W22" s="232">
        <f>Q22/'2017'!Q22-1</f>
        <v>0.14589563036558317</v>
      </c>
      <c r="X22" s="232">
        <f>R22/'2017'!R22-1</f>
        <v>0.44865309758083716</v>
      </c>
      <c r="Y22" s="249">
        <f>S22/'2017'!S22-1</f>
        <v>0.23011715441999403</v>
      </c>
      <c r="Z22" s="250">
        <v>4.6500000000000004</v>
      </c>
      <c r="AA22" s="251">
        <f t="shared" si="10"/>
        <v>128.40039999999999</v>
      </c>
      <c r="AB22" s="252">
        <v>4269.4799999999996</v>
      </c>
      <c r="AC22" s="211">
        <f t="shared" ref="AC22:AC72" si="12">AA22*10000/AB22</f>
        <v>300.74013697218402</v>
      </c>
      <c r="AD22" s="252">
        <f t="shared" si="6"/>
        <v>1359891</v>
      </c>
      <c r="AE22" s="184">
        <f t="shared" si="7"/>
        <v>5520</v>
      </c>
      <c r="AF22" s="184">
        <f t="shared" si="8"/>
        <v>14192</v>
      </c>
      <c r="AG22" s="211">
        <f t="shared" si="9"/>
        <v>9675</v>
      </c>
      <c r="AH22" s="263"/>
      <c r="AI22" s="264"/>
      <c r="AJ22" s="264"/>
      <c r="AK22" s="264"/>
      <c r="AL22" s="264"/>
      <c r="AM22" s="264"/>
      <c r="AN22" s="264"/>
      <c r="AO22" s="264"/>
      <c r="AP22" s="264"/>
      <c r="AQ22" s="264"/>
      <c r="AR22" s="264"/>
      <c r="AS22" s="264"/>
      <c r="AT22" s="264"/>
      <c r="AU22" s="264"/>
      <c r="AV22" s="264"/>
      <c r="AW22" s="264"/>
      <c r="AX22" s="264"/>
      <c r="AY22" s="264"/>
      <c r="AZ22" s="264"/>
      <c r="BA22" s="264"/>
      <c r="BB22" s="264"/>
      <c r="BC22" s="264"/>
    </row>
    <row r="23" spans="1:55" x14ac:dyDescent="0.15">
      <c r="A23" s="180">
        <v>42754</v>
      </c>
      <c r="B23" s="175" t="s">
        <v>38</v>
      </c>
      <c r="C23" s="176">
        <f>71554+2735</f>
        <v>74289</v>
      </c>
      <c r="D23" s="177">
        <f>22826+14279</f>
        <v>37105</v>
      </c>
      <c r="E23" s="177">
        <f>89570+22826</f>
        <v>112396</v>
      </c>
      <c r="F23" s="178">
        <v>5763</v>
      </c>
      <c r="G23" s="177">
        <v>3462</v>
      </c>
      <c r="H23" s="179"/>
      <c r="I23" s="179"/>
      <c r="J23" s="204">
        <f t="shared" si="0"/>
        <v>75291</v>
      </c>
      <c r="K23" s="177">
        <v>0</v>
      </c>
      <c r="L23" s="177">
        <v>794</v>
      </c>
      <c r="M23" s="205">
        <f t="shared" si="3"/>
        <v>208</v>
      </c>
      <c r="N23" s="206">
        <f t="shared" si="11"/>
        <v>1404793</v>
      </c>
      <c r="O23" s="209">
        <f t="shared" si="11"/>
        <v>700662</v>
      </c>
      <c r="P23" s="208">
        <f t="shared" si="11"/>
        <v>2135844</v>
      </c>
      <c r="Q23" s="225">
        <f t="shared" si="5"/>
        <v>1404793</v>
      </c>
      <c r="R23" s="207">
        <f t="shared" si="5"/>
        <v>700662</v>
      </c>
      <c r="S23" s="226">
        <f t="shared" si="5"/>
        <v>2135844</v>
      </c>
      <c r="T23" s="227">
        <f>N23/'2017'!N23-1</f>
        <v>0.16195008089356788</v>
      </c>
      <c r="U23" s="228">
        <f>O23/'2017'!O23-1</f>
        <v>0.45293516285493296</v>
      </c>
      <c r="V23" s="228">
        <f>P23/'2017'!P23-1</f>
        <v>0.24322549776307834</v>
      </c>
      <c r="W23" s="228">
        <f>Q23/'2017'!Q23-1</f>
        <v>0.16195008089356788</v>
      </c>
      <c r="X23" s="228">
        <f>R23/'2017'!R23-1</f>
        <v>0.45293516285493296</v>
      </c>
      <c r="Y23" s="244">
        <f>S23/'2017'!S23-1</f>
        <v>0.24322549776307834</v>
      </c>
      <c r="Z23" s="245"/>
      <c r="AA23" s="246">
        <f t="shared" si="10"/>
        <v>140.47929999999999</v>
      </c>
      <c r="AB23" s="247"/>
      <c r="AC23" s="248"/>
      <c r="AD23" s="247">
        <f t="shared" si="6"/>
        <v>1435182</v>
      </c>
      <c r="AE23" s="177">
        <f t="shared" si="7"/>
        <v>5520</v>
      </c>
      <c r="AF23" s="177">
        <f t="shared" ref="AF23:AF38" si="13">AF22+L23</f>
        <v>14986</v>
      </c>
      <c r="AG23" s="248">
        <f t="shared" si="9"/>
        <v>9883</v>
      </c>
      <c r="AH23" s="263"/>
      <c r="AI23" s="264"/>
      <c r="AJ23" s="264"/>
      <c r="AK23" s="264"/>
      <c r="AL23" s="264"/>
      <c r="AM23" s="264"/>
      <c r="AN23" s="264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64"/>
      <c r="BB23" s="264"/>
      <c r="BC23" s="264"/>
    </row>
    <row r="24" spans="1:55" x14ac:dyDescent="0.15">
      <c r="A24" s="180">
        <v>42755</v>
      </c>
      <c r="B24" s="175" t="s">
        <v>39</v>
      </c>
      <c r="C24" s="176">
        <f>71982+2009</f>
        <v>73991</v>
      </c>
      <c r="D24" s="177">
        <f>23199+14276</f>
        <v>37475</v>
      </c>
      <c r="E24" s="177">
        <f>89315+23199</f>
        <v>112514</v>
      </c>
      <c r="F24" s="178">
        <v>5753</v>
      </c>
      <c r="G24" s="177">
        <v>3483</v>
      </c>
      <c r="H24" s="179"/>
      <c r="I24" s="179"/>
      <c r="J24" s="204">
        <f t="shared" si="0"/>
        <v>75039</v>
      </c>
      <c r="K24" s="177">
        <v>169</v>
      </c>
      <c r="L24" s="177">
        <v>792</v>
      </c>
      <c r="M24" s="205">
        <f t="shared" si="3"/>
        <v>87</v>
      </c>
      <c r="N24" s="206">
        <f t="shared" si="11"/>
        <v>1478784</v>
      </c>
      <c r="O24" s="209">
        <f t="shared" si="11"/>
        <v>738137</v>
      </c>
      <c r="P24" s="208">
        <f t="shared" si="11"/>
        <v>2248358</v>
      </c>
      <c r="Q24" s="225">
        <f t="shared" si="5"/>
        <v>1478784</v>
      </c>
      <c r="R24" s="207">
        <f t="shared" si="5"/>
        <v>738137</v>
      </c>
      <c r="S24" s="226">
        <f t="shared" si="5"/>
        <v>2248358</v>
      </c>
      <c r="T24" s="227">
        <f>N24/'2017'!N24-1</f>
        <v>0.18328941693479273</v>
      </c>
      <c r="U24" s="228">
        <f>O24/'2017'!O24-1</f>
        <v>0.45627928541130292</v>
      </c>
      <c r="V24" s="228">
        <f>P24/'2017'!P24-1</f>
        <v>0.25981863293340823</v>
      </c>
      <c r="W24" s="228">
        <f>Q24/'2017'!Q24-1</f>
        <v>0.18328941693479273</v>
      </c>
      <c r="X24" s="228">
        <f>R24/'2017'!R24-1</f>
        <v>0.45627928541130292</v>
      </c>
      <c r="Y24" s="244">
        <f>S24/'2017'!S24-1</f>
        <v>0.25981863293340823</v>
      </c>
      <c r="Z24" s="245"/>
      <c r="AA24" s="246">
        <f t="shared" si="10"/>
        <v>147.8784</v>
      </c>
      <c r="AB24" s="247"/>
      <c r="AC24" s="248"/>
      <c r="AD24" s="247">
        <f t="shared" si="6"/>
        <v>1510221</v>
      </c>
      <c r="AE24" s="177">
        <f t="shared" si="7"/>
        <v>5689</v>
      </c>
      <c r="AF24" s="177">
        <f t="shared" si="13"/>
        <v>15778</v>
      </c>
      <c r="AG24" s="248">
        <f t="shared" si="9"/>
        <v>9970</v>
      </c>
      <c r="AH24" s="263"/>
      <c r="AI24" s="264"/>
      <c r="AJ24" s="264"/>
      <c r="AK24" s="264"/>
      <c r="AL24" s="264"/>
      <c r="AM24" s="264"/>
      <c r="AN24" s="264"/>
      <c r="AO24" s="264"/>
      <c r="AP24" s="264"/>
      <c r="AQ24" s="264"/>
      <c r="AR24" s="264"/>
      <c r="AS24" s="264"/>
      <c r="AT24" s="264"/>
      <c r="AU24" s="264"/>
      <c r="AV24" s="264"/>
      <c r="AW24" s="264"/>
      <c r="AX24" s="264"/>
      <c r="AY24" s="264"/>
      <c r="AZ24" s="264"/>
      <c r="BA24" s="264"/>
      <c r="BB24" s="264"/>
      <c r="BC24" s="264"/>
    </row>
    <row r="25" spans="1:55" x14ac:dyDescent="0.15">
      <c r="A25" s="180">
        <v>42756</v>
      </c>
      <c r="B25" s="175" t="s">
        <v>1</v>
      </c>
      <c r="C25" s="176">
        <v>70704</v>
      </c>
      <c r="D25" s="177">
        <f>11200+25926</f>
        <v>37126</v>
      </c>
      <c r="E25" s="177">
        <v>108906</v>
      </c>
      <c r="F25" s="178">
        <v>5474</v>
      </c>
      <c r="G25" s="177">
        <v>3470</v>
      </c>
      <c r="H25" s="179"/>
      <c r="I25" s="179"/>
      <c r="J25" s="204">
        <f t="shared" si="0"/>
        <v>71780</v>
      </c>
      <c r="K25" s="177">
        <v>62</v>
      </c>
      <c r="L25" s="177">
        <v>792</v>
      </c>
      <c r="M25" s="205">
        <f t="shared" si="3"/>
        <v>222</v>
      </c>
      <c r="N25" s="206">
        <f t="shared" si="11"/>
        <v>1549488</v>
      </c>
      <c r="O25" s="209">
        <f t="shared" si="11"/>
        <v>775263</v>
      </c>
      <c r="P25" s="208">
        <f t="shared" si="11"/>
        <v>2357264</v>
      </c>
      <c r="Q25" s="225">
        <f t="shared" si="5"/>
        <v>1549488</v>
      </c>
      <c r="R25" s="207">
        <f t="shared" si="5"/>
        <v>775263</v>
      </c>
      <c r="S25" s="226">
        <f t="shared" si="5"/>
        <v>2357264</v>
      </c>
      <c r="T25" s="227">
        <f>N25/'2017'!N25-1</f>
        <v>0.2042050747203572</v>
      </c>
      <c r="U25" s="228">
        <f>O25/'2017'!O25-1</f>
        <v>0.46050348612238823</v>
      </c>
      <c r="V25" s="228">
        <f>P25/'2017'!P25-1</f>
        <v>0.2761109231414689</v>
      </c>
      <c r="W25" s="228">
        <f>Q25/'2017'!Q25-1</f>
        <v>0.2042050747203572</v>
      </c>
      <c r="X25" s="228">
        <f>R25/'2017'!R25-1</f>
        <v>0.46050348612238823</v>
      </c>
      <c r="Y25" s="244">
        <f>S25/'2017'!S25-1</f>
        <v>0.2761109231414689</v>
      </c>
      <c r="Z25" s="245"/>
      <c r="AA25" s="246">
        <f t="shared" si="10"/>
        <v>154.94880000000001</v>
      </c>
      <c r="AB25" s="247"/>
      <c r="AC25" s="248"/>
      <c r="AD25" s="247">
        <f t="shared" si="6"/>
        <v>1582001</v>
      </c>
      <c r="AE25" s="177">
        <f t="shared" si="7"/>
        <v>5751</v>
      </c>
      <c r="AF25" s="177">
        <f t="shared" si="13"/>
        <v>16570</v>
      </c>
      <c r="AG25" s="248">
        <f t="shared" si="9"/>
        <v>10192</v>
      </c>
      <c r="AH25" s="263"/>
      <c r="AI25" s="264"/>
      <c r="AJ25" s="264"/>
      <c r="AK25" s="264"/>
      <c r="AL25" s="264"/>
      <c r="AM25" s="264"/>
      <c r="AN25" s="264"/>
      <c r="AO25" s="264"/>
      <c r="AP25" s="264"/>
      <c r="AQ25" s="264"/>
      <c r="AR25" s="264"/>
      <c r="AS25" s="264"/>
      <c r="AT25" s="264"/>
      <c r="AU25" s="264"/>
      <c r="AV25" s="264"/>
      <c r="AW25" s="264"/>
      <c r="AX25" s="264"/>
      <c r="AY25" s="264"/>
      <c r="AZ25" s="264"/>
      <c r="BA25" s="264"/>
      <c r="BB25" s="264"/>
      <c r="BC25" s="264"/>
    </row>
    <row r="26" spans="1:55" x14ac:dyDescent="0.15">
      <c r="A26" s="180">
        <v>42757</v>
      </c>
      <c r="B26" s="175" t="s">
        <v>34</v>
      </c>
      <c r="C26" s="176">
        <v>68326</v>
      </c>
      <c r="D26" s="177">
        <f>11206+28134</f>
        <v>39340</v>
      </c>
      <c r="E26" s="177">
        <v>109299</v>
      </c>
      <c r="F26" s="178">
        <v>5559</v>
      </c>
      <c r="G26" s="177">
        <v>3326</v>
      </c>
      <c r="H26" s="179"/>
      <c r="I26" s="179"/>
      <c r="J26" s="204">
        <f t="shared" si="0"/>
        <v>69959</v>
      </c>
      <c r="K26" s="177">
        <v>226</v>
      </c>
      <c r="L26" s="177">
        <v>794</v>
      </c>
      <c r="M26" s="205">
        <f t="shared" si="3"/>
        <v>613</v>
      </c>
      <c r="N26" s="206">
        <f t="shared" si="11"/>
        <v>1617814</v>
      </c>
      <c r="O26" s="209">
        <f t="shared" si="11"/>
        <v>814603</v>
      </c>
      <c r="P26" s="208">
        <f t="shared" si="11"/>
        <v>2466563</v>
      </c>
      <c r="Q26" s="225">
        <f t="shared" si="5"/>
        <v>1617814</v>
      </c>
      <c r="R26" s="207">
        <f t="shared" si="5"/>
        <v>814603</v>
      </c>
      <c r="S26" s="226">
        <f t="shared" si="5"/>
        <v>2466563</v>
      </c>
      <c r="T26" s="227">
        <f>N26/'2017'!N26-1</f>
        <v>0.22595752000745661</v>
      </c>
      <c r="U26" s="228">
        <f>O26/'2017'!O26-1</f>
        <v>0.47025390935212319</v>
      </c>
      <c r="V26" s="228">
        <f>P26/'2017'!P26-1</f>
        <v>0.29472459787925698</v>
      </c>
      <c r="W26" s="228">
        <f>Q26/'2017'!Q26-1</f>
        <v>0.22595752000745661</v>
      </c>
      <c r="X26" s="228">
        <f>R26/'2017'!R26-1</f>
        <v>0.47025390935212319</v>
      </c>
      <c r="Y26" s="244">
        <f>S26/'2017'!S26-1</f>
        <v>0.29472459787925698</v>
      </c>
      <c r="Z26" s="245"/>
      <c r="AA26" s="246">
        <f t="shared" si="10"/>
        <v>161.78139999999999</v>
      </c>
      <c r="AB26" s="247"/>
      <c r="AC26" s="248"/>
      <c r="AD26" s="247">
        <f t="shared" si="6"/>
        <v>1651960</v>
      </c>
      <c r="AE26" s="177">
        <f t="shared" si="7"/>
        <v>5977</v>
      </c>
      <c r="AF26" s="177">
        <f t="shared" si="13"/>
        <v>17364</v>
      </c>
      <c r="AG26" s="248">
        <f t="shared" si="9"/>
        <v>10805</v>
      </c>
      <c r="AH26" s="263"/>
      <c r="AI26" s="264"/>
      <c r="AJ26" s="264"/>
      <c r="AK26" s="264"/>
      <c r="AL26" s="264"/>
      <c r="AM26" s="264"/>
      <c r="AN26" s="264"/>
      <c r="AO26" s="264"/>
      <c r="AP26" s="264"/>
      <c r="AQ26" s="264"/>
      <c r="AR26" s="264"/>
      <c r="AS26" s="264"/>
      <c r="AT26" s="264"/>
      <c r="AU26" s="264"/>
      <c r="AV26" s="264"/>
      <c r="AW26" s="264"/>
      <c r="AX26" s="264"/>
      <c r="AY26" s="264"/>
      <c r="AZ26" s="264"/>
      <c r="BA26" s="264"/>
      <c r="BB26" s="264"/>
      <c r="BC26" s="264"/>
    </row>
    <row r="27" spans="1:55" x14ac:dyDescent="0.15">
      <c r="A27" s="180">
        <v>42758</v>
      </c>
      <c r="B27" s="175" t="s">
        <v>35</v>
      </c>
      <c r="C27" s="176">
        <v>74020</v>
      </c>
      <c r="D27" s="177">
        <f>11196+28479</f>
        <v>39675</v>
      </c>
      <c r="E27" s="177">
        <v>114846</v>
      </c>
      <c r="F27" s="178">
        <v>5797</v>
      </c>
      <c r="G27" s="177">
        <v>3501</v>
      </c>
      <c r="H27" s="179"/>
      <c r="I27" s="179"/>
      <c r="J27" s="204">
        <f t="shared" si="0"/>
        <v>75171</v>
      </c>
      <c r="K27" s="177">
        <v>125</v>
      </c>
      <c r="L27" s="177">
        <v>793</v>
      </c>
      <c r="M27" s="205">
        <f t="shared" si="3"/>
        <v>233</v>
      </c>
      <c r="N27" s="206">
        <f t="shared" si="11"/>
        <v>1691834</v>
      </c>
      <c r="O27" s="209">
        <f t="shared" si="11"/>
        <v>854278</v>
      </c>
      <c r="P27" s="208">
        <f t="shared" si="11"/>
        <v>2581409</v>
      </c>
      <c r="Q27" s="225">
        <f t="shared" si="5"/>
        <v>1691834</v>
      </c>
      <c r="R27" s="207">
        <f t="shared" si="5"/>
        <v>854278</v>
      </c>
      <c r="S27" s="226">
        <f t="shared" si="5"/>
        <v>2581409</v>
      </c>
      <c r="T27" s="227">
        <f>N27/'2017'!N27-1</f>
        <v>0.25211314825600972</v>
      </c>
      <c r="U27" s="228">
        <f>O27/'2017'!O27-1</f>
        <v>0.48218744090095988</v>
      </c>
      <c r="V27" s="228">
        <f>P27/'2017'!P27-1</f>
        <v>0.31678742532075344</v>
      </c>
      <c r="W27" s="228">
        <f>Q27/'2017'!Q27-1</f>
        <v>0.25211314825600972</v>
      </c>
      <c r="X27" s="228">
        <f>R27/'2017'!R27-1</f>
        <v>0.48218744090095988</v>
      </c>
      <c r="Y27" s="244">
        <f>S27/'2017'!S27-1</f>
        <v>0.31678742532075344</v>
      </c>
      <c r="Z27" s="245">
        <v>5.76</v>
      </c>
      <c r="AA27" s="246">
        <f t="shared" si="10"/>
        <v>163.42340000000002</v>
      </c>
      <c r="AB27" s="247"/>
      <c r="AC27" s="248"/>
      <c r="AD27" s="247">
        <f t="shared" si="6"/>
        <v>1727131</v>
      </c>
      <c r="AE27" s="177">
        <f t="shared" si="7"/>
        <v>6102</v>
      </c>
      <c r="AF27" s="177">
        <f t="shared" si="13"/>
        <v>18157</v>
      </c>
      <c r="AG27" s="248">
        <f t="shared" si="9"/>
        <v>11038</v>
      </c>
      <c r="AH27" s="263"/>
      <c r="AI27" s="264"/>
      <c r="AJ27" s="264"/>
      <c r="AK27" s="264"/>
      <c r="AL27" s="264"/>
      <c r="AM27" s="264"/>
      <c r="AN27" s="264"/>
      <c r="AO27" s="264"/>
      <c r="AP27" s="264"/>
      <c r="AQ27" s="264"/>
      <c r="AR27" s="264"/>
      <c r="AS27" s="264"/>
      <c r="AT27" s="264"/>
      <c r="AU27" s="264"/>
      <c r="AV27" s="264"/>
      <c r="AW27" s="264"/>
      <c r="AX27" s="264"/>
      <c r="AY27" s="264"/>
      <c r="AZ27" s="264"/>
      <c r="BA27" s="264"/>
      <c r="BB27" s="264"/>
      <c r="BC27" s="264"/>
    </row>
    <row r="28" spans="1:55" x14ac:dyDescent="0.15">
      <c r="A28" s="180">
        <v>42759</v>
      </c>
      <c r="B28" s="175" t="s">
        <v>36</v>
      </c>
      <c r="C28" s="176">
        <v>79707</v>
      </c>
      <c r="D28" s="177">
        <f>11218+28098</f>
        <v>39316</v>
      </c>
      <c r="E28" s="177">
        <v>120513</v>
      </c>
      <c r="F28" s="178">
        <v>6104</v>
      </c>
      <c r="G28" s="177">
        <v>3567</v>
      </c>
      <c r="H28" s="179"/>
      <c r="I28" s="179"/>
      <c r="J28" s="204">
        <f t="shared" si="0"/>
        <v>81197</v>
      </c>
      <c r="K28" s="177">
        <v>579</v>
      </c>
      <c r="L28" s="177">
        <v>792</v>
      </c>
      <c r="M28" s="205">
        <f t="shared" si="3"/>
        <v>119</v>
      </c>
      <c r="N28" s="206">
        <f t="shared" si="11"/>
        <v>1771541</v>
      </c>
      <c r="O28" s="209">
        <f t="shared" si="11"/>
        <v>893594</v>
      </c>
      <c r="P28" s="208">
        <f t="shared" si="11"/>
        <v>2701922</v>
      </c>
      <c r="Q28" s="225">
        <f t="shared" si="5"/>
        <v>1771541</v>
      </c>
      <c r="R28" s="207">
        <f t="shared" si="5"/>
        <v>893594</v>
      </c>
      <c r="S28" s="226">
        <f t="shared" si="5"/>
        <v>2701922</v>
      </c>
      <c r="T28" s="227">
        <f>N28/'2017'!N28-1</f>
        <v>0.28429957451991217</v>
      </c>
      <c r="U28" s="228">
        <f>O28/'2017'!O28-1</f>
        <v>0.49436932040523507</v>
      </c>
      <c r="V28" s="228">
        <f>P28/'2017'!P28-1</f>
        <v>0.34325808650294887</v>
      </c>
      <c r="W28" s="228">
        <f>Q28/'2017'!Q28-1</f>
        <v>0.28429957451991217</v>
      </c>
      <c r="X28" s="228">
        <f>R28/'2017'!R28-1</f>
        <v>0.49436932040523507</v>
      </c>
      <c r="Y28" s="244">
        <f>S28/'2017'!S28-1</f>
        <v>0.34325808650294887</v>
      </c>
      <c r="Z28" s="245">
        <v>6</v>
      </c>
      <c r="AA28" s="246">
        <f t="shared" si="10"/>
        <v>171.1541</v>
      </c>
      <c r="AB28" s="247"/>
      <c r="AC28" s="248"/>
      <c r="AD28" s="247">
        <f t="shared" si="6"/>
        <v>1808328</v>
      </c>
      <c r="AE28" s="177">
        <f t="shared" si="7"/>
        <v>6681</v>
      </c>
      <c r="AF28" s="177">
        <f t="shared" si="13"/>
        <v>18949</v>
      </c>
      <c r="AG28" s="248">
        <f t="shared" si="9"/>
        <v>11157</v>
      </c>
      <c r="AH28" s="263"/>
      <c r="AI28" s="264"/>
      <c r="AJ28" s="264"/>
      <c r="AK28" s="264"/>
      <c r="AL28" s="264"/>
      <c r="AM28" s="264"/>
      <c r="AN28" s="264"/>
      <c r="AO28" s="264"/>
      <c r="AP28" s="264"/>
      <c r="AQ28" s="264"/>
      <c r="AR28" s="264"/>
      <c r="AS28" s="264"/>
      <c r="AT28" s="264"/>
      <c r="AU28" s="264"/>
      <c r="AV28" s="264"/>
      <c r="AW28" s="264"/>
      <c r="AX28" s="264"/>
      <c r="AY28" s="264"/>
      <c r="AZ28" s="264"/>
      <c r="BA28" s="264"/>
      <c r="BB28" s="264"/>
      <c r="BC28" s="264"/>
    </row>
    <row r="29" spans="1:55" s="157" customFormat="1" x14ac:dyDescent="0.15">
      <c r="A29" s="181">
        <v>42760</v>
      </c>
      <c r="B29" s="182" t="s">
        <v>37</v>
      </c>
      <c r="C29" s="183">
        <f>78362+2608</f>
        <v>80970</v>
      </c>
      <c r="D29" s="184">
        <f>26477+14752</f>
        <v>41229</v>
      </c>
      <c r="E29" s="184">
        <f>97172+26477</f>
        <v>123649</v>
      </c>
      <c r="F29" s="185">
        <v>6322</v>
      </c>
      <c r="G29" s="184">
        <v>3721</v>
      </c>
      <c r="H29" s="186"/>
      <c r="I29" s="186"/>
      <c r="J29" s="210">
        <f t="shared" si="0"/>
        <v>82420</v>
      </c>
      <c r="K29" s="184">
        <v>592</v>
      </c>
      <c r="L29" s="184">
        <v>793</v>
      </c>
      <c r="M29" s="211">
        <f t="shared" si="3"/>
        <v>65</v>
      </c>
      <c r="N29" s="212">
        <f t="shared" si="11"/>
        <v>1852511</v>
      </c>
      <c r="O29" s="215">
        <f t="shared" si="11"/>
        <v>934823</v>
      </c>
      <c r="P29" s="214">
        <f t="shared" si="11"/>
        <v>2825571</v>
      </c>
      <c r="Q29" s="229">
        <f t="shared" si="5"/>
        <v>1852511</v>
      </c>
      <c r="R29" s="213">
        <f t="shared" si="5"/>
        <v>934823</v>
      </c>
      <c r="S29" s="230">
        <f t="shared" si="5"/>
        <v>2825571</v>
      </c>
      <c r="T29" s="231">
        <f>N29/'2017'!N29-1</f>
        <v>0.31742734458005439</v>
      </c>
      <c r="U29" s="232">
        <f>O29/'2017'!O29-1</f>
        <v>0.51223524806162679</v>
      </c>
      <c r="V29" s="232">
        <f>P29/'2017'!P29-1</f>
        <v>0.37179622868683726</v>
      </c>
      <c r="W29" s="232">
        <f>Q29/'2017'!Q29-1</f>
        <v>0.31742734458005439</v>
      </c>
      <c r="X29" s="232">
        <f>R29/'2017'!R29-1</f>
        <v>0.51223524806162679</v>
      </c>
      <c r="Y29" s="249">
        <f>S29/'2017'!S29-1</f>
        <v>0.37179622868683726</v>
      </c>
      <c r="Z29" s="250">
        <v>6.26</v>
      </c>
      <c r="AA29" s="251">
        <f t="shared" si="10"/>
        <v>178.99110000000002</v>
      </c>
      <c r="AB29" s="252">
        <v>4269.4799999999996</v>
      </c>
      <c r="AC29" s="211">
        <f t="shared" si="12"/>
        <v>419.23395823378968</v>
      </c>
      <c r="AD29" s="252">
        <f t="shared" si="6"/>
        <v>1890748</v>
      </c>
      <c r="AE29" s="184">
        <f t="shared" si="7"/>
        <v>7273</v>
      </c>
      <c r="AF29" s="184">
        <f t="shared" si="13"/>
        <v>19742</v>
      </c>
      <c r="AG29" s="211">
        <f t="shared" si="9"/>
        <v>11222</v>
      </c>
      <c r="AH29" s="265">
        <f>(AD29-AD22)/('2017'!AD29-'2017'!AD22)-1</f>
        <v>1.0841214690929077</v>
      </c>
      <c r="AI29" s="264"/>
      <c r="AJ29" s="264"/>
      <c r="AK29" s="26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264"/>
    </row>
    <row r="30" spans="1:55" x14ac:dyDescent="0.15">
      <c r="A30" s="180">
        <v>42761</v>
      </c>
      <c r="B30" s="175" t="s">
        <v>38</v>
      </c>
      <c r="C30" s="176">
        <f>80255+2530</f>
        <v>82785</v>
      </c>
      <c r="D30" s="177">
        <f>25363+14778</f>
        <v>40141</v>
      </c>
      <c r="E30" s="177">
        <v>124335</v>
      </c>
      <c r="F30" s="178">
        <v>6318</v>
      </c>
      <c r="G30" s="177">
        <v>3706</v>
      </c>
      <c r="H30" s="179"/>
      <c r="I30" s="179"/>
      <c r="J30" s="204">
        <f t="shared" si="0"/>
        <v>84194</v>
      </c>
      <c r="K30" s="177">
        <v>536</v>
      </c>
      <c r="L30" s="177">
        <v>793</v>
      </c>
      <c r="M30" s="205">
        <f t="shared" si="3"/>
        <v>80</v>
      </c>
      <c r="N30" s="206">
        <f t="shared" si="11"/>
        <v>1935296</v>
      </c>
      <c r="O30" s="209">
        <f t="shared" si="11"/>
        <v>974964</v>
      </c>
      <c r="P30" s="208">
        <f t="shared" si="11"/>
        <v>2949906</v>
      </c>
      <c r="Q30" s="225">
        <f t="shared" si="5"/>
        <v>1935296</v>
      </c>
      <c r="R30" s="207">
        <f t="shared" si="5"/>
        <v>974964</v>
      </c>
      <c r="S30" s="226">
        <f t="shared" si="5"/>
        <v>2949906</v>
      </c>
      <c r="T30" s="227">
        <f>N30/'2017'!N30-1</f>
        <v>0.35346458416527793</v>
      </c>
      <c r="U30" s="228">
        <f>O30/'2017'!O30-1</f>
        <v>0.53159442510462362</v>
      </c>
      <c r="V30" s="228">
        <f>P30/'2017'!P30-1</f>
        <v>0.40253919984253028</v>
      </c>
      <c r="W30" s="228">
        <f>Q30/'2017'!Q30-1</f>
        <v>0.35346458416527793</v>
      </c>
      <c r="X30" s="228">
        <f>R30/'2017'!R30-1</f>
        <v>0.53159442510462362</v>
      </c>
      <c r="Y30" s="244">
        <f>S30/'2017'!S30-1</f>
        <v>0.40253919984253028</v>
      </c>
      <c r="Z30" s="245"/>
      <c r="AA30" s="246">
        <f t="shared" si="10"/>
        <v>193.52959999999999</v>
      </c>
      <c r="AB30" s="247"/>
      <c r="AC30" s="248"/>
      <c r="AD30" s="247">
        <f t="shared" si="6"/>
        <v>1974942</v>
      </c>
      <c r="AE30" s="177">
        <f t="shared" si="7"/>
        <v>7809</v>
      </c>
      <c r="AF30" s="177">
        <f t="shared" si="13"/>
        <v>20535</v>
      </c>
      <c r="AG30" s="248">
        <f t="shared" si="9"/>
        <v>11302</v>
      </c>
      <c r="AH30" s="263"/>
      <c r="AI30" s="264"/>
      <c r="AJ30" s="264"/>
      <c r="AK30" s="26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264"/>
    </row>
    <row r="31" spans="1:55" x14ac:dyDescent="0.15">
      <c r="A31" s="187">
        <v>42762</v>
      </c>
      <c r="B31" s="175" t="s">
        <v>39</v>
      </c>
      <c r="C31" s="176">
        <f>81631+2702</f>
        <v>84333</v>
      </c>
      <c r="D31" s="177">
        <f>24467+14154</f>
        <v>38621</v>
      </c>
      <c r="E31" s="177">
        <v>123955</v>
      </c>
      <c r="F31" s="178">
        <v>6293</v>
      </c>
      <c r="G31" s="177">
        <v>3758</v>
      </c>
      <c r="H31" s="179"/>
      <c r="I31" s="179"/>
      <c r="J31" s="204">
        <f t="shared" si="0"/>
        <v>85334</v>
      </c>
      <c r="K31" s="177">
        <v>157</v>
      </c>
      <c r="L31" s="177">
        <v>797</v>
      </c>
      <c r="M31" s="205">
        <f t="shared" si="3"/>
        <v>47</v>
      </c>
      <c r="N31" s="206">
        <f t="shared" si="11"/>
        <v>2019629</v>
      </c>
      <c r="O31" s="209">
        <f t="shared" si="11"/>
        <v>1013585</v>
      </c>
      <c r="P31" s="208">
        <f t="shared" si="11"/>
        <v>3073861</v>
      </c>
      <c r="Q31" s="225">
        <f t="shared" si="5"/>
        <v>2019629</v>
      </c>
      <c r="R31" s="207">
        <f t="shared" si="5"/>
        <v>1013585</v>
      </c>
      <c r="S31" s="226">
        <f t="shared" si="5"/>
        <v>3073861</v>
      </c>
      <c r="T31" s="227">
        <f>N31/'2017'!N31-1</f>
        <v>0.38817756540410953</v>
      </c>
      <c r="U31" s="228">
        <f>O31/'2017'!O31-1</f>
        <v>0.5532608079343746</v>
      </c>
      <c r="V31" s="228">
        <f>P31/'2017'!P31-1</f>
        <v>0.4329559339132234</v>
      </c>
      <c r="W31" s="228">
        <f>Q31/'2017'!Q31-1</f>
        <v>0.38817756540410953</v>
      </c>
      <c r="X31" s="228">
        <f>R31/'2017'!R31-1</f>
        <v>0.5532608079343746</v>
      </c>
      <c r="Y31" s="244">
        <f>S31/'2017'!S31-1</f>
        <v>0.4329559339132234</v>
      </c>
      <c r="Z31" s="245"/>
      <c r="AA31" s="246">
        <f t="shared" si="10"/>
        <v>201.96289999999999</v>
      </c>
      <c r="AB31" s="247"/>
      <c r="AC31" s="248"/>
      <c r="AD31" s="247">
        <f t="shared" si="6"/>
        <v>2060276</v>
      </c>
      <c r="AE31" s="177">
        <f t="shared" si="7"/>
        <v>7966</v>
      </c>
      <c r="AF31" s="177">
        <f t="shared" si="13"/>
        <v>21332</v>
      </c>
      <c r="AG31" s="248">
        <f t="shared" si="9"/>
        <v>11349</v>
      </c>
      <c r="AH31" s="263"/>
      <c r="AI31" s="264"/>
      <c r="AJ31" s="264"/>
      <c r="AK31" s="264"/>
      <c r="AL31" s="264"/>
      <c r="AM31" s="264"/>
      <c r="AN31" s="264"/>
      <c r="AO31" s="264"/>
      <c r="AP31" s="264"/>
      <c r="AQ31" s="264"/>
      <c r="AR31" s="264"/>
      <c r="AS31" s="264"/>
      <c r="AT31" s="264"/>
      <c r="AU31" s="264"/>
      <c r="AV31" s="264"/>
      <c r="AW31" s="264"/>
      <c r="AX31" s="264"/>
      <c r="AY31" s="264"/>
      <c r="AZ31" s="264"/>
      <c r="BA31" s="264"/>
      <c r="BB31" s="264"/>
      <c r="BC31" s="264"/>
    </row>
    <row r="32" spans="1:55" x14ac:dyDescent="0.15">
      <c r="A32" s="187">
        <v>42763</v>
      </c>
      <c r="B32" s="175" t="s">
        <v>1</v>
      </c>
      <c r="C32" s="176">
        <v>76136</v>
      </c>
      <c r="D32" s="177">
        <f>11276+27635</f>
        <v>38911</v>
      </c>
      <c r="E32" s="177">
        <v>116089</v>
      </c>
      <c r="F32" s="178">
        <v>5759</v>
      </c>
      <c r="G32" s="177">
        <v>3617</v>
      </c>
      <c r="H32" s="179"/>
      <c r="I32" s="179"/>
      <c r="J32" s="204">
        <f t="shared" si="0"/>
        <v>77178</v>
      </c>
      <c r="K32" s="177">
        <v>182</v>
      </c>
      <c r="L32" s="177">
        <v>788</v>
      </c>
      <c r="M32" s="205">
        <f t="shared" si="3"/>
        <v>72</v>
      </c>
      <c r="N32" s="206">
        <f t="shared" si="11"/>
        <v>2095765</v>
      </c>
      <c r="O32" s="209">
        <f t="shared" si="11"/>
        <v>1052496</v>
      </c>
      <c r="P32" s="208">
        <f t="shared" si="11"/>
        <v>3189950</v>
      </c>
      <c r="Q32" s="225">
        <f t="shared" si="5"/>
        <v>2095765</v>
      </c>
      <c r="R32" s="207">
        <f t="shared" si="5"/>
        <v>1052496</v>
      </c>
      <c r="S32" s="226">
        <f t="shared" si="5"/>
        <v>3189950</v>
      </c>
      <c r="T32" s="227">
        <f>N32/'2017'!N32-1</f>
        <v>0.42094529221802834</v>
      </c>
      <c r="U32" s="228">
        <f>O32/'2017'!O32-1</f>
        <v>0.57581692007096819</v>
      </c>
      <c r="V32" s="228">
        <f>P32/'2017'!P32-1</f>
        <v>0.46211683000769121</v>
      </c>
      <c r="W32" s="228">
        <f>Q32/'2017'!Q32-1</f>
        <v>0.42094529221802834</v>
      </c>
      <c r="X32" s="228">
        <f>R32/'2017'!R32-1</f>
        <v>0.57581692007096819</v>
      </c>
      <c r="Y32" s="244">
        <f>S32/'2017'!S32-1</f>
        <v>0.46211683000769121</v>
      </c>
      <c r="Z32" s="245"/>
      <c r="AA32" s="246">
        <f t="shared" si="10"/>
        <v>209.57650000000001</v>
      </c>
      <c r="AB32" s="247"/>
      <c r="AC32" s="248"/>
      <c r="AD32" s="247">
        <f t="shared" si="6"/>
        <v>2137454</v>
      </c>
      <c r="AE32" s="177">
        <f t="shared" si="7"/>
        <v>8148</v>
      </c>
      <c r="AF32" s="177">
        <f t="shared" si="13"/>
        <v>22120</v>
      </c>
      <c r="AG32" s="248">
        <f t="shared" si="9"/>
        <v>11421</v>
      </c>
      <c r="AH32" s="263"/>
      <c r="AI32" s="264"/>
      <c r="AJ32" s="264"/>
      <c r="AK32" s="264"/>
      <c r="AL32" s="264"/>
      <c r="AM32" s="264"/>
      <c r="AN32" s="264"/>
      <c r="AO32" s="264"/>
      <c r="AP32" s="264"/>
      <c r="AQ32" s="264"/>
      <c r="AR32" s="264"/>
      <c r="AS32" s="264"/>
      <c r="AT32" s="264"/>
      <c r="AU32" s="264"/>
      <c r="AV32" s="264"/>
      <c r="AW32" s="264"/>
      <c r="AX32" s="264"/>
      <c r="AY32" s="264"/>
      <c r="AZ32" s="264"/>
      <c r="BA32" s="264"/>
      <c r="BB32" s="264"/>
      <c r="BC32" s="264"/>
    </row>
    <row r="33" spans="1:55" x14ac:dyDescent="0.15">
      <c r="A33" s="187">
        <v>42764</v>
      </c>
      <c r="B33" s="175" t="s">
        <v>34</v>
      </c>
      <c r="C33" s="176">
        <v>77342</v>
      </c>
      <c r="D33" s="177">
        <f>11484+29022</f>
        <v>40506</v>
      </c>
      <c r="E33" s="177">
        <v>119573</v>
      </c>
      <c r="F33" s="178">
        <v>6099</v>
      </c>
      <c r="G33" s="177">
        <v>3473</v>
      </c>
      <c r="H33" s="179"/>
      <c r="I33" s="179"/>
      <c r="J33" s="204">
        <f t="shared" si="0"/>
        <v>79067</v>
      </c>
      <c r="K33" s="177">
        <v>495</v>
      </c>
      <c r="L33" s="177">
        <v>792</v>
      </c>
      <c r="M33" s="205">
        <f t="shared" si="3"/>
        <v>438</v>
      </c>
      <c r="N33" s="206">
        <f t="shared" si="11"/>
        <v>2173107</v>
      </c>
      <c r="O33" s="209">
        <f t="shared" si="11"/>
        <v>1093002</v>
      </c>
      <c r="P33" s="208">
        <f t="shared" si="11"/>
        <v>3309523</v>
      </c>
      <c r="Q33" s="225">
        <f t="shared" si="5"/>
        <v>2173107</v>
      </c>
      <c r="R33" s="207">
        <f t="shared" si="5"/>
        <v>1093002</v>
      </c>
      <c r="S33" s="226">
        <f t="shared" si="5"/>
        <v>3309523</v>
      </c>
      <c r="T33" s="227">
        <f>N33/'2017'!N33-1</f>
        <v>0.45607077240985605</v>
      </c>
      <c r="U33" s="228">
        <f>O33/'2017'!O33-1</f>
        <v>0.59913211030918934</v>
      </c>
      <c r="V33" s="228">
        <f>P33/'2017'!P33-1</f>
        <v>0.49344953533938685</v>
      </c>
      <c r="W33" s="228">
        <f>Q33/'2017'!Q33-1</f>
        <v>0.45607077240985605</v>
      </c>
      <c r="X33" s="228">
        <f>R33/'2017'!R33-1</f>
        <v>0.59913211030918934</v>
      </c>
      <c r="Y33" s="244">
        <f>S33/'2017'!S33-1</f>
        <v>0.49344953533938685</v>
      </c>
      <c r="Z33" s="245"/>
      <c r="AA33" s="246">
        <f t="shared" si="10"/>
        <v>217.3107</v>
      </c>
      <c r="AB33" s="247"/>
      <c r="AC33" s="248"/>
      <c r="AD33" s="247">
        <f t="shared" si="6"/>
        <v>2216521</v>
      </c>
      <c r="AE33" s="177">
        <f t="shared" si="7"/>
        <v>8643</v>
      </c>
      <c r="AF33" s="177">
        <f t="shared" si="13"/>
        <v>22912</v>
      </c>
      <c r="AG33" s="248">
        <f t="shared" si="9"/>
        <v>11859</v>
      </c>
      <c r="AH33" s="263"/>
      <c r="AI33" s="264"/>
      <c r="AJ33" s="264"/>
      <c r="AK33" s="264"/>
      <c r="AL33" s="264"/>
      <c r="AM33" s="264"/>
      <c r="AN33" s="264"/>
      <c r="AO33" s="264"/>
      <c r="AP33" s="264"/>
      <c r="AQ33" s="264"/>
      <c r="AR33" s="264"/>
      <c r="AS33" s="264"/>
      <c r="AT33" s="264"/>
      <c r="AU33" s="264"/>
      <c r="AV33" s="264"/>
      <c r="AW33" s="264"/>
      <c r="AX33" s="264"/>
      <c r="AY33" s="264"/>
      <c r="AZ33" s="264"/>
      <c r="BA33" s="264"/>
      <c r="BB33" s="264"/>
      <c r="BC33" s="264"/>
    </row>
    <row r="34" spans="1:55" x14ac:dyDescent="0.15">
      <c r="A34" s="187">
        <v>42765</v>
      </c>
      <c r="B34" s="175" t="s">
        <v>35</v>
      </c>
      <c r="C34" s="176">
        <v>79238</v>
      </c>
      <c r="D34" s="177">
        <f>11418+27500</f>
        <v>38918</v>
      </c>
      <c r="E34" s="177">
        <v>119703</v>
      </c>
      <c r="F34" s="178">
        <v>5931</v>
      </c>
      <c r="G34" s="177">
        <v>3684</v>
      </c>
      <c r="H34" s="179"/>
      <c r="I34" s="179"/>
      <c r="J34" s="204">
        <f t="shared" si="0"/>
        <v>80785</v>
      </c>
      <c r="K34" s="177">
        <v>238</v>
      </c>
      <c r="L34" s="177">
        <v>793</v>
      </c>
      <c r="M34" s="205">
        <f t="shared" si="3"/>
        <v>516</v>
      </c>
      <c r="N34" s="206">
        <f t="shared" si="11"/>
        <v>2252345</v>
      </c>
      <c r="O34" s="209">
        <f t="shared" si="11"/>
        <v>1131920</v>
      </c>
      <c r="P34" s="208">
        <f t="shared" si="11"/>
        <v>3429226</v>
      </c>
      <c r="Q34" s="225">
        <f t="shared" si="5"/>
        <v>2252345</v>
      </c>
      <c r="R34" s="207">
        <f t="shared" si="5"/>
        <v>1131920</v>
      </c>
      <c r="S34" s="226">
        <f t="shared" si="5"/>
        <v>3429226</v>
      </c>
      <c r="T34" s="227">
        <f>N34/'2017'!N34-1</f>
        <v>0.48832321005666923</v>
      </c>
      <c r="U34" s="228">
        <f>O34/'2017'!O34-1</f>
        <v>0.61914965747987005</v>
      </c>
      <c r="V34" s="228">
        <f>P34/'2017'!P34-1</f>
        <v>0.52168265977391481</v>
      </c>
      <c r="W34" s="228">
        <f>Q34/'2017'!Q34-1</f>
        <v>0.48832321005666923</v>
      </c>
      <c r="X34" s="228">
        <f>R34/'2017'!R34-1</f>
        <v>0.61914965747987005</v>
      </c>
      <c r="Y34" s="244">
        <f>S34/'2017'!S34-1</f>
        <v>0.52168265977391481</v>
      </c>
      <c r="Z34" s="245"/>
      <c r="AA34" s="246">
        <f t="shared" si="10"/>
        <v>225.2345</v>
      </c>
      <c r="AB34" s="247"/>
      <c r="AC34" s="248"/>
      <c r="AD34" s="247">
        <f t="shared" si="6"/>
        <v>2297306</v>
      </c>
      <c r="AE34" s="177">
        <f t="shared" si="7"/>
        <v>8881</v>
      </c>
      <c r="AF34" s="177">
        <f t="shared" si="13"/>
        <v>23705</v>
      </c>
      <c r="AG34" s="248">
        <f t="shared" si="9"/>
        <v>12375</v>
      </c>
      <c r="AH34" s="263"/>
      <c r="AI34" s="264"/>
      <c r="AJ34" s="264"/>
      <c r="AK34" s="264"/>
      <c r="AL34" s="264"/>
      <c r="AM34" s="264"/>
      <c r="AN34" s="264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64"/>
      <c r="BB34" s="264"/>
      <c r="BC34" s="264"/>
    </row>
    <row r="35" spans="1:55" x14ac:dyDescent="0.15">
      <c r="A35" s="187">
        <v>42766</v>
      </c>
      <c r="B35" s="188" t="s">
        <v>36</v>
      </c>
      <c r="C35" s="189">
        <v>81491</v>
      </c>
      <c r="D35" s="190">
        <f>10987+26984</f>
        <v>37971</v>
      </c>
      <c r="E35" s="190">
        <v>120623</v>
      </c>
      <c r="F35" s="191">
        <v>6100</v>
      </c>
      <c r="G35" s="190">
        <v>3612</v>
      </c>
      <c r="H35" s="192"/>
      <c r="I35" s="192"/>
      <c r="J35" s="216">
        <f t="shared" si="0"/>
        <v>82652</v>
      </c>
      <c r="K35" s="190">
        <v>254</v>
      </c>
      <c r="L35" s="190">
        <v>794</v>
      </c>
      <c r="M35" s="217">
        <f t="shared" si="3"/>
        <v>113</v>
      </c>
      <c r="N35" s="218">
        <f>[12]表2、统调口径电量!$D$10</f>
        <v>2339744.04</v>
      </c>
      <c r="O35" s="219">
        <f>[12]表2、统调口径电量!$D$14</f>
        <v>1171254</v>
      </c>
      <c r="P35" s="268">
        <f>[12]表2、统调口径电量!$D$3</f>
        <v>3558081.12</v>
      </c>
      <c r="Q35" s="233">
        <f t="shared" si="5"/>
        <v>2339744.04</v>
      </c>
      <c r="R35" s="219">
        <f t="shared" si="5"/>
        <v>1171254</v>
      </c>
      <c r="S35" s="234">
        <f>P35</f>
        <v>3558081.12</v>
      </c>
      <c r="T35" s="235">
        <f>N35/'2017'!N35-1</f>
        <v>0.52197022880095778</v>
      </c>
      <c r="U35" s="236">
        <f>O35/'2017'!O35-1</f>
        <v>0.6381495581731671</v>
      </c>
      <c r="V35" s="236">
        <f>P35/'2017'!P35-1</f>
        <v>0.55065648609427043</v>
      </c>
      <c r="W35" s="236">
        <f>Q35/'2017'!Q35-1</f>
        <v>0.52197022880095778</v>
      </c>
      <c r="X35" s="236">
        <f>R35/'2017'!R35-1</f>
        <v>0.6381495581731671</v>
      </c>
      <c r="Y35" s="254">
        <f>S35/'2017'!S35-1</f>
        <v>0.55065648609427043</v>
      </c>
      <c r="Z35" s="255">
        <f>[12]表2、统调口径电量!$I$12/10000</f>
        <v>7.8878399999999997</v>
      </c>
      <c r="AA35" s="256">
        <f>[12]表2、统调口径电量!$I$11/10000</f>
        <v>226.08656400000001</v>
      </c>
      <c r="AB35" s="257">
        <v>4269.4799999999996</v>
      </c>
      <c r="AC35" s="258">
        <f t="shared" si="12"/>
        <v>529.54121813429276</v>
      </c>
      <c r="AD35" s="257">
        <f>[12]表2、统调口径电量!$I$4</f>
        <v>2386827.12</v>
      </c>
      <c r="AE35" s="190">
        <f>[12]表2、统调口径电量!$I$13</f>
        <v>9760.2800000000007</v>
      </c>
      <c r="AF35" s="190">
        <f>[12]表2、统调口径电量!$I$15</f>
        <v>24503.58</v>
      </c>
      <c r="AG35" s="258">
        <f>[12]表2、统调口径电量!$I$16+[12]表2、统调口径电量!$I$17</f>
        <v>12819.220000000001</v>
      </c>
      <c r="AH35" s="263"/>
      <c r="AI35" s="264"/>
      <c r="AJ35" s="264"/>
      <c r="AK35" s="264"/>
      <c r="AL35" s="264"/>
      <c r="AM35" s="264"/>
      <c r="AN35" s="264"/>
      <c r="AO35" s="264"/>
      <c r="AP35" s="264"/>
      <c r="AQ35" s="264"/>
      <c r="AR35" s="264"/>
      <c r="AS35" s="264"/>
      <c r="AT35" s="264"/>
      <c r="AU35" s="264"/>
      <c r="AV35" s="264"/>
      <c r="AW35" s="264"/>
      <c r="AX35" s="264"/>
      <c r="AY35" s="264"/>
      <c r="AZ35" s="264"/>
      <c r="BA35" s="264"/>
      <c r="BB35" s="264"/>
      <c r="BC35" s="264"/>
    </row>
    <row r="36" spans="1:55" s="157" customFormat="1" x14ac:dyDescent="0.15">
      <c r="A36" s="193">
        <v>42767</v>
      </c>
      <c r="B36" s="182" t="s">
        <v>37</v>
      </c>
      <c r="C36" s="183">
        <f>72451+2637</f>
        <v>75088</v>
      </c>
      <c r="D36" s="184">
        <f>19171+15154</f>
        <v>34325</v>
      </c>
      <c r="E36" s="184">
        <v>111325</v>
      </c>
      <c r="F36" s="185">
        <v>5522</v>
      </c>
      <c r="G36" s="184">
        <v>3521</v>
      </c>
      <c r="H36" s="186"/>
      <c r="I36" s="186"/>
      <c r="J36" s="210">
        <f t="shared" si="0"/>
        <v>77000</v>
      </c>
      <c r="K36" s="184">
        <v>381</v>
      </c>
      <c r="L36" s="184">
        <v>792</v>
      </c>
      <c r="M36" s="211">
        <f t="shared" si="3"/>
        <v>739</v>
      </c>
      <c r="N36" s="212">
        <f>C36</f>
        <v>75088</v>
      </c>
      <c r="O36" s="221">
        <f>D36</f>
        <v>34325</v>
      </c>
      <c r="P36" s="214">
        <f>E36</f>
        <v>111325</v>
      </c>
      <c r="Q36" s="229">
        <f>N36+Q$35</f>
        <v>2414832.04</v>
      </c>
      <c r="R36" s="213">
        <f>O36+R$35</f>
        <v>1205579</v>
      </c>
      <c r="S36" s="230">
        <f>P36+S$35</f>
        <v>3669406.12</v>
      </c>
      <c r="T36" s="231">
        <f>N36/'2017'!N36-1</f>
        <v>1.9568025201811379</v>
      </c>
      <c r="U36" s="232">
        <f>O36/'2017'!O36-1</f>
        <v>1.0736422400773273</v>
      </c>
      <c r="V36" s="232">
        <f>P36/'2017'!P36-1</f>
        <v>1.5764904647287539</v>
      </c>
      <c r="W36" s="232">
        <f>Q36/'2017'!Q36-1</f>
        <v>0.54528717278539918</v>
      </c>
      <c r="X36" s="232">
        <f>R36/'2017'!R36-1</f>
        <v>0.64800372912448956</v>
      </c>
      <c r="Y36" s="249">
        <f>S36/'2017'!S36-1</f>
        <v>0.56961651623046317</v>
      </c>
      <c r="Z36" s="250">
        <v>8.16</v>
      </c>
      <c r="AA36" s="251">
        <f t="shared" si="10"/>
        <v>233.323204</v>
      </c>
      <c r="AB36" s="252">
        <v>4269.4799999999996</v>
      </c>
      <c r="AC36" s="211">
        <f t="shared" si="12"/>
        <v>546.49091692665161</v>
      </c>
      <c r="AD36" s="252">
        <f t="shared" si="6"/>
        <v>2463827.12</v>
      </c>
      <c r="AE36" s="184">
        <f t="shared" si="7"/>
        <v>10141.280000000001</v>
      </c>
      <c r="AF36" s="184">
        <f t="shared" si="13"/>
        <v>25295.58</v>
      </c>
      <c r="AG36" s="211">
        <f t="shared" si="9"/>
        <v>13558.220000000074</v>
      </c>
      <c r="AH36" s="265">
        <f>(AD36-AD29)/('2017'!AD36-'2017'!AD29)-1</f>
        <v>2.4806666369949979</v>
      </c>
      <c r="AI36" s="264"/>
      <c r="AJ36" s="264"/>
      <c r="AK36" s="264"/>
      <c r="AL36" s="264"/>
      <c r="AM36" s="264"/>
      <c r="AN36" s="264"/>
      <c r="AO36" s="264"/>
      <c r="AP36" s="264"/>
      <c r="AQ36" s="264"/>
      <c r="AR36" s="264"/>
      <c r="AS36" s="264"/>
      <c r="AT36" s="264"/>
      <c r="AU36" s="264"/>
      <c r="AV36" s="264"/>
      <c r="AW36" s="264"/>
      <c r="AX36" s="264"/>
      <c r="AY36" s="264"/>
      <c r="AZ36" s="264"/>
      <c r="BA36" s="264"/>
      <c r="BB36" s="264"/>
      <c r="BC36" s="264"/>
    </row>
    <row r="37" spans="1:55" x14ac:dyDescent="0.15">
      <c r="A37" s="187">
        <v>42768</v>
      </c>
      <c r="B37" s="175" t="s">
        <v>38</v>
      </c>
      <c r="C37" s="176">
        <f>68381+2524</f>
        <v>70905</v>
      </c>
      <c r="D37" s="177">
        <f>19246+14503</f>
        <v>33749</v>
      </c>
      <c r="E37" s="177">
        <f>87117+19246</f>
        <v>106363</v>
      </c>
      <c r="F37" s="178">
        <v>5259</v>
      </c>
      <c r="G37" s="177">
        <v>3378</v>
      </c>
      <c r="H37" s="179"/>
      <c r="I37" s="179"/>
      <c r="J37" s="204">
        <f t="shared" si="0"/>
        <v>72614</v>
      </c>
      <c r="K37" s="177">
        <v>207</v>
      </c>
      <c r="L37" s="177">
        <v>787</v>
      </c>
      <c r="M37" s="205">
        <f t="shared" si="3"/>
        <v>715</v>
      </c>
      <c r="N37" s="206">
        <f t="shared" ref="N37:P52" si="14">N36+C37</f>
        <v>145993</v>
      </c>
      <c r="O37" s="209">
        <f t="shared" si="14"/>
        <v>68074</v>
      </c>
      <c r="P37" s="208">
        <f t="shared" si="14"/>
        <v>217688</v>
      </c>
      <c r="Q37" s="225">
        <f t="shared" ref="Q37:S62" si="15">N37+Q$35</f>
        <v>2485737.04</v>
      </c>
      <c r="R37" s="207">
        <f t="shared" si="15"/>
        <v>1239328</v>
      </c>
      <c r="S37" s="226">
        <f t="shared" si="15"/>
        <v>3775769.12</v>
      </c>
      <c r="T37" s="227">
        <f>N37/'2017'!N37-1</f>
        <v>1.8337150621118012</v>
      </c>
      <c r="U37" s="228">
        <f>O37/'2017'!O37-1</f>
        <v>0.98883954657005968</v>
      </c>
      <c r="V37" s="228">
        <f>P37/'2017'!P37-1</f>
        <v>1.4768514831207544</v>
      </c>
      <c r="W37" s="228">
        <f>Q37/'2017'!Q37-1</f>
        <v>0.56450529068316824</v>
      </c>
      <c r="X37" s="228">
        <f>R37/'2017'!R37-1</f>
        <v>0.65417090444118764</v>
      </c>
      <c r="Y37" s="244">
        <f>S37/'2017'!S37-1</f>
        <v>0.58482393431677049</v>
      </c>
      <c r="Z37" s="245"/>
      <c r="AA37" s="246">
        <f t="shared" si="10"/>
        <v>248.57370399999999</v>
      </c>
      <c r="AB37" s="247"/>
      <c r="AC37" s="248"/>
      <c r="AD37" s="247">
        <f t="shared" si="6"/>
        <v>2536441.12</v>
      </c>
      <c r="AE37" s="177">
        <f t="shared" si="7"/>
        <v>10348.280000000001</v>
      </c>
      <c r="AF37" s="177">
        <f t="shared" si="13"/>
        <v>26082.58</v>
      </c>
      <c r="AG37" s="248">
        <f t="shared" si="9"/>
        <v>14273.220000000074</v>
      </c>
      <c r="AH37" s="263"/>
      <c r="AI37" s="264"/>
      <c r="AJ37" s="264"/>
      <c r="AK37" s="264"/>
      <c r="AL37" s="264"/>
      <c r="AM37" s="264"/>
      <c r="AN37" s="264"/>
      <c r="AO37" s="264"/>
      <c r="AP37" s="264"/>
      <c r="AQ37" s="264"/>
      <c r="AR37" s="264"/>
      <c r="AS37" s="264"/>
      <c r="AT37" s="264"/>
      <c r="AU37" s="264"/>
      <c r="AV37" s="264"/>
      <c r="AW37" s="264"/>
      <c r="AX37" s="264"/>
      <c r="AY37" s="264"/>
      <c r="AZ37" s="264"/>
      <c r="BA37" s="264"/>
      <c r="BB37" s="264"/>
      <c r="BC37" s="264"/>
    </row>
    <row r="38" spans="1:55" x14ac:dyDescent="0.15">
      <c r="A38" s="180">
        <v>42769</v>
      </c>
      <c r="B38" s="175" t="s">
        <v>39</v>
      </c>
      <c r="C38" s="176">
        <f>64493+2577</f>
        <v>67070</v>
      </c>
      <c r="D38" s="177">
        <f>17709+14310</f>
        <v>32019</v>
      </c>
      <c r="E38" s="177">
        <f>83346+17709</f>
        <v>101055</v>
      </c>
      <c r="F38" s="178">
        <v>4929</v>
      </c>
      <c r="G38" s="177">
        <v>3197</v>
      </c>
      <c r="H38" s="179"/>
      <c r="I38" s="179"/>
      <c r="J38" s="204">
        <f t="shared" si="0"/>
        <v>69036</v>
      </c>
      <c r="K38" s="177">
        <v>229</v>
      </c>
      <c r="L38" s="177">
        <v>793</v>
      </c>
      <c r="M38" s="205">
        <f t="shared" si="3"/>
        <v>944</v>
      </c>
      <c r="N38" s="206">
        <f t="shared" si="14"/>
        <v>213063</v>
      </c>
      <c r="O38" s="209">
        <f t="shared" si="14"/>
        <v>100093</v>
      </c>
      <c r="P38" s="208">
        <f t="shared" si="14"/>
        <v>318743</v>
      </c>
      <c r="Q38" s="225">
        <f t="shared" si="15"/>
        <v>2552807.04</v>
      </c>
      <c r="R38" s="207">
        <f t="shared" si="15"/>
        <v>1271347</v>
      </c>
      <c r="S38" s="226">
        <f t="shared" si="15"/>
        <v>3876824.12</v>
      </c>
      <c r="T38" s="227">
        <f>N38/'2017'!N38-1</f>
        <v>1.7671238213979583</v>
      </c>
      <c r="U38" s="228">
        <f>O38/'2017'!O38-1</f>
        <v>0.81528500698235362</v>
      </c>
      <c r="V38" s="228">
        <f>P38/'2017'!P38-1</f>
        <v>1.3596260049451443</v>
      </c>
      <c r="W38" s="228">
        <f>Q38/'2017'!Q38-1</f>
        <v>0.58136049430189574</v>
      </c>
      <c r="X38" s="228">
        <f>R38/'2017'!R38-1</f>
        <v>0.65083200779094308</v>
      </c>
      <c r="Y38" s="244">
        <f>S38/'2017'!S38-1</f>
        <v>0.59563308103609613</v>
      </c>
      <c r="Z38" s="245"/>
      <c r="AA38" s="246">
        <f t="shared" si="10"/>
        <v>255.28070400000001</v>
      </c>
      <c r="AB38" s="247"/>
      <c r="AC38" s="248"/>
      <c r="AD38" s="247">
        <f t="shared" si="6"/>
        <v>2605477.12</v>
      </c>
      <c r="AE38" s="177">
        <f t="shared" si="7"/>
        <v>10577.28</v>
      </c>
      <c r="AF38" s="177">
        <f t="shared" si="13"/>
        <v>26875.58</v>
      </c>
      <c r="AG38" s="248">
        <f t="shared" si="9"/>
        <v>15217.220000000074</v>
      </c>
      <c r="AH38" s="263"/>
      <c r="AI38" s="264"/>
      <c r="AJ38" s="264"/>
      <c r="AK38" s="264"/>
      <c r="AL38" s="264"/>
      <c r="AM38" s="264"/>
      <c r="AN38" s="264"/>
      <c r="AO38" s="264"/>
      <c r="AP38" s="264"/>
      <c r="AQ38" s="264"/>
      <c r="AR38" s="264"/>
      <c r="AS38" s="264"/>
      <c r="AT38" s="264"/>
      <c r="AU38" s="264"/>
      <c r="AV38" s="264"/>
      <c r="AW38" s="264"/>
      <c r="AX38" s="264"/>
      <c r="AY38" s="264"/>
      <c r="AZ38" s="264"/>
      <c r="BA38" s="264"/>
      <c r="BB38" s="264"/>
      <c r="BC38" s="264"/>
    </row>
    <row r="39" spans="1:55" x14ac:dyDescent="0.15">
      <c r="A39" s="180">
        <v>42770</v>
      </c>
      <c r="B39" s="175" t="s">
        <v>1</v>
      </c>
      <c r="C39" s="176">
        <v>62108</v>
      </c>
      <c r="D39" s="177">
        <f>11145+20636</f>
        <v>31781</v>
      </c>
      <c r="E39" s="177">
        <v>95948</v>
      </c>
      <c r="F39" s="178">
        <v>4746</v>
      </c>
      <c r="G39" s="177">
        <v>3126</v>
      </c>
      <c r="H39" s="179"/>
      <c r="I39" s="179"/>
      <c r="J39" s="204">
        <f t="shared" si="0"/>
        <v>64167</v>
      </c>
      <c r="K39" s="177">
        <v>302</v>
      </c>
      <c r="L39" s="177">
        <v>792</v>
      </c>
      <c r="M39" s="205">
        <f t="shared" si="3"/>
        <v>965</v>
      </c>
      <c r="N39" s="206">
        <f t="shared" si="14"/>
        <v>275171</v>
      </c>
      <c r="O39" s="209">
        <f t="shared" si="14"/>
        <v>131874</v>
      </c>
      <c r="P39" s="208">
        <f t="shared" si="14"/>
        <v>414691</v>
      </c>
      <c r="Q39" s="225">
        <f t="shared" si="15"/>
        <v>2614915.04</v>
      </c>
      <c r="R39" s="207">
        <f t="shared" si="15"/>
        <v>1303128</v>
      </c>
      <c r="S39" s="226">
        <f t="shared" si="15"/>
        <v>3972772.12</v>
      </c>
      <c r="T39" s="227">
        <f>N39/'2017'!N39-1</f>
        <v>1.6605077928607339</v>
      </c>
      <c r="U39" s="228">
        <f>O39/'2017'!O39-1</f>
        <v>0.66749699690206743</v>
      </c>
      <c r="V39" s="228">
        <f>P39/'2017'!P39-1</f>
        <v>1.2262658907404225</v>
      </c>
      <c r="W39" s="228">
        <f>Q39/'2017'!Q39-1</f>
        <v>0.59374066084863553</v>
      </c>
      <c r="X39" s="228">
        <f>R39/'2017'!R39-1</f>
        <v>0.64107239780825642</v>
      </c>
      <c r="Y39" s="244">
        <f>S39/'2017'!S39-1</f>
        <v>0.60138418286844475</v>
      </c>
      <c r="Z39" s="245"/>
      <c r="AA39" s="246">
        <f t="shared" si="10"/>
        <v>261.49150400000002</v>
      </c>
      <c r="AB39" s="247"/>
      <c r="AC39" s="248"/>
      <c r="AD39" s="247">
        <f t="shared" si="6"/>
        <v>2669644.12</v>
      </c>
      <c r="AE39" s="177">
        <f t="shared" si="7"/>
        <v>10879.28</v>
      </c>
      <c r="AF39" s="177">
        <f t="shared" ref="AF39:AF54" si="16">AF38+L39</f>
        <v>27667.58</v>
      </c>
      <c r="AG39" s="248">
        <f t="shared" si="9"/>
        <v>16182.220000000074</v>
      </c>
      <c r="AH39" s="263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  <c r="AX39" s="264"/>
      <c r="AY39" s="264"/>
      <c r="AZ39" s="264"/>
      <c r="BA39" s="264"/>
      <c r="BB39" s="264"/>
      <c r="BC39" s="264"/>
    </row>
    <row r="40" spans="1:55" x14ac:dyDescent="0.15">
      <c r="A40" s="180">
        <v>42771</v>
      </c>
      <c r="B40" s="175" t="s">
        <v>34</v>
      </c>
      <c r="C40" s="176">
        <v>59611</v>
      </c>
      <c r="D40" s="177">
        <f>11268+20648</f>
        <v>31916</v>
      </c>
      <c r="E40" s="177">
        <v>93502</v>
      </c>
      <c r="F40" s="178">
        <v>4619</v>
      </c>
      <c r="G40" s="177">
        <v>2946</v>
      </c>
      <c r="H40" s="179"/>
      <c r="I40" s="179"/>
      <c r="J40" s="204">
        <f t="shared" si="0"/>
        <v>61586</v>
      </c>
      <c r="K40" s="177">
        <v>140</v>
      </c>
      <c r="L40" s="177">
        <v>793</v>
      </c>
      <c r="M40" s="205">
        <f t="shared" si="3"/>
        <v>1042</v>
      </c>
      <c r="N40" s="206">
        <f t="shared" si="14"/>
        <v>334782</v>
      </c>
      <c r="O40" s="209">
        <f t="shared" si="14"/>
        <v>163790</v>
      </c>
      <c r="P40" s="208">
        <f t="shared" si="14"/>
        <v>508193</v>
      </c>
      <c r="Q40" s="225">
        <f t="shared" si="15"/>
        <v>2674526.04</v>
      </c>
      <c r="R40" s="207">
        <f t="shared" si="15"/>
        <v>1335044</v>
      </c>
      <c r="S40" s="226">
        <f t="shared" si="15"/>
        <v>4066274.12</v>
      </c>
      <c r="T40" s="227">
        <f>N40/'2017'!N40-1</f>
        <v>1.5725548656789821</v>
      </c>
      <c r="U40" s="228">
        <f>O40/'2017'!O40-1</f>
        <v>0.56816375769529048</v>
      </c>
      <c r="V40" s="228">
        <f>P40/'2017'!P40-1</f>
        <v>1.1220686487389342</v>
      </c>
      <c r="W40" s="228">
        <f>Q40/'2017'!Q40-1</f>
        <v>0.60396308942940613</v>
      </c>
      <c r="X40" s="228">
        <f>R40/'2017'!R40-1</f>
        <v>0.62922899126591192</v>
      </c>
      <c r="Y40" s="244">
        <f>S40/'2017'!S40-1</f>
        <v>0.60465782341818897</v>
      </c>
      <c r="Z40" s="245"/>
      <c r="AA40" s="246">
        <f t="shared" si="10"/>
        <v>267.45260400000001</v>
      </c>
      <c r="AB40" s="247"/>
      <c r="AC40" s="248"/>
      <c r="AD40" s="247">
        <f t="shared" si="6"/>
        <v>2731230.12</v>
      </c>
      <c r="AE40" s="177">
        <f t="shared" si="7"/>
        <v>11019.28</v>
      </c>
      <c r="AF40" s="177">
        <f t="shared" si="16"/>
        <v>28460.58</v>
      </c>
      <c r="AG40" s="248">
        <f t="shared" si="9"/>
        <v>17224.220000000074</v>
      </c>
      <c r="AH40" s="263"/>
      <c r="AI40" s="264"/>
      <c r="AJ40" s="264"/>
      <c r="AK40" s="264"/>
      <c r="AL40" s="264"/>
      <c r="AM40" s="264"/>
      <c r="AN40" s="264"/>
      <c r="AO40" s="264"/>
      <c r="AP40" s="264"/>
      <c r="AQ40" s="264"/>
      <c r="AR40" s="264"/>
      <c r="AS40" s="264"/>
      <c r="AT40" s="264"/>
      <c r="AU40" s="264"/>
      <c r="AV40" s="264"/>
      <c r="AW40" s="264"/>
      <c r="AX40" s="264"/>
      <c r="AY40" s="264"/>
      <c r="AZ40" s="264"/>
      <c r="BA40" s="264"/>
      <c r="BB40" s="264"/>
      <c r="BC40" s="264"/>
    </row>
    <row r="41" spans="1:55" x14ac:dyDescent="0.15">
      <c r="A41" s="180">
        <v>42772</v>
      </c>
      <c r="B41" s="175" t="s">
        <v>35</v>
      </c>
      <c r="C41" s="176">
        <v>53975</v>
      </c>
      <c r="D41" s="177">
        <f>11255+21481</f>
        <v>32736</v>
      </c>
      <c r="E41" s="177">
        <v>88681</v>
      </c>
      <c r="F41" s="178">
        <v>4397</v>
      </c>
      <c r="G41" s="177">
        <v>2871</v>
      </c>
      <c r="H41" s="179"/>
      <c r="I41" s="179"/>
      <c r="J41" s="204">
        <f t="shared" si="0"/>
        <v>55945</v>
      </c>
      <c r="K41" s="177">
        <v>128</v>
      </c>
      <c r="L41" s="177">
        <v>791</v>
      </c>
      <c r="M41" s="205">
        <f t="shared" si="3"/>
        <v>1051</v>
      </c>
      <c r="N41" s="206">
        <f t="shared" si="14"/>
        <v>388757</v>
      </c>
      <c r="O41" s="209">
        <f t="shared" si="14"/>
        <v>196526</v>
      </c>
      <c r="P41" s="208">
        <f t="shared" si="14"/>
        <v>596874</v>
      </c>
      <c r="Q41" s="225">
        <f t="shared" si="15"/>
        <v>2728501.04</v>
      </c>
      <c r="R41" s="207">
        <f t="shared" si="15"/>
        <v>1367780</v>
      </c>
      <c r="S41" s="226">
        <f t="shared" si="15"/>
        <v>4154955.12</v>
      </c>
      <c r="T41" s="227">
        <f>N41/'2017'!N41-1</f>
        <v>1.4045139103650466</v>
      </c>
      <c r="U41" s="228">
        <f>O41/'2017'!O41-1</f>
        <v>0.64355127368826004</v>
      </c>
      <c r="V41" s="228">
        <f>P41/'2017'!P41-1</f>
        <v>0.99945062123348927</v>
      </c>
      <c r="W41" s="228">
        <f>Q41/'2017'!Q41-1</f>
        <v>0.60595415176571121</v>
      </c>
      <c r="X41" s="228">
        <f>R41/'2017'!R41-1</f>
        <v>0.63892350460122693</v>
      </c>
      <c r="Y41" s="244">
        <f>S41/'2017'!S41-1</f>
        <v>0.60232222815290548</v>
      </c>
      <c r="Z41" s="245"/>
      <c r="AA41" s="246">
        <f t="shared" si="10"/>
        <v>272.85010399999999</v>
      </c>
      <c r="AB41" s="247"/>
      <c r="AC41" s="248"/>
      <c r="AD41" s="247">
        <f t="shared" si="6"/>
        <v>2787175.12</v>
      </c>
      <c r="AE41" s="177">
        <f t="shared" si="7"/>
        <v>11147.28</v>
      </c>
      <c r="AF41" s="177">
        <f t="shared" si="16"/>
        <v>29251.58</v>
      </c>
      <c r="AG41" s="248">
        <f t="shared" si="9"/>
        <v>18275.220000000074</v>
      </c>
      <c r="AH41" s="263"/>
      <c r="AI41" s="264"/>
      <c r="AJ41" s="264"/>
      <c r="AK41" s="264"/>
      <c r="AL41" s="264"/>
      <c r="AM41" s="264"/>
      <c r="AN41" s="264"/>
      <c r="AO41" s="264"/>
      <c r="AP41" s="264"/>
      <c r="AQ41" s="264"/>
      <c r="AR41" s="264"/>
      <c r="AS41" s="264"/>
      <c r="AT41" s="264"/>
      <c r="AU41" s="264"/>
      <c r="AV41" s="264"/>
      <c r="AW41" s="264"/>
      <c r="AX41" s="264"/>
      <c r="AY41" s="264"/>
      <c r="AZ41" s="264"/>
      <c r="BA41" s="264"/>
      <c r="BB41" s="264"/>
      <c r="BC41" s="264"/>
    </row>
    <row r="42" spans="1:55" x14ac:dyDescent="0.15">
      <c r="A42" s="180">
        <v>42773</v>
      </c>
      <c r="B42" s="175" t="s">
        <v>36</v>
      </c>
      <c r="C42" s="176">
        <f>52257+1057</f>
        <v>53314</v>
      </c>
      <c r="D42" s="177">
        <f>15759+14288</f>
        <v>30047</v>
      </c>
      <c r="E42" s="177">
        <f>69428+15759</f>
        <v>85187</v>
      </c>
      <c r="F42" s="178">
        <v>4101</v>
      </c>
      <c r="G42" s="177">
        <v>2726</v>
      </c>
      <c r="H42" s="179"/>
      <c r="I42" s="179"/>
      <c r="J42" s="204">
        <f t="shared" si="0"/>
        <v>55140</v>
      </c>
      <c r="K42" s="177">
        <v>320</v>
      </c>
      <c r="L42" s="177">
        <v>795</v>
      </c>
      <c r="M42" s="205">
        <f t="shared" si="3"/>
        <v>711</v>
      </c>
      <c r="N42" s="206">
        <f t="shared" si="14"/>
        <v>442071</v>
      </c>
      <c r="O42" s="209">
        <f t="shared" si="14"/>
        <v>226573</v>
      </c>
      <c r="P42" s="208">
        <f t="shared" si="14"/>
        <v>682061</v>
      </c>
      <c r="Q42" s="225">
        <f t="shared" si="15"/>
        <v>2781815.04</v>
      </c>
      <c r="R42" s="207">
        <f t="shared" si="15"/>
        <v>1397827</v>
      </c>
      <c r="S42" s="226">
        <f t="shared" si="15"/>
        <v>4240142.12</v>
      </c>
      <c r="T42" s="227">
        <f>N42/'2017'!N42-1</f>
        <v>1.2226238838387902</v>
      </c>
      <c r="U42" s="228">
        <f>O42/'2017'!O42-1</f>
        <v>0.55068030004380208</v>
      </c>
      <c r="V42" s="228">
        <f>P42/'2017'!P42-1</f>
        <v>0.87623718798655381</v>
      </c>
      <c r="W42" s="228">
        <f>Q42/'2017'!Q42-1</f>
        <v>0.60223547329237426</v>
      </c>
      <c r="X42" s="228">
        <f>R42/'2017'!R42-1</f>
        <v>0.62330768391054203</v>
      </c>
      <c r="Y42" s="244">
        <f>S42/'2017'!S42-1</f>
        <v>0.59518358406692085</v>
      </c>
      <c r="Z42" s="245"/>
      <c r="AA42" s="246">
        <f t="shared" si="10"/>
        <v>278.18150400000002</v>
      </c>
      <c r="AB42" s="247"/>
      <c r="AC42" s="248"/>
      <c r="AD42" s="247">
        <f t="shared" si="6"/>
        <v>2842315.12</v>
      </c>
      <c r="AE42" s="177">
        <f t="shared" si="7"/>
        <v>11467.28</v>
      </c>
      <c r="AF42" s="177">
        <f t="shared" si="16"/>
        <v>30046.58</v>
      </c>
      <c r="AG42" s="248">
        <f t="shared" si="9"/>
        <v>18986.220000000074</v>
      </c>
      <c r="AH42" s="263"/>
      <c r="AI42" s="264"/>
      <c r="AJ42" s="264"/>
      <c r="AK42" s="264"/>
      <c r="AL42" s="264"/>
      <c r="AM42" s="264"/>
      <c r="AN42" s="264"/>
      <c r="AO42" s="264"/>
      <c r="AP42" s="264"/>
      <c r="AQ42" s="264"/>
      <c r="AR42" s="264"/>
      <c r="AS42" s="264"/>
      <c r="AT42" s="264"/>
      <c r="AU42" s="264"/>
      <c r="AV42" s="264"/>
      <c r="AW42" s="264"/>
      <c r="AX42" s="264"/>
      <c r="AY42" s="264"/>
      <c r="AZ42" s="264"/>
      <c r="BA42" s="264"/>
      <c r="BB42" s="264"/>
      <c r="BC42" s="264"/>
    </row>
    <row r="43" spans="1:55" s="157" customFormat="1" x14ac:dyDescent="0.15">
      <c r="A43" s="181">
        <v>42774</v>
      </c>
      <c r="B43" s="182" t="s">
        <v>37</v>
      </c>
      <c r="C43" s="183">
        <f>46692+1359</f>
        <v>48051</v>
      </c>
      <c r="D43" s="184">
        <f>12417+14127</f>
        <v>26544</v>
      </c>
      <c r="E43" s="184">
        <f>64656+12417</f>
        <v>77073</v>
      </c>
      <c r="F43" s="185">
        <v>3816</v>
      </c>
      <c r="G43" s="184">
        <v>2541</v>
      </c>
      <c r="H43" s="186"/>
      <c r="I43" s="186"/>
      <c r="J43" s="210">
        <f t="shared" si="0"/>
        <v>50529</v>
      </c>
      <c r="K43" s="184">
        <v>777</v>
      </c>
      <c r="L43" s="184">
        <v>793</v>
      </c>
      <c r="M43" s="211">
        <f t="shared" si="3"/>
        <v>908</v>
      </c>
      <c r="N43" s="212">
        <f t="shared" si="14"/>
        <v>490122</v>
      </c>
      <c r="O43" s="215">
        <f t="shared" si="14"/>
        <v>253117</v>
      </c>
      <c r="P43" s="214">
        <f t="shared" si="14"/>
        <v>759134</v>
      </c>
      <c r="Q43" s="229">
        <f t="shared" si="15"/>
        <v>2829866.04</v>
      </c>
      <c r="R43" s="213">
        <f t="shared" si="15"/>
        <v>1424371</v>
      </c>
      <c r="S43" s="230">
        <f t="shared" si="15"/>
        <v>4317215.12</v>
      </c>
      <c r="T43" s="231">
        <f>N43/'2017'!N43-1</f>
        <v>1.0085814748334112</v>
      </c>
      <c r="U43" s="232">
        <f>O43/'2017'!O43-1</f>
        <v>0.46679222322023595</v>
      </c>
      <c r="V43" s="232">
        <f>P43/'2017'!P43-1</f>
        <v>0.74015119909408922</v>
      </c>
      <c r="W43" s="232">
        <f>Q43/'2017'!Q43-1</f>
        <v>0.58862838977839993</v>
      </c>
      <c r="X43" s="232">
        <f>R43/'2017'!R43-1</f>
        <v>0.60483284904191414</v>
      </c>
      <c r="Y43" s="249">
        <f>S43/'2017'!S43-1</f>
        <v>0.58092820013784285</v>
      </c>
      <c r="Z43" s="250">
        <v>9.58</v>
      </c>
      <c r="AA43" s="259">
        <f t="shared" si="10"/>
        <v>273.40660400000002</v>
      </c>
      <c r="AB43" s="252">
        <v>4269.4799999999996</v>
      </c>
      <c r="AC43" s="211">
        <f t="shared" si="12"/>
        <v>640.37448120145791</v>
      </c>
      <c r="AD43" s="252">
        <f t="shared" si="6"/>
        <v>2892844.12</v>
      </c>
      <c r="AE43" s="184">
        <f t="shared" si="7"/>
        <v>12244.28</v>
      </c>
      <c r="AF43" s="184">
        <f t="shared" si="16"/>
        <v>30839.58</v>
      </c>
      <c r="AG43" s="211">
        <f t="shared" si="9"/>
        <v>19894.220000000074</v>
      </c>
      <c r="AH43" s="265">
        <f>(AD43-AD36)/('2017'!AD43-'2017'!AD36)-1</f>
        <v>0.80999974686321341</v>
      </c>
      <c r="AI43" s="115">
        <f>AA43-AA36</f>
        <v>40.083400000000012</v>
      </c>
      <c r="AJ43" s="115">
        <f>'2017'!AA43-'2017'!AA36</f>
        <v>20.366793488095226</v>
      </c>
      <c r="AK43" s="264"/>
      <c r="AL43" s="264"/>
      <c r="AM43" s="264"/>
      <c r="AN43" s="264"/>
      <c r="AO43" s="264"/>
      <c r="AP43" s="264"/>
      <c r="AQ43" s="264"/>
      <c r="AR43" s="264"/>
      <c r="AS43" s="264"/>
      <c r="AT43" s="264"/>
      <c r="AU43" s="264"/>
      <c r="AV43" s="264"/>
      <c r="AW43" s="264"/>
      <c r="AX43" s="264"/>
      <c r="AY43" s="264"/>
      <c r="AZ43" s="264"/>
      <c r="BA43" s="264"/>
      <c r="BB43" s="264"/>
      <c r="BC43" s="264"/>
    </row>
    <row r="44" spans="1:55" x14ac:dyDescent="0.15">
      <c r="A44" s="180">
        <v>42775</v>
      </c>
      <c r="B44" s="175" t="s">
        <v>38</v>
      </c>
      <c r="C44" s="176">
        <v>48862</v>
      </c>
      <c r="D44" s="177">
        <f>10074+14295</f>
        <v>24369</v>
      </c>
      <c r="E44" s="177">
        <v>74506</v>
      </c>
      <c r="F44" s="178">
        <v>3573</v>
      </c>
      <c r="G44" s="177">
        <v>2323</v>
      </c>
      <c r="H44" s="179"/>
      <c r="I44" s="179"/>
      <c r="J44" s="204">
        <f t="shared" si="0"/>
        <v>50137</v>
      </c>
      <c r="K44" s="177">
        <v>144</v>
      </c>
      <c r="L44" s="177">
        <v>792</v>
      </c>
      <c r="M44" s="205">
        <f t="shared" si="3"/>
        <v>339</v>
      </c>
      <c r="N44" s="206">
        <f t="shared" si="14"/>
        <v>538984</v>
      </c>
      <c r="O44" s="209">
        <f t="shared" si="14"/>
        <v>277486</v>
      </c>
      <c r="P44" s="208">
        <f t="shared" si="14"/>
        <v>833640</v>
      </c>
      <c r="Q44" s="225">
        <f t="shared" si="15"/>
        <v>2878728.04</v>
      </c>
      <c r="R44" s="207">
        <f t="shared" si="15"/>
        <v>1448740</v>
      </c>
      <c r="S44" s="226">
        <f t="shared" si="15"/>
        <v>4391721.12</v>
      </c>
      <c r="T44" s="227">
        <f>N44/'2017'!N44-1</f>
        <v>0.84603792196405081</v>
      </c>
      <c r="U44" s="228">
        <f>O44/'2017'!O44-1</f>
        <v>0.38698616442738332</v>
      </c>
      <c r="V44" s="228">
        <f>P44/'2017'!P44-1</f>
        <v>0.62471886462235293</v>
      </c>
      <c r="W44" s="228">
        <f>Q44/'2017'!Q44-1</f>
        <v>0.57369405684733032</v>
      </c>
      <c r="X44" s="228">
        <f>R44/'2017'!R44-1</f>
        <v>0.58323588874924859</v>
      </c>
      <c r="Y44" s="244">
        <f>S44/'2017'!S44-1</f>
        <v>0.56419132515865256</v>
      </c>
      <c r="Z44" s="245"/>
      <c r="AA44" s="246">
        <f t="shared" si="10"/>
        <v>287.87280400000003</v>
      </c>
      <c r="AB44" s="247"/>
      <c r="AC44" s="248"/>
      <c r="AD44" s="247">
        <f t="shared" si="6"/>
        <v>2942981.12</v>
      </c>
      <c r="AE44" s="177">
        <f t="shared" si="7"/>
        <v>12388.28</v>
      </c>
      <c r="AF44" s="177">
        <f t="shared" si="16"/>
        <v>31631.58</v>
      </c>
      <c r="AG44" s="248">
        <f t="shared" si="9"/>
        <v>20233.220000000074</v>
      </c>
      <c r="AH44" s="263"/>
      <c r="AI44" s="264"/>
      <c r="AJ44" s="264"/>
      <c r="AK44" s="264"/>
      <c r="AL44" s="264"/>
      <c r="AM44" s="264"/>
      <c r="AN44" s="264"/>
      <c r="AO44" s="264"/>
      <c r="AP44" s="264"/>
      <c r="AQ44" s="264"/>
      <c r="AR44" s="264"/>
      <c r="AS44" s="264"/>
      <c r="AT44" s="264"/>
      <c r="AU44" s="264"/>
      <c r="AV44" s="264"/>
      <c r="AW44" s="264"/>
      <c r="AX44" s="264"/>
      <c r="AY44" s="264"/>
      <c r="AZ44" s="264"/>
      <c r="BA44" s="264"/>
      <c r="BB44" s="264"/>
      <c r="BC44" s="264"/>
    </row>
    <row r="45" spans="1:55" x14ac:dyDescent="0.15">
      <c r="A45" s="180">
        <v>42776</v>
      </c>
      <c r="B45" s="175" t="s">
        <v>39</v>
      </c>
      <c r="C45" s="176">
        <v>41358</v>
      </c>
      <c r="D45" s="177">
        <f>10523+14004</f>
        <v>24527</v>
      </c>
      <c r="E45" s="177">
        <v>67259</v>
      </c>
      <c r="F45" s="178">
        <v>3333</v>
      </c>
      <c r="G45" s="177">
        <v>2138</v>
      </c>
      <c r="H45" s="179"/>
      <c r="I45" s="179"/>
      <c r="J45" s="204">
        <f t="shared" si="0"/>
        <v>42732</v>
      </c>
      <c r="K45" s="177">
        <v>217</v>
      </c>
      <c r="L45" s="177">
        <v>793</v>
      </c>
      <c r="M45" s="205">
        <f t="shared" si="3"/>
        <v>364</v>
      </c>
      <c r="N45" s="206">
        <f t="shared" si="14"/>
        <v>580342</v>
      </c>
      <c r="O45" s="209">
        <f t="shared" si="14"/>
        <v>302013</v>
      </c>
      <c r="P45" s="208">
        <f t="shared" si="14"/>
        <v>900899</v>
      </c>
      <c r="Q45" s="225">
        <f t="shared" si="15"/>
        <v>2920086.04</v>
      </c>
      <c r="R45" s="207">
        <f t="shared" si="15"/>
        <v>1473267</v>
      </c>
      <c r="S45" s="226">
        <f t="shared" si="15"/>
        <v>4458980.12</v>
      </c>
      <c r="T45" s="227">
        <f>N45/'2017'!N45-1</f>
        <v>0.70059104668301786</v>
      </c>
      <c r="U45" s="228">
        <f>O45/'2017'!O45-1</f>
        <v>0.37214395078667706</v>
      </c>
      <c r="V45" s="228">
        <f>P45/'2017'!P45-1</f>
        <v>0.54297874526863854</v>
      </c>
      <c r="W45" s="228">
        <f>Q45/'2017'!Q45-1</f>
        <v>0.55441826593760624</v>
      </c>
      <c r="X45" s="228">
        <f>R45/'2017'!R45-1</f>
        <v>0.57553666014678817</v>
      </c>
      <c r="Y45" s="244">
        <f>S45/'2017'!S45-1</f>
        <v>0.54909911081217344</v>
      </c>
      <c r="Z45" s="245"/>
      <c r="AA45" s="246">
        <f t="shared" si="10"/>
        <v>292.00860399999999</v>
      </c>
      <c r="AB45" s="247"/>
      <c r="AC45" s="248"/>
      <c r="AD45" s="247">
        <f t="shared" si="6"/>
        <v>2985713.12</v>
      </c>
      <c r="AE45" s="177">
        <f t="shared" si="7"/>
        <v>12605.28</v>
      </c>
      <c r="AF45" s="177">
        <f t="shared" si="16"/>
        <v>32424.58</v>
      </c>
      <c r="AG45" s="248">
        <f t="shared" si="9"/>
        <v>20597.220000000074</v>
      </c>
      <c r="AH45" s="263"/>
      <c r="AI45" s="264"/>
      <c r="AJ45" s="264"/>
      <c r="AK45" s="264"/>
      <c r="AL45" s="264"/>
      <c r="AM45" s="264"/>
      <c r="AN45" s="264"/>
      <c r="AO45" s="264"/>
      <c r="AP45" s="264"/>
      <c r="AQ45" s="264"/>
      <c r="AR45" s="264"/>
      <c r="AS45" s="264"/>
      <c r="AT45" s="264"/>
      <c r="AU45" s="264"/>
      <c r="AV45" s="264"/>
      <c r="AW45" s="264"/>
      <c r="AX45" s="264"/>
      <c r="AY45" s="264"/>
      <c r="AZ45" s="264"/>
      <c r="BA45" s="264"/>
      <c r="BB45" s="264"/>
      <c r="BC45" s="264"/>
    </row>
    <row r="46" spans="1:55" x14ac:dyDescent="0.15">
      <c r="A46" s="180">
        <v>42777</v>
      </c>
      <c r="B46" s="175" t="s">
        <v>1</v>
      </c>
      <c r="C46" s="176">
        <v>34500</v>
      </c>
      <c r="D46" s="177">
        <f>9251+14002</f>
        <v>23253</v>
      </c>
      <c r="E46" s="177">
        <v>60035</v>
      </c>
      <c r="F46" s="178">
        <v>3121</v>
      </c>
      <c r="G46" s="177">
        <v>2031</v>
      </c>
      <c r="H46" s="179"/>
      <c r="I46" s="179"/>
      <c r="J46" s="204">
        <f t="shared" si="0"/>
        <v>36782</v>
      </c>
      <c r="K46" s="177">
        <v>465</v>
      </c>
      <c r="L46" s="177">
        <v>793</v>
      </c>
      <c r="M46" s="205">
        <f t="shared" si="3"/>
        <v>1024</v>
      </c>
      <c r="N46" s="206">
        <f t="shared" si="14"/>
        <v>614842</v>
      </c>
      <c r="O46" s="209">
        <f t="shared" si="14"/>
        <v>325266</v>
      </c>
      <c r="P46" s="208">
        <f t="shared" si="14"/>
        <v>960934</v>
      </c>
      <c r="Q46" s="225">
        <f t="shared" si="15"/>
        <v>2954586.04</v>
      </c>
      <c r="R46" s="207">
        <f t="shared" si="15"/>
        <v>1496520</v>
      </c>
      <c r="S46" s="226">
        <f t="shared" si="15"/>
        <v>4519015.12</v>
      </c>
      <c r="T46" s="227">
        <f>N46/'2017'!N46-1</f>
        <v>0.58004265926554099</v>
      </c>
      <c r="U46" s="228">
        <f>O46/'2017'!O46-1</f>
        <v>0.31366467152930921</v>
      </c>
      <c r="V46" s="228">
        <f>P46/'2017'!P46-1</f>
        <v>0.45425516137136146</v>
      </c>
      <c r="W46" s="228">
        <f>Q46/'2017'!Q46-1</f>
        <v>0.53370051582434352</v>
      </c>
      <c r="X46" s="228">
        <f>R46/'2017'!R46-1</f>
        <v>0.55468383150423639</v>
      </c>
      <c r="Y46" s="244">
        <f>S46/'2017'!S46-1</f>
        <v>0.5291024435412468</v>
      </c>
      <c r="Z46" s="245"/>
      <c r="AA46" s="246">
        <f t="shared" si="10"/>
        <v>295.45860399999998</v>
      </c>
      <c r="AB46" s="247"/>
      <c r="AC46" s="248"/>
      <c r="AD46" s="247">
        <f t="shared" si="6"/>
        <v>3022495.12</v>
      </c>
      <c r="AE46" s="177">
        <f t="shared" si="7"/>
        <v>13070.28</v>
      </c>
      <c r="AF46" s="177">
        <f t="shared" si="16"/>
        <v>33217.58</v>
      </c>
      <c r="AG46" s="248">
        <f t="shared" si="9"/>
        <v>21621.220000000074</v>
      </c>
      <c r="AH46" s="263"/>
      <c r="AI46" s="264"/>
      <c r="AJ46" s="264"/>
      <c r="AK46" s="264"/>
      <c r="AL46" s="264"/>
      <c r="AM46" s="264"/>
      <c r="AN46" s="264"/>
      <c r="AO46" s="264"/>
      <c r="AP46" s="264"/>
      <c r="AQ46" s="264"/>
      <c r="AR46" s="264"/>
      <c r="AS46" s="264"/>
      <c r="AT46" s="264"/>
      <c r="AU46" s="264"/>
      <c r="AV46" s="264"/>
      <c r="AW46" s="264"/>
      <c r="AX46" s="264"/>
      <c r="AY46" s="264"/>
      <c r="AZ46" s="264"/>
      <c r="BA46" s="264"/>
      <c r="BB46" s="264"/>
      <c r="BC46" s="264"/>
    </row>
    <row r="47" spans="1:55" x14ac:dyDescent="0.15">
      <c r="A47" s="180">
        <v>42778</v>
      </c>
      <c r="B47" s="175" t="s">
        <v>34</v>
      </c>
      <c r="C47" s="176">
        <v>29218</v>
      </c>
      <c r="D47" s="177">
        <f>9489+14005</f>
        <v>23494</v>
      </c>
      <c r="E47" s="177">
        <v>54979</v>
      </c>
      <c r="F47" s="178">
        <v>2930</v>
      </c>
      <c r="G47" s="177">
        <v>1864</v>
      </c>
      <c r="H47" s="179"/>
      <c r="I47" s="179"/>
      <c r="J47" s="204">
        <f t="shared" si="0"/>
        <v>31485</v>
      </c>
      <c r="K47" s="177">
        <v>205</v>
      </c>
      <c r="L47" s="177">
        <v>793</v>
      </c>
      <c r="M47" s="205">
        <f t="shared" si="3"/>
        <v>1269</v>
      </c>
      <c r="N47" s="206">
        <f t="shared" si="14"/>
        <v>644060</v>
      </c>
      <c r="O47" s="209">
        <f t="shared" si="14"/>
        <v>348760</v>
      </c>
      <c r="P47" s="208">
        <f t="shared" si="14"/>
        <v>1015913</v>
      </c>
      <c r="Q47" s="225">
        <f t="shared" si="15"/>
        <v>2983804.04</v>
      </c>
      <c r="R47" s="207">
        <f t="shared" si="15"/>
        <v>1520014</v>
      </c>
      <c r="S47" s="226">
        <f t="shared" si="15"/>
        <v>4573994.12</v>
      </c>
      <c r="T47" s="227">
        <f>N47/'2017'!N47-1</f>
        <v>0.47163594570077838</v>
      </c>
      <c r="U47" s="228">
        <f>O47/'2017'!O47-1</f>
        <v>0.26595787158201167</v>
      </c>
      <c r="V47" s="228">
        <f>P47/'2017'!P47-1</f>
        <v>0.37520068007872887</v>
      </c>
      <c r="W47" s="228">
        <f>Q47/'2017'!Q47-1</f>
        <v>0.5108162152538438</v>
      </c>
      <c r="X47" s="228">
        <f>R47/'2017'!R47-1</f>
        <v>0.53462826496728355</v>
      </c>
      <c r="Y47" s="244">
        <f>S47/'2017'!S47-1</f>
        <v>0.50792554288475089</v>
      </c>
      <c r="Z47" s="245"/>
      <c r="AA47" s="246">
        <f t="shared" si="10"/>
        <v>298.380404</v>
      </c>
      <c r="AB47" s="247"/>
      <c r="AC47" s="248"/>
      <c r="AD47" s="247">
        <f t="shared" si="6"/>
        <v>3053980.12</v>
      </c>
      <c r="AE47" s="177">
        <f t="shared" si="7"/>
        <v>13275.28</v>
      </c>
      <c r="AF47" s="177">
        <f t="shared" si="16"/>
        <v>34010.58</v>
      </c>
      <c r="AG47" s="248">
        <f t="shared" si="9"/>
        <v>22890.220000000074</v>
      </c>
      <c r="AH47" s="263"/>
      <c r="AI47" s="264"/>
      <c r="AJ47" s="264"/>
      <c r="AK47" s="264"/>
      <c r="AL47" s="264"/>
      <c r="AM47" s="264"/>
      <c r="AN47" s="264"/>
      <c r="AO47" s="264"/>
      <c r="AP47" s="264"/>
      <c r="AQ47" s="264"/>
      <c r="AR47" s="264"/>
      <c r="AS47" s="264"/>
      <c r="AT47" s="264"/>
      <c r="AU47" s="264"/>
      <c r="AV47" s="264"/>
      <c r="AW47" s="264"/>
      <c r="AX47" s="264"/>
      <c r="AY47" s="264"/>
      <c r="AZ47" s="264"/>
      <c r="BA47" s="264"/>
      <c r="BB47" s="264"/>
      <c r="BC47" s="264"/>
    </row>
    <row r="48" spans="1:55" x14ac:dyDescent="0.15">
      <c r="A48" s="180">
        <v>42779</v>
      </c>
      <c r="B48" s="175" t="s">
        <v>35</v>
      </c>
      <c r="C48" s="176">
        <v>24998</v>
      </c>
      <c r="D48" s="177">
        <f>11514+11196</f>
        <v>22710</v>
      </c>
      <c r="E48" s="177">
        <v>50083</v>
      </c>
      <c r="F48" s="178">
        <v>2633</v>
      </c>
      <c r="G48" s="177">
        <v>1687</v>
      </c>
      <c r="H48" s="179"/>
      <c r="I48" s="179"/>
      <c r="J48" s="204">
        <f t="shared" si="0"/>
        <v>27373</v>
      </c>
      <c r="K48" s="177">
        <v>446</v>
      </c>
      <c r="L48" s="177">
        <v>793</v>
      </c>
      <c r="M48" s="205">
        <f t="shared" si="3"/>
        <v>1136</v>
      </c>
      <c r="N48" s="206">
        <f t="shared" si="14"/>
        <v>669058</v>
      </c>
      <c r="O48" s="209">
        <f t="shared" si="14"/>
        <v>371470</v>
      </c>
      <c r="P48" s="208">
        <f t="shared" si="14"/>
        <v>1065996</v>
      </c>
      <c r="Q48" s="225">
        <f t="shared" si="15"/>
        <v>3008802.04</v>
      </c>
      <c r="R48" s="207">
        <f t="shared" si="15"/>
        <v>1542724</v>
      </c>
      <c r="S48" s="226">
        <f t="shared" si="15"/>
        <v>4624077.12</v>
      </c>
      <c r="T48" s="227">
        <f>N48/'2017'!N48-1</f>
        <v>0.36223574612081522</v>
      </c>
      <c r="U48" s="228">
        <f>O48/'2017'!O48-1</f>
        <v>0.22285390735845523</v>
      </c>
      <c r="V48" s="228">
        <f>P48/'2017'!P48-1</f>
        <v>0.29691731573607028</v>
      </c>
      <c r="W48" s="228">
        <f>Q48/'2017'!Q48-1</f>
        <v>0.4832940278101272</v>
      </c>
      <c r="X48" s="228">
        <f>R48/'2017'!R48-1</f>
        <v>0.51431692873388113</v>
      </c>
      <c r="Y48" s="244">
        <f>S48/'2017'!S48-1</f>
        <v>0.48373551632606038</v>
      </c>
      <c r="Z48" s="245"/>
      <c r="AA48" s="246">
        <f t="shared" si="10"/>
        <v>300.88020399999999</v>
      </c>
      <c r="AB48" s="247"/>
      <c r="AC48" s="248"/>
      <c r="AD48" s="247">
        <f t="shared" si="6"/>
        <v>3081353.12</v>
      </c>
      <c r="AE48" s="177">
        <f t="shared" si="7"/>
        <v>13721.28</v>
      </c>
      <c r="AF48" s="177">
        <f t="shared" si="16"/>
        <v>34803.58</v>
      </c>
      <c r="AG48" s="248">
        <f t="shared" si="9"/>
        <v>24026.220000000074</v>
      </c>
      <c r="AH48" s="263"/>
      <c r="AI48" s="264"/>
      <c r="AJ48" s="264"/>
      <c r="AK48" s="264"/>
      <c r="AL48" s="264"/>
      <c r="AM48" s="264"/>
      <c r="AN48" s="264"/>
      <c r="AO48" s="264"/>
      <c r="AP48" s="264"/>
      <c r="AQ48" s="264"/>
      <c r="AR48" s="264"/>
      <c r="AS48" s="264"/>
      <c r="AT48" s="264"/>
      <c r="AU48" s="264"/>
      <c r="AV48" s="264"/>
      <c r="AW48" s="264"/>
      <c r="AX48" s="264"/>
      <c r="AY48" s="264"/>
      <c r="AZ48" s="264"/>
      <c r="BA48" s="264"/>
      <c r="BB48" s="264"/>
      <c r="BC48" s="264"/>
    </row>
    <row r="49" spans="1:55" x14ac:dyDescent="0.15">
      <c r="A49" s="180">
        <v>42780</v>
      </c>
      <c r="B49" s="175" t="s">
        <v>36</v>
      </c>
      <c r="C49" s="176">
        <v>22439</v>
      </c>
      <c r="D49" s="177">
        <f>12640+8564</f>
        <v>21204</v>
      </c>
      <c r="E49" s="177">
        <v>45416</v>
      </c>
      <c r="F49" s="178">
        <v>2384</v>
      </c>
      <c r="G49" s="177">
        <v>1543</v>
      </c>
      <c r="H49" s="179"/>
      <c r="I49" s="179"/>
      <c r="J49" s="204">
        <f t="shared" si="0"/>
        <v>24212</v>
      </c>
      <c r="K49" s="177">
        <v>198</v>
      </c>
      <c r="L49" s="177">
        <v>793</v>
      </c>
      <c r="M49" s="205">
        <f t="shared" si="3"/>
        <v>782</v>
      </c>
      <c r="N49" s="206">
        <f t="shared" si="14"/>
        <v>691497</v>
      </c>
      <c r="O49" s="209">
        <f t="shared" si="14"/>
        <v>392674</v>
      </c>
      <c r="P49" s="208">
        <f t="shared" si="14"/>
        <v>1111412</v>
      </c>
      <c r="Q49" s="225">
        <f t="shared" si="15"/>
        <v>3031241.04</v>
      </c>
      <c r="R49" s="207">
        <f t="shared" si="15"/>
        <v>1563928</v>
      </c>
      <c r="S49" s="226">
        <f t="shared" si="15"/>
        <v>4669493.12</v>
      </c>
      <c r="T49" s="227">
        <f>N49/'2017'!N49-1</f>
        <v>0.26694674586568667</v>
      </c>
      <c r="U49" s="228">
        <f>O49/'2017'!O49-1</f>
        <v>0.17954124912887792</v>
      </c>
      <c r="V49" s="228">
        <f>P49/'2017'!P49-1</f>
        <v>0.22460330839859011</v>
      </c>
      <c r="W49" s="228">
        <f>Q49/'2017'!Q49-1</f>
        <v>0.45515125836188175</v>
      </c>
      <c r="X49" s="228">
        <f>R49/'2017'!R49-1</f>
        <v>0.49245436066762727</v>
      </c>
      <c r="Y49" s="244">
        <f>S49/'2017'!S49-1</f>
        <v>0.4582444212548491</v>
      </c>
      <c r="Z49" s="245"/>
      <c r="AA49" s="246">
        <f t="shared" si="10"/>
        <v>303.12410399999999</v>
      </c>
      <c r="AB49" s="247"/>
      <c r="AC49" s="248"/>
      <c r="AD49" s="247">
        <f t="shared" si="6"/>
        <v>3105565.12</v>
      </c>
      <c r="AE49" s="177">
        <f t="shared" si="7"/>
        <v>13919.28</v>
      </c>
      <c r="AF49" s="177">
        <f t="shared" si="16"/>
        <v>35596.58</v>
      </c>
      <c r="AG49" s="248">
        <f t="shared" si="9"/>
        <v>24808.220000000074</v>
      </c>
      <c r="AH49" s="263"/>
      <c r="AI49" s="264"/>
      <c r="AJ49" s="264"/>
      <c r="AK49" s="264"/>
      <c r="AL49" s="264"/>
      <c r="AM49" s="264"/>
      <c r="AN49" s="264"/>
      <c r="AO49" s="264"/>
      <c r="AP49" s="264"/>
      <c r="AQ49" s="264"/>
      <c r="AR49" s="264"/>
      <c r="AS49" s="264"/>
      <c r="AT49" s="264"/>
      <c r="AU49" s="264"/>
      <c r="AV49" s="264"/>
      <c r="AW49" s="264"/>
      <c r="AX49" s="264"/>
      <c r="AY49" s="264"/>
      <c r="AZ49" s="264"/>
      <c r="BA49" s="264"/>
      <c r="BB49" s="264"/>
      <c r="BC49" s="264"/>
    </row>
    <row r="50" spans="1:55" s="157" customFormat="1" x14ac:dyDescent="0.15">
      <c r="A50" s="194">
        <v>42781</v>
      </c>
      <c r="B50" s="182" t="s">
        <v>37</v>
      </c>
      <c r="C50" s="183">
        <v>26109</v>
      </c>
      <c r="D50" s="184">
        <f>11877+5215</f>
        <v>17092</v>
      </c>
      <c r="E50" s="184">
        <v>45576</v>
      </c>
      <c r="F50" s="185">
        <v>2461</v>
      </c>
      <c r="G50" s="184">
        <v>1389</v>
      </c>
      <c r="H50" s="186"/>
      <c r="I50" s="186"/>
      <c r="J50" s="210">
        <f t="shared" si="0"/>
        <v>28484</v>
      </c>
      <c r="K50" s="184">
        <v>1158</v>
      </c>
      <c r="L50" s="184">
        <v>793</v>
      </c>
      <c r="M50" s="211">
        <f t="shared" si="3"/>
        <v>424</v>
      </c>
      <c r="N50" s="212">
        <f t="shared" si="14"/>
        <v>717606</v>
      </c>
      <c r="O50" s="215">
        <f t="shared" si="14"/>
        <v>409766</v>
      </c>
      <c r="P50" s="214">
        <f t="shared" si="14"/>
        <v>1156988</v>
      </c>
      <c r="Q50" s="229">
        <f t="shared" si="15"/>
        <v>3057350.04</v>
      </c>
      <c r="R50" s="213">
        <f t="shared" si="15"/>
        <v>1581020</v>
      </c>
      <c r="S50" s="230">
        <f t="shared" si="15"/>
        <v>4715069.12</v>
      </c>
      <c r="T50" s="231">
        <f>N50/'2017'!N50-1</f>
        <v>0.19544216497163847</v>
      </c>
      <c r="U50" s="232">
        <f>O50/'2017'!O50-1</f>
        <v>0.13014890630128217</v>
      </c>
      <c r="V50" s="232">
        <f>P50/'2017'!P50-1</f>
        <v>0.16467954370663862</v>
      </c>
      <c r="W50" s="232">
        <f>Q50/'2017'!Q50-1</f>
        <v>0.43027387914101434</v>
      </c>
      <c r="X50" s="232">
        <f>R50/'2017'!R50-1</f>
        <v>0.46721815801025102</v>
      </c>
      <c r="Y50" s="249">
        <f>S50/'2017'!S50-1</f>
        <v>0.43404074023802242</v>
      </c>
      <c r="Z50" s="250">
        <f>Z43+(Z57-Z43)/14*7</f>
        <v>10.875</v>
      </c>
      <c r="AA50" s="260">
        <f t="shared" si="10"/>
        <v>294.860004</v>
      </c>
      <c r="AB50" s="252">
        <v>4269.4799999999996</v>
      </c>
      <c r="AC50" s="211">
        <f t="shared" si="12"/>
        <v>690.62275499592465</v>
      </c>
      <c r="AD50" s="252">
        <f t="shared" si="6"/>
        <v>3134049.12</v>
      </c>
      <c r="AE50" s="184">
        <f t="shared" si="7"/>
        <v>15077.28</v>
      </c>
      <c r="AF50" s="184">
        <f t="shared" si="16"/>
        <v>36389.58</v>
      </c>
      <c r="AG50" s="211">
        <f t="shared" si="9"/>
        <v>25232.220000000074</v>
      </c>
      <c r="AH50" s="265">
        <f>(AD50-AD43)/('2017'!AD50-'2017'!AD43)-1</f>
        <v>-0.34301270911755255</v>
      </c>
      <c r="AI50" s="266">
        <f>AA50-AA43</f>
        <v>21.453399999999988</v>
      </c>
      <c r="AJ50" s="266">
        <f>'2017'!AA50-'2017'!AA43</f>
        <v>32.757100000000008</v>
      </c>
      <c r="AK50" s="264"/>
      <c r="AL50" s="264"/>
      <c r="AM50" s="264"/>
      <c r="AN50" s="264"/>
      <c r="AO50" s="264"/>
      <c r="AP50" s="264"/>
      <c r="AQ50" s="264"/>
      <c r="AR50" s="264"/>
      <c r="AS50" s="264"/>
      <c r="AT50" s="264"/>
      <c r="AU50" s="264"/>
      <c r="AV50" s="264"/>
      <c r="AW50" s="264"/>
      <c r="AX50" s="264"/>
      <c r="AY50" s="264"/>
      <c r="AZ50" s="264"/>
      <c r="BA50" s="264"/>
      <c r="BB50" s="264"/>
      <c r="BC50" s="264"/>
    </row>
    <row r="51" spans="1:55" x14ac:dyDescent="0.15">
      <c r="A51" s="194">
        <v>42782</v>
      </c>
      <c r="B51" s="175" t="s">
        <v>38</v>
      </c>
      <c r="C51" s="176">
        <v>27178</v>
      </c>
      <c r="D51" s="177">
        <f>10717+4668</f>
        <v>15385</v>
      </c>
      <c r="E51" s="177">
        <v>43998</v>
      </c>
      <c r="F51" s="178">
        <v>2262</v>
      </c>
      <c r="G51" s="177">
        <v>1459</v>
      </c>
      <c r="H51" s="179"/>
      <c r="I51" s="179"/>
      <c r="J51" s="204">
        <f t="shared" si="0"/>
        <v>28613</v>
      </c>
      <c r="K51" s="177">
        <v>505</v>
      </c>
      <c r="L51" s="177">
        <v>498</v>
      </c>
      <c r="M51" s="205">
        <f t="shared" si="3"/>
        <v>432</v>
      </c>
      <c r="N51" s="206">
        <f t="shared" si="14"/>
        <v>744784</v>
      </c>
      <c r="O51" s="209">
        <f t="shared" si="14"/>
        <v>425151</v>
      </c>
      <c r="P51" s="208">
        <f t="shared" si="14"/>
        <v>1200986</v>
      </c>
      <c r="Q51" s="225">
        <f t="shared" si="15"/>
        <v>3084528.04</v>
      </c>
      <c r="R51" s="207">
        <f t="shared" si="15"/>
        <v>1596405</v>
      </c>
      <c r="S51" s="226">
        <f t="shared" si="15"/>
        <v>4759067.12</v>
      </c>
      <c r="T51" s="227">
        <f>N51/'2017'!N51-1</f>
        <v>0.13813301222052266</v>
      </c>
      <c r="U51" s="228">
        <f>O51/'2017'!O51-1</f>
        <v>7.9745829216941733E-2</v>
      </c>
      <c r="V51" s="228">
        <f>P51/'2017'!P51-1</f>
        <v>0.11155577974094255</v>
      </c>
      <c r="W51" s="228">
        <f>Q51/'2017'!Q51-1</f>
        <v>0.40736549041243086</v>
      </c>
      <c r="X51" s="228">
        <f>R51/'2017'!R51-1</f>
        <v>0.43984100828239692</v>
      </c>
      <c r="Y51" s="244">
        <f>S51/'2017'!S51-1</f>
        <v>0.41008586946870529</v>
      </c>
      <c r="Z51" s="245"/>
      <c r="AA51" s="261">
        <f t="shared" si="10"/>
        <v>308.45280400000001</v>
      </c>
      <c r="AB51" s="247"/>
      <c r="AC51" s="248"/>
      <c r="AD51" s="247">
        <f t="shared" si="6"/>
        <v>3162662.12</v>
      </c>
      <c r="AE51" s="177">
        <f t="shared" si="7"/>
        <v>15582.28</v>
      </c>
      <c r="AF51" s="177">
        <f t="shared" si="16"/>
        <v>36887.58</v>
      </c>
      <c r="AG51" s="248">
        <f t="shared" si="9"/>
        <v>25664.220000000074</v>
      </c>
      <c r="AH51" s="265"/>
      <c r="AI51" s="266"/>
      <c r="AJ51" s="266"/>
      <c r="AK51" s="264"/>
      <c r="AL51" s="264"/>
      <c r="AM51" s="264"/>
      <c r="AN51" s="264"/>
      <c r="AO51" s="264"/>
      <c r="AP51" s="264"/>
      <c r="AQ51" s="264"/>
      <c r="AR51" s="264"/>
      <c r="AS51" s="264"/>
      <c r="AT51" s="264"/>
      <c r="AU51" s="264"/>
      <c r="AV51" s="264"/>
      <c r="AW51" s="264"/>
      <c r="AX51" s="264"/>
      <c r="AY51" s="264"/>
      <c r="AZ51" s="264"/>
      <c r="BA51" s="264"/>
      <c r="BB51" s="264"/>
      <c r="BC51" s="264"/>
    </row>
    <row r="52" spans="1:55" x14ac:dyDescent="0.15">
      <c r="A52" s="194">
        <v>42783</v>
      </c>
      <c r="B52" s="175" t="s">
        <v>39</v>
      </c>
      <c r="C52" s="176">
        <v>22691</v>
      </c>
      <c r="D52" s="177">
        <f>10028+4623</f>
        <v>14651</v>
      </c>
      <c r="E52" s="177">
        <v>39195</v>
      </c>
      <c r="F52" s="178">
        <v>2212</v>
      </c>
      <c r="G52" s="177">
        <v>1177</v>
      </c>
      <c r="H52" s="179"/>
      <c r="I52" s="179"/>
      <c r="J52" s="204">
        <f t="shared" si="0"/>
        <v>24544</v>
      </c>
      <c r="K52" s="177">
        <v>265</v>
      </c>
      <c r="L52" s="177">
        <v>481</v>
      </c>
      <c r="M52" s="205">
        <f t="shared" si="3"/>
        <v>1107</v>
      </c>
      <c r="N52" s="206">
        <f t="shared" si="14"/>
        <v>767475</v>
      </c>
      <c r="O52" s="209">
        <f t="shared" si="14"/>
        <v>439802</v>
      </c>
      <c r="P52" s="208">
        <f t="shared" si="14"/>
        <v>1240181</v>
      </c>
      <c r="Q52" s="225">
        <f t="shared" si="15"/>
        <v>3107219.04</v>
      </c>
      <c r="R52" s="207">
        <f t="shared" si="15"/>
        <v>1611056</v>
      </c>
      <c r="S52" s="226">
        <f t="shared" si="15"/>
        <v>4798262.12</v>
      </c>
      <c r="T52" s="227">
        <f>N52/'2017'!N52-1</f>
        <v>7.8153579024558884E-2</v>
      </c>
      <c r="U52" s="228">
        <f>O52/'2017'!O52-1</f>
        <v>3.5588479071694934E-2</v>
      </c>
      <c r="V52" s="228">
        <f>P52/'2017'!P52-1</f>
        <v>5.9370774346809485E-2</v>
      </c>
      <c r="W52" s="228">
        <f>Q52/'2017'!Q52-1</f>
        <v>0.38150530531333593</v>
      </c>
      <c r="X52" s="228">
        <f>R52/'2017'!R52-1</f>
        <v>0.41361126076404298</v>
      </c>
      <c r="Y52" s="244">
        <f>S52/'2017'!S52-1</f>
        <v>0.3846833771263003</v>
      </c>
      <c r="Z52" s="245"/>
      <c r="AA52" s="261">
        <f t="shared" si="10"/>
        <v>310.72190399999999</v>
      </c>
      <c r="AB52" s="247"/>
      <c r="AC52" s="248"/>
      <c r="AD52" s="247">
        <f t="shared" si="6"/>
        <v>3187206.12</v>
      </c>
      <c r="AE52" s="177">
        <f t="shared" si="7"/>
        <v>15847.28</v>
      </c>
      <c r="AF52" s="177">
        <f t="shared" si="16"/>
        <v>37368.58</v>
      </c>
      <c r="AG52" s="248">
        <f t="shared" si="9"/>
        <v>26771.220000000074</v>
      </c>
      <c r="AH52" s="265"/>
      <c r="AI52" s="266"/>
      <c r="AJ52" s="266"/>
      <c r="AK52" s="264"/>
      <c r="AL52" s="264"/>
      <c r="AM52" s="264"/>
      <c r="AN52" s="264"/>
      <c r="AO52" s="264"/>
      <c r="AP52" s="264"/>
      <c r="AQ52" s="264"/>
      <c r="AR52" s="264"/>
      <c r="AS52" s="264"/>
      <c r="AT52" s="264"/>
      <c r="AU52" s="264"/>
      <c r="AV52" s="264"/>
      <c r="AW52" s="264"/>
      <c r="AX52" s="264"/>
      <c r="AY52" s="264"/>
      <c r="AZ52" s="264"/>
      <c r="BA52" s="264"/>
      <c r="BB52" s="264"/>
      <c r="BC52" s="264"/>
    </row>
    <row r="53" spans="1:55" x14ac:dyDescent="0.15">
      <c r="A53" s="194">
        <v>42784</v>
      </c>
      <c r="B53" s="175" t="s">
        <v>1</v>
      </c>
      <c r="C53" s="176">
        <v>24571</v>
      </c>
      <c r="D53" s="177">
        <f>11164+4681</f>
        <v>15845</v>
      </c>
      <c r="E53" s="177">
        <v>41639</v>
      </c>
      <c r="F53" s="178">
        <v>2241</v>
      </c>
      <c r="G53" s="177">
        <v>1364</v>
      </c>
      <c r="H53" s="179"/>
      <c r="I53" s="179"/>
      <c r="J53" s="204">
        <f t="shared" si="0"/>
        <v>25794</v>
      </c>
      <c r="K53" s="177">
        <v>279</v>
      </c>
      <c r="L53" s="177">
        <v>482</v>
      </c>
      <c r="M53" s="205">
        <f t="shared" si="3"/>
        <v>462</v>
      </c>
      <c r="N53" s="206">
        <f t="shared" ref="N53:P62" si="17">N52+C53</f>
        <v>792046</v>
      </c>
      <c r="O53" s="209">
        <f t="shared" si="17"/>
        <v>455647</v>
      </c>
      <c r="P53" s="208">
        <f t="shared" si="17"/>
        <v>1281820</v>
      </c>
      <c r="Q53" s="225">
        <f t="shared" si="15"/>
        <v>3131790.04</v>
      </c>
      <c r="R53" s="207">
        <f t="shared" si="15"/>
        <v>1626901</v>
      </c>
      <c r="S53" s="226">
        <f t="shared" si="15"/>
        <v>4839901.12</v>
      </c>
      <c r="T53" s="227">
        <f>N53/'2017'!N53-1</f>
        <v>2.7615564357823086E-2</v>
      </c>
      <c r="U53" s="228">
        <f>O53/'2017'!O53-1</f>
        <v>7.3356130837476385E-4</v>
      </c>
      <c r="V53" s="228">
        <f>P53/'2017'!P53-1</f>
        <v>1.5769620895143888E-2</v>
      </c>
      <c r="W53" s="228">
        <f>Q53/'2017'!Q53-1</f>
        <v>0.35688481201912436</v>
      </c>
      <c r="X53" s="228">
        <f>R53/'2017'!R53-1</f>
        <v>0.39015841250825645</v>
      </c>
      <c r="Y53" s="244">
        <f>S53/'2017'!S53-1</f>
        <v>0.36086669283513073</v>
      </c>
      <c r="Z53" s="245"/>
      <c r="AA53" s="261">
        <f t="shared" si="10"/>
        <v>313.17900400000002</v>
      </c>
      <c r="AB53" s="247"/>
      <c r="AC53" s="248"/>
      <c r="AD53" s="247">
        <f t="shared" si="6"/>
        <v>3213000.12</v>
      </c>
      <c r="AE53" s="177">
        <f t="shared" si="7"/>
        <v>16126.28</v>
      </c>
      <c r="AF53" s="177">
        <f t="shared" si="16"/>
        <v>37850.58</v>
      </c>
      <c r="AG53" s="248">
        <f t="shared" si="9"/>
        <v>27233.220000000074</v>
      </c>
      <c r="AH53" s="265"/>
      <c r="AI53" s="266"/>
      <c r="AJ53" s="266"/>
      <c r="AK53" s="264"/>
      <c r="AL53" s="264"/>
      <c r="AM53" s="264"/>
      <c r="AN53" s="264"/>
      <c r="AO53" s="264"/>
      <c r="AP53" s="264"/>
      <c r="AQ53" s="264"/>
      <c r="AR53" s="264"/>
      <c r="AS53" s="264"/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</row>
    <row r="54" spans="1:55" x14ac:dyDescent="0.15">
      <c r="A54" s="194">
        <v>42785</v>
      </c>
      <c r="B54" s="175" t="s">
        <v>34</v>
      </c>
      <c r="C54" s="176">
        <v>27076</v>
      </c>
      <c r="D54" s="177">
        <f>10888+5028</f>
        <v>15916</v>
      </c>
      <c r="E54" s="177">
        <v>43836</v>
      </c>
      <c r="F54" s="178">
        <v>2315</v>
      </c>
      <c r="G54" s="177">
        <v>1384</v>
      </c>
      <c r="H54" s="179"/>
      <c r="I54" s="179"/>
      <c r="J54" s="204">
        <f t="shared" si="0"/>
        <v>27920</v>
      </c>
      <c r="K54" s="177">
        <v>130</v>
      </c>
      <c r="L54" s="177">
        <v>480</v>
      </c>
      <c r="M54" s="205">
        <f t="shared" si="3"/>
        <v>234</v>
      </c>
      <c r="N54" s="206">
        <f t="shared" si="17"/>
        <v>819122</v>
      </c>
      <c r="O54" s="209">
        <f t="shared" si="17"/>
        <v>471563</v>
      </c>
      <c r="P54" s="208">
        <f t="shared" si="17"/>
        <v>1325656</v>
      </c>
      <c r="Q54" s="225">
        <f t="shared" si="15"/>
        <v>3158866.04</v>
      </c>
      <c r="R54" s="207">
        <f t="shared" si="15"/>
        <v>1642817</v>
      </c>
      <c r="S54" s="226">
        <f t="shared" si="15"/>
        <v>4883737.12</v>
      </c>
      <c r="T54" s="227">
        <f>N54/'2017'!N54-1</f>
        <v>-5.8270008241061433E-3</v>
      </c>
      <c r="U54" s="228">
        <f>O54/'2017'!O54-1</f>
        <v>-2.9060466112251548E-2</v>
      </c>
      <c r="V54" s="228">
        <f>P54/'2017'!P54-1</f>
        <v>-1.5901107287190963E-2</v>
      </c>
      <c r="W54" s="228">
        <f>Q54/'2017'!Q54-1</f>
        <v>0.33780212920894348</v>
      </c>
      <c r="X54" s="228">
        <f>R54/'2017'!R54-1</f>
        <v>0.36825820400895171</v>
      </c>
      <c r="Y54" s="244">
        <f>S54/'2017'!S54-1</f>
        <v>0.34108166278982788</v>
      </c>
      <c r="Z54" s="245"/>
      <c r="AA54" s="261">
        <f t="shared" si="10"/>
        <v>315.88660399999998</v>
      </c>
      <c r="AB54" s="247"/>
      <c r="AC54" s="248"/>
      <c r="AD54" s="247">
        <f t="shared" si="6"/>
        <v>3240920.12</v>
      </c>
      <c r="AE54" s="177">
        <f t="shared" si="7"/>
        <v>16256.28</v>
      </c>
      <c r="AF54" s="177">
        <f t="shared" si="16"/>
        <v>38330.58</v>
      </c>
      <c r="AG54" s="248">
        <f t="shared" si="9"/>
        <v>27467.220000000074</v>
      </c>
      <c r="AH54" s="265"/>
      <c r="AI54" s="266"/>
      <c r="AJ54" s="266"/>
      <c r="AK54" s="264"/>
      <c r="AL54" s="264"/>
      <c r="AM54" s="264"/>
      <c r="AN54" s="264"/>
      <c r="AO54" s="264"/>
      <c r="AP54" s="264"/>
      <c r="AQ54" s="264"/>
      <c r="AR54" s="264"/>
      <c r="AS54" s="264"/>
      <c r="AT54" s="264"/>
      <c r="AU54" s="264"/>
      <c r="AV54" s="264"/>
      <c r="AW54" s="264"/>
      <c r="AX54" s="264"/>
      <c r="AY54" s="264"/>
      <c r="AZ54" s="264"/>
      <c r="BA54" s="264"/>
      <c r="BB54" s="264"/>
      <c r="BC54" s="264"/>
    </row>
    <row r="55" spans="1:55" x14ac:dyDescent="0.15">
      <c r="A55" s="194">
        <v>42786</v>
      </c>
      <c r="B55" s="175" t="s">
        <v>35</v>
      </c>
      <c r="C55" s="176">
        <v>28638</v>
      </c>
      <c r="D55" s="177">
        <f>10868+6152</f>
        <v>17020</v>
      </c>
      <c r="E55" s="177">
        <v>46673</v>
      </c>
      <c r="F55" s="178">
        <v>2438</v>
      </c>
      <c r="G55" s="177">
        <v>1438</v>
      </c>
      <c r="H55" s="179"/>
      <c r="I55" s="179"/>
      <c r="J55" s="204">
        <f t="shared" si="0"/>
        <v>29653</v>
      </c>
      <c r="K55" s="177">
        <v>150</v>
      </c>
      <c r="L55" s="177">
        <v>670</v>
      </c>
      <c r="M55" s="205">
        <f t="shared" si="3"/>
        <v>195</v>
      </c>
      <c r="N55" s="206">
        <f t="shared" si="17"/>
        <v>847760</v>
      </c>
      <c r="O55" s="209">
        <f t="shared" si="17"/>
        <v>488583</v>
      </c>
      <c r="P55" s="208">
        <f t="shared" si="17"/>
        <v>1372329</v>
      </c>
      <c r="Q55" s="225">
        <f t="shared" si="15"/>
        <v>3187504.04</v>
      </c>
      <c r="R55" s="207">
        <f t="shared" si="15"/>
        <v>1659837</v>
      </c>
      <c r="S55" s="226">
        <f t="shared" si="15"/>
        <v>4930410.12</v>
      </c>
      <c r="T55" s="227">
        <f>N55/'2017'!N55-1</f>
        <v>-3.9932232642258758E-2</v>
      </c>
      <c r="U55" s="228">
        <f>O55/'2017'!O55-1</f>
        <v>-5.3150235751701969E-2</v>
      </c>
      <c r="V55" s="228">
        <f>P55/'2017'!P55-1</f>
        <v>-4.6110740011413354E-2</v>
      </c>
      <c r="W55" s="228">
        <f>Q55/'2017'!Q55-1</f>
        <v>0.31696887307626609</v>
      </c>
      <c r="X55" s="228">
        <f>R55/'2017'!R55-1</f>
        <v>0.34837022083761515</v>
      </c>
      <c r="Y55" s="244">
        <f>S55/'2017'!S55-1</f>
        <v>0.32068163850272247</v>
      </c>
      <c r="Z55" s="245"/>
      <c r="AA55" s="261">
        <f t="shared" si="10"/>
        <v>318.750404</v>
      </c>
      <c r="AB55" s="247"/>
      <c r="AC55" s="248"/>
      <c r="AD55" s="247">
        <f t="shared" si="6"/>
        <v>3270573.12</v>
      </c>
      <c r="AE55" s="177">
        <f t="shared" si="7"/>
        <v>16406.28</v>
      </c>
      <c r="AF55" s="177">
        <f t="shared" ref="AF55:AF70" si="18">AF54+L55</f>
        <v>39000.58</v>
      </c>
      <c r="AG55" s="248">
        <f t="shared" si="9"/>
        <v>27662.220000000074</v>
      </c>
      <c r="AH55" s="265"/>
      <c r="AI55" s="266"/>
      <c r="AJ55" s="266"/>
      <c r="AK55" s="264"/>
      <c r="AL55" s="264"/>
      <c r="AM55" s="264"/>
      <c r="AN55" s="264"/>
      <c r="AO55" s="264"/>
      <c r="AP55" s="264"/>
      <c r="AQ55" s="264"/>
      <c r="AR55" s="264"/>
      <c r="AS55" s="264"/>
      <c r="AT55" s="264"/>
      <c r="AU55" s="264"/>
      <c r="AV55" s="264"/>
      <c r="AW55" s="264"/>
      <c r="AX55" s="264"/>
      <c r="AY55" s="264"/>
      <c r="AZ55" s="264"/>
      <c r="BA55" s="264"/>
      <c r="BB55" s="264"/>
      <c r="BC55" s="264"/>
    </row>
    <row r="56" spans="1:55" x14ac:dyDescent="0.15">
      <c r="A56" s="194">
        <v>42787</v>
      </c>
      <c r="B56" s="175" t="s">
        <v>36</v>
      </c>
      <c r="C56" s="176">
        <v>29396</v>
      </c>
      <c r="D56" s="177">
        <f>11061+6688</f>
        <v>17749</v>
      </c>
      <c r="E56" s="177">
        <v>48422</v>
      </c>
      <c r="F56" s="178">
        <v>2583</v>
      </c>
      <c r="G56" s="177">
        <v>1485</v>
      </c>
      <c r="H56" s="179"/>
      <c r="I56" s="179"/>
      <c r="J56" s="204">
        <f t="shared" si="0"/>
        <v>30673</v>
      </c>
      <c r="K56" s="177">
        <v>224</v>
      </c>
      <c r="L56" s="177">
        <v>791</v>
      </c>
      <c r="M56" s="205">
        <f t="shared" si="3"/>
        <v>262</v>
      </c>
      <c r="N56" s="206">
        <f t="shared" si="17"/>
        <v>877156</v>
      </c>
      <c r="O56" s="209">
        <f t="shared" si="17"/>
        <v>506332</v>
      </c>
      <c r="P56" s="208">
        <f t="shared" si="17"/>
        <v>1420751</v>
      </c>
      <c r="Q56" s="225">
        <f t="shared" si="15"/>
        <v>3216900.04</v>
      </c>
      <c r="R56" s="207">
        <f t="shared" si="15"/>
        <v>1677586</v>
      </c>
      <c r="S56" s="226">
        <f t="shared" si="15"/>
        <v>4978832.12</v>
      </c>
      <c r="T56" s="227">
        <f>N56/'2017'!N56-1</f>
        <v>-7.3573879640944306E-2</v>
      </c>
      <c r="U56" s="228">
        <f>O56/'2017'!O56-1</f>
        <v>-7.3717409280168567E-2</v>
      </c>
      <c r="V56" s="228">
        <f>P56/'2017'!P56-1</f>
        <v>-7.4477551658545527E-2</v>
      </c>
      <c r="W56" s="228">
        <f>Q56/'2017'!Q56-1</f>
        <v>0.29498075064215046</v>
      </c>
      <c r="X56" s="228">
        <f>R56/'2017'!R56-1</f>
        <v>0.32971415979848029</v>
      </c>
      <c r="Y56" s="244">
        <f>S56/'2017'!S56-1</f>
        <v>0.3000768848414388</v>
      </c>
      <c r="Z56" s="245"/>
      <c r="AA56" s="261">
        <f t="shared" si="10"/>
        <v>321.69000399999999</v>
      </c>
      <c r="AB56" s="247"/>
      <c r="AC56" s="248"/>
      <c r="AD56" s="247">
        <f t="shared" si="6"/>
        <v>3301246.12</v>
      </c>
      <c r="AE56" s="177">
        <f t="shared" si="7"/>
        <v>16630.28</v>
      </c>
      <c r="AF56" s="177">
        <f t="shared" si="18"/>
        <v>39791.58</v>
      </c>
      <c r="AG56" s="248">
        <f t="shared" si="9"/>
        <v>27924.220000000074</v>
      </c>
      <c r="AH56" s="265"/>
      <c r="AI56" s="266"/>
      <c r="AJ56" s="266"/>
      <c r="AK56" s="264"/>
      <c r="AL56" s="264"/>
      <c r="AM56" s="264"/>
      <c r="AN56" s="264"/>
      <c r="AO56" s="264"/>
      <c r="AP56" s="264"/>
      <c r="AQ56" s="264"/>
      <c r="AR56" s="264"/>
      <c r="AS56" s="264"/>
      <c r="AT56" s="264"/>
      <c r="AU56" s="264"/>
      <c r="AV56" s="264"/>
      <c r="AW56" s="264"/>
      <c r="AX56" s="264"/>
      <c r="AY56" s="264"/>
      <c r="AZ56" s="264"/>
      <c r="BA56" s="264"/>
      <c r="BB56" s="264"/>
      <c r="BC56" s="264"/>
    </row>
    <row r="57" spans="1:55" s="157" customFormat="1" x14ac:dyDescent="0.15">
      <c r="A57" s="181">
        <v>42788</v>
      </c>
      <c r="B57" s="182" t="s">
        <v>37</v>
      </c>
      <c r="C57" s="183">
        <v>28682</v>
      </c>
      <c r="D57" s="184">
        <f>14331+8056</f>
        <v>22387</v>
      </c>
      <c r="E57" s="184">
        <v>52281</v>
      </c>
      <c r="F57" s="185">
        <v>2731</v>
      </c>
      <c r="G57" s="184">
        <v>1568</v>
      </c>
      <c r="H57" s="186"/>
      <c r="I57" s="186"/>
      <c r="J57" s="210">
        <f t="shared" si="0"/>
        <v>29894</v>
      </c>
      <c r="K57" s="184">
        <v>132</v>
      </c>
      <c r="L57" s="184">
        <v>795</v>
      </c>
      <c r="M57" s="211">
        <f t="shared" si="3"/>
        <v>285</v>
      </c>
      <c r="N57" s="212">
        <f t="shared" si="17"/>
        <v>905838</v>
      </c>
      <c r="O57" s="215">
        <f t="shared" si="17"/>
        <v>528719</v>
      </c>
      <c r="P57" s="214">
        <f t="shared" si="17"/>
        <v>1473032</v>
      </c>
      <c r="Q57" s="229">
        <f>N57+Q$35</f>
        <v>3245582.04</v>
      </c>
      <c r="R57" s="213">
        <f t="shared" si="15"/>
        <v>1699973</v>
      </c>
      <c r="S57" s="230">
        <f t="shared" si="15"/>
        <v>5031113.12</v>
      </c>
      <c r="T57" s="231">
        <f>N57/'2017'!N57-1</f>
        <v>-0.10521881115061194</v>
      </c>
      <c r="U57" s="232">
        <f>O57/'2017'!O57-1</f>
        <v>-8.5938094283126043E-2</v>
      </c>
      <c r="V57" s="232">
        <f>P57/'2017'!P57-1</f>
        <v>-9.8628574505633337E-2</v>
      </c>
      <c r="W57" s="232">
        <f>Q57/'2017'!Q57-1</f>
        <v>0.27294219397727293</v>
      </c>
      <c r="X57" s="232">
        <f>R57/'2017'!R57-1</f>
        <v>0.31433013714093083</v>
      </c>
      <c r="Y57" s="249">
        <f>S57/'2017'!S57-1</f>
        <v>0.28058017274247682</v>
      </c>
      <c r="Z57" s="250">
        <v>12.17</v>
      </c>
      <c r="AA57" s="260">
        <f t="shared" si="10"/>
        <v>312.38820399999997</v>
      </c>
      <c r="AB57" s="252">
        <v>4269.4799999999996</v>
      </c>
      <c r="AC57" s="211">
        <f t="shared" si="12"/>
        <v>731.6774033371745</v>
      </c>
      <c r="AD57" s="252">
        <f t="shared" si="6"/>
        <v>3331140.12</v>
      </c>
      <c r="AE57" s="184">
        <f t="shared" si="7"/>
        <v>16762.28</v>
      </c>
      <c r="AF57" s="184">
        <f t="shared" si="18"/>
        <v>40586.58</v>
      </c>
      <c r="AG57" s="211">
        <f t="shared" si="9"/>
        <v>28209.220000000074</v>
      </c>
      <c r="AH57" s="265">
        <f>(AD57-AD50)/('2017'!AD57-'2017'!AD50)-1</f>
        <v>-0.53621827679926581</v>
      </c>
      <c r="AI57" s="266">
        <f t="shared" ref="AI57" si="19">AA57-AA50</f>
        <v>17.52819999999997</v>
      </c>
      <c r="AJ57" s="266">
        <f>'2017'!AA57-'2017'!AA50</f>
        <v>38.348628571428577</v>
      </c>
      <c r="AK57" s="264"/>
      <c r="AL57" s="264"/>
      <c r="AM57" s="264"/>
      <c r="AN57" s="264"/>
      <c r="AO57" s="264"/>
      <c r="AP57" s="264"/>
      <c r="AQ57" s="264"/>
      <c r="AR57" s="264"/>
      <c r="AS57" s="264"/>
      <c r="AT57" s="264"/>
      <c r="AU57" s="264"/>
      <c r="AV57" s="264"/>
      <c r="AW57" s="264"/>
      <c r="AX57" s="264"/>
      <c r="AY57" s="264"/>
      <c r="AZ57" s="264"/>
      <c r="BA57" s="264"/>
      <c r="BB57" s="264"/>
      <c r="BC57" s="264"/>
    </row>
    <row r="58" spans="1:55" x14ac:dyDescent="0.15">
      <c r="A58" s="180">
        <v>42789</v>
      </c>
      <c r="B58" s="175" t="s">
        <v>38</v>
      </c>
      <c r="C58" s="176">
        <v>26385</v>
      </c>
      <c r="D58" s="177">
        <f>14611+9344</f>
        <v>23955</v>
      </c>
      <c r="E58" s="177">
        <v>52514</v>
      </c>
      <c r="F58" s="178">
        <v>2747.2</v>
      </c>
      <c r="G58" s="177">
        <v>1706.7</v>
      </c>
      <c r="H58" s="179"/>
      <c r="I58" s="179"/>
      <c r="J58" s="204">
        <f t="shared" si="0"/>
        <v>28559</v>
      </c>
      <c r="K58" s="177">
        <v>191</v>
      </c>
      <c r="L58" s="177">
        <v>793</v>
      </c>
      <c r="M58" s="205">
        <f t="shared" si="3"/>
        <v>1190</v>
      </c>
      <c r="N58" s="206">
        <f t="shared" si="17"/>
        <v>932223</v>
      </c>
      <c r="O58" s="209">
        <f t="shared" si="17"/>
        <v>552674</v>
      </c>
      <c r="P58" s="208">
        <f t="shared" si="17"/>
        <v>1525546</v>
      </c>
      <c r="Q58" s="225">
        <f t="shared" si="15"/>
        <v>3271967.04</v>
      </c>
      <c r="R58" s="207">
        <f t="shared" si="15"/>
        <v>1723928</v>
      </c>
      <c r="S58" s="226">
        <f t="shared" si="15"/>
        <v>5083627.12</v>
      </c>
      <c r="T58" s="227">
        <f>N58/'2017'!N58-1</f>
        <v>-0.14081542180756101</v>
      </c>
      <c r="U58" s="228">
        <f>O58/'2017'!O58-1</f>
        <v>-9.0347386127597629E-2</v>
      </c>
      <c r="V58" s="228">
        <f>P58/'2017'!P58-1</f>
        <v>-0.12212685761965736</v>
      </c>
      <c r="W58" s="228">
        <f>Q58/'2017'!Q58-1</f>
        <v>0.24773674405353829</v>
      </c>
      <c r="X58" s="228">
        <f>R58/'2017'!R58-1</f>
        <v>0.30348598769651391</v>
      </c>
      <c r="Y58" s="244">
        <f>S58/'2017'!S58-1</f>
        <v>0.26071410564865927</v>
      </c>
      <c r="Z58" s="245"/>
      <c r="AA58" s="261">
        <f t="shared" si="10"/>
        <v>327.19670400000001</v>
      </c>
      <c r="AB58" s="247"/>
      <c r="AC58" s="248"/>
      <c r="AD58" s="247">
        <f t="shared" si="6"/>
        <v>3359699.12</v>
      </c>
      <c r="AE58" s="177">
        <f t="shared" si="7"/>
        <v>16953.28</v>
      </c>
      <c r="AF58" s="177">
        <f t="shared" si="18"/>
        <v>41379.58</v>
      </c>
      <c r="AG58" s="248">
        <f t="shared" si="9"/>
        <v>29399.220000000074</v>
      </c>
      <c r="AH58" s="263"/>
      <c r="AI58" s="266"/>
      <c r="AJ58" s="266"/>
      <c r="AK58" s="264"/>
      <c r="AL58" s="264"/>
      <c r="AM58" s="264"/>
      <c r="AN58" s="264"/>
      <c r="AO58" s="264"/>
      <c r="AP58" s="264"/>
      <c r="AQ58" s="264"/>
      <c r="AR58" s="264"/>
      <c r="AS58" s="264"/>
      <c r="AT58" s="264"/>
      <c r="AU58" s="264"/>
      <c r="AV58" s="264"/>
      <c r="AW58" s="264"/>
      <c r="AX58" s="264"/>
      <c r="AY58" s="264"/>
      <c r="AZ58" s="264"/>
      <c r="BA58" s="264"/>
      <c r="BB58" s="264"/>
      <c r="BC58" s="264"/>
    </row>
    <row r="59" spans="1:55" x14ac:dyDescent="0.15">
      <c r="A59" s="180">
        <v>42790</v>
      </c>
      <c r="B59" s="175" t="s">
        <v>39</v>
      </c>
      <c r="C59" s="176">
        <v>33343</v>
      </c>
      <c r="D59" s="177">
        <f>15501+9413</f>
        <v>24914</v>
      </c>
      <c r="E59" s="177">
        <v>59845</v>
      </c>
      <c r="F59" s="178">
        <v>2940.8</v>
      </c>
      <c r="G59" s="177">
        <v>1760</v>
      </c>
      <c r="H59" s="179"/>
      <c r="I59" s="179"/>
      <c r="J59" s="204">
        <f t="shared" si="0"/>
        <v>34931</v>
      </c>
      <c r="K59" s="177">
        <v>420</v>
      </c>
      <c r="L59" s="177">
        <v>792</v>
      </c>
      <c r="M59" s="205">
        <f t="shared" si="3"/>
        <v>376</v>
      </c>
      <c r="N59" s="206">
        <f t="shared" si="17"/>
        <v>965566</v>
      </c>
      <c r="O59" s="209">
        <f t="shared" si="17"/>
        <v>577588</v>
      </c>
      <c r="P59" s="208">
        <f t="shared" si="17"/>
        <v>1585391</v>
      </c>
      <c r="Q59" s="225">
        <f t="shared" si="15"/>
        <v>3305310.04</v>
      </c>
      <c r="R59" s="207">
        <f t="shared" si="15"/>
        <v>1748842</v>
      </c>
      <c r="S59" s="226">
        <f t="shared" si="15"/>
        <v>5143472.12</v>
      </c>
      <c r="T59" s="227">
        <f>N59/'2017'!N59-1</f>
        <v>-0.16602305263930695</v>
      </c>
      <c r="U59" s="228">
        <f>O59/'2017'!O59-1</f>
        <v>-9.3688166390760941E-2</v>
      </c>
      <c r="V59" s="228">
        <f>P59/'2017'!P59-1</f>
        <v>-0.13913286175602901</v>
      </c>
      <c r="W59" s="228">
        <f>Q59/'2017'!Q59-1</f>
        <v>0.22641570215182028</v>
      </c>
      <c r="X59" s="228">
        <f>R59/'2017'!R59-1</f>
        <v>0.29325339925651539</v>
      </c>
      <c r="Y59" s="244">
        <f>S59/'2017'!S59-1</f>
        <v>0.2435303697442992</v>
      </c>
      <c r="Z59" s="245"/>
      <c r="AA59" s="261">
        <f t="shared" si="10"/>
        <v>330.531004</v>
      </c>
      <c r="AB59" s="247"/>
      <c r="AC59" s="248"/>
      <c r="AD59" s="247">
        <f t="shared" si="6"/>
        <v>3394630.12</v>
      </c>
      <c r="AE59" s="177">
        <f t="shared" si="7"/>
        <v>17373.28</v>
      </c>
      <c r="AF59" s="177">
        <f t="shared" si="18"/>
        <v>42171.58</v>
      </c>
      <c r="AG59" s="248">
        <f t="shared" si="9"/>
        <v>29775.220000000074</v>
      </c>
      <c r="AH59" s="263"/>
      <c r="AI59" s="266"/>
      <c r="AJ59" s="266"/>
      <c r="AK59" s="264"/>
      <c r="AL59" s="264"/>
      <c r="AM59" s="264"/>
      <c r="AN59" s="264"/>
      <c r="AO59" s="264"/>
      <c r="AP59" s="264"/>
      <c r="AQ59" s="264"/>
      <c r="AR59" s="264"/>
      <c r="AS59" s="264"/>
      <c r="AT59" s="264"/>
      <c r="AU59" s="264"/>
      <c r="AV59" s="264"/>
      <c r="AW59" s="264"/>
      <c r="AX59" s="264"/>
      <c r="AY59" s="264"/>
      <c r="AZ59" s="264"/>
      <c r="BA59" s="264"/>
      <c r="BB59" s="264"/>
      <c r="BC59" s="264"/>
    </row>
    <row r="60" spans="1:55" x14ac:dyDescent="0.15">
      <c r="A60" s="180">
        <v>42791</v>
      </c>
      <c r="B60" s="175" t="s">
        <v>1</v>
      </c>
      <c r="C60" s="176">
        <v>37166</v>
      </c>
      <c r="D60" s="177">
        <f>15069+9425</f>
        <v>24494</v>
      </c>
      <c r="E60" s="177">
        <v>63074</v>
      </c>
      <c r="F60" s="178">
        <v>3095.6</v>
      </c>
      <c r="G60" s="177">
        <v>1882.7</v>
      </c>
      <c r="H60" s="179"/>
      <c r="I60" s="179"/>
      <c r="J60" s="204">
        <f t="shared" si="0"/>
        <v>38580</v>
      </c>
      <c r="K60" s="177">
        <v>296</v>
      </c>
      <c r="L60" s="177">
        <v>793</v>
      </c>
      <c r="M60" s="205">
        <f t="shared" si="3"/>
        <v>325</v>
      </c>
      <c r="N60" s="206">
        <f t="shared" si="17"/>
        <v>1002732</v>
      </c>
      <c r="O60" s="209">
        <f t="shared" si="17"/>
        <v>602082</v>
      </c>
      <c r="P60" s="208">
        <f t="shared" si="17"/>
        <v>1648465</v>
      </c>
      <c r="Q60" s="225">
        <f t="shared" si="15"/>
        <v>3342476.04</v>
      </c>
      <c r="R60" s="207">
        <f t="shared" si="15"/>
        <v>1773336</v>
      </c>
      <c r="S60" s="226">
        <f t="shared" si="15"/>
        <v>5206546.12</v>
      </c>
      <c r="T60" s="227">
        <f>N60/'2017'!N60-1</f>
        <v>-0.18370756057890036</v>
      </c>
      <c r="U60" s="228">
        <f>O60/'2017'!O60-1</f>
        <v>-9.6491201743144295E-2</v>
      </c>
      <c r="V60" s="228">
        <f>P60/'2017'!P60-1</f>
        <v>-0.15153098251555686</v>
      </c>
      <c r="W60" s="228">
        <f>Q60/'2017'!Q60-1</f>
        <v>0.20854149231274244</v>
      </c>
      <c r="X60" s="228">
        <f>R60/'2017'!R60-1</f>
        <v>0.28375349653387083</v>
      </c>
      <c r="Y60" s="244">
        <f>S60/'2017'!S60-1</f>
        <v>0.22870248075544941</v>
      </c>
      <c r="Z60" s="245"/>
      <c r="AA60" s="261">
        <f t="shared" si="10"/>
        <v>334.24760400000002</v>
      </c>
      <c r="AB60" s="247"/>
      <c r="AC60" s="248"/>
      <c r="AD60" s="247">
        <f t="shared" si="6"/>
        <v>3433210.12</v>
      </c>
      <c r="AE60" s="177">
        <f t="shared" si="7"/>
        <v>17669.28</v>
      </c>
      <c r="AF60" s="177">
        <f t="shared" si="18"/>
        <v>42964.58</v>
      </c>
      <c r="AG60" s="248">
        <f t="shared" si="9"/>
        <v>30100.220000000074</v>
      </c>
      <c r="AH60" s="263"/>
      <c r="AI60" s="266"/>
      <c r="AJ60" s="266"/>
      <c r="AK60" s="264"/>
      <c r="AL60" s="264"/>
      <c r="AM60" s="264"/>
      <c r="AN60" s="264"/>
      <c r="AO60" s="264"/>
      <c r="AP60" s="264"/>
      <c r="AQ60" s="264"/>
      <c r="AR60" s="264"/>
      <c r="AS60" s="264"/>
      <c r="AT60" s="264"/>
      <c r="AU60" s="264"/>
      <c r="AV60" s="264"/>
      <c r="AW60" s="264"/>
      <c r="AX60" s="264"/>
      <c r="AY60" s="264"/>
      <c r="AZ60" s="264"/>
      <c r="BA60" s="264"/>
      <c r="BB60" s="264"/>
      <c r="BC60" s="264"/>
    </row>
    <row r="61" spans="1:55" x14ac:dyDescent="0.15">
      <c r="A61" s="180">
        <v>42792</v>
      </c>
      <c r="B61" s="175" t="s">
        <v>34</v>
      </c>
      <c r="C61" s="176">
        <v>39621</v>
      </c>
      <c r="D61" s="177">
        <f>9317+15445</f>
        <v>24762</v>
      </c>
      <c r="E61" s="177">
        <v>65695</v>
      </c>
      <c r="F61" s="178">
        <v>3216</v>
      </c>
      <c r="G61" s="177">
        <v>2041</v>
      </c>
      <c r="H61" s="179"/>
      <c r="I61" s="179"/>
      <c r="J61" s="204">
        <f t="shared" si="0"/>
        <v>40933</v>
      </c>
      <c r="K61" s="177">
        <v>120</v>
      </c>
      <c r="L61" s="177">
        <v>198</v>
      </c>
      <c r="M61" s="205">
        <f t="shared" si="3"/>
        <v>994</v>
      </c>
      <c r="N61" s="206">
        <f t="shared" si="17"/>
        <v>1042353</v>
      </c>
      <c r="O61" s="209">
        <f t="shared" si="17"/>
        <v>626844</v>
      </c>
      <c r="P61" s="208">
        <f t="shared" si="17"/>
        <v>1714160</v>
      </c>
      <c r="Q61" s="225">
        <f t="shared" si="15"/>
        <v>3382097.04</v>
      </c>
      <c r="R61" s="207">
        <f t="shared" si="15"/>
        <v>1798098</v>
      </c>
      <c r="S61" s="226">
        <f t="shared" si="15"/>
        <v>5272241.12</v>
      </c>
      <c r="T61" s="227">
        <f>N61/'2017'!N61-1</f>
        <v>-0.1964431911216229</v>
      </c>
      <c r="U61" s="228">
        <f>O61/'2017'!O61-1</f>
        <v>-9.3053841446034902E-2</v>
      </c>
      <c r="V61" s="228">
        <f>P61/'2017'!P61-1</f>
        <v>-0.15882452528811497</v>
      </c>
      <c r="W61" s="228">
        <f>Q61/'2017'!Q61-1</f>
        <v>0.19319562707972837</v>
      </c>
      <c r="X61" s="228">
        <f>R61/'2017'!R61-1</f>
        <v>0.27874294613997841</v>
      </c>
      <c r="Y61" s="244">
        <f>S61/'2017'!S61-1</f>
        <v>0.21693893174315404</v>
      </c>
      <c r="Z61" s="245"/>
      <c r="AA61" s="261">
        <f t="shared" si="10"/>
        <v>338.20970399999999</v>
      </c>
      <c r="AB61" s="247"/>
      <c r="AC61" s="248"/>
      <c r="AD61" s="247">
        <f t="shared" si="6"/>
        <v>3474143.12</v>
      </c>
      <c r="AE61" s="177">
        <f t="shared" si="7"/>
        <v>17789.28</v>
      </c>
      <c r="AF61" s="177">
        <f t="shared" si="18"/>
        <v>43162.58</v>
      </c>
      <c r="AG61" s="248">
        <f t="shared" si="9"/>
        <v>31094.220000000074</v>
      </c>
      <c r="AH61" s="263"/>
      <c r="AI61" s="266"/>
      <c r="AJ61" s="266"/>
      <c r="AK61" s="264"/>
      <c r="AL61" s="264"/>
      <c r="AM61" s="264"/>
      <c r="AN61" s="264"/>
      <c r="AO61" s="264"/>
      <c r="AP61" s="264"/>
      <c r="AQ61" s="264"/>
      <c r="AR61" s="264"/>
      <c r="AS61" s="264"/>
      <c r="AT61" s="264"/>
      <c r="AU61" s="264"/>
      <c r="AV61" s="264"/>
      <c r="AW61" s="264"/>
      <c r="AX61" s="264"/>
      <c r="AY61" s="264"/>
      <c r="AZ61" s="264"/>
      <c r="BA61" s="264"/>
      <c r="BB61" s="264"/>
      <c r="BC61" s="264"/>
    </row>
    <row r="62" spans="1:55" x14ac:dyDescent="0.15">
      <c r="A62" s="180">
        <v>42793</v>
      </c>
      <c r="B62" s="175" t="s">
        <v>35</v>
      </c>
      <c r="C62" s="176">
        <v>40772</v>
      </c>
      <c r="D62" s="177">
        <f>9453+15774</f>
        <v>25227</v>
      </c>
      <c r="E62" s="177">
        <v>67159</v>
      </c>
      <c r="F62" s="178">
        <v>3209</v>
      </c>
      <c r="G62" s="177">
        <v>2142</v>
      </c>
      <c r="H62" s="179"/>
      <c r="I62" s="179"/>
      <c r="J62" s="204">
        <f t="shared" si="0"/>
        <v>41932</v>
      </c>
      <c r="K62" s="177">
        <v>181</v>
      </c>
      <c r="L62" s="177">
        <v>0</v>
      </c>
      <c r="M62" s="205">
        <f t="shared" si="3"/>
        <v>979</v>
      </c>
      <c r="N62" s="206">
        <f t="shared" si="17"/>
        <v>1083125</v>
      </c>
      <c r="O62" s="209">
        <f t="shared" si="17"/>
        <v>652071</v>
      </c>
      <c r="P62" s="208">
        <f t="shared" si="17"/>
        <v>1781319</v>
      </c>
      <c r="Q62" s="225">
        <f t="shared" si="15"/>
        <v>3422869.04</v>
      </c>
      <c r="R62" s="207">
        <f t="shared" si="15"/>
        <v>1823325</v>
      </c>
      <c r="S62" s="226">
        <f t="shared" si="15"/>
        <v>5339400.12</v>
      </c>
      <c r="T62" s="227">
        <f>N62/'2017'!N62-1</f>
        <v>-0.20892720852185787</v>
      </c>
      <c r="U62" s="228">
        <f>O62/'2017'!O62-1</f>
        <v>-8.9352449263461309E-2</v>
      </c>
      <c r="V62" s="228">
        <f>P62/'2017'!P62-1</f>
        <v>-0.16621934848504705</v>
      </c>
      <c r="W62" s="228">
        <f>Q62/'2017'!Q62-1</f>
        <v>0.17766105034691204</v>
      </c>
      <c r="X62" s="228">
        <f>R62/'2017'!R62-1</f>
        <v>0.27412759130085984</v>
      </c>
      <c r="Y62" s="244">
        <f>S62/'2017'!S62-1</f>
        <v>0.20501008272540955</v>
      </c>
      <c r="Z62" s="245"/>
      <c r="AA62" s="261">
        <f t="shared" si="10"/>
        <v>342.28690399999999</v>
      </c>
      <c r="AB62" s="247"/>
      <c r="AC62" s="248"/>
      <c r="AD62" s="247">
        <f t="shared" si="6"/>
        <v>3516075.12</v>
      </c>
      <c r="AE62" s="177">
        <f t="shared" si="7"/>
        <v>17970.28</v>
      </c>
      <c r="AF62" s="177">
        <f t="shared" si="18"/>
        <v>43162.58</v>
      </c>
      <c r="AG62" s="248">
        <f t="shared" si="9"/>
        <v>32073.220000000074</v>
      </c>
      <c r="AH62" s="263"/>
      <c r="AI62" s="266"/>
      <c r="AJ62" s="266"/>
      <c r="AK62" s="264"/>
      <c r="AL62" s="264"/>
      <c r="AM62" s="264"/>
      <c r="AN62" s="264"/>
      <c r="AO62" s="264"/>
      <c r="AP62" s="264"/>
      <c r="AQ62" s="264"/>
      <c r="AR62" s="264"/>
      <c r="AS62" s="264"/>
      <c r="AT62" s="264"/>
      <c r="AU62" s="264"/>
      <c r="AV62" s="264"/>
      <c r="AW62" s="264"/>
      <c r="AX62" s="264"/>
      <c r="AY62" s="264"/>
      <c r="AZ62" s="264"/>
      <c r="BA62" s="264"/>
      <c r="BB62" s="264"/>
      <c r="BC62" s="264"/>
    </row>
    <row r="63" spans="1:55" x14ac:dyDescent="0.15">
      <c r="A63" s="195">
        <v>42794</v>
      </c>
      <c r="B63" s="188" t="s">
        <v>36</v>
      </c>
      <c r="C63" s="189">
        <v>43899</v>
      </c>
      <c r="D63" s="190">
        <f>9451+15828</f>
        <v>25279</v>
      </c>
      <c r="E63" s="196">
        <v>70116</v>
      </c>
      <c r="F63" s="191">
        <v>3547</v>
      </c>
      <c r="G63" s="190">
        <v>2118</v>
      </c>
      <c r="H63" s="192"/>
      <c r="I63" s="192"/>
      <c r="J63" s="216">
        <f t="shared" si="0"/>
        <v>44837</v>
      </c>
      <c r="K63" s="190">
        <v>153</v>
      </c>
      <c r="L63" s="190">
        <v>0</v>
      </c>
      <c r="M63" s="217">
        <f t="shared" si="3"/>
        <v>785</v>
      </c>
      <c r="N63" s="218">
        <f>[13]表2、统调口径电量!$D$10</f>
        <v>1127028.26</v>
      </c>
      <c r="O63" s="222">
        <f>[13]表2、统调口径电量!$D$14</f>
        <v>677349</v>
      </c>
      <c r="P63" s="220">
        <f>[13]表2、统调口径电量!$D$3</f>
        <v>1851437.35</v>
      </c>
      <c r="Q63" s="233">
        <f>[13]表2、统调口径电量!$I$10</f>
        <v>3466772.3</v>
      </c>
      <c r="R63" s="219">
        <f>[13]表2、统调口径电量!$I$14</f>
        <v>1848603</v>
      </c>
      <c r="S63" s="234">
        <f>[13]表2、统调口径电量!$I$3</f>
        <v>5409518.4699999997</v>
      </c>
      <c r="T63" s="235">
        <f>N63/'2017'!N63-1</f>
        <v>-0.21739512715343745</v>
      </c>
      <c r="U63" s="236">
        <f>O63/'2017'!O63-1</f>
        <v>-0.10916274194418107</v>
      </c>
      <c r="V63" s="236">
        <f>P63/'2017'!P63-1</f>
        <v>-0.17432561504053146</v>
      </c>
      <c r="W63" s="236">
        <f>Q63/'2017'!Q63-1</f>
        <v>0.1643578691035541</v>
      </c>
      <c r="X63" s="236">
        <f>R63/'2017'!R63-1</f>
        <v>0.25300388995870104</v>
      </c>
      <c r="Y63" s="254">
        <f>S63/'2017'!S63-1</f>
        <v>0.19233859865086722</v>
      </c>
      <c r="Z63" s="255">
        <f>[13]表2、统调口径电量!$I$12/10000</f>
        <v>13.282399</v>
      </c>
      <c r="AA63" s="256">
        <f>[13]表2、统调口径电量!$I$11/10000</f>
        <v>333.39483100000001</v>
      </c>
      <c r="AB63" s="257">
        <v>4269.4799999999996</v>
      </c>
      <c r="AC63" s="258">
        <f t="shared" si="12"/>
        <v>780.87924290545925</v>
      </c>
      <c r="AD63" s="257">
        <f>[13]表2、统调口径电量!$I$4</f>
        <v>3560915.47</v>
      </c>
      <c r="AE63" s="190">
        <f>[13]表2、统调口径电量!$I$13</f>
        <v>18125.29</v>
      </c>
      <c r="AF63" s="190">
        <f>[13]表2、统调口径电量!$I$15</f>
        <v>43161.64</v>
      </c>
      <c r="AG63" s="258">
        <f>([13]表2、统调口径电量!$I$16+[13]表2、统调口径电量!$I$17)</f>
        <v>32856.239999999998</v>
      </c>
      <c r="AH63" s="263"/>
      <c r="AI63" s="266"/>
      <c r="AJ63" s="266"/>
      <c r="AK63" s="264"/>
      <c r="AL63" s="264"/>
      <c r="AM63" s="264"/>
      <c r="AN63" s="264"/>
      <c r="AO63" s="264"/>
      <c r="AP63" s="264"/>
      <c r="AQ63" s="264"/>
      <c r="AR63" s="264"/>
      <c r="AS63" s="264"/>
      <c r="AT63" s="264"/>
      <c r="AU63" s="264"/>
      <c r="AV63" s="264"/>
      <c r="AW63" s="264"/>
      <c r="AX63" s="264"/>
      <c r="AY63" s="264"/>
      <c r="AZ63" s="264"/>
      <c r="BA63" s="264"/>
      <c r="BB63" s="264"/>
      <c r="BC63" s="264"/>
    </row>
    <row r="64" spans="1:55" x14ac:dyDescent="0.15">
      <c r="A64" s="180"/>
      <c r="C64" s="197"/>
      <c r="D64" s="170"/>
      <c r="E64" s="170"/>
      <c r="F64" s="178"/>
      <c r="G64" s="198"/>
      <c r="H64" s="179"/>
      <c r="I64" s="179"/>
      <c r="J64" s="204"/>
      <c r="K64" s="177"/>
      <c r="L64" s="177"/>
      <c r="M64" s="205"/>
      <c r="N64" s="206"/>
      <c r="O64" s="209"/>
      <c r="P64" s="208"/>
      <c r="Q64" s="225"/>
      <c r="R64" s="207"/>
      <c r="S64" s="226"/>
      <c r="T64" s="227"/>
      <c r="U64" s="228"/>
      <c r="V64" s="228"/>
      <c r="W64" s="228"/>
      <c r="X64" s="228"/>
      <c r="Y64" s="244"/>
      <c r="Z64" s="245"/>
      <c r="AA64" s="246"/>
      <c r="AB64" s="262"/>
      <c r="AC64" s="248"/>
      <c r="AD64" s="247"/>
      <c r="AE64" s="177"/>
      <c r="AF64" s="177"/>
      <c r="AG64" s="248"/>
      <c r="AH64" s="263"/>
      <c r="AI64" s="266"/>
      <c r="AJ64" s="266"/>
      <c r="AK64" s="264"/>
      <c r="AL64" s="264"/>
      <c r="AM64" s="264"/>
      <c r="AN64" s="264"/>
      <c r="AO64" s="264"/>
      <c r="AP64" s="264"/>
      <c r="AQ64" s="264"/>
      <c r="AR64" s="264"/>
      <c r="AS64" s="264"/>
      <c r="AT64" s="264"/>
      <c r="AU64" s="264"/>
      <c r="AV64" s="264"/>
      <c r="AW64" s="264"/>
      <c r="AX64" s="264"/>
      <c r="AY64" s="264"/>
      <c r="AZ64" s="264"/>
      <c r="BA64" s="264"/>
      <c r="BB64" s="264"/>
      <c r="BC64" s="264"/>
    </row>
    <row r="65" spans="1:55" s="157" customFormat="1" x14ac:dyDescent="0.15">
      <c r="A65" s="181">
        <v>42795</v>
      </c>
      <c r="B65" s="182" t="s">
        <v>37</v>
      </c>
      <c r="C65" s="183">
        <v>43156</v>
      </c>
      <c r="D65" s="184">
        <f>9538+18033</f>
        <v>27571</v>
      </c>
      <c r="E65" s="184">
        <v>71951</v>
      </c>
      <c r="F65" s="185">
        <v>3440</v>
      </c>
      <c r="G65" s="184">
        <v>2299</v>
      </c>
      <c r="H65" s="186"/>
      <c r="I65" s="186"/>
      <c r="J65" s="210">
        <f t="shared" si="0"/>
        <v>44380</v>
      </c>
      <c r="K65" s="184">
        <v>140</v>
      </c>
      <c r="L65" s="184">
        <v>0</v>
      </c>
      <c r="M65" s="211">
        <f>J65-K65-L65-C65</f>
        <v>1084</v>
      </c>
      <c r="N65" s="212">
        <f>C65</f>
        <v>43156</v>
      </c>
      <c r="O65" s="215">
        <f>D65</f>
        <v>27571</v>
      </c>
      <c r="P65" s="214">
        <f>E65</f>
        <v>71951</v>
      </c>
      <c r="Q65" s="229">
        <f t="shared" ref="Q65:S95" si="20">Q$63+N65</f>
        <v>3509928.3</v>
      </c>
      <c r="R65" s="213">
        <f t="shared" si="20"/>
        <v>1876174</v>
      </c>
      <c r="S65" s="230">
        <f t="shared" si="20"/>
        <v>5481469.4699999997</v>
      </c>
      <c r="T65" s="231">
        <f>N65/'2017'!N65-1</f>
        <v>-0.36557685522756678</v>
      </c>
      <c r="U65" s="232">
        <f>O65/'2017'!O65-1</f>
        <v>0.11142016366348217</v>
      </c>
      <c r="V65" s="232">
        <f>P65/'2017'!P65-1</f>
        <v>-0.24030197444831591</v>
      </c>
      <c r="W65" s="232">
        <f>Q65/'2017'!Q65-1</f>
        <v>0.15252104582539605</v>
      </c>
      <c r="X65" s="232">
        <f>R65/'2017'!R65-1</f>
        <v>0.25066260305677313</v>
      </c>
      <c r="Y65" s="249">
        <f>S65/'2017'!S65-1</f>
        <v>0.18349169501198492</v>
      </c>
      <c r="Z65" s="250">
        <v>13.56</v>
      </c>
      <c r="AA65" s="251">
        <f t="shared" si="10"/>
        <v>337.43282999999997</v>
      </c>
      <c r="AB65" s="252">
        <v>4269.4799999999996</v>
      </c>
      <c r="AC65" s="211">
        <f t="shared" si="12"/>
        <v>790.33706680907278</v>
      </c>
      <c r="AD65" s="252">
        <f>S65-R65</f>
        <v>3605295.4699999997</v>
      </c>
      <c r="AE65" s="184">
        <f>AE63+K65</f>
        <v>18265.29</v>
      </c>
      <c r="AF65" s="184">
        <f>AF63+L65</f>
        <v>43161.64</v>
      </c>
      <c r="AG65" s="211">
        <f t="shared" si="9"/>
        <v>33940.239999999918</v>
      </c>
      <c r="AH65" s="265">
        <f>(AD65-AD57)/('2017'!AD65-'2017'!AD57)-1</f>
        <v>-0.44738054823940199</v>
      </c>
      <c r="AI65" s="266">
        <f>AA65-AA57</f>
        <v>25.044625999999994</v>
      </c>
      <c r="AJ65" s="266">
        <f>'2017'!AA65-'2017'!AA57</f>
        <v>47.352284285714234</v>
      </c>
      <c r="AK65" s="271"/>
      <c r="AL65" s="264"/>
      <c r="AM65" s="264"/>
      <c r="AN65" s="264"/>
      <c r="AO65" s="264"/>
      <c r="AP65" s="264"/>
      <c r="AQ65" s="264"/>
      <c r="AR65" s="264"/>
      <c r="AS65" s="264"/>
      <c r="AT65" s="264"/>
      <c r="AU65" s="264"/>
      <c r="AV65" s="264"/>
      <c r="AW65" s="264"/>
      <c r="AX65" s="264"/>
      <c r="AY65" s="264"/>
      <c r="AZ65" s="264"/>
      <c r="BA65" s="264"/>
      <c r="BB65" s="264"/>
      <c r="BC65" s="264"/>
    </row>
    <row r="66" spans="1:55" x14ac:dyDescent="0.15">
      <c r="A66" s="180">
        <v>42796</v>
      </c>
      <c r="B66" s="175" t="s">
        <v>38</v>
      </c>
      <c r="C66" s="176">
        <f>46612+3562</f>
        <v>50174</v>
      </c>
      <c r="D66" s="177">
        <f>15207+12511</f>
        <v>27718</v>
      </c>
      <c r="E66" s="177">
        <f>63154+15207</f>
        <v>78361</v>
      </c>
      <c r="F66" s="178">
        <v>4070</v>
      </c>
      <c r="G66" s="177">
        <v>2376</v>
      </c>
      <c r="H66" s="179"/>
      <c r="I66" s="179"/>
      <c r="J66" s="204">
        <f t="shared" si="0"/>
        <v>50643</v>
      </c>
      <c r="K66" s="177">
        <v>102</v>
      </c>
      <c r="L66" s="177">
        <v>0</v>
      </c>
      <c r="M66" s="205">
        <f t="shared" si="3"/>
        <v>367</v>
      </c>
      <c r="N66" s="206">
        <f t="shared" ref="N66:N95" si="21">N65+C66</f>
        <v>93330</v>
      </c>
      <c r="O66" s="207">
        <f>O65+D66</f>
        <v>55289</v>
      </c>
      <c r="P66" s="208">
        <f t="shared" ref="P66:P95" si="22">P65+E66</f>
        <v>150312</v>
      </c>
      <c r="Q66" s="225">
        <f t="shared" si="20"/>
        <v>3560102.3</v>
      </c>
      <c r="R66" s="207">
        <f t="shared" si="20"/>
        <v>1903892</v>
      </c>
      <c r="S66" s="226">
        <f t="shared" si="20"/>
        <v>5559830.4699999997</v>
      </c>
      <c r="T66" s="227">
        <f>N66/'2017'!N66-1</f>
        <v>-0.33147093585473297</v>
      </c>
      <c r="U66" s="228">
        <f>O66/'2017'!O66-1</f>
        <v>0.11420337753415821</v>
      </c>
      <c r="V66" s="228">
        <f>P66/'2017'!P66-1</f>
        <v>-0.22025615886206951</v>
      </c>
      <c r="W66" s="228">
        <f>Q66/'2017'!Q66-1</f>
        <v>0.14215067696533579</v>
      </c>
      <c r="X66" s="228">
        <f>R66/'2017'!R66-1</f>
        <v>0.24848733638084686</v>
      </c>
      <c r="Y66" s="244">
        <f>S66/'2017'!S66-1</f>
        <v>0.17552213519772275</v>
      </c>
      <c r="Z66" s="245"/>
      <c r="AA66" s="246">
        <f t="shared" si="10"/>
        <v>356.01022999999998</v>
      </c>
      <c r="AB66" s="247"/>
      <c r="AC66" s="248"/>
      <c r="AD66" s="247">
        <f t="shared" si="6"/>
        <v>3655938.4699999997</v>
      </c>
      <c r="AE66" s="177">
        <f t="shared" si="7"/>
        <v>18367.29</v>
      </c>
      <c r="AF66" s="177">
        <f t="shared" si="18"/>
        <v>43161.64</v>
      </c>
      <c r="AG66" s="248">
        <f t="shared" si="9"/>
        <v>34307.239999999918</v>
      </c>
      <c r="AH66" s="263"/>
      <c r="AI66" s="264"/>
      <c r="AJ66" s="264"/>
      <c r="AK66" s="264"/>
      <c r="AL66" s="264"/>
      <c r="AM66" s="264"/>
      <c r="AN66" s="264"/>
      <c r="AO66" s="264"/>
      <c r="AP66" s="264"/>
      <c r="AQ66" s="264"/>
      <c r="AR66" s="264"/>
      <c r="AS66" s="264"/>
      <c r="AT66" s="264"/>
      <c r="AU66" s="264"/>
      <c r="AV66" s="264"/>
      <c r="AW66" s="264"/>
      <c r="AX66" s="264"/>
      <c r="AY66" s="264"/>
      <c r="AZ66" s="264"/>
      <c r="BA66" s="264"/>
      <c r="BB66" s="264"/>
      <c r="BC66" s="264"/>
    </row>
    <row r="67" spans="1:55" x14ac:dyDescent="0.15">
      <c r="A67" s="180">
        <v>42797</v>
      </c>
      <c r="B67" s="175" t="s">
        <v>39</v>
      </c>
      <c r="C67" s="176">
        <f>46369+1682</f>
        <v>48051</v>
      </c>
      <c r="D67" s="177">
        <f>14698+12545</f>
        <v>27243</v>
      </c>
      <c r="E67" s="177">
        <f>61650+14698</f>
        <v>76348</v>
      </c>
      <c r="F67" s="178">
        <v>3864</v>
      </c>
      <c r="G67" s="177">
        <v>2442</v>
      </c>
      <c r="H67" s="179"/>
      <c r="I67" s="179"/>
      <c r="J67" s="204">
        <f t="shared" si="0"/>
        <v>49105</v>
      </c>
      <c r="K67" s="177">
        <v>120</v>
      </c>
      <c r="L67" s="177">
        <v>0</v>
      </c>
      <c r="M67" s="205">
        <f t="shared" si="3"/>
        <v>934</v>
      </c>
      <c r="N67" s="206">
        <f t="shared" si="21"/>
        <v>141381</v>
      </c>
      <c r="O67" s="207">
        <f>O66+D67</f>
        <v>82532</v>
      </c>
      <c r="P67" s="208">
        <f t="shared" si="22"/>
        <v>226660</v>
      </c>
      <c r="Q67" s="225">
        <f t="shared" si="20"/>
        <v>3608153.3</v>
      </c>
      <c r="R67" s="207">
        <f t="shared" si="20"/>
        <v>1931135</v>
      </c>
      <c r="S67" s="226">
        <f t="shared" si="20"/>
        <v>5636178.4699999997</v>
      </c>
      <c r="T67" s="227">
        <f>N67/'2017'!N67-1</f>
        <v>-0.33698960331268379</v>
      </c>
      <c r="U67" s="228">
        <f>O67/'2017'!O67-1</f>
        <v>0.11175171076027812</v>
      </c>
      <c r="V67" s="228">
        <f>P67/'2017'!P67-1</f>
        <v>-0.2252026211710495</v>
      </c>
      <c r="W67" s="228">
        <f>Q67/'2017'!Q67-1</f>
        <v>0.13085129250309535</v>
      </c>
      <c r="X67" s="228">
        <f>R67/'2017'!R67-1</f>
        <v>0.24623686654323484</v>
      </c>
      <c r="Y67" s="244">
        <f>S67/'2017'!S67-1</f>
        <v>0.16704623470949276</v>
      </c>
      <c r="Z67" s="245"/>
      <c r="AA67" s="246">
        <f t="shared" si="10"/>
        <v>360.81532999999996</v>
      </c>
      <c r="AB67" s="247"/>
      <c r="AC67" s="248"/>
      <c r="AD67" s="247">
        <f t="shared" si="6"/>
        <v>3705043.4699999997</v>
      </c>
      <c r="AE67" s="177">
        <f t="shared" si="7"/>
        <v>18487.29</v>
      </c>
      <c r="AF67" s="177">
        <f t="shared" si="18"/>
        <v>43161.64</v>
      </c>
      <c r="AG67" s="248">
        <f t="shared" si="9"/>
        <v>35241.239999999918</v>
      </c>
      <c r="AH67" s="263"/>
      <c r="AI67" s="264"/>
      <c r="AJ67" s="264"/>
      <c r="AK67" s="264"/>
      <c r="AL67" s="264"/>
      <c r="AM67" s="264"/>
      <c r="AN67" s="264"/>
      <c r="AO67" s="264"/>
      <c r="AP67" s="264"/>
      <c r="AQ67" s="264"/>
      <c r="AR67" s="264"/>
      <c r="AS67" s="264"/>
      <c r="AT67" s="264"/>
      <c r="AU67" s="264"/>
      <c r="AV67" s="264"/>
      <c r="AW67" s="264"/>
      <c r="AX67" s="264"/>
      <c r="AY67" s="264"/>
      <c r="AZ67" s="264"/>
      <c r="BA67" s="264"/>
      <c r="BB67" s="264"/>
      <c r="BC67" s="264"/>
    </row>
    <row r="68" spans="1:55" x14ac:dyDescent="0.15">
      <c r="A68" s="180">
        <v>42798</v>
      </c>
      <c r="B68" s="175" t="s">
        <v>1</v>
      </c>
      <c r="C68" s="176">
        <v>45060</v>
      </c>
      <c r="D68" s="177">
        <f>9658+17879</f>
        <v>27537</v>
      </c>
      <c r="E68" s="177">
        <v>74009</v>
      </c>
      <c r="F68" s="178">
        <v>3555</v>
      </c>
      <c r="G68" s="177">
        <v>2453</v>
      </c>
      <c r="H68" s="179"/>
      <c r="I68" s="179"/>
      <c r="J68" s="204">
        <f t="shared" si="0"/>
        <v>46472</v>
      </c>
      <c r="K68" s="177">
        <v>356</v>
      </c>
      <c r="L68" s="177">
        <v>0</v>
      </c>
      <c r="M68" s="205">
        <f t="shared" si="3"/>
        <v>1056</v>
      </c>
      <c r="N68" s="206">
        <f t="shared" si="21"/>
        <v>186441</v>
      </c>
      <c r="O68" s="207">
        <f t="shared" ref="O68:O95" si="23">O67+D68</f>
        <v>110069</v>
      </c>
      <c r="P68" s="208">
        <f t="shared" si="22"/>
        <v>300669</v>
      </c>
      <c r="Q68" s="225">
        <f t="shared" si="20"/>
        <v>3653213.3</v>
      </c>
      <c r="R68" s="207">
        <f t="shared" si="20"/>
        <v>1958672</v>
      </c>
      <c r="S68" s="226">
        <f t="shared" si="20"/>
        <v>5710187.4699999997</v>
      </c>
      <c r="T68" s="227">
        <f>N68/'2017'!N68-1</f>
        <v>-0.34688208279181543</v>
      </c>
      <c r="U68" s="228">
        <f>O68/'2017'!O68-1</f>
        <v>0.12258031616522191</v>
      </c>
      <c r="V68" s="228">
        <f>P68/'2017'!P68-1</f>
        <v>-0.22895103962579622</v>
      </c>
      <c r="W68" s="228">
        <f>Q68/'2017'!Q68-1</f>
        <v>0.11963040611383402</v>
      </c>
      <c r="X68" s="228">
        <f>R68/'2017'!R68-1</f>
        <v>0.24487618113026222</v>
      </c>
      <c r="Y68" s="244">
        <f>S68/'2017'!S68-1</f>
        <v>0.15899453723688284</v>
      </c>
      <c r="Z68" s="245"/>
      <c r="AA68" s="246">
        <f t="shared" si="10"/>
        <v>365.32132999999999</v>
      </c>
      <c r="AB68" s="247"/>
      <c r="AC68" s="248"/>
      <c r="AD68" s="247">
        <f t="shared" si="6"/>
        <v>3751515.4699999997</v>
      </c>
      <c r="AE68" s="177">
        <f t="shared" si="7"/>
        <v>18843.29</v>
      </c>
      <c r="AF68" s="177">
        <f t="shared" si="18"/>
        <v>43161.64</v>
      </c>
      <c r="AG68" s="248">
        <f t="shared" si="9"/>
        <v>36297.239999999918</v>
      </c>
      <c r="AH68" s="263"/>
      <c r="AI68" s="264"/>
      <c r="AJ68" s="264"/>
      <c r="AK68" s="26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264"/>
    </row>
    <row r="69" spans="1:55" x14ac:dyDescent="0.15">
      <c r="A69" s="180">
        <v>42799</v>
      </c>
      <c r="B69" s="175" t="s">
        <v>34</v>
      </c>
      <c r="C69" s="176">
        <v>53194</v>
      </c>
      <c r="D69" s="177">
        <f>9702+19526</f>
        <v>29228</v>
      </c>
      <c r="E69" s="177">
        <v>83190</v>
      </c>
      <c r="F69" s="178">
        <v>4391</v>
      </c>
      <c r="G69" s="177">
        <v>2383</v>
      </c>
      <c r="H69" s="179"/>
      <c r="I69" s="179"/>
      <c r="J69" s="204">
        <f t="shared" ref="J69:J132" si="24">E69-D69</f>
        <v>53962</v>
      </c>
      <c r="K69" s="177">
        <v>290</v>
      </c>
      <c r="L69" s="177">
        <v>0</v>
      </c>
      <c r="M69" s="205">
        <f t="shared" si="3"/>
        <v>478</v>
      </c>
      <c r="N69" s="206">
        <f t="shared" si="21"/>
        <v>239635</v>
      </c>
      <c r="O69" s="207">
        <f t="shared" si="23"/>
        <v>139297</v>
      </c>
      <c r="P69" s="208">
        <f t="shared" si="22"/>
        <v>383859</v>
      </c>
      <c r="Q69" s="225">
        <f t="shared" si="20"/>
        <v>3706407.3</v>
      </c>
      <c r="R69" s="207">
        <f t="shared" si="20"/>
        <v>1987900</v>
      </c>
      <c r="S69" s="226">
        <f t="shared" si="20"/>
        <v>5793377.4699999997</v>
      </c>
      <c r="T69" s="227">
        <f>N69/'2017'!N69-1</f>
        <v>-0.3246598428569818</v>
      </c>
      <c r="U69" s="228">
        <f>O69/'2017'!O69-1</f>
        <v>0.1430810513617975</v>
      </c>
      <c r="V69" s="228">
        <f>P69/'2017'!P69-1</f>
        <v>-0.20718463686458533</v>
      </c>
      <c r="W69" s="228">
        <f>Q69/'2017'!Q69-1</f>
        <v>0.11228457676424819</v>
      </c>
      <c r="X69" s="228">
        <f>R69/'2017'!R69-1</f>
        <v>0.24461713575899791</v>
      </c>
      <c r="Y69" s="244">
        <f>S69/'2017'!S69-1</f>
        <v>0.15381335038688859</v>
      </c>
      <c r="Z69" s="245"/>
      <c r="AA69" s="246">
        <f t="shared" si="10"/>
        <v>370.64072999999996</v>
      </c>
      <c r="AB69" s="247"/>
      <c r="AC69" s="248"/>
      <c r="AD69" s="247">
        <f t="shared" si="6"/>
        <v>3805477.4699999997</v>
      </c>
      <c r="AE69" s="177">
        <f t="shared" si="7"/>
        <v>19133.29</v>
      </c>
      <c r="AF69" s="177">
        <f t="shared" si="18"/>
        <v>43161.64</v>
      </c>
      <c r="AG69" s="248">
        <f t="shared" si="9"/>
        <v>36775.239999999918</v>
      </c>
      <c r="AH69" s="263"/>
      <c r="AI69" s="264"/>
      <c r="AJ69" s="264"/>
      <c r="AK69" s="264"/>
      <c r="AL69" s="264"/>
      <c r="AM69" s="264"/>
      <c r="AN69" s="264"/>
      <c r="AO69" s="264"/>
      <c r="AP69" s="264"/>
      <c r="AQ69" s="264"/>
      <c r="AR69" s="264"/>
      <c r="AS69" s="264"/>
      <c r="AT69" s="264"/>
      <c r="AU69" s="264"/>
      <c r="AV69" s="264"/>
      <c r="AW69" s="264"/>
      <c r="AX69" s="264"/>
      <c r="AY69" s="264"/>
      <c r="AZ69" s="264"/>
      <c r="BA69" s="264"/>
      <c r="BB69" s="264"/>
      <c r="BC69" s="264"/>
    </row>
    <row r="70" spans="1:55" x14ac:dyDescent="0.15">
      <c r="A70" s="180">
        <v>42800</v>
      </c>
      <c r="B70" s="175" t="s">
        <v>35</v>
      </c>
      <c r="C70" s="176">
        <v>54462</v>
      </c>
      <c r="D70" s="177">
        <f>9823+22336</f>
        <v>32159</v>
      </c>
      <c r="E70" s="177">
        <v>87527</v>
      </c>
      <c r="F70" s="178">
        <v>4436</v>
      </c>
      <c r="G70" s="177">
        <v>2670</v>
      </c>
      <c r="H70" s="179"/>
      <c r="I70" s="179"/>
      <c r="J70" s="204">
        <f t="shared" si="24"/>
        <v>55368</v>
      </c>
      <c r="K70" s="177">
        <v>215</v>
      </c>
      <c r="L70" s="177">
        <v>0</v>
      </c>
      <c r="M70" s="205">
        <f t="shared" ref="M70:M133" si="25">J70-K70-L70-C70</f>
        <v>691</v>
      </c>
      <c r="N70" s="206">
        <f t="shared" si="21"/>
        <v>294097</v>
      </c>
      <c r="O70" s="207">
        <f t="shared" si="23"/>
        <v>171456</v>
      </c>
      <c r="P70" s="208">
        <f t="shared" si="22"/>
        <v>471386</v>
      </c>
      <c r="Q70" s="225">
        <f t="shared" si="20"/>
        <v>3760869.3</v>
      </c>
      <c r="R70" s="207">
        <f t="shared" si="20"/>
        <v>2020059</v>
      </c>
      <c r="S70" s="226">
        <f t="shared" si="20"/>
        <v>5880904.4699999997</v>
      </c>
      <c r="T70" s="227">
        <f>N70/'2017'!N70-1</f>
        <v>-0.31030496041424338</v>
      </c>
      <c r="U70" s="228">
        <f>O70/'2017'!O70-1</f>
        <v>0.17650772302772877</v>
      </c>
      <c r="V70" s="228">
        <f>P70/'2017'!P70-1</f>
        <v>-0.18946096005474822</v>
      </c>
      <c r="W70" s="228">
        <f>Q70/'2017'!Q70-1</f>
        <v>0.1048942694308006</v>
      </c>
      <c r="X70" s="228">
        <f>R70/'2017'!R70-1</f>
        <v>0.24612694084771181</v>
      </c>
      <c r="Y70" s="244">
        <f>S70/'2017'!S70-1</f>
        <v>0.14895774472469547</v>
      </c>
      <c r="Z70" s="245"/>
      <c r="AA70" s="246">
        <f t="shared" si="10"/>
        <v>376.08693</v>
      </c>
      <c r="AB70" s="247"/>
      <c r="AC70" s="248"/>
      <c r="AD70" s="247">
        <f t="shared" ref="AD70:AD133" si="26">S70-R70</f>
        <v>3860845.4699999997</v>
      </c>
      <c r="AE70" s="177">
        <f t="shared" si="7"/>
        <v>19348.29</v>
      </c>
      <c r="AF70" s="177">
        <f t="shared" si="18"/>
        <v>43161.64</v>
      </c>
      <c r="AG70" s="248">
        <f t="shared" ref="AG70:AG133" si="27">AD70-Q70-AE70-AF70</f>
        <v>37466.239999999918</v>
      </c>
      <c r="AH70" s="263"/>
      <c r="AI70" s="264"/>
      <c r="AJ70" s="264"/>
      <c r="AK70" s="26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264"/>
    </row>
    <row r="71" spans="1:55" x14ac:dyDescent="0.15">
      <c r="A71" s="180">
        <v>42801</v>
      </c>
      <c r="B71" s="175" t="s">
        <v>36</v>
      </c>
      <c r="C71" s="176">
        <v>62487</v>
      </c>
      <c r="D71" s="177">
        <f>9733+20753</f>
        <v>30486</v>
      </c>
      <c r="E71" s="177">
        <v>94050</v>
      </c>
      <c r="F71" s="178">
        <v>4927</v>
      </c>
      <c r="G71" s="177">
        <v>2825</v>
      </c>
      <c r="H71" s="179"/>
      <c r="I71" s="179"/>
      <c r="J71" s="204">
        <f t="shared" si="24"/>
        <v>63564</v>
      </c>
      <c r="K71" s="177">
        <v>769</v>
      </c>
      <c r="L71" s="177">
        <v>0</v>
      </c>
      <c r="M71" s="205">
        <f t="shared" si="25"/>
        <v>308</v>
      </c>
      <c r="N71" s="206">
        <f t="shared" si="21"/>
        <v>356584</v>
      </c>
      <c r="O71" s="207">
        <f t="shared" si="23"/>
        <v>201942</v>
      </c>
      <c r="P71" s="208">
        <f t="shared" si="22"/>
        <v>565436</v>
      </c>
      <c r="Q71" s="225">
        <f t="shared" si="20"/>
        <v>3823356.3</v>
      </c>
      <c r="R71" s="207">
        <f t="shared" si="20"/>
        <v>2050545</v>
      </c>
      <c r="S71" s="226">
        <f t="shared" si="20"/>
        <v>5974954.4699999997</v>
      </c>
      <c r="T71" s="227">
        <f>N71/'2017'!N71-1</f>
        <v>-0.2823553325645376</v>
      </c>
      <c r="U71" s="228">
        <f>O71/'2017'!O71-1</f>
        <v>0.17317423155350808</v>
      </c>
      <c r="V71" s="228">
        <f>P71/'2017'!P71-1</f>
        <v>-0.16963287891715506</v>
      </c>
      <c r="W71" s="228">
        <f>Q71/'2017'!Q71-1</f>
        <v>0.10047052690143232</v>
      </c>
      <c r="X71" s="228">
        <f>R71/'2017'!R71-1</f>
        <v>0.24466302876531887</v>
      </c>
      <c r="Y71" s="244">
        <f>S71/'2017'!S71-1</f>
        <v>0.14510005533916881</v>
      </c>
      <c r="Z71" s="245"/>
      <c r="AA71" s="246">
        <f t="shared" si="10"/>
        <v>382.33562999999998</v>
      </c>
      <c r="AB71" s="247"/>
      <c r="AC71" s="248"/>
      <c r="AD71" s="247">
        <f t="shared" si="26"/>
        <v>3924409.4699999997</v>
      </c>
      <c r="AE71" s="177">
        <f t="shared" ref="AE71:AE134" si="28">AE70+K71</f>
        <v>20117.29</v>
      </c>
      <c r="AF71" s="177">
        <f t="shared" ref="AF71:AF86" si="29">AF70+L71</f>
        <v>43161.64</v>
      </c>
      <c r="AG71" s="248">
        <f t="shared" si="27"/>
        <v>37774.239999999918</v>
      </c>
      <c r="AH71" s="263"/>
      <c r="AI71" s="264"/>
      <c r="AJ71" s="264"/>
      <c r="AK71" s="26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264"/>
    </row>
    <row r="72" spans="1:55" s="157" customFormat="1" x14ac:dyDescent="0.15">
      <c r="A72" s="181">
        <v>42802</v>
      </c>
      <c r="B72" s="182" t="s">
        <v>37</v>
      </c>
      <c r="C72" s="183">
        <f>57096+3678</f>
        <v>60774</v>
      </c>
      <c r="D72" s="184">
        <f>20033+12829</f>
        <v>32862</v>
      </c>
      <c r="E72" s="184">
        <f>74539+20033</f>
        <v>94572</v>
      </c>
      <c r="F72" s="185">
        <v>4932</v>
      </c>
      <c r="G72" s="184">
        <v>2878</v>
      </c>
      <c r="H72" s="186"/>
      <c r="I72" s="186"/>
      <c r="J72" s="210">
        <f t="shared" si="24"/>
        <v>61710</v>
      </c>
      <c r="K72" s="184">
        <v>178</v>
      </c>
      <c r="L72" s="184">
        <v>0</v>
      </c>
      <c r="M72" s="211">
        <f t="shared" si="25"/>
        <v>758</v>
      </c>
      <c r="N72" s="212">
        <f t="shared" si="21"/>
        <v>417358</v>
      </c>
      <c r="O72" s="207">
        <f t="shared" si="23"/>
        <v>234804</v>
      </c>
      <c r="P72" s="214">
        <f t="shared" si="22"/>
        <v>660008</v>
      </c>
      <c r="Q72" s="229">
        <f t="shared" si="20"/>
        <v>3884130.3</v>
      </c>
      <c r="R72" s="213">
        <f t="shared" si="20"/>
        <v>2083407</v>
      </c>
      <c r="S72" s="230">
        <f t="shared" si="20"/>
        <v>6069526.4699999997</v>
      </c>
      <c r="T72" s="231">
        <f>N72/'2017'!N72-1</f>
        <v>-0.26200033243387577</v>
      </c>
      <c r="U72" s="232">
        <f>O72/'2017'!O72-1</f>
        <v>0.1763845329111513</v>
      </c>
      <c r="V72" s="232">
        <f>P72/'2017'!P72-1</f>
        <v>-0.15341586145946773</v>
      </c>
      <c r="W72" s="232">
        <f>Q72/'2017'!Q72-1</f>
        <v>9.6302290778319533E-2</v>
      </c>
      <c r="X72" s="232">
        <f>R72/'2017'!R72-1</f>
        <v>0.24387334433873553</v>
      </c>
      <c r="Y72" s="249">
        <f>S72/'2017'!S72-1</f>
        <v>0.14163717480568794</v>
      </c>
      <c r="Z72" s="250">
        <v>15.55</v>
      </c>
      <c r="AA72" s="251">
        <f t="shared" si="10"/>
        <v>372.86302999999998</v>
      </c>
      <c r="AB72" s="252">
        <v>4269.4799999999996</v>
      </c>
      <c r="AC72" s="211">
        <f t="shared" si="12"/>
        <v>873.32187994790934</v>
      </c>
      <c r="AD72" s="252">
        <f t="shared" si="26"/>
        <v>3986119.4699999997</v>
      </c>
      <c r="AE72" s="184">
        <f t="shared" si="28"/>
        <v>20295.29</v>
      </c>
      <c r="AF72" s="184">
        <f t="shared" si="29"/>
        <v>43161.64</v>
      </c>
      <c r="AG72" s="211">
        <f t="shared" si="27"/>
        <v>38532.239999999918</v>
      </c>
      <c r="AH72" s="265">
        <f>(AD72-AD65)/('2017'!AD72-'2017'!AD65)-1</f>
        <v>-0.25345022269619222</v>
      </c>
      <c r="AI72" s="115">
        <f>AA72-AA65</f>
        <v>35.430200000000013</v>
      </c>
      <c r="AJ72" s="266">
        <f>'2017'!AA72-'2017'!AA65</f>
        <v>43.460199999999986</v>
      </c>
      <c r="AK72" s="264"/>
      <c r="AL72" s="264"/>
      <c r="AM72" s="264"/>
      <c r="AN72" s="264"/>
      <c r="AO72" s="264"/>
      <c r="AP72" s="264"/>
      <c r="AQ72" s="264"/>
      <c r="AR72" s="264"/>
      <c r="AS72" s="264"/>
      <c r="AT72" s="264"/>
      <c r="AU72" s="264"/>
      <c r="AV72" s="264"/>
      <c r="AW72" s="264"/>
      <c r="AX72" s="264"/>
      <c r="AY72" s="264"/>
      <c r="AZ72" s="264"/>
      <c r="BA72" s="264"/>
      <c r="BB72" s="264"/>
      <c r="BC72" s="264"/>
    </row>
    <row r="73" spans="1:55" x14ac:dyDescent="0.15">
      <c r="A73" s="180">
        <v>42803</v>
      </c>
      <c r="B73" s="175" t="s">
        <v>38</v>
      </c>
      <c r="C73" s="176">
        <v>61514</v>
      </c>
      <c r="D73" s="267">
        <f>9608+22640</f>
        <v>32248</v>
      </c>
      <c r="E73" s="177">
        <v>95189</v>
      </c>
      <c r="F73" s="178">
        <v>4714</v>
      </c>
      <c r="G73" s="177">
        <v>3013</v>
      </c>
      <c r="H73" s="179"/>
      <c r="I73" s="179"/>
      <c r="J73" s="204">
        <f t="shared" si="24"/>
        <v>62941</v>
      </c>
      <c r="K73" s="177">
        <v>168</v>
      </c>
      <c r="L73" s="177">
        <v>0</v>
      </c>
      <c r="M73" s="205">
        <f t="shared" si="25"/>
        <v>1259</v>
      </c>
      <c r="N73" s="206">
        <f t="shared" si="21"/>
        <v>478872</v>
      </c>
      <c r="O73" s="207">
        <f t="shared" si="23"/>
        <v>267052</v>
      </c>
      <c r="P73" s="208">
        <f t="shared" si="22"/>
        <v>755197</v>
      </c>
      <c r="Q73" s="225">
        <f t="shared" si="20"/>
        <v>3945644.3</v>
      </c>
      <c r="R73" s="207">
        <f t="shared" si="20"/>
        <v>2115655</v>
      </c>
      <c r="S73" s="226">
        <f t="shared" si="20"/>
        <v>6164715.4699999997</v>
      </c>
      <c r="T73" s="227">
        <f>N73/'2017'!N73-1</f>
        <v>-0.24425106409169894</v>
      </c>
      <c r="U73" s="228">
        <f>O73/'2017'!O73-1</f>
        <v>0.17284449441360406</v>
      </c>
      <c r="V73" s="228">
        <f>P73/'2017'!P73-1</f>
        <v>-0.13970212979248875</v>
      </c>
      <c r="W73" s="228">
        <f>Q73/'2017'!Q73-1</f>
        <v>9.2658354315040325E-2</v>
      </c>
      <c r="X73" s="228">
        <f>R73/'2017'!R73-1</f>
        <v>0.24228655580954683</v>
      </c>
      <c r="Y73" s="244">
        <f>S73/'2017'!S73-1</f>
        <v>0.13850840162167644</v>
      </c>
      <c r="Z73" s="245"/>
      <c r="AA73" s="246">
        <f t="shared" ref="AA73:AA136" si="30">Q73/10000-Z73</f>
        <v>394.56442999999996</v>
      </c>
      <c r="AB73" s="247"/>
      <c r="AC73" s="248"/>
      <c r="AD73" s="247">
        <f t="shared" si="26"/>
        <v>4049060.4699999997</v>
      </c>
      <c r="AE73" s="177">
        <f t="shared" si="28"/>
        <v>20463.29</v>
      </c>
      <c r="AF73" s="177">
        <f t="shared" si="29"/>
        <v>43161.64</v>
      </c>
      <c r="AG73" s="248">
        <f t="shared" si="27"/>
        <v>39791.239999999918</v>
      </c>
      <c r="AH73" s="263"/>
      <c r="AI73" s="264"/>
      <c r="AJ73" s="264"/>
      <c r="AK73" s="264"/>
      <c r="AL73" s="264"/>
      <c r="AM73" s="264"/>
      <c r="AN73" s="264"/>
      <c r="AO73" s="264"/>
      <c r="AP73" s="264"/>
      <c r="AQ73" s="264"/>
      <c r="AR73" s="264"/>
      <c r="AS73" s="264"/>
      <c r="AT73" s="264"/>
      <c r="AU73" s="264"/>
      <c r="AV73" s="264"/>
      <c r="AW73" s="264"/>
      <c r="AX73" s="264"/>
      <c r="AY73" s="264"/>
      <c r="AZ73" s="264"/>
      <c r="BA73" s="264"/>
      <c r="BB73" s="264"/>
      <c r="BC73" s="264"/>
    </row>
    <row r="74" spans="1:55" x14ac:dyDescent="0.15">
      <c r="A74" s="180">
        <v>42804</v>
      </c>
      <c r="B74" s="175" t="s">
        <v>39</v>
      </c>
      <c r="C74" s="176">
        <v>62151</v>
      </c>
      <c r="D74" s="177">
        <f>9483+20824</f>
        <v>30307</v>
      </c>
      <c r="E74" s="177">
        <v>94144</v>
      </c>
      <c r="F74" s="178">
        <v>4643</v>
      </c>
      <c r="G74" s="177">
        <v>3139</v>
      </c>
      <c r="H74" s="179"/>
      <c r="I74" s="179"/>
      <c r="J74" s="204">
        <f t="shared" si="24"/>
        <v>63837</v>
      </c>
      <c r="K74" s="177">
        <v>547</v>
      </c>
      <c r="L74" s="177">
        <v>0</v>
      </c>
      <c r="M74" s="205">
        <f t="shared" si="25"/>
        <v>1139</v>
      </c>
      <c r="N74" s="206">
        <f t="shared" si="21"/>
        <v>541023</v>
      </c>
      <c r="O74" s="207">
        <f t="shared" si="23"/>
        <v>297359</v>
      </c>
      <c r="P74" s="208">
        <f t="shared" si="22"/>
        <v>849341</v>
      </c>
      <c r="Q74" s="225">
        <f t="shared" si="20"/>
        <v>4007795.3</v>
      </c>
      <c r="R74" s="207">
        <f t="shared" si="20"/>
        <v>2145962</v>
      </c>
      <c r="S74" s="226">
        <f t="shared" si="20"/>
        <v>6258859.4699999997</v>
      </c>
      <c r="T74" s="227">
        <f>N74/'2017'!N74-1</f>
        <v>-0.22875055774217412</v>
      </c>
      <c r="U74" s="228">
        <f>O74/'2017'!O74-1</f>
        <v>0.15772814165631677</v>
      </c>
      <c r="V74" s="228">
        <f>P74/'2017'!P74-1</f>
        <v>-0.13049607344716629</v>
      </c>
      <c r="W74" s="228">
        <f>Q74/'2017'!Q74-1</f>
        <v>8.9400351026635017E-2</v>
      </c>
      <c r="X74" s="228">
        <f>R74/'2017'!R74-1</f>
        <v>0.23887647039806392</v>
      </c>
      <c r="Y74" s="244">
        <f>S74/'2017'!S74-1</f>
        <v>0.13514507151832778</v>
      </c>
      <c r="Z74" s="245"/>
      <c r="AA74" s="246">
        <f t="shared" si="30"/>
        <v>400.77952999999997</v>
      </c>
      <c r="AB74" s="247"/>
      <c r="AC74" s="248"/>
      <c r="AD74" s="247">
        <f t="shared" si="26"/>
        <v>4112897.4699999997</v>
      </c>
      <c r="AE74" s="177">
        <f t="shared" si="28"/>
        <v>21010.29</v>
      </c>
      <c r="AF74" s="177">
        <f t="shared" si="29"/>
        <v>43161.64</v>
      </c>
      <c r="AG74" s="248">
        <f t="shared" si="27"/>
        <v>40930.239999999918</v>
      </c>
      <c r="AH74" s="263"/>
      <c r="AI74" s="264"/>
      <c r="AJ74" s="264"/>
      <c r="AK74" s="264"/>
      <c r="AL74" s="264"/>
      <c r="AM74" s="264"/>
      <c r="AN74" s="264"/>
      <c r="AO74" s="264"/>
      <c r="AP74" s="264"/>
      <c r="AQ74" s="264"/>
      <c r="AR74" s="264"/>
      <c r="AS74" s="264"/>
      <c r="AT74" s="264"/>
      <c r="AU74" s="264"/>
      <c r="AV74" s="264"/>
      <c r="AW74" s="264"/>
      <c r="AX74" s="264"/>
      <c r="AY74" s="264"/>
      <c r="AZ74" s="264"/>
      <c r="BA74" s="264"/>
      <c r="BB74" s="264"/>
      <c r="BC74" s="264"/>
    </row>
    <row r="75" spans="1:55" x14ac:dyDescent="0.15">
      <c r="A75" s="180">
        <v>42805</v>
      </c>
      <c r="B75" s="175" t="s">
        <v>1</v>
      </c>
      <c r="C75" s="176">
        <v>57786</v>
      </c>
      <c r="D75" s="177">
        <f>9734+20785</f>
        <v>30519</v>
      </c>
      <c r="E75" s="177">
        <v>89735</v>
      </c>
      <c r="F75" s="178">
        <v>4331</v>
      </c>
      <c r="G75" s="177">
        <v>3080</v>
      </c>
      <c r="H75" s="179"/>
      <c r="I75" s="179"/>
      <c r="J75" s="204">
        <f t="shared" si="24"/>
        <v>59216</v>
      </c>
      <c r="K75" s="177">
        <v>260</v>
      </c>
      <c r="L75" s="177">
        <v>0</v>
      </c>
      <c r="M75" s="205">
        <f t="shared" si="25"/>
        <v>1170</v>
      </c>
      <c r="N75" s="206">
        <f t="shared" si="21"/>
        <v>598809</v>
      </c>
      <c r="O75" s="207">
        <f t="shared" si="23"/>
        <v>327878</v>
      </c>
      <c r="P75" s="208">
        <f t="shared" si="22"/>
        <v>939076</v>
      </c>
      <c r="Q75" s="225">
        <f t="shared" si="20"/>
        <v>4065581.3</v>
      </c>
      <c r="R75" s="207">
        <f t="shared" si="20"/>
        <v>2176481</v>
      </c>
      <c r="S75" s="226">
        <f t="shared" si="20"/>
        <v>6348594.4699999997</v>
      </c>
      <c r="T75" s="227">
        <f>N75/'2017'!N75-1</f>
        <v>-0.22028149133897845</v>
      </c>
      <c r="U75" s="228">
        <f>O75/'2017'!O75-1</f>
        <v>0.14888100101966084</v>
      </c>
      <c r="V75" s="228">
        <f>P75/'2017'!P75-1</f>
        <v>-0.1255542829473606</v>
      </c>
      <c r="W75" s="228">
        <f>Q75/'2017'!Q75-1</f>
        <v>8.5488769304679968E-2</v>
      </c>
      <c r="X75" s="228">
        <f>R75/'2017'!R75-1</f>
        <v>0.23612702941854669</v>
      </c>
      <c r="Y75" s="244">
        <f>S75/'2017'!S75-1</f>
        <v>0.13149382347913297</v>
      </c>
      <c r="Z75" s="245"/>
      <c r="AA75" s="246">
        <f t="shared" si="30"/>
        <v>406.55813000000001</v>
      </c>
      <c r="AB75" s="247"/>
      <c r="AC75" s="248"/>
      <c r="AD75" s="247">
        <f t="shared" si="26"/>
        <v>4172113.4699999997</v>
      </c>
      <c r="AE75" s="177">
        <f t="shared" si="28"/>
        <v>21270.29</v>
      </c>
      <c r="AF75" s="177">
        <f t="shared" si="29"/>
        <v>43161.64</v>
      </c>
      <c r="AG75" s="248">
        <f t="shared" si="27"/>
        <v>42100.239999999918</v>
      </c>
      <c r="AH75" s="263"/>
      <c r="AI75" s="264"/>
      <c r="AJ75" s="264"/>
      <c r="AK75" s="264"/>
      <c r="AL75" s="264"/>
      <c r="AM75" s="264"/>
      <c r="AN75" s="264"/>
      <c r="AO75" s="264"/>
      <c r="AP75" s="264"/>
      <c r="AQ75" s="264"/>
      <c r="AR75" s="264"/>
      <c r="AS75" s="264"/>
      <c r="AT75" s="264"/>
      <c r="AU75" s="264"/>
      <c r="AV75" s="264"/>
      <c r="AW75" s="264"/>
      <c r="AX75" s="264"/>
      <c r="AY75" s="264"/>
      <c r="AZ75" s="264"/>
      <c r="BA75" s="264"/>
      <c r="BB75" s="264"/>
      <c r="BC75" s="264"/>
    </row>
    <row r="76" spans="1:55" x14ac:dyDescent="0.15">
      <c r="A76" s="180">
        <v>42806</v>
      </c>
      <c r="B76" s="175" t="s">
        <v>34</v>
      </c>
      <c r="C76" s="176">
        <v>62450</v>
      </c>
      <c r="D76" s="177">
        <f>9534+20514</f>
        <v>30048</v>
      </c>
      <c r="E76" s="177">
        <v>93737</v>
      </c>
      <c r="F76" s="178">
        <v>4763</v>
      </c>
      <c r="G76" s="177">
        <v>2931</v>
      </c>
      <c r="H76" s="179"/>
      <c r="I76" s="179"/>
      <c r="J76" s="204">
        <f t="shared" si="24"/>
        <v>63689</v>
      </c>
      <c r="K76" s="177">
        <v>204</v>
      </c>
      <c r="L76" s="177">
        <v>0</v>
      </c>
      <c r="M76" s="205">
        <f t="shared" si="25"/>
        <v>1035</v>
      </c>
      <c r="N76" s="206">
        <f t="shared" si="21"/>
        <v>661259</v>
      </c>
      <c r="O76" s="207">
        <f t="shared" si="23"/>
        <v>357926</v>
      </c>
      <c r="P76" s="208">
        <f t="shared" si="22"/>
        <v>1032813</v>
      </c>
      <c r="Q76" s="225">
        <f t="shared" si="20"/>
        <v>4128031.3</v>
      </c>
      <c r="R76" s="207">
        <f t="shared" si="20"/>
        <v>2206529</v>
      </c>
      <c r="S76" s="226">
        <f t="shared" si="20"/>
        <v>6442331.4699999997</v>
      </c>
      <c r="T76" s="227">
        <f>N76/'2017'!N76-1</f>
        <v>-0.20375809024955593</v>
      </c>
      <c r="U76" s="228">
        <f>O76/'2017'!O76-1</f>
        <v>0.14004057854688035</v>
      </c>
      <c r="V76" s="228">
        <f>P76/'2017'!P76-1</f>
        <v>-0.11504220804814769</v>
      </c>
      <c r="W76" s="228">
        <f>Q76/'2017'!Q76-1</f>
        <v>8.4074195786391082E-2</v>
      </c>
      <c r="X76" s="228">
        <f>R76/'2017'!R76-1</f>
        <v>0.23318277132458798</v>
      </c>
      <c r="Y76" s="244">
        <f>S76/'2017'!S76-1</f>
        <v>0.12944617147588167</v>
      </c>
      <c r="Z76" s="245"/>
      <c r="AA76" s="246">
        <f t="shared" si="30"/>
        <v>412.80312999999995</v>
      </c>
      <c r="AB76" s="247"/>
      <c r="AC76" s="248"/>
      <c r="AD76" s="247">
        <f t="shared" si="26"/>
        <v>4235802.47</v>
      </c>
      <c r="AE76" s="177">
        <f t="shared" si="28"/>
        <v>21474.29</v>
      </c>
      <c r="AF76" s="177">
        <f t="shared" si="29"/>
        <v>43161.64</v>
      </c>
      <c r="AG76" s="248">
        <f t="shared" si="27"/>
        <v>43135.239999999918</v>
      </c>
      <c r="AH76" s="263"/>
      <c r="AI76" s="264"/>
      <c r="AJ76" s="264"/>
      <c r="AK76" s="264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264"/>
    </row>
    <row r="77" spans="1:55" x14ac:dyDescent="0.15">
      <c r="A77" s="180">
        <v>42807</v>
      </c>
      <c r="B77" s="175" t="s">
        <v>35</v>
      </c>
      <c r="C77" s="176">
        <v>62860</v>
      </c>
      <c r="D77" s="177">
        <f>9476+21024</f>
        <v>30500</v>
      </c>
      <c r="E77" s="177">
        <v>94687</v>
      </c>
      <c r="F77" s="178">
        <v>4664</v>
      </c>
      <c r="G77" s="177">
        <v>3087</v>
      </c>
      <c r="H77" s="179"/>
      <c r="I77" s="179"/>
      <c r="J77" s="204">
        <f t="shared" si="24"/>
        <v>64187</v>
      </c>
      <c r="K77" s="177">
        <v>229</v>
      </c>
      <c r="L77" s="177">
        <v>0</v>
      </c>
      <c r="M77" s="205">
        <f t="shared" si="25"/>
        <v>1098</v>
      </c>
      <c r="N77" s="206">
        <f t="shared" si="21"/>
        <v>724119</v>
      </c>
      <c r="O77" s="207">
        <f t="shared" si="23"/>
        <v>388426</v>
      </c>
      <c r="P77" s="208">
        <f t="shared" si="22"/>
        <v>1127500</v>
      </c>
      <c r="Q77" s="225">
        <f t="shared" si="20"/>
        <v>4190891.3</v>
      </c>
      <c r="R77" s="207">
        <f t="shared" si="20"/>
        <v>2237029</v>
      </c>
      <c r="S77" s="226">
        <f t="shared" si="20"/>
        <v>6537018.4699999997</v>
      </c>
      <c r="T77" s="227">
        <f>N77/'2017'!N77-1</f>
        <v>-0.19354878228059003</v>
      </c>
      <c r="U77" s="228">
        <f>O77/'2017'!O77-1</f>
        <v>0.13347826721333012</v>
      </c>
      <c r="V77" s="228">
        <f>P77/'2017'!P77-1</f>
        <v>-0.10887951181613909</v>
      </c>
      <c r="W77" s="228">
        <f>Q77/'2017'!Q77-1</f>
        <v>8.1431219969764879E-2</v>
      </c>
      <c r="X77" s="228">
        <f>R77/'2017'!R77-1</f>
        <v>0.23047410867415241</v>
      </c>
      <c r="Y77" s="244">
        <f>S77/'2017'!S77-1</f>
        <v>0.12665278496937282</v>
      </c>
      <c r="Z77" s="245"/>
      <c r="AA77" s="246">
        <f t="shared" si="30"/>
        <v>419.08912999999995</v>
      </c>
      <c r="AB77" s="247"/>
      <c r="AC77" s="248"/>
      <c r="AD77" s="247">
        <f t="shared" si="26"/>
        <v>4299989.47</v>
      </c>
      <c r="AE77" s="177">
        <f t="shared" si="28"/>
        <v>21703.29</v>
      </c>
      <c r="AF77" s="177">
        <f t="shared" si="29"/>
        <v>43161.64</v>
      </c>
      <c r="AG77" s="248">
        <f t="shared" si="27"/>
        <v>44233.239999999918</v>
      </c>
      <c r="AH77" s="263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</row>
    <row r="78" spans="1:55" x14ac:dyDescent="0.15">
      <c r="A78" s="180">
        <v>42808</v>
      </c>
      <c r="B78" s="175" t="s">
        <v>36</v>
      </c>
      <c r="C78" s="176">
        <v>64339</v>
      </c>
      <c r="D78" s="177">
        <f>9453+21053</f>
        <v>30506</v>
      </c>
      <c r="E78" s="177">
        <v>96077</v>
      </c>
      <c r="F78" s="178">
        <v>4833</v>
      </c>
      <c r="G78" s="177">
        <v>3091</v>
      </c>
      <c r="H78" s="179"/>
      <c r="I78" s="179"/>
      <c r="J78" s="204">
        <f t="shared" si="24"/>
        <v>65571</v>
      </c>
      <c r="K78" s="177">
        <v>467</v>
      </c>
      <c r="L78" s="177">
        <v>0</v>
      </c>
      <c r="M78" s="205">
        <f t="shared" si="25"/>
        <v>765</v>
      </c>
      <c r="N78" s="206">
        <f t="shared" si="21"/>
        <v>788458</v>
      </c>
      <c r="O78" s="207">
        <f t="shared" si="23"/>
        <v>418932</v>
      </c>
      <c r="P78" s="208">
        <f t="shared" si="22"/>
        <v>1223577</v>
      </c>
      <c r="Q78" s="225">
        <f t="shared" si="20"/>
        <v>4255230.3</v>
      </c>
      <c r="R78" s="207">
        <f t="shared" si="20"/>
        <v>2267535</v>
      </c>
      <c r="S78" s="226">
        <f t="shared" si="20"/>
        <v>6633095.4699999997</v>
      </c>
      <c r="T78" s="227">
        <f>N78/'2017'!N78-1</f>
        <v>-0.18070113273972133</v>
      </c>
      <c r="U78" s="228">
        <f>O78/'2017'!O78-1</f>
        <v>0.12572552560299233</v>
      </c>
      <c r="V78" s="228">
        <f>P78/'2017'!P78-1</f>
        <v>-0.10100906942844379</v>
      </c>
      <c r="W78" s="228">
        <f>Q78/'2017'!Q78-1</f>
        <v>8.0071200734971093E-2</v>
      </c>
      <c r="X78" s="228">
        <f>R78/'2017'!R78-1</f>
        <v>0.22736580240879345</v>
      </c>
      <c r="Y78" s="244">
        <f>S78/'2017'!S78-1</f>
        <v>0.12464349433041888</v>
      </c>
      <c r="Z78" s="245"/>
      <c r="AA78" s="246">
        <f t="shared" si="30"/>
        <v>425.52303000000001</v>
      </c>
      <c r="AB78" s="247"/>
      <c r="AC78" s="248"/>
      <c r="AD78" s="247">
        <f t="shared" si="26"/>
        <v>4365560.47</v>
      </c>
      <c r="AE78" s="177">
        <f t="shared" si="28"/>
        <v>22170.29</v>
      </c>
      <c r="AF78" s="177">
        <f t="shared" si="29"/>
        <v>43161.64</v>
      </c>
      <c r="AG78" s="248">
        <f t="shared" si="27"/>
        <v>44998.239999999918</v>
      </c>
      <c r="AH78" s="263"/>
      <c r="AI78" s="264"/>
      <c r="AJ78" s="264"/>
      <c r="AK78" s="264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264"/>
    </row>
    <row r="79" spans="1:55" s="157" customFormat="1" x14ac:dyDescent="0.15">
      <c r="A79" s="181">
        <v>42809</v>
      </c>
      <c r="B79" s="182" t="s">
        <v>37</v>
      </c>
      <c r="C79" s="183">
        <f>61828+3655</f>
        <v>65483</v>
      </c>
      <c r="D79" s="184">
        <f>19452+12492</f>
        <v>31944</v>
      </c>
      <c r="E79" s="184">
        <f>78748+19452</f>
        <v>98200</v>
      </c>
      <c r="F79" s="185">
        <v>5003</v>
      </c>
      <c r="G79" s="184">
        <v>3124</v>
      </c>
      <c r="H79" s="186"/>
      <c r="I79" s="186"/>
      <c r="J79" s="210">
        <f t="shared" si="24"/>
        <v>66256</v>
      </c>
      <c r="K79" s="184">
        <v>327</v>
      </c>
      <c r="L79" s="184">
        <v>0</v>
      </c>
      <c r="M79" s="211">
        <f t="shared" si="25"/>
        <v>446</v>
      </c>
      <c r="N79" s="212">
        <f t="shared" si="21"/>
        <v>853941</v>
      </c>
      <c r="O79" s="207">
        <f t="shared" si="23"/>
        <v>450876</v>
      </c>
      <c r="P79" s="214">
        <f t="shared" si="22"/>
        <v>1321777</v>
      </c>
      <c r="Q79" s="229">
        <f t="shared" si="20"/>
        <v>4320713.3</v>
      </c>
      <c r="R79" s="213">
        <f t="shared" si="20"/>
        <v>2299479</v>
      </c>
      <c r="S79" s="230">
        <f t="shared" si="20"/>
        <v>6731295.4699999997</v>
      </c>
      <c r="T79" s="231">
        <f>N79/'2017'!N79-1</f>
        <v>-0.16951359699370383</v>
      </c>
      <c r="U79" s="232">
        <f>O79/'2017'!O79-1</f>
        <v>0.12365890190077677</v>
      </c>
      <c r="V79" s="232">
        <f>P79/'2017'!P79-1</f>
        <v>-9.3443226734356677E-2</v>
      </c>
      <c r="W79" s="232">
        <f>Q79/'2017'!Q79-1</f>
        <v>7.8653831180777178E-2</v>
      </c>
      <c r="X79" s="232">
        <f>R79/'2017'!R79-1</f>
        <v>0.22534709159253419</v>
      </c>
      <c r="Y79" s="249">
        <f>S79/'2017'!S79-1</f>
        <v>0.12283382668306975</v>
      </c>
      <c r="Z79" s="250">
        <v>17.59</v>
      </c>
      <c r="AA79" s="251">
        <f t="shared" si="30"/>
        <v>414.48133000000001</v>
      </c>
      <c r="AB79" s="252">
        <v>4269.4799999999996</v>
      </c>
      <c r="AC79" s="211">
        <f t="shared" ref="AC79:AC135" si="31">AA79*10000/AB79</f>
        <v>970.80049561070689</v>
      </c>
      <c r="AD79" s="252">
        <f t="shared" si="26"/>
        <v>4431816.47</v>
      </c>
      <c r="AE79" s="184">
        <f t="shared" si="28"/>
        <v>22497.29</v>
      </c>
      <c r="AF79" s="184">
        <f t="shared" si="29"/>
        <v>43161.64</v>
      </c>
      <c r="AG79" s="211">
        <f t="shared" si="27"/>
        <v>45444.239999999918</v>
      </c>
      <c r="AH79" s="263"/>
      <c r="AI79" s="264"/>
      <c r="AJ79" s="264"/>
      <c r="AK79" s="264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264"/>
    </row>
    <row r="80" spans="1:55" x14ac:dyDescent="0.15">
      <c r="A80" s="180">
        <v>42810</v>
      </c>
      <c r="B80" s="175" t="s">
        <v>38</v>
      </c>
      <c r="C80" s="176">
        <f>65153+4296</f>
        <v>69449</v>
      </c>
      <c r="D80" s="177">
        <f>18088+13334</f>
        <v>31422</v>
      </c>
      <c r="E80" s="177">
        <f>83759+18088</f>
        <v>101847</v>
      </c>
      <c r="F80" s="178">
        <v>5254</v>
      </c>
      <c r="G80" s="177">
        <v>3154</v>
      </c>
      <c r="H80" s="179"/>
      <c r="I80" s="179"/>
      <c r="J80" s="204">
        <f t="shared" si="24"/>
        <v>70425</v>
      </c>
      <c r="K80" s="177">
        <v>561</v>
      </c>
      <c r="L80" s="177">
        <v>0</v>
      </c>
      <c r="M80" s="205">
        <f t="shared" si="25"/>
        <v>415</v>
      </c>
      <c r="N80" s="206">
        <f t="shared" si="21"/>
        <v>923390</v>
      </c>
      <c r="O80" s="207">
        <f t="shared" si="23"/>
        <v>482298</v>
      </c>
      <c r="P80" s="208">
        <f t="shared" si="22"/>
        <v>1423624</v>
      </c>
      <c r="Q80" s="225">
        <f t="shared" si="20"/>
        <v>4390162.3</v>
      </c>
      <c r="R80" s="207">
        <f t="shared" si="20"/>
        <v>2330901</v>
      </c>
      <c r="S80" s="226">
        <f t="shared" si="20"/>
        <v>6833142.4699999997</v>
      </c>
      <c r="T80" s="227">
        <f>N80/'2017'!N80-1</f>
        <v>-0.15746012628198114</v>
      </c>
      <c r="U80" s="228">
        <f>O80/'2017'!O80-1</f>
        <v>0.11877687928850778</v>
      </c>
      <c r="V80" s="228">
        <f>P80/'2017'!P80-1</f>
        <v>-8.5988561566967769E-2</v>
      </c>
      <c r="W80" s="228">
        <f>Q80/'2017'!Q80-1</f>
        <v>7.7771201079699148E-2</v>
      </c>
      <c r="X80" s="228">
        <f>R80/'2017'!R80-1</f>
        <v>0.22265164592896358</v>
      </c>
      <c r="Y80" s="244">
        <f>S80/'2017'!S80-1</f>
        <v>0.1212066898158799</v>
      </c>
      <c r="Z80" s="245"/>
      <c r="AA80" s="246">
        <f t="shared" si="30"/>
        <v>439.01623000000001</v>
      </c>
      <c r="AB80" s="247"/>
      <c r="AC80" s="248"/>
      <c r="AD80" s="247">
        <f t="shared" si="26"/>
        <v>4502241.47</v>
      </c>
      <c r="AE80" s="177">
        <f t="shared" si="28"/>
        <v>23058.29</v>
      </c>
      <c r="AF80" s="177">
        <f t="shared" si="29"/>
        <v>43161.64</v>
      </c>
      <c r="AG80" s="248">
        <f t="shared" si="27"/>
        <v>45859.239999999918</v>
      </c>
      <c r="AH80" s="263"/>
      <c r="AI80" s="264"/>
      <c r="AJ80" s="264"/>
      <c r="AK80" s="264"/>
      <c r="AL80" s="264"/>
      <c r="AM80" s="264"/>
      <c r="AN80" s="264"/>
      <c r="AO80" s="264"/>
      <c r="AP80" s="264"/>
      <c r="AQ80" s="264"/>
      <c r="AR80" s="264"/>
      <c r="AS80" s="264"/>
      <c r="AT80" s="264"/>
      <c r="AU80" s="264"/>
      <c r="AV80" s="264"/>
      <c r="AW80" s="264"/>
      <c r="AX80" s="264"/>
      <c r="AY80" s="264"/>
      <c r="AZ80" s="264"/>
      <c r="BA80" s="264"/>
      <c r="BB80" s="264"/>
      <c r="BC80" s="264"/>
    </row>
    <row r="81" spans="1:55" x14ac:dyDescent="0.15">
      <c r="A81" s="180">
        <v>42811</v>
      </c>
      <c r="B81" s="175" t="s">
        <v>39</v>
      </c>
      <c r="C81" s="176">
        <f>60541+4041</f>
        <v>64582</v>
      </c>
      <c r="D81" s="177">
        <f>21102+12965</f>
        <v>34067</v>
      </c>
      <c r="E81" s="177">
        <f>78674+21102</f>
        <v>99776</v>
      </c>
      <c r="F81" s="178">
        <v>5035</v>
      </c>
      <c r="G81" s="177">
        <v>3278</v>
      </c>
      <c r="H81" s="179"/>
      <c r="I81" s="179"/>
      <c r="J81" s="204">
        <f t="shared" si="24"/>
        <v>65709</v>
      </c>
      <c r="K81" s="177">
        <v>324</v>
      </c>
      <c r="L81" s="177">
        <v>0</v>
      </c>
      <c r="M81" s="205">
        <f t="shared" si="25"/>
        <v>803</v>
      </c>
      <c r="N81" s="206">
        <f t="shared" si="21"/>
        <v>987972</v>
      </c>
      <c r="O81" s="207">
        <f t="shared" si="23"/>
        <v>516365</v>
      </c>
      <c r="P81" s="208">
        <f t="shared" si="22"/>
        <v>1523400</v>
      </c>
      <c r="Q81" s="225">
        <f t="shared" si="20"/>
        <v>4454744.3</v>
      </c>
      <c r="R81" s="207">
        <f t="shared" si="20"/>
        <v>2364968</v>
      </c>
      <c r="S81" s="226">
        <f t="shared" si="20"/>
        <v>6932918.4699999997</v>
      </c>
      <c r="T81" s="227">
        <f>N81/'2017'!N81-1</f>
        <v>-0.15101528731384972</v>
      </c>
      <c r="U81" s="228">
        <f>O81/'2017'!O81-1</f>
        <v>0.12103383519859312</v>
      </c>
      <c r="V81" s="228">
        <f>P81/'2017'!P81-1</f>
        <v>-8.0937137644655599E-2</v>
      </c>
      <c r="W81" s="228">
        <f>Q81/'2017'!Q81-1</f>
        <v>7.5733830468893482E-2</v>
      </c>
      <c r="X81" s="228">
        <f>R81/'2017'!R81-1</f>
        <v>0.22160466788432776</v>
      </c>
      <c r="Y81" s="244">
        <f>S81/'2017'!S81-1</f>
        <v>0.11921347013392425</v>
      </c>
      <c r="Z81" s="245"/>
      <c r="AA81" s="246">
        <f t="shared" si="30"/>
        <v>445.47442999999998</v>
      </c>
      <c r="AB81" s="247"/>
      <c r="AC81" s="248"/>
      <c r="AD81" s="247">
        <f t="shared" si="26"/>
        <v>4567950.47</v>
      </c>
      <c r="AE81" s="177">
        <f>AE80+K82</f>
        <v>23282.29</v>
      </c>
      <c r="AF81" s="177">
        <f t="shared" si="29"/>
        <v>43161.64</v>
      </c>
      <c r="AG81" s="248">
        <f t="shared" si="27"/>
        <v>46762.239999999918</v>
      </c>
      <c r="AH81" s="263"/>
      <c r="AI81" s="264"/>
      <c r="AJ81" s="264"/>
      <c r="AK81" s="264"/>
      <c r="AL81" s="264"/>
      <c r="AM81" s="264"/>
      <c r="AN81" s="264"/>
      <c r="AO81" s="264"/>
      <c r="AP81" s="264"/>
      <c r="AQ81" s="264"/>
      <c r="AR81" s="264"/>
      <c r="AS81" s="264"/>
      <c r="AT81" s="264"/>
      <c r="AU81" s="264"/>
      <c r="AV81" s="264"/>
      <c r="AW81" s="264"/>
      <c r="AX81" s="264"/>
      <c r="AY81" s="264"/>
      <c r="AZ81" s="264"/>
      <c r="BA81" s="264"/>
      <c r="BB81" s="264"/>
      <c r="BC81" s="264"/>
    </row>
    <row r="82" spans="1:55" x14ac:dyDescent="0.15">
      <c r="A82" s="180">
        <v>42812</v>
      </c>
      <c r="B82" s="175" t="s">
        <v>1</v>
      </c>
      <c r="C82" s="176">
        <v>61547</v>
      </c>
      <c r="D82" s="177">
        <f>9697+24421</f>
        <v>34118</v>
      </c>
      <c r="E82" s="177">
        <v>96336</v>
      </c>
      <c r="F82" s="178">
        <v>4800</v>
      </c>
      <c r="G82" s="177">
        <v>3179</v>
      </c>
      <c r="H82" s="179"/>
      <c r="I82" s="179"/>
      <c r="J82" s="204">
        <f t="shared" si="24"/>
        <v>62218</v>
      </c>
      <c r="K82" s="177">
        <v>224</v>
      </c>
      <c r="L82" s="177">
        <v>0</v>
      </c>
      <c r="M82" s="205">
        <f t="shared" ref="M82:M85" si="32">J82-K82-L82-C82</f>
        <v>447</v>
      </c>
      <c r="N82" s="206">
        <f t="shared" si="21"/>
        <v>1049519</v>
      </c>
      <c r="O82" s="207">
        <f t="shared" si="23"/>
        <v>550483</v>
      </c>
      <c r="P82" s="208">
        <f t="shared" si="22"/>
        <v>1619736</v>
      </c>
      <c r="Q82" s="225">
        <f t="shared" si="20"/>
        <v>4516291.3</v>
      </c>
      <c r="R82" s="207">
        <f t="shared" si="20"/>
        <v>2399086</v>
      </c>
      <c r="S82" s="226">
        <f t="shared" si="20"/>
        <v>7029254.4699999997</v>
      </c>
      <c r="T82" s="227">
        <f>N82/'2017'!N82-1</f>
        <v>-0.14686499901234851</v>
      </c>
      <c r="U82" s="228">
        <f>O82/'2017'!O82-1</f>
        <v>0.12360667449099361</v>
      </c>
      <c r="V82" s="228">
        <f>P82/'2017'!P82-1</f>
        <v>-7.7814930560102358E-2</v>
      </c>
      <c r="W82" s="228">
        <f>Q82/'2017'!Q82-1</f>
        <v>7.3364580709709193E-2</v>
      </c>
      <c r="X82" s="228">
        <f>R82/'2017'!R82-1</f>
        <v>0.22074613970045731</v>
      </c>
      <c r="Y82" s="244">
        <f>S82/'2017'!S82-1</f>
        <v>0.11694095985075381</v>
      </c>
      <c r="Z82" s="245"/>
      <c r="AA82" s="246">
        <f t="shared" si="30"/>
        <v>451.62912999999998</v>
      </c>
      <c r="AB82" s="247"/>
      <c r="AC82" s="248"/>
      <c r="AD82" s="247">
        <f t="shared" si="26"/>
        <v>4630168.47</v>
      </c>
      <c r="AE82" s="177">
        <f>AE81+K83</f>
        <v>24083.29</v>
      </c>
      <c r="AF82" s="177">
        <f t="shared" si="29"/>
        <v>43161.64</v>
      </c>
      <c r="AG82" s="248">
        <f t="shared" si="27"/>
        <v>46632.239999999918</v>
      </c>
      <c r="AH82" s="263"/>
      <c r="AI82" s="264"/>
      <c r="AJ82" s="264"/>
      <c r="AK82" s="264"/>
      <c r="AL82" s="264"/>
      <c r="AM82" s="264"/>
      <c r="AN82" s="264"/>
      <c r="AO82" s="264"/>
      <c r="AP82" s="264"/>
      <c r="AQ82" s="264"/>
      <c r="AR82" s="264"/>
      <c r="AS82" s="264"/>
      <c r="AT82" s="264"/>
      <c r="AU82" s="264"/>
      <c r="AV82" s="264"/>
      <c r="AW82" s="264"/>
      <c r="AX82" s="264"/>
      <c r="AY82" s="264"/>
      <c r="AZ82" s="264"/>
      <c r="BA82" s="264"/>
      <c r="BB82" s="264"/>
      <c r="BC82" s="264"/>
    </row>
    <row r="83" spans="1:55" x14ac:dyDescent="0.15">
      <c r="A83" s="180">
        <v>42813</v>
      </c>
      <c r="B83" s="175" t="s">
        <v>34</v>
      </c>
      <c r="C83" s="176">
        <v>67766</v>
      </c>
      <c r="D83" s="177">
        <f>9782+23617</f>
        <v>33399</v>
      </c>
      <c r="E83" s="177">
        <v>102190</v>
      </c>
      <c r="F83" s="178">
        <v>5275</v>
      </c>
      <c r="G83" s="177">
        <v>3099</v>
      </c>
      <c r="H83" s="179"/>
      <c r="I83" s="179"/>
      <c r="J83" s="204">
        <f t="shared" si="24"/>
        <v>68791</v>
      </c>
      <c r="K83" s="177">
        <v>801</v>
      </c>
      <c r="L83" s="177">
        <v>0</v>
      </c>
      <c r="M83" s="205">
        <f t="shared" si="32"/>
        <v>224</v>
      </c>
      <c r="N83" s="206">
        <f t="shared" si="21"/>
        <v>1117285</v>
      </c>
      <c r="O83" s="207">
        <f t="shared" si="23"/>
        <v>583882</v>
      </c>
      <c r="P83" s="208">
        <f t="shared" si="22"/>
        <v>1721926</v>
      </c>
      <c r="Q83" s="225">
        <f t="shared" si="20"/>
        <v>4584057.3</v>
      </c>
      <c r="R83" s="207">
        <f t="shared" si="20"/>
        <v>2432485</v>
      </c>
      <c r="S83" s="226">
        <f t="shared" si="20"/>
        <v>7131444.4699999997</v>
      </c>
      <c r="T83" s="227">
        <f>N83/'2017'!N83-1</f>
        <v>-0.13730227487170932</v>
      </c>
      <c r="U83" s="228">
        <f>O83/'2017'!O83-1</f>
        <v>0.13162005542957922</v>
      </c>
      <c r="V83" s="228">
        <f>P83/'2017'!P83-1</f>
        <v>-6.9371047224152882E-2</v>
      </c>
      <c r="W83" s="228">
        <f>Q83/'2017'!Q83-1</f>
        <v>7.2917195336261287E-2</v>
      </c>
      <c r="X83" s="228">
        <f>R83/'2017'!R83-1</f>
        <v>0.22155197566221574</v>
      </c>
      <c r="Y83" s="244">
        <f>S83/'2017'!S83-1</f>
        <v>0.11652475662980732</v>
      </c>
      <c r="Z83" s="245"/>
      <c r="AA83" s="246">
        <f t="shared" si="30"/>
        <v>458.40573000000001</v>
      </c>
      <c r="AB83" s="247"/>
      <c r="AC83" s="248"/>
      <c r="AD83" s="247">
        <f t="shared" si="26"/>
        <v>4698959.47</v>
      </c>
      <c r="AE83" s="177">
        <f>AE82+K84</f>
        <v>24830.29</v>
      </c>
      <c r="AF83" s="177">
        <f t="shared" si="29"/>
        <v>43161.64</v>
      </c>
      <c r="AG83" s="248">
        <f t="shared" si="27"/>
        <v>46910.239999999918</v>
      </c>
      <c r="AH83" s="263"/>
      <c r="AI83" s="264"/>
      <c r="AJ83" s="264"/>
      <c r="AK83" s="264"/>
      <c r="AL83" s="264"/>
      <c r="AM83" s="264"/>
      <c r="AN83" s="264"/>
      <c r="AO83" s="264"/>
      <c r="AP83" s="264"/>
      <c r="AQ83" s="264"/>
      <c r="AR83" s="264"/>
      <c r="AS83" s="264"/>
      <c r="AT83" s="264"/>
      <c r="AU83" s="264"/>
      <c r="AV83" s="264"/>
      <c r="AW83" s="264"/>
      <c r="AX83" s="264"/>
      <c r="AY83" s="264"/>
      <c r="AZ83" s="264"/>
      <c r="BA83" s="264"/>
      <c r="BB83" s="264"/>
      <c r="BC83" s="264"/>
    </row>
    <row r="84" spans="1:55" x14ac:dyDescent="0.15">
      <c r="A84" s="180">
        <v>42814</v>
      </c>
      <c r="B84" s="175" t="s">
        <v>35</v>
      </c>
      <c r="C84" s="176">
        <v>69479</v>
      </c>
      <c r="D84" s="177">
        <f>9794+24310</f>
        <v>34104</v>
      </c>
      <c r="E84" s="177">
        <v>104759</v>
      </c>
      <c r="F84" s="178">
        <v>5404</v>
      </c>
      <c r="G84" s="177">
        <v>3264</v>
      </c>
      <c r="H84" s="179"/>
      <c r="I84" s="179"/>
      <c r="J84" s="204">
        <f t="shared" si="24"/>
        <v>70655</v>
      </c>
      <c r="K84" s="177">
        <v>747</v>
      </c>
      <c r="L84" s="177">
        <v>0</v>
      </c>
      <c r="M84" s="205">
        <f t="shared" si="32"/>
        <v>429</v>
      </c>
      <c r="N84" s="206">
        <f t="shared" si="21"/>
        <v>1186764</v>
      </c>
      <c r="O84" s="207">
        <f t="shared" si="23"/>
        <v>617986</v>
      </c>
      <c r="P84" s="208">
        <f t="shared" si="22"/>
        <v>1826685</v>
      </c>
      <c r="Q84" s="225">
        <f t="shared" si="20"/>
        <v>4653536.3</v>
      </c>
      <c r="R84" s="207">
        <f t="shared" si="20"/>
        <v>2466589</v>
      </c>
      <c r="S84" s="226">
        <f t="shared" si="20"/>
        <v>7236203.4699999997</v>
      </c>
      <c r="T84" s="227">
        <f>N84/'2017'!N84-1</f>
        <v>-0.1282511606041018</v>
      </c>
      <c r="U84" s="228">
        <f>O84/'2017'!O84-1</f>
        <v>0.13659913741574181</v>
      </c>
      <c r="V84" s="228">
        <f>P84/'2017'!P84-1</f>
        <v>-6.1657715690278225E-2</v>
      </c>
      <c r="W84" s="228">
        <f>Q84/'2017'!Q84-1</f>
        <v>7.2547031586813304E-2</v>
      </c>
      <c r="X84" s="228">
        <f>R84/'2017'!R84-1</f>
        <v>0.22165699546123618</v>
      </c>
      <c r="Y84" s="244">
        <f>S84/'2017'!S84-1</f>
        <v>0.11607580449365029</v>
      </c>
      <c r="Z84" s="245"/>
      <c r="AA84" s="246">
        <f t="shared" si="30"/>
        <v>465.35363000000001</v>
      </c>
      <c r="AB84" s="247"/>
      <c r="AC84" s="248"/>
      <c r="AD84" s="247">
        <f t="shared" si="26"/>
        <v>4769614.47</v>
      </c>
      <c r="AE84" s="177">
        <f>AE83+K85</f>
        <v>25593.29</v>
      </c>
      <c r="AF84" s="177">
        <f t="shared" si="29"/>
        <v>43161.64</v>
      </c>
      <c r="AG84" s="248">
        <f t="shared" si="27"/>
        <v>47323.239999999918</v>
      </c>
      <c r="AH84" s="263"/>
      <c r="AI84" s="264"/>
      <c r="AJ84" s="264"/>
      <c r="AK84" s="264"/>
      <c r="AL84" s="264"/>
      <c r="AM84" s="264"/>
      <c r="AN84" s="264"/>
      <c r="AO84" s="264"/>
      <c r="AP84" s="264"/>
      <c r="AQ84" s="264"/>
      <c r="AR84" s="264"/>
      <c r="AS84" s="264"/>
      <c r="AT84" s="264"/>
      <c r="AU84" s="264"/>
      <c r="AV84" s="264"/>
      <c r="AW84" s="264"/>
      <c r="AX84" s="264"/>
      <c r="AY84" s="264"/>
      <c r="AZ84" s="264"/>
      <c r="BA84" s="264"/>
      <c r="BB84" s="264"/>
      <c r="BC84" s="264"/>
    </row>
    <row r="85" spans="1:55" x14ac:dyDescent="0.15">
      <c r="A85" s="180">
        <v>42815</v>
      </c>
      <c r="B85" s="175" t="s">
        <v>36</v>
      </c>
      <c r="C85" s="176">
        <v>67600</v>
      </c>
      <c r="D85" s="177">
        <f>9797+26705</f>
        <v>36502</v>
      </c>
      <c r="E85" s="177">
        <v>105649</v>
      </c>
      <c r="F85" s="178">
        <v>5387</v>
      </c>
      <c r="G85" s="177">
        <v>3289</v>
      </c>
      <c r="H85" s="179"/>
      <c r="I85" s="179"/>
      <c r="J85" s="204">
        <f t="shared" si="24"/>
        <v>69147</v>
      </c>
      <c r="K85" s="177">
        <v>763</v>
      </c>
      <c r="L85" s="177">
        <v>0</v>
      </c>
      <c r="M85" s="205">
        <f t="shared" si="32"/>
        <v>784</v>
      </c>
      <c r="N85" s="206">
        <f t="shared" si="21"/>
        <v>1254364</v>
      </c>
      <c r="O85" s="207">
        <f t="shared" si="23"/>
        <v>654488</v>
      </c>
      <c r="P85" s="208">
        <f t="shared" si="22"/>
        <v>1932334</v>
      </c>
      <c r="Q85" s="225">
        <f t="shared" si="20"/>
        <v>4721136.3</v>
      </c>
      <c r="R85" s="207">
        <f t="shared" si="20"/>
        <v>2503091</v>
      </c>
      <c r="S85" s="226">
        <f t="shared" si="20"/>
        <v>7341852.4699999997</v>
      </c>
      <c r="T85" s="227">
        <f>N85/'2017'!N85-1</f>
        <v>-0.12010701556621939</v>
      </c>
      <c r="U85" s="228">
        <f>O85/'2017'!O85-1</f>
        <v>0.1447821813004404</v>
      </c>
      <c r="V85" s="228">
        <f>P85/'2017'!P85-1</f>
        <v>-5.3691751743780936E-2</v>
      </c>
      <c r="W85" s="228">
        <f>Q85/'2017'!Q85-1</f>
        <v>7.2254849281886413E-2</v>
      </c>
      <c r="X85" s="228">
        <f>R85/'2017'!R85-1</f>
        <v>0.22277901234507591</v>
      </c>
      <c r="Y85" s="244">
        <f>S85/'2017'!S85-1</f>
        <v>0.11597488793122146</v>
      </c>
      <c r="Z85" s="245"/>
      <c r="AA85" s="246">
        <f t="shared" si="30"/>
        <v>472.11363</v>
      </c>
      <c r="AB85" s="247"/>
      <c r="AC85" s="248"/>
      <c r="AD85" s="247">
        <f t="shared" si="26"/>
        <v>4838761.47</v>
      </c>
      <c r="AE85" s="177">
        <f>AE84+K86</f>
        <v>26158.29</v>
      </c>
      <c r="AF85" s="177">
        <f t="shared" si="29"/>
        <v>43161.64</v>
      </c>
      <c r="AG85" s="248">
        <f t="shared" si="27"/>
        <v>48305.239999999918</v>
      </c>
      <c r="AH85" s="263"/>
      <c r="AI85" s="264"/>
      <c r="AJ85" s="264"/>
      <c r="AK85" s="264"/>
      <c r="AL85" s="264"/>
      <c r="AM85" s="264"/>
      <c r="AN85" s="264"/>
      <c r="AO85" s="264"/>
      <c r="AP85" s="264"/>
      <c r="AQ85" s="264"/>
      <c r="AR85" s="264"/>
      <c r="AS85" s="264"/>
      <c r="AT85" s="264"/>
      <c r="AU85" s="264"/>
      <c r="AV85" s="264"/>
      <c r="AW85" s="264"/>
      <c r="AX85" s="264"/>
      <c r="AY85" s="264"/>
      <c r="AZ85" s="264"/>
      <c r="BA85" s="264"/>
      <c r="BB85" s="264"/>
      <c r="BC85" s="264"/>
    </row>
    <row r="86" spans="1:55" s="157" customFormat="1" x14ac:dyDescent="0.15">
      <c r="A86" s="181">
        <v>42816</v>
      </c>
      <c r="B86" s="182" t="s">
        <v>37</v>
      </c>
      <c r="C86" s="183">
        <f>62391+4281</f>
        <v>66672</v>
      </c>
      <c r="D86" s="184">
        <f>21247+12927</f>
        <v>34174</v>
      </c>
      <c r="E86" s="184">
        <f>81354+21247</f>
        <v>102601</v>
      </c>
      <c r="F86" s="185">
        <v>5026</v>
      </c>
      <c r="G86" s="184">
        <v>3447</v>
      </c>
      <c r="H86" s="186"/>
      <c r="I86" s="186"/>
      <c r="J86" s="210">
        <f t="shared" si="24"/>
        <v>68427</v>
      </c>
      <c r="K86" s="184">
        <v>565</v>
      </c>
      <c r="L86" s="184">
        <v>0</v>
      </c>
      <c r="M86" s="211">
        <f t="shared" si="25"/>
        <v>1190</v>
      </c>
      <c r="N86" s="212">
        <f t="shared" si="21"/>
        <v>1321036</v>
      </c>
      <c r="O86" s="207">
        <f t="shared" si="23"/>
        <v>688662</v>
      </c>
      <c r="P86" s="214">
        <f t="shared" si="22"/>
        <v>2034935</v>
      </c>
      <c r="Q86" s="229">
        <f t="shared" si="20"/>
        <v>4787808.3</v>
      </c>
      <c r="R86" s="213">
        <f t="shared" si="20"/>
        <v>2537265</v>
      </c>
      <c r="S86" s="230">
        <f t="shared" si="20"/>
        <v>7444453.4699999997</v>
      </c>
      <c r="T86" s="231">
        <f>N86/'2017'!N86-1</f>
        <v>-0.1151612090815074</v>
      </c>
      <c r="U86" s="232">
        <f>O86/'2017'!O86-1</f>
        <v>0.14758447384339535</v>
      </c>
      <c r="V86" s="232">
        <f>P86/'2017'!P86-1</f>
        <v>-4.9426274229893874E-2</v>
      </c>
      <c r="W86" s="232">
        <f>Q86/'2017'!Q86-1</f>
        <v>7.1007169029226658E-2</v>
      </c>
      <c r="X86" s="232">
        <f>R86/'2017'!R86-1</f>
        <v>0.22252261454712596</v>
      </c>
      <c r="Y86" s="249">
        <f>S86/'2017'!S86-1</f>
        <v>0.11483269017136011</v>
      </c>
      <c r="Z86" s="250">
        <v>20.5</v>
      </c>
      <c r="AA86" s="251">
        <f t="shared" si="30"/>
        <v>458.28082999999998</v>
      </c>
      <c r="AB86" s="252">
        <v>4269.4799999999996</v>
      </c>
      <c r="AC86" s="211">
        <f t="shared" si="31"/>
        <v>1073.3879301460599</v>
      </c>
      <c r="AD86" s="252">
        <f t="shared" si="26"/>
        <v>4907188.47</v>
      </c>
      <c r="AE86" s="184">
        <f t="shared" si="28"/>
        <v>26723.29</v>
      </c>
      <c r="AF86" s="184">
        <f t="shared" si="29"/>
        <v>43161.64</v>
      </c>
      <c r="AG86" s="211">
        <f t="shared" si="27"/>
        <v>49495.239999999918</v>
      </c>
      <c r="AH86" s="263"/>
      <c r="AI86" s="264"/>
      <c r="AJ86" s="264"/>
      <c r="AK86" s="264"/>
      <c r="AL86" s="264"/>
      <c r="AM86" s="264"/>
      <c r="AN86" s="264"/>
      <c r="AO86" s="264"/>
      <c r="AP86" s="264"/>
      <c r="AQ86" s="264"/>
      <c r="AR86" s="264"/>
      <c r="AS86" s="264"/>
      <c r="AT86" s="264"/>
      <c r="AU86" s="264"/>
      <c r="AV86" s="264"/>
      <c r="AW86" s="264"/>
      <c r="AX86" s="264"/>
      <c r="AY86" s="264"/>
      <c r="AZ86" s="264"/>
      <c r="BA86" s="264"/>
      <c r="BB86" s="264"/>
      <c r="BC86" s="264"/>
    </row>
    <row r="87" spans="1:55" x14ac:dyDescent="0.15">
      <c r="A87" s="180">
        <v>42817</v>
      </c>
      <c r="B87" s="175" t="s">
        <v>38</v>
      </c>
      <c r="C87" s="176">
        <f>61804+4776</f>
        <v>66580</v>
      </c>
      <c r="D87" s="177">
        <f>20127+12844</f>
        <v>32971</v>
      </c>
      <c r="E87" s="177">
        <f>81394+20127</f>
        <v>101521</v>
      </c>
      <c r="F87" s="178">
        <v>4933</v>
      </c>
      <c r="G87" s="177">
        <v>3414</v>
      </c>
      <c r="H87" s="179"/>
      <c r="I87" s="179"/>
      <c r="J87" s="204">
        <f t="shared" si="24"/>
        <v>68550</v>
      </c>
      <c r="K87" s="177">
        <v>878</v>
      </c>
      <c r="L87" s="177">
        <v>0</v>
      </c>
      <c r="M87" s="205">
        <f t="shared" si="25"/>
        <v>1092</v>
      </c>
      <c r="N87" s="206">
        <f t="shared" si="21"/>
        <v>1387616</v>
      </c>
      <c r="O87" s="207">
        <f t="shared" si="23"/>
        <v>721633</v>
      </c>
      <c r="P87" s="208">
        <f t="shared" si="22"/>
        <v>2136456</v>
      </c>
      <c r="Q87" s="225">
        <f t="shared" si="20"/>
        <v>4854388.3</v>
      </c>
      <c r="R87" s="207">
        <f t="shared" si="20"/>
        <v>2570236</v>
      </c>
      <c r="S87" s="226">
        <f t="shared" si="20"/>
        <v>7545974.4699999997</v>
      </c>
      <c r="T87" s="227">
        <f>N87/'2017'!N87-1</f>
        <v>-0.1106770082278733</v>
      </c>
      <c r="U87" s="228">
        <f>O87/'2017'!O87-1</f>
        <v>0.1498533271084328</v>
      </c>
      <c r="V87" s="228">
        <f>P87/'2017'!P87-1</f>
        <v>-4.5539407547653621E-2</v>
      </c>
      <c r="W87" s="228">
        <f>Q87/'2017'!Q87-1</f>
        <v>6.9786405293311482E-2</v>
      </c>
      <c r="X87" s="228">
        <f>R87/'2017'!R87-1</f>
        <v>0.22222010876284637</v>
      </c>
      <c r="Y87" s="244">
        <f>S87/'2017'!S87-1</f>
        <v>0.11374947913512479</v>
      </c>
      <c r="Z87" s="245"/>
      <c r="AA87" s="246">
        <f t="shared" si="30"/>
        <v>485.43883</v>
      </c>
      <c r="AB87" s="247"/>
      <c r="AC87" s="248"/>
      <c r="AD87" s="247">
        <f t="shared" si="26"/>
        <v>4975738.47</v>
      </c>
      <c r="AE87" s="177">
        <f t="shared" si="28"/>
        <v>27601.29</v>
      </c>
      <c r="AF87" s="177">
        <f t="shared" ref="AF87:AF102" si="33">AF86+L87</f>
        <v>43161.64</v>
      </c>
      <c r="AG87" s="248">
        <f t="shared" si="27"/>
        <v>50587.239999999918</v>
      </c>
      <c r="AH87" s="263"/>
      <c r="AI87" s="264"/>
      <c r="AJ87" s="264"/>
      <c r="AK87" s="264"/>
      <c r="AL87" s="264"/>
      <c r="AM87" s="264"/>
      <c r="AN87" s="264"/>
      <c r="AO87" s="264"/>
      <c r="AP87" s="264"/>
      <c r="AQ87" s="264"/>
      <c r="AR87" s="264"/>
      <c r="AS87" s="264"/>
      <c r="AT87" s="264"/>
      <c r="AU87" s="264"/>
      <c r="AV87" s="264"/>
      <c r="AW87" s="264"/>
      <c r="AX87" s="264"/>
      <c r="AY87" s="264"/>
      <c r="AZ87" s="264"/>
      <c r="BA87" s="264"/>
      <c r="BB87" s="264"/>
      <c r="BC87" s="264"/>
    </row>
    <row r="88" spans="1:55" x14ac:dyDescent="0.15">
      <c r="A88" s="180">
        <v>42818</v>
      </c>
      <c r="B88" s="175" t="s">
        <v>39</v>
      </c>
      <c r="C88" s="176">
        <f>61288+3566</f>
        <v>64854</v>
      </c>
      <c r="D88" s="177">
        <f>20683+12543</f>
        <v>33226</v>
      </c>
      <c r="E88" s="177">
        <f>78947+20683</f>
        <v>99630</v>
      </c>
      <c r="F88" s="178">
        <v>4816</v>
      </c>
      <c r="G88" s="177">
        <v>3360</v>
      </c>
      <c r="H88" s="179"/>
      <c r="I88" s="179"/>
      <c r="J88" s="204">
        <f t="shared" si="24"/>
        <v>66404</v>
      </c>
      <c r="K88" s="177">
        <v>659</v>
      </c>
      <c r="L88" s="177">
        <v>0</v>
      </c>
      <c r="M88" s="205">
        <f t="shared" si="25"/>
        <v>891</v>
      </c>
      <c r="N88" s="206">
        <f t="shared" si="21"/>
        <v>1452470</v>
      </c>
      <c r="O88" s="207">
        <f t="shared" si="23"/>
        <v>754859</v>
      </c>
      <c r="P88" s="208">
        <f t="shared" si="22"/>
        <v>2236086</v>
      </c>
      <c r="Q88" s="225">
        <f t="shared" si="20"/>
        <v>4919242.3</v>
      </c>
      <c r="R88" s="207">
        <f t="shared" si="20"/>
        <v>2603462</v>
      </c>
      <c r="S88" s="226">
        <f t="shared" si="20"/>
        <v>7645604.4699999997</v>
      </c>
      <c r="T88" s="227">
        <f>N88/'2017'!N88-1</f>
        <v>-0.10908136263989709</v>
      </c>
      <c r="U88" s="228">
        <f>O88/'2017'!O88-1</f>
        <v>0.15128586810967781</v>
      </c>
      <c r="V88" s="228">
        <f>P88/'2017'!P88-1</f>
        <v>-4.3630744463771687E-2</v>
      </c>
      <c r="W88" s="228">
        <f>Q88/'2017'!Q88-1</f>
        <v>6.7609394927030664E-2</v>
      </c>
      <c r="X88" s="228">
        <f>R88/'2017'!R88-1</f>
        <v>0.22170733687376321</v>
      </c>
      <c r="Y88" s="244">
        <f>S88/'2017'!S88-1</f>
        <v>0.11208842630097204</v>
      </c>
      <c r="Z88" s="245"/>
      <c r="AA88" s="246">
        <f t="shared" si="30"/>
        <v>491.92422999999997</v>
      </c>
      <c r="AB88" s="247"/>
      <c r="AC88" s="248"/>
      <c r="AD88" s="247">
        <f t="shared" si="26"/>
        <v>5042142.47</v>
      </c>
      <c r="AE88" s="177">
        <f t="shared" si="28"/>
        <v>28260.29</v>
      </c>
      <c r="AF88" s="177">
        <f t="shared" si="33"/>
        <v>43161.64</v>
      </c>
      <c r="AG88" s="248">
        <f t="shared" si="27"/>
        <v>51478.239999999918</v>
      </c>
      <c r="AH88" s="263"/>
      <c r="AI88" s="264"/>
      <c r="AJ88" s="264"/>
      <c r="AK88" s="264"/>
      <c r="AL88" s="264"/>
      <c r="AM88" s="264"/>
      <c r="AN88" s="264"/>
      <c r="AO88" s="264"/>
      <c r="AP88" s="264"/>
      <c r="AQ88" s="264"/>
      <c r="AR88" s="264"/>
      <c r="AS88" s="264"/>
      <c r="AT88" s="264"/>
      <c r="AU88" s="264"/>
      <c r="AV88" s="264"/>
      <c r="AW88" s="264"/>
      <c r="AX88" s="264"/>
      <c r="AY88" s="264"/>
      <c r="AZ88" s="264"/>
      <c r="BA88" s="264"/>
      <c r="BB88" s="264"/>
      <c r="BC88" s="264"/>
    </row>
    <row r="89" spans="1:55" x14ac:dyDescent="0.15">
      <c r="A89" s="180">
        <v>42819</v>
      </c>
      <c r="B89" s="175" t="s">
        <v>1</v>
      </c>
      <c r="C89" s="176">
        <v>63228</v>
      </c>
      <c r="D89" s="177">
        <f>9605+22651</f>
        <v>32256</v>
      </c>
      <c r="E89" s="177">
        <v>96260</v>
      </c>
      <c r="F89" s="178">
        <v>4763</v>
      </c>
      <c r="G89" s="177">
        <v>3270</v>
      </c>
      <c r="H89" s="179"/>
      <c r="I89" s="179"/>
      <c r="J89" s="204">
        <f t="shared" si="24"/>
        <v>64004</v>
      </c>
      <c r="K89" s="177">
        <v>231</v>
      </c>
      <c r="L89" s="177">
        <v>0</v>
      </c>
      <c r="M89" s="205">
        <f t="shared" si="25"/>
        <v>545</v>
      </c>
      <c r="N89" s="206">
        <f t="shared" si="21"/>
        <v>1515698</v>
      </c>
      <c r="O89" s="207">
        <f t="shared" si="23"/>
        <v>787115</v>
      </c>
      <c r="P89" s="208">
        <f t="shared" si="22"/>
        <v>2332346</v>
      </c>
      <c r="Q89" s="225">
        <f t="shared" si="20"/>
        <v>4982470.3</v>
      </c>
      <c r="R89" s="207">
        <f t="shared" si="20"/>
        <v>2635718</v>
      </c>
      <c r="S89" s="226">
        <f t="shared" si="20"/>
        <v>7741864.4699999997</v>
      </c>
      <c r="T89" s="227">
        <f>N89/'2017'!N89-1</f>
        <v>-0.10649189875880205</v>
      </c>
      <c r="U89" s="228">
        <f>O89/'2017'!O89-1</f>
        <v>0.15311309698212705</v>
      </c>
      <c r="V89" s="228">
        <f>P89/'2017'!P89-1</f>
        <v>-4.1263929823695977E-2</v>
      </c>
      <c r="W89" s="228">
        <f>Q89/'2017'!Q89-1</f>
        <v>6.6052647776895457E-2</v>
      </c>
      <c r="X89" s="228">
        <f>R89/'2017'!R89-1</f>
        <v>0.22140637099229488</v>
      </c>
      <c r="Y89" s="244">
        <f>S89/'2017'!S89-1</f>
        <v>0.11080025998656295</v>
      </c>
      <c r="Z89" s="245">
        <v>21.66</v>
      </c>
      <c r="AA89" s="246">
        <f t="shared" si="30"/>
        <v>476.58702999999997</v>
      </c>
      <c r="AB89" s="247">
        <v>4269.4799999999996</v>
      </c>
      <c r="AC89" s="248">
        <f t="shared" si="31"/>
        <v>1116.2648144504717</v>
      </c>
      <c r="AD89" s="247">
        <f t="shared" si="26"/>
        <v>5106146.47</v>
      </c>
      <c r="AE89" s="177">
        <f t="shared" si="28"/>
        <v>28491.29</v>
      </c>
      <c r="AF89" s="177">
        <f t="shared" si="33"/>
        <v>43161.64</v>
      </c>
      <c r="AG89" s="248">
        <f t="shared" si="27"/>
        <v>52023.239999999918</v>
      </c>
      <c r="AH89" s="263"/>
      <c r="AI89" s="264"/>
      <c r="AJ89" s="264"/>
      <c r="AK89" s="264"/>
      <c r="AL89" s="264"/>
      <c r="AM89" s="264"/>
      <c r="AN89" s="264"/>
      <c r="AO89" s="264"/>
      <c r="AP89" s="264"/>
      <c r="AQ89" s="264"/>
      <c r="AR89" s="264"/>
      <c r="AS89" s="264"/>
      <c r="AT89" s="264"/>
      <c r="AU89" s="264"/>
      <c r="AV89" s="264"/>
      <c r="AW89" s="264"/>
      <c r="AX89" s="264"/>
      <c r="AY89" s="264"/>
      <c r="AZ89" s="264"/>
      <c r="BA89" s="264"/>
      <c r="BB89" s="264"/>
      <c r="BC89" s="264"/>
    </row>
    <row r="90" spans="1:55" x14ac:dyDescent="0.15">
      <c r="A90" s="180">
        <v>42820</v>
      </c>
      <c r="B90" s="175" t="s">
        <v>34</v>
      </c>
      <c r="C90" s="176">
        <v>67800</v>
      </c>
      <c r="D90" s="177">
        <f>9732+22713</f>
        <v>32445</v>
      </c>
      <c r="E90" s="177">
        <v>101441</v>
      </c>
      <c r="F90" s="178">
        <v>5182</v>
      </c>
      <c r="G90" s="177">
        <v>3209</v>
      </c>
      <c r="H90" s="179"/>
      <c r="I90" s="179"/>
      <c r="J90" s="204">
        <f t="shared" si="24"/>
        <v>68996</v>
      </c>
      <c r="K90" s="177">
        <v>653</v>
      </c>
      <c r="L90" s="177">
        <v>0</v>
      </c>
      <c r="M90" s="205">
        <f t="shared" si="25"/>
        <v>543</v>
      </c>
      <c r="N90" s="206">
        <f t="shared" si="21"/>
        <v>1583498</v>
      </c>
      <c r="O90" s="207">
        <f t="shared" si="23"/>
        <v>819560</v>
      </c>
      <c r="P90" s="208">
        <f t="shared" si="22"/>
        <v>2433787</v>
      </c>
      <c r="Q90" s="225">
        <f t="shared" si="20"/>
        <v>5050270.3</v>
      </c>
      <c r="R90" s="207">
        <f t="shared" si="20"/>
        <v>2668163</v>
      </c>
      <c r="S90" s="226">
        <f t="shared" si="20"/>
        <v>7843305.4699999997</v>
      </c>
      <c r="T90" s="227">
        <f>N90/'2017'!N90-1</f>
        <v>-9.8249628280203005E-2</v>
      </c>
      <c r="U90" s="228">
        <f>O90/'2017'!O90-1</f>
        <v>0.15514123545255809</v>
      </c>
      <c r="V90" s="228">
        <f>P90/'2017'!P90-1</f>
        <v>-3.4694160856079903E-2</v>
      </c>
      <c r="W90" s="228">
        <f>Q90/'2017'!Q90-1</f>
        <v>6.6934849169007382E-2</v>
      </c>
      <c r="X90" s="228">
        <f>R90/'2017'!R90-1</f>
        <v>0.22122448194959232</v>
      </c>
      <c r="Y90" s="244">
        <f>S90/'2017'!S90-1</f>
        <v>0.11123973060093717</v>
      </c>
      <c r="Z90" s="245">
        <v>22.11</v>
      </c>
      <c r="AA90" s="246">
        <f t="shared" si="30"/>
        <v>482.91702999999995</v>
      </c>
      <c r="AB90" s="247"/>
      <c r="AC90" s="248"/>
      <c r="AD90" s="247">
        <f t="shared" si="26"/>
        <v>5175142.47</v>
      </c>
      <c r="AE90" s="177">
        <f t="shared" si="28"/>
        <v>29144.29</v>
      </c>
      <c r="AF90" s="177">
        <f t="shared" si="33"/>
        <v>43161.64</v>
      </c>
      <c r="AG90" s="248">
        <f t="shared" si="27"/>
        <v>52566.239999999918</v>
      </c>
      <c r="AH90" s="263"/>
      <c r="AI90" s="264"/>
      <c r="AJ90" s="264"/>
      <c r="AK90" s="264"/>
      <c r="AL90" s="264"/>
      <c r="AM90" s="264"/>
      <c r="AN90" s="264"/>
      <c r="AO90" s="264"/>
      <c r="AP90" s="264"/>
      <c r="AQ90" s="264"/>
      <c r="AR90" s="264"/>
      <c r="AS90" s="264"/>
      <c r="AT90" s="264"/>
      <c r="AU90" s="264"/>
      <c r="AV90" s="264"/>
      <c r="AW90" s="264"/>
      <c r="AX90" s="264"/>
      <c r="AY90" s="264"/>
      <c r="AZ90" s="264"/>
      <c r="BA90" s="264"/>
      <c r="BB90" s="264"/>
      <c r="BC90" s="264"/>
    </row>
    <row r="91" spans="1:55" x14ac:dyDescent="0.15">
      <c r="A91" s="180">
        <v>42821</v>
      </c>
      <c r="B91" s="175" t="s">
        <v>35</v>
      </c>
      <c r="C91" s="176">
        <v>68939</v>
      </c>
      <c r="D91" s="177">
        <f>9795+21218</f>
        <v>31013</v>
      </c>
      <c r="E91" s="177">
        <v>101194</v>
      </c>
      <c r="F91" s="178">
        <v>4966</v>
      </c>
      <c r="G91" s="177">
        <v>3377</v>
      </c>
      <c r="H91" s="179"/>
      <c r="I91" s="179"/>
      <c r="J91" s="204">
        <f t="shared" si="24"/>
        <v>70181</v>
      </c>
      <c r="K91" s="177">
        <v>247</v>
      </c>
      <c r="L91" s="177">
        <v>0</v>
      </c>
      <c r="M91" s="205">
        <f t="shared" si="25"/>
        <v>995</v>
      </c>
      <c r="N91" s="206">
        <f t="shared" si="21"/>
        <v>1652437</v>
      </c>
      <c r="O91" s="207">
        <f t="shared" si="23"/>
        <v>850573</v>
      </c>
      <c r="P91" s="208">
        <f t="shared" si="22"/>
        <v>2534981</v>
      </c>
      <c r="Q91" s="225">
        <f t="shared" si="20"/>
        <v>5119209.3</v>
      </c>
      <c r="R91" s="207">
        <f t="shared" si="20"/>
        <v>2699176</v>
      </c>
      <c r="S91" s="226">
        <f t="shared" si="20"/>
        <v>7944499.4699999997</v>
      </c>
      <c r="T91" s="227">
        <f>N91/'2017'!N91-1</f>
        <v>-9.0660604539771428E-2</v>
      </c>
      <c r="U91" s="228">
        <f>O91/'2017'!O91-1</f>
        <v>0.15243799995664342</v>
      </c>
      <c r="V91" s="228">
        <f>P91/'2017'!P91-1</f>
        <v>-3.0145670533997748E-2</v>
      </c>
      <c r="W91" s="228">
        <f>Q91/'2017'!Q91-1</f>
        <v>6.7704145675426819E-2</v>
      </c>
      <c r="X91" s="228">
        <f>R91/'2017'!R91-1</f>
        <v>0.2194699469278274</v>
      </c>
      <c r="Y91" s="244">
        <f>S91/'2017'!S91-1</f>
        <v>0.11101424920893388</v>
      </c>
      <c r="Z91" s="245"/>
      <c r="AA91" s="246">
        <f t="shared" si="30"/>
        <v>511.92093</v>
      </c>
      <c r="AB91" s="247"/>
      <c r="AC91" s="248"/>
      <c r="AD91" s="247">
        <f t="shared" si="26"/>
        <v>5245323.47</v>
      </c>
      <c r="AE91" s="177">
        <f t="shared" si="28"/>
        <v>29391.29</v>
      </c>
      <c r="AF91" s="177">
        <f t="shared" si="33"/>
        <v>43161.64</v>
      </c>
      <c r="AG91" s="248">
        <f t="shared" si="27"/>
        <v>53561.239999999918</v>
      </c>
      <c r="AH91" s="263"/>
      <c r="AI91" s="264"/>
      <c r="AJ91" s="264"/>
      <c r="AK91" s="264"/>
      <c r="AL91" s="264"/>
      <c r="AM91" s="264"/>
      <c r="AN91" s="264"/>
      <c r="AO91" s="264"/>
      <c r="AP91" s="264"/>
      <c r="AQ91" s="264"/>
      <c r="AR91" s="264"/>
      <c r="AS91" s="264"/>
      <c r="AT91" s="264"/>
      <c r="AU91" s="264"/>
      <c r="AV91" s="264"/>
      <c r="AW91" s="264"/>
      <c r="AX91" s="264"/>
      <c r="AY91" s="264"/>
      <c r="AZ91" s="264"/>
      <c r="BA91" s="264"/>
      <c r="BB91" s="264"/>
      <c r="BC91" s="264"/>
    </row>
    <row r="92" spans="1:55" x14ac:dyDescent="0.15">
      <c r="A92" s="180">
        <v>42822</v>
      </c>
      <c r="B92" s="175" t="s">
        <v>36</v>
      </c>
      <c r="C92" s="176">
        <v>67264</v>
      </c>
      <c r="D92" s="177">
        <f>9997+21430</f>
        <v>31427</v>
      </c>
      <c r="E92" s="177">
        <v>100421</v>
      </c>
      <c r="F92" s="178">
        <v>4878</v>
      </c>
      <c r="G92" s="177">
        <v>3380</v>
      </c>
      <c r="H92" s="179"/>
      <c r="I92" s="179"/>
      <c r="J92" s="204">
        <f t="shared" si="24"/>
        <v>68994</v>
      </c>
      <c r="K92" s="177">
        <v>588</v>
      </c>
      <c r="L92" s="177">
        <v>0</v>
      </c>
      <c r="M92" s="205">
        <f t="shared" si="25"/>
        <v>1142</v>
      </c>
      <c r="N92" s="206">
        <f t="shared" si="21"/>
        <v>1719701</v>
      </c>
      <c r="O92" s="207">
        <f t="shared" si="23"/>
        <v>882000</v>
      </c>
      <c r="P92" s="208">
        <f t="shared" si="22"/>
        <v>2635402</v>
      </c>
      <c r="Q92" s="225">
        <f t="shared" si="20"/>
        <v>5186473.3</v>
      </c>
      <c r="R92" s="207">
        <f t="shared" si="20"/>
        <v>2730603</v>
      </c>
      <c r="S92" s="226">
        <f t="shared" si="20"/>
        <v>8044920.4699999997</v>
      </c>
      <c r="T92" s="227">
        <f>N92/'2017'!N92-1</f>
        <v>-8.6215664030223849E-2</v>
      </c>
      <c r="U92" s="228">
        <f>O92/'2017'!O92-1</f>
        <v>0.15283870191930649</v>
      </c>
      <c r="V92" s="228">
        <f>P92/'2017'!P92-1</f>
        <v>-2.6866211745243951E-2</v>
      </c>
      <c r="W92" s="228">
        <f>Q92/'2017'!Q92-1</f>
        <v>6.7314739918598931E-2</v>
      </c>
      <c r="X92" s="228">
        <f>R92/'2017'!R92-1</f>
        <v>0.21879883324666749</v>
      </c>
      <c r="Y92" s="244">
        <f>S92/'2017'!S92-1</f>
        <v>0.11040113058652201</v>
      </c>
      <c r="Z92" s="245"/>
      <c r="AA92" s="246">
        <f t="shared" si="30"/>
        <v>518.64733000000001</v>
      </c>
      <c r="AB92" s="247"/>
      <c r="AC92" s="248"/>
      <c r="AD92" s="247">
        <f t="shared" si="26"/>
        <v>5314317.47</v>
      </c>
      <c r="AE92" s="177">
        <f t="shared" si="28"/>
        <v>29979.29</v>
      </c>
      <c r="AF92" s="177">
        <f t="shared" si="33"/>
        <v>43161.64</v>
      </c>
      <c r="AG92" s="248">
        <f t="shared" si="27"/>
        <v>54703.239999999918</v>
      </c>
      <c r="AH92" s="263"/>
      <c r="AI92" s="264"/>
      <c r="AJ92" s="264"/>
      <c r="AK92" s="264"/>
      <c r="AL92" s="264"/>
      <c r="AM92" s="264"/>
      <c r="AN92" s="264"/>
      <c r="AO92" s="264"/>
      <c r="AP92" s="264"/>
      <c r="AQ92" s="264"/>
      <c r="AR92" s="264"/>
      <c r="AS92" s="264"/>
      <c r="AT92" s="264"/>
      <c r="AU92" s="264"/>
      <c r="AV92" s="264"/>
      <c r="AW92" s="264"/>
      <c r="AX92" s="264"/>
      <c r="AY92" s="264"/>
      <c r="AZ92" s="264"/>
      <c r="BA92" s="264"/>
      <c r="BB92" s="264"/>
      <c r="BC92" s="264"/>
    </row>
    <row r="93" spans="1:55" s="157" customFormat="1" x14ac:dyDescent="0.15">
      <c r="A93" s="181">
        <v>42823</v>
      </c>
      <c r="B93" s="182" t="s">
        <v>37</v>
      </c>
      <c r="C93" s="183">
        <f>64114+4466</f>
        <v>68580</v>
      </c>
      <c r="D93" s="184">
        <f>17348+13602</f>
        <v>30950</v>
      </c>
      <c r="E93" s="184">
        <f>83750+17348</f>
        <v>101098</v>
      </c>
      <c r="F93" s="185">
        <v>4911</v>
      </c>
      <c r="G93" s="184">
        <v>3368</v>
      </c>
      <c r="H93" s="186"/>
      <c r="I93" s="186"/>
      <c r="J93" s="210">
        <f t="shared" si="24"/>
        <v>70148</v>
      </c>
      <c r="K93" s="184">
        <v>571</v>
      </c>
      <c r="L93" s="184">
        <v>0</v>
      </c>
      <c r="M93" s="211">
        <f t="shared" si="25"/>
        <v>997</v>
      </c>
      <c r="N93" s="212">
        <f t="shared" si="21"/>
        <v>1788281</v>
      </c>
      <c r="O93" s="207">
        <f t="shared" si="23"/>
        <v>912950</v>
      </c>
      <c r="P93" s="214">
        <f t="shared" si="22"/>
        <v>2736500</v>
      </c>
      <c r="Q93" s="229">
        <f t="shared" si="20"/>
        <v>5255053.3</v>
      </c>
      <c r="R93" s="213">
        <f t="shared" si="20"/>
        <v>2761553</v>
      </c>
      <c r="S93" s="230">
        <f t="shared" si="20"/>
        <v>8146018.4699999997</v>
      </c>
      <c r="T93" s="231">
        <f>N93/'2017'!N93-1</f>
        <v>-7.9653555334597281E-2</v>
      </c>
      <c r="U93" s="232">
        <f>O93/'2017'!O93-1</f>
        <v>0.14910193960905738</v>
      </c>
      <c r="V93" s="232">
        <f>P93/'2017'!P93-1</f>
        <v>-2.330574866567825E-2</v>
      </c>
      <c r="W93" s="232">
        <f>Q93/'2017'!Q93-1</f>
        <v>6.7999689915379635E-2</v>
      </c>
      <c r="X93" s="232">
        <f>R93/'2017'!R93-1</f>
        <v>0.21663589339628087</v>
      </c>
      <c r="Y93" s="249">
        <f>S93/'2017'!S93-1</f>
        <v>0.11000899810007225</v>
      </c>
      <c r="Z93" s="250">
        <v>23.59</v>
      </c>
      <c r="AA93" s="251">
        <f t="shared" si="30"/>
        <v>501.91532999999998</v>
      </c>
      <c r="AB93" s="252">
        <v>4269.4799999999996</v>
      </c>
      <c r="AC93" s="211">
        <f t="shared" si="31"/>
        <v>1175.588900756064</v>
      </c>
      <c r="AD93" s="252">
        <f t="shared" si="26"/>
        <v>5384465.4699999997</v>
      </c>
      <c r="AE93" s="184">
        <f t="shared" si="28"/>
        <v>30550.29</v>
      </c>
      <c r="AF93" s="184">
        <f t="shared" si="33"/>
        <v>43161.64</v>
      </c>
      <c r="AG93" s="211">
        <f t="shared" si="27"/>
        <v>55700.239999999918</v>
      </c>
      <c r="AH93" s="263"/>
      <c r="AI93" s="264"/>
      <c r="AJ93" s="264"/>
      <c r="AK93" s="264"/>
      <c r="AL93" s="264"/>
      <c r="AM93" s="264"/>
      <c r="AN93" s="264"/>
      <c r="AO93" s="264"/>
      <c r="AP93" s="264"/>
      <c r="AQ93" s="264"/>
      <c r="AR93" s="264"/>
      <c r="AS93" s="264"/>
      <c r="AT93" s="264"/>
      <c r="AU93" s="264"/>
      <c r="AV93" s="264"/>
      <c r="AW93" s="264"/>
      <c r="AX93" s="264"/>
      <c r="AY93" s="264"/>
      <c r="AZ93" s="264"/>
      <c r="BA93" s="264"/>
      <c r="BB93" s="264"/>
      <c r="BC93" s="264"/>
    </row>
    <row r="94" spans="1:55" x14ac:dyDescent="0.15">
      <c r="A94" s="180">
        <v>42824</v>
      </c>
      <c r="B94" s="175" t="s">
        <v>38</v>
      </c>
      <c r="C94" s="176">
        <v>68728</v>
      </c>
      <c r="D94" s="177">
        <f>20180+10938</f>
        <v>31118</v>
      </c>
      <c r="E94" s="177">
        <v>101478</v>
      </c>
      <c r="F94" s="178">
        <v>4972.2</v>
      </c>
      <c r="G94" s="177">
        <v>3372.3</v>
      </c>
      <c r="H94" s="179"/>
      <c r="I94" s="179"/>
      <c r="J94" s="204">
        <f t="shared" si="24"/>
        <v>70360</v>
      </c>
      <c r="K94" s="177">
        <v>506</v>
      </c>
      <c r="L94" s="177">
        <v>0</v>
      </c>
      <c r="M94" s="205">
        <f t="shared" si="25"/>
        <v>1126</v>
      </c>
      <c r="N94" s="206">
        <f t="shared" si="21"/>
        <v>1857009</v>
      </c>
      <c r="O94" s="207">
        <f t="shared" si="23"/>
        <v>944068</v>
      </c>
      <c r="P94" s="208">
        <f t="shared" si="22"/>
        <v>2837978</v>
      </c>
      <c r="Q94" s="225">
        <f t="shared" si="20"/>
        <v>5323781.3</v>
      </c>
      <c r="R94" s="207">
        <f t="shared" si="20"/>
        <v>2792671</v>
      </c>
      <c r="S94" s="226">
        <f t="shared" si="20"/>
        <v>8247496.4699999997</v>
      </c>
      <c r="T94" s="227">
        <f>N94/'2017'!N94-1</f>
        <v>-7.4367275527675414E-2</v>
      </c>
      <c r="U94" s="228">
        <f>O94/'2017'!O94-1</f>
        <v>0.14568578432562318</v>
      </c>
      <c r="V94" s="228">
        <f>P94/'2017'!P94-1</f>
        <v>-2.0753425319275487E-2</v>
      </c>
      <c r="W94" s="228">
        <f>Q94/'2017'!Q94-1</f>
        <v>6.825665503880507E-2</v>
      </c>
      <c r="X94" s="228">
        <f>R94/'2017'!R94-1</f>
        <v>0.21454432695749293</v>
      </c>
      <c r="Y94" s="244">
        <f>S94/'2017'!S94-1</f>
        <v>0.10927669000024332</v>
      </c>
      <c r="Z94" s="245"/>
      <c r="AA94" s="246">
        <f t="shared" si="30"/>
        <v>532.37812999999994</v>
      </c>
      <c r="AB94" s="247"/>
      <c r="AC94" s="248"/>
      <c r="AD94" s="247">
        <f t="shared" si="26"/>
        <v>5454825.4699999997</v>
      </c>
      <c r="AE94" s="177">
        <f t="shared" si="28"/>
        <v>31056.29</v>
      </c>
      <c r="AF94" s="177">
        <f t="shared" si="33"/>
        <v>43161.64</v>
      </c>
      <c r="AG94" s="248">
        <f t="shared" si="27"/>
        <v>56826.239999999918</v>
      </c>
      <c r="AH94" s="263"/>
      <c r="AI94" s="264"/>
      <c r="AJ94" s="264"/>
      <c r="AK94" s="264"/>
      <c r="AL94" s="264"/>
      <c r="AM94" s="264"/>
      <c r="AN94" s="264"/>
      <c r="AO94" s="264"/>
      <c r="AP94" s="264"/>
      <c r="AQ94" s="264"/>
      <c r="AR94" s="264"/>
      <c r="AS94" s="264"/>
      <c r="AT94" s="264"/>
      <c r="AU94" s="264"/>
      <c r="AV94" s="264"/>
      <c r="AW94" s="264"/>
      <c r="AX94" s="264"/>
      <c r="AY94" s="264"/>
      <c r="AZ94" s="264"/>
      <c r="BA94" s="264"/>
      <c r="BB94" s="264"/>
      <c r="BC94" s="264"/>
    </row>
    <row r="95" spans="1:55" x14ac:dyDescent="0.15">
      <c r="A95" s="195">
        <v>42825</v>
      </c>
      <c r="B95" s="188" t="s">
        <v>39</v>
      </c>
      <c r="C95" s="189">
        <v>66290</v>
      </c>
      <c r="D95" s="190">
        <f>20421+10969</f>
        <v>31390</v>
      </c>
      <c r="E95" s="190">
        <v>98986</v>
      </c>
      <c r="F95" s="191">
        <v>4793.1000000000004</v>
      </c>
      <c r="G95" s="190">
        <v>3386.7</v>
      </c>
      <c r="H95" s="192"/>
      <c r="I95" s="192"/>
      <c r="J95" s="216">
        <f t="shared" si="24"/>
        <v>67596</v>
      </c>
      <c r="K95" s="190">
        <v>170</v>
      </c>
      <c r="L95" s="190">
        <v>0</v>
      </c>
      <c r="M95" s="217">
        <f t="shared" si="25"/>
        <v>1136</v>
      </c>
      <c r="N95" s="218">
        <f t="shared" si="21"/>
        <v>1923299</v>
      </c>
      <c r="O95" s="219">
        <f t="shared" si="23"/>
        <v>975458</v>
      </c>
      <c r="P95" s="220">
        <f t="shared" si="22"/>
        <v>2936964</v>
      </c>
      <c r="Q95" s="233">
        <f t="shared" si="20"/>
        <v>5390071.2999999998</v>
      </c>
      <c r="R95" s="219">
        <f t="shared" ref="R95:S95" si="34">R$63+O95</f>
        <v>2824061</v>
      </c>
      <c r="S95" s="234">
        <f t="shared" si="34"/>
        <v>8346482.4699999997</v>
      </c>
      <c r="T95" s="235">
        <f>N95/'2017'!N95-1</f>
        <v>-7.1114291402093133E-2</v>
      </c>
      <c r="U95" s="236">
        <f>O95/'2017'!O95-1</f>
        <v>0.14474789817348821</v>
      </c>
      <c r="V95" s="236">
        <f>P95/'2017'!P95-1</f>
        <v>-1.8789230536909618E-2</v>
      </c>
      <c r="W95" s="269">
        <f>Q95/'2017'!Q95-1</f>
        <v>6.7773117759250656E-2</v>
      </c>
      <c r="X95" s="236">
        <f>R95/'2017'!R95-1</f>
        <v>0.2133697221812858</v>
      </c>
      <c r="Y95" s="270">
        <f>S95/'2017'!S95-1</f>
        <v>0.1084156089974011</v>
      </c>
      <c r="Z95" s="255"/>
      <c r="AA95" s="256">
        <f t="shared" si="30"/>
        <v>539.00712999999996</v>
      </c>
      <c r="AB95" s="257"/>
      <c r="AC95" s="258"/>
      <c r="AD95" s="257">
        <f t="shared" si="26"/>
        <v>5522421.4699999997</v>
      </c>
      <c r="AE95" s="190">
        <f t="shared" si="28"/>
        <v>31226.29</v>
      </c>
      <c r="AF95" s="190">
        <f t="shared" si="33"/>
        <v>43161.64</v>
      </c>
      <c r="AG95" s="258">
        <f t="shared" si="27"/>
        <v>57962.239999999918</v>
      </c>
      <c r="AH95" s="263"/>
      <c r="AI95" s="264"/>
      <c r="AJ95" s="264"/>
      <c r="AK95" s="264"/>
      <c r="AL95" s="264"/>
      <c r="AM95" s="264"/>
      <c r="AN95" s="264"/>
      <c r="AO95" s="264"/>
      <c r="AP95" s="264"/>
      <c r="AQ95" s="264"/>
      <c r="AR95" s="264"/>
      <c r="AS95" s="264"/>
      <c r="AT95" s="264"/>
      <c r="AU95" s="264"/>
      <c r="AV95" s="264"/>
      <c r="AW95" s="264"/>
      <c r="AX95" s="264"/>
      <c r="AY95" s="264"/>
      <c r="AZ95" s="264"/>
      <c r="BA95" s="264"/>
      <c r="BB95" s="264"/>
      <c r="BC95" s="264"/>
    </row>
    <row r="96" spans="1:55" x14ac:dyDescent="0.15">
      <c r="A96" s="180">
        <v>42826</v>
      </c>
      <c r="B96" s="175" t="s">
        <v>1</v>
      </c>
      <c r="C96" s="176">
        <v>64756</v>
      </c>
      <c r="D96" s="177">
        <f>17305+11294</f>
        <v>28599</v>
      </c>
      <c r="E96" s="177">
        <v>94516</v>
      </c>
      <c r="F96" s="178">
        <v>4485.8</v>
      </c>
      <c r="G96" s="177">
        <v>3270.9</v>
      </c>
      <c r="H96" s="179"/>
      <c r="I96" s="179"/>
      <c r="J96" s="204">
        <f t="shared" si="24"/>
        <v>65917</v>
      </c>
      <c r="K96" s="177">
        <v>129</v>
      </c>
      <c r="L96" s="177">
        <v>0</v>
      </c>
      <c r="M96" s="205">
        <f t="shared" si="25"/>
        <v>1032</v>
      </c>
      <c r="N96" s="206">
        <f>C96</f>
        <v>64756</v>
      </c>
      <c r="O96" s="207">
        <f>D96</f>
        <v>28599</v>
      </c>
      <c r="P96" s="208">
        <f>E96</f>
        <v>94516</v>
      </c>
      <c r="Q96" s="225">
        <f>N96+Q$95</f>
        <v>5454827.2999999998</v>
      </c>
      <c r="R96" s="207">
        <f>O96+R$95</f>
        <v>2852660</v>
      </c>
      <c r="S96" s="226">
        <f>P96+S$95</f>
        <v>8440998.4699999988</v>
      </c>
      <c r="T96" s="227">
        <f>N96/'2017'!N96-1</f>
        <v>8.6838306871202642E-2</v>
      </c>
      <c r="U96" s="228">
        <f>O96/'2017'!O96-1</f>
        <v>-3.1723997833152717E-2</v>
      </c>
      <c r="V96" s="228">
        <f>P96/'2017'!P96-1</f>
        <v>1.9997194133580809E-2</v>
      </c>
      <c r="W96" s="228">
        <f>Q96/'2017'!Q96-1</f>
        <v>6.7995522797530406E-2</v>
      </c>
      <c r="X96" s="228">
        <f>R96/'2017'!R96-1</f>
        <v>0.21029839341634604</v>
      </c>
      <c r="Y96" s="244">
        <f>S96/'2017'!S96-1</f>
        <v>0.10734078697456462</v>
      </c>
      <c r="Z96" s="245"/>
      <c r="AA96" s="246">
        <f t="shared" si="30"/>
        <v>545.48272999999995</v>
      </c>
      <c r="AB96" s="247"/>
      <c r="AC96" s="248"/>
      <c r="AD96" s="247">
        <f t="shared" si="26"/>
        <v>5588338.4699999988</v>
      </c>
      <c r="AE96" s="177">
        <f t="shared" si="28"/>
        <v>31355.29</v>
      </c>
      <c r="AF96" s="177">
        <f t="shared" si="33"/>
        <v>43161.64</v>
      </c>
      <c r="AG96" s="248">
        <f t="shared" si="27"/>
        <v>58994.239999998987</v>
      </c>
      <c r="AH96" s="263"/>
      <c r="AI96" s="264"/>
      <c r="AJ96" s="264"/>
      <c r="AK96" s="264"/>
      <c r="AL96" s="264"/>
      <c r="AM96" s="264"/>
      <c r="AN96" s="264"/>
      <c r="AO96" s="264"/>
      <c r="AP96" s="264"/>
      <c r="AQ96" s="264"/>
      <c r="AR96" s="264"/>
      <c r="AS96" s="264"/>
      <c r="AT96" s="264"/>
      <c r="AU96" s="264"/>
      <c r="AV96" s="264"/>
      <c r="AW96" s="264"/>
      <c r="AX96" s="264"/>
      <c r="AY96" s="264"/>
      <c r="AZ96" s="264"/>
      <c r="BA96" s="264"/>
      <c r="BB96" s="264"/>
      <c r="BC96" s="264"/>
    </row>
    <row r="97" spans="1:55" x14ac:dyDescent="0.15">
      <c r="A97" s="180">
        <v>42827</v>
      </c>
      <c r="B97" s="175" t="s">
        <v>34</v>
      </c>
      <c r="C97" s="176">
        <f>66811+4405</f>
        <v>71216</v>
      </c>
      <c r="D97" s="177">
        <f>14882+14627</f>
        <v>29509</v>
      </c>
      <c r="E97" s="177">
        <f>86991+14882</f>
        <v>101873</v>
      </c>
      <c r="F97" s="178">
        <v>5056</v>
      </c>
      <c r="G97" s="177">
        <v>3210</v>
      </c>
      <c r="H97" s="179"/>
      <c r="I97" s="179"/>
      <c r="J97" s="204">
        <f t="shared" si="24"/>
        <v>72364</v>
      </c>
      <c r="K97" s="177">
        <v>231</v>
      </c>
      <c r="L97" s="177">
        <v>0</v>
      </c>
      <c r="M97" s="205">
        <f t="shared" si="25"/>
        <v>917</v>
      </c>
      <c r="N97" s="206">
        <f t="shared" ref="N97:P112" si="35">N96+C97</f>
        <v>135972</v>
      </c>
      <c r="O97" s="209">
        <f t="shared" si="35"/>
        <v>58108</v>
      </c>
      <c r="P97" s="208">
        <f t="shared" si="35"/>
        <v>196389</v>
      </c>
      <c r="Q97" s="225">
        <f t="shared" ref="Q97:S124" si="36">N97+Q$95</f>
        <v>5526043.2999999998</v>
      </c>
      <c r="R97" s="207">
        <f t="shared" si="36"/>
        <v>2882169</v>
      </c>
      <c r="S97" s="226">
        <f t="shared" si="36"/>
        <v>8542871.4699999988</v>
      </c>
      <c r="T97" s="227">
        <f>N97/'2017'!N97-1</f>
        <v>0.1518462985082214</v>
      </c>
      <c r="U97" s="228">
        <f>O97/'2017'!O97-1</f>
        <v>1.719007107096604E-2</v>
      </c>
      <c r="V97" s="228">
        <f>P97/'2017'!P97-1</f>
        <v>8.0265350913381495E-2</v>
      </c>
      <c r="W97" s="228">
        <f>Q97/'2017'!Q97-1</f>
        <v>6.969425243863725E-2</v>
      </c>
      <c r="X97" s="228">
        <f>R97/'2017'!R97-1</f>
        <v>0.20866995809323163</v>
      </c>
      <c r="Y97" s="244">
        <f>S97/'2017'!S97-1</f>
        <v>0.10775200687511899</v>
      </c>
      <c r="Z97" s="245"/>
      <c r="AA97" s="246">
        <f t="shared" si="30"/>
        <v>552.60433</v>
      </c>
      <c r="AB97" s="247"/>
      <c r="AC97" s="248"/>
      <c r="AD97" s="247">
        <f t="shared" si="26"/>
        <v>5660702.4699999988</v>
      </c>
      <c r="AE97" s="177">
        <f t="shared" si="28"/>
        <v>31586.29</v>
      </c>
      <c r="AF97" s="177">
        <f t="shared" si="33"/>
        <v>43161.64</v>
      </c>
      <c r="AG97" s="248">
        <f t="shared" si="27"/>
        <v>59911.239999998987</v>
      </c>
      <c r="AH97" s="263"/>
      <c r="AI97" s="264"/>
      <c r="AJ97" s="264"/>
      <c r="AK97" s="264"/>
      <c r="AL97" s="264"/>
      <c r="AM97" s="264"/>
      <c r="AN97" s="264"/>
      <c r="AO97" s="264"/>
      <c r="AP97" s="264"/>
      <c r="AQ97" s="264"/>
      <c r="AR97" s="264"/>
      <c r="AS97" s="264"/>
      <c r="AT97" s="264"/>
      <c r="AU97" s="264"/>
      <c r="AV97" s="264"/>
      <c r="AW97" s="264"/>
      <c r="AX97" s="264"/>
      <c r="AY97" s="264"/>
      <c r="AZ97" s="264"/>
      <c r="BA97" s="264"/>
      <c r="BB97" s="264"/>
      <c r="BC97" s="264"/>
    </row>
    <row r="98" spans="1:55" x14ac:dyDescent="0.15">
      <c r="A98" s="180">
        <v>42828</v>
      </c>
      <c r="B98" s="175" t="s">
        <v>35</v>
      </c>
      <c r="C98" s="176">
        <v>71651</v>
      </c>
      <c r="D98" s="177">
        <f>11142+18118</f>
        <v>29260</v>
      </c>
      <c r="E98" s="177">
        <f>87128+15024</f>
        <v>102152</v>
      </c>
      <c r="F98" s="178">
        <v>4973</v>
      </c>
      <c r="G98" s="177">
        <v>3387</v>
      </c>
      <c r="H98" s="179"/>
      <c r="I98" s="179"/>
      <c r="J98" s="204">
        <f t="shared" si="24"/>
        <v>72892</v>
      </c>
      <c r="K98" s="177">
        <v>203</v>
      </c>
      <c r="L98" s="177">
        <v>0</v>
      </c>
      <c r="M98" s="205">
        <f t="shared" si="25"/>
        <v>1038</v>
      </c>
      <c r="N98" s="206">
        <f t="shared" si="35"/>
        <v>207623</v>
      </c>
      <c r="O98" s="209">
        <f t="shared" si="35"/>
        <v>87368</v>
      </c>
      <c r="P98" s="208">
        <f t="shared" si="35"/>
        <v>298541</v>
      </c>
      <c r="Q98" s="225">
        <f t="shared" si="36"/>
        <v>5597694.2999999998</v>
      </c>
      <c r="R98" s="207">
        <f t="shared" si="36"/>
        <v>2911429</v>
      </c>
      <c r="S98" s="226">
        <f t="shared" si="36"/>
        <v>8645023.4699999988</v>
      </c>
      <c r="T98" s="227">
        <f>N98/'2017'!N98-1</f>
        <v>0.20400944080072825</v>
      </c>
      <c r="U98" s="228">
        <f>O98/'2017'!O98-1</f>
        <v>5.5564281313051911E-2</v>
      </c>
      <c r="V98" s="228">
        <f>P98/'2017'!P98-1</f>
        <v>0.1256735203290964</v>
      </c>
      <c r="W98" s="228">
        <f>Q98/'2017'!Q98-1</f>
        <v>7.2273348873640897E-2</v>
      </c>
      <c r="X98" s="228">
        <f>R98/'2017'!R98-1</f>
        <v>0.20795055393237627</v>
      </c>
      <c r="Y98" s="244">
        <f>S98/'2017'!S98-1</f>
        <v>0.10900275514380331</v>
      </c>
      <c r="Z98" s="245"/>
      <c r="AA98" s="246">
        <f t="shared" si="30"/>
        <v>559.76942999999994</v>
      </c>
      <c r="AB98" s="247"/>
      <c r="AC98" s="248"/>
      <c r="AD98" s="247">
        <f t="shared" si="26"/>
        <v>5733594.4699999988</v>
      </c>
      <c r="AE98" s="177">
        <f t="shared" si="28"/>
        <v>31789.29</v>
      </c>
      <c r="AF98" s="177">
        <f t="shared" si="33"/>
        <v>43161.64</v>
      </c>
      <c r="AG98" s="248">
        <f t="shared" si="27"/>
        <v>60949.239999998987</v>
      </c>
      <c r="AH98" s="263"/>
      <c r="AI98" s="264"/>
      <c r="AJ98" s="264"/>
      <c r="AK98" s="264"/>
      <c r="AL98" s="264"/>
      <c r="AM98" s="264"/>
      <c r="AN98" s="264"/>
      <c r="AO98" s="264"/>
      <c r="AP98" s="264"/>
      <c r="AQ98" s="264"/>
      <c r="AR98" s="264"/>
      <c r="AS98" s="264"/>
      <c r="AT98" s="264"/>
      <c r="AU98" s="264"/>
      <c r="AV98" s="264"/>
      <c r="AW98" s="264"/>
      <c r="AX98" s="264"/>
      <c r="AY98" s="264"/>
      <c r="AZ98" s="264"/>
      <c r="BA98" s="264"/>
      <c r="BB98" s="264"/>
      <c r="BC98" s="264"/>
    </row>
    <row r="99" spans="1:55" x14ac:dyDescent="0.15">
      <c r="A99" s="180">
        <v>42829</v>
      </c>
      <c r="B99" s="175" t="s">
        <v>36</v>
      </c>
      <c r="C99" s="176">
        <f>66172+4239</f>
        <v>70411</v>
      </c>
      <c r="D99" s="177">
        <f>15432+14235</f>
        <v>29667</v>
      </c>
      <c r="E99" s="177">
        <f>85608+15432</f>
        <v>101040</v>
      </c>
      <c r="F99" s="178">
        <v>5130</v>
      </c>
      <c r="G99" s="177">
        <v>3383</v>
      </c>
      <c r="H99" s="179"/>
      <c r="I99" s="179"/>
      <c r="J99" s="204">
        <f t="shared" si="24"/>
        <v>71373</v>
      </c>
      <c r="K99" s="177">
        <v>433</v>
      </c>
      <c r="L99" s="177">
        <v>0</v>
      </c>
      <c r="M99" s="205">
        <f t="shared" si="25"/>
        <v>529</v>
      </c>
      <c r="N99" s="206">
        <f t="shared" si="35"/>
        <v>278034</v>
      </c>
      <c r="O99" s="209">
        <f t="shared" si="35"/>
        <v>117035</v>
      </c>
      <c r="P99" s="208">
        <f t="shared" si="35"/>
        <v>399581</v>
      </c>
      <c r="Q99" s="225">
        <f t="shared" si="36"/>
        <v>5668105.2999999998</v>
      </c>
      <c r="R99" s="207">
        <f t="shared" si="36"/>
        <v>2941096</v>
      </c>
      <c r="S99" s="226">
        <f t="shared" si="36"/>
        <v>8746063.4699999988</v>
      </c>
      <c r="T99" s="227">
        <f>N99/'2017'!N99-1</f>
        <v>0.27616389815805054</v>
      </c>
      <c r="U99" s="228">
        <f>O99/'2017'!O99-1</f>
        <v>0.10765663448798035</v>
      </c>
      <c r="V99" s="228">
        <f>P99/'2017'!P99-1</f>
        <v>0.19184697341183909</v>
      </c>
      <c r="W99" s="228">
        <f>Q99/'2017'!Q99-1</f>
        <v>7.6395032608209901E-2</v>
      </c>
      <c r="X99" s="228">
        <f>R99/'2017'!R99-1</f>
        <v>0.20877904149951121</v>
      </c>
      <c r="Y99" s="244">
        <f>S99/'2017'!S99-1</f>
        <v>0.11197188007329983</v>
      </c>
      <c r="Z99" s="245"/>
      <c r="AA99" s="246">
        <f t="shared" si="30"/>
        <v>566.81052999999997</v>
      </c>
      <c r="AB99" s="247"/>
      <c r="AC99" s="248"/>
      <c r="AD99" s="247">
        <f t="shared" si="26"/>
        <v>5804967.4699999988</v>
      </c>
      <c r="AE99" s="177">
        <f t="shared" si="28"/>
        <v>32222.29</v>
      </c>
      <c r="AF99" s="177">
        <f t="shared" si="33"/>
        <v>43161.64</v>
      </c>
      <c r="AG99" s="248">
        <f t="shared" si="27"/>
        <v>61478.239999998987</v>
      </c>
      <c r="AH99" s="263"/>
      <c r="AI99" s="264"/>
      <c r="AJ99" s="264"/>
      <c r="AK99" s="264"/>
      <c r="AL99" s="264"/>
      <c r="AM99" s="264"/>
      <c r="AN99" s="264"/>
      <c r="AO99" s="264"/>
      <c r="AP99" s="264"/>
      <c r="AQ99" s="264"/>
      <c r="AR99" s="264"/>
      <c r="AS99" s="264"/>
      <c r="AT99" s="264"/>
      <c r="AU99" s="264"/>
      <c r="AV99" s="264"/>
      <c r="AW99" s="264"/>
      <c r="AX99" s="264"/>
      <c r="AY99" s="264"/>
      <c r="AZ99" s="264"/>
      <c r="BA99" s="264"/>
      <c r="BB99" s="264"/>
      <c r="BC99" s="264"/>
    </row>
    <row r="100" spans="1:55" s="157" customFormat="1" x14ac:dyDescent="0.15">
      <c r="A100" s="181">
        <v>42830</v>
      </c>
      <c r="B100" s="182" t="s">
        <v>37</v>
      </c>
      <c r="C100" s="183">
        <f>52879+1919</f>
        <v>54798</v>
      </c>
      <c r="D100" s="184">
        <f>13258+12605</f>
        <v>25863</v>
      </c>
      <c r="E100" s="184">
        <f>68150+13258</f>
        <v>81408</v>
      </c>
      <c r="F100" s="185">
        <v>3650</v>
      </c>
      <c r="G100" s="184">
        <v>3047</v>
      </c>
      <c r="H100" s="186"/>
      <c r="I100" s="186"/>
      <c r="J100" s="210">
        <f t="shared" si="24"/>
        <v>55545</v>
      </c>
      <c r="K100" s="184">
        <v>349</v>
      </c>
      <c r="L100" s="184">
        <v>0</v>
      </c>
      <c r="M100" s="211">
        <f t="shared" si="25"/>
        <v>398</v>
      </c>
      <c r="N100" s="212">
        <f t="shared" si="35"/>
        <v>332832</v>
      </c>
      <c r="O100" s="215">
        <f t="shared" si="35"/>
        <v>142898</v>
      </c>
      <c r="P100" s="214">
        <f t="shared" si="35"/>
        <v>480989</v>
      </c>
      <c r="Q100" s="229">
        <f t="shared" si="36"/>
        <v>5722903.2999999998</v>
      </c>
      <c r="R100" s="213">
        <f t="shared" si="36"/>
        <v>2966959</v>
      </c>
      <c r="S100" s="230">
        <f t="shared" si="36"/>
        <v>8827471.4699999988</v>
      </c>
      <c r="T100" s="231">
        <f>N100/'2017'!N100-1</f>
        <v>0.20578198021954131</v>
      </c>
      <c r="U100" s="232">
        <f>O100/'2017'!O100-1</f>
        <v>9.0641266352215588E-2</v>
      </c>
      <c r="V100" s="232">
        <f>P100/'2017'!P100-1</f>
        <v>0.14013018166647706</v>
      </c>
      <c r="W100" s="232">
        <f>Q100/'2017'!Q100-1</f>
        <v>7.4928393730200105E-2</v>
      </c>
      <c r="X100" s="232">
        <f>R100/'2017'!R100-1</f>
        <v>0.20682903019148058</v>
      </c>
      <c r="Y100" s="249">
        <f>S100/'2017'!S100-1</f>
        <v>0.11009814598626599</v>
      </c>
      <c r="Z100" s="250">
        <v>26.431179</v>
      </c>
      <c r="AA100" s="251">
        <f t="shared" si="30"/>
        <v>545.85915099999988</v>
      </c>
      <c r="AB100" s="252">
        <v>4269.4799999999996</v>
      </c>
      <c r="AC100" s="211">
        <f t="shared" si="31"/>
        <v>1278.5143647469947</v>
      </c>
      <c r="AD100" s="252">
        <f t="shared" si="26"/>
        <v>5860512.4699999988</v>
      </c>
      <c r="AE100" s="184">
        <f t="shared" si="28"/>
        <v>32571.29</v>
      </c>
      <c r="AF100" s="184">
        <f t="shared" si="33"/>
        <v>43161.64</v>
      </c>
      <c r="AG100" s="211">
        <f t="shared" si="27"/>
        <v>61876.239999998987</v>
      </c>
      <c r="AH100" s="263"/>
      <c r="AI100" s="264"/>
      <c r="AJ100" s="264"/>
      <c r="AK100" s="264"/>
      <c r="AL100" s="264"/>
      <c r="AM100" s="264"/>
      <c r="AN100" s="264"/>
      <c r="AO100" s="264"/>
      <c r="AP100" s="264"/>
      <c r="AQ100" s="264"/>
      <c r="AR100" s="264"/>
      <c r="AS100" s="264"/>
      <c r="AT100" s="264"/>
      <c r="AU100" s="264"/>
      <c r="AV100" s="264"/>
      <c r="AW100" s="264"/>
      <c r="AX100" s="264"/>
      <c r="AY100" s="264"/>
      <c r="AZ100" s="264"/>
      <c r="BA100" s="264"/>
      <c r="BB100" s="264"/>
      <c r="BC100" s="264"/>
    </row>
    <row r="101" spans="1:55" x14ac:dyDescent="0.15">
      <c r="A101" s="180">
        <v>42831</v>
      </c>
      <c r="B101" s="175" t="s">
        <v>38</v>
      </c>
      <c r="C101" s="176">
        <f>57740+4579</f>
        <v>62319</v>
      </c>
      <c r="D101" s="177">
        <f>15088+12688</f>
        <v>27776</v>
      </c>
      <c r="E101" s="177">
        <f>76160+15088</f>
        <v>91248</v>
      </c>
      <c r="F101" s="178">
        <v>4506</v>
      </c>
      <c r="G101" s="177">
        <v>2717</v>
      </c>
      <c r="H101" s="179"/>
      <c r="I101" s="179"/>
      <c r="J101" s="204">
        <f t="shared" si="24"/>
        <v>63472</v>
      </c>
      <c r="K101" s="177">
        <v>193</v>
      </c>
      <c r="L101" s="177">
        <v>0</v>
      </c>
      <c r="M101" s="205">
        <f t="shared" si="25"/>
        <v>960</v>
      </c>
      <c r="N101" s="206">
        <f t="shared" si="35"/>
        <v>395151</v>
      </c>
      <c r="O101" s="209">
        <f t="shared" si="35"/>
        <v>170674</v>
      </c>
      <c r="P101" s="208">
        <f t="shared" si="35"/>
        <v>572237</v>
      </c>
      <c r="Q101" s="225">
        <f t="shared" si="36"/>
        <v>5785222.2999999998</v>
      </c>
      <c r="R101" s="207">
        <f t="shared" si="36"/>
        <v>2994735</v>
      </c>
      <c r="S101" s="226">
        <f t="shared" si="36"/>
        <v>8918719.4699999988</v>
      </c>
      <c r="T101" s="227">
        <f>N101/'2017'!N101-1</f>
        <v>0.16505292331279309</v>
      </c>
      <c r="U101" s="228">
        <f>O101/'2017'!O101-1</f>
        <v>8.2730138993738711E-2</v>
      </c>
      <c r="V101" s="228">
        <f>P101/'2017'!P101-1</f>
        <v>0.11171833109268503</v>
      </c>
      <c r="W101" s="228">
        <f>Q101/'2017'!Q101-1</f>
        <v>7.3897792407331631E-2</v>
      </c>
      <c r="X101" s="228">
        <f>R101/'2017'!R101-1</f>
        <v>0.20508304340372918</v>
      </c>
      <c r="Y101" s="244">
        <f>S101/'2017'!S101-1</f>
        <v>0.10862692681616726</v>
      </c>
      <c r="Z101" s="245"/>
      <c r="AA101" s="246">
        <f t="shared" si="30"/>
        <v>578.52223000000004</v>
      </c>
      <c r="AB101" s="247"/>
      <c r="AC101" s="248"/>
      <c r="AD101" s="247">
        <f t="shared" si="26"/>
        <v>5923984.4699999988</v>
      </c>
      <c r="AE101" s="177">
        <f t="shared" si="28"/>
        <v>32764.29</v>
      </c>
      <c r="AF101" s="177">
        <f t="shared" si="33"/>
        <v>43161.64</v>
      </c>
      <c r="AG101" s="248">
        <f t="shared" si="27"/>
        <v>62836.239999998987</v>
      </c>
      <c r="AH101" s="263"/>
      <c r="AI101" s="264"/>
      <c r="AJ101" s="264"/>
      <c r="AK101" s="264"/>
      <c r="AL101" s="264"/>
      <c r="AM101" s="264"/>
      <c r="AN101" s="264"/>
      <c r="AO101" s="264"/>
      <c r="AP101" s="264"/>
      <c r="AQ101" s="264"/>
      <c r="AR101" s="264"/>
      <c r="AS101" s="264"/>
      <c r="AT101" s="264"/>
      <c r="AU101" s="264"/>
      <c r="AV101" s="264"/>
      <c r="AW101" s="264"/>
      <c r="AX101" s="264"/>
      <c r="AY101" s="264"/>
      <c r="AZ101" s="264"/>
      <c r="BA101" s="264"/>
      <c r="BB101" s="264"/>
      <c r="BC101" s="264"/>
    </row>
    <row r="102" spans="1:55" x14ac:dyDescent="0.15">
      <c r="A102" s="180">
        <v>42832</v>
      </c>
      <c r="B102" s="175" t="s">
        <v>39</v>
      </c>
      <c r="C102" s="176">
        <f>62799+4599</f>
        <v>67398</v>
      </c>
      <c r="D102" s="177">
        <f>15877+12758</f>
        <v>28635</v>
      </c>
      <c r="E102" s="177">
        <f>81727+15877</f>
        <v>97604</v>
      </c>
      <c r="F102" s="178">
        <v>4697</v>
      </c>
      <c r="G102" s="177">
        <v>3191</v>
      </c>
      <c r="H102" s="179"/>
      <c r="I102" s="179"/>
      <c r="J102" s="204">
        <f t="shared" si="24"/>
        <v>68969</v>
      </c>
      <c r="K102" s="177">
        <v>121</v>
      </c>
      <c r="L102" s="177">
        <v>0</v>
      </c>
      <c r="M102" s="205">
        <f t="shared" si="25"/>
        <v>1450</v>
      </c>
      <c r="N102" s="206">
        <f t="shared" si="35"/>
        <v>462549</v>
      </c>
      <c r="O102" s="209">
        <f t="shared" si="35"/>
        <v>199309</v>
      </c>
      <c r="P102" s="208">
        <f t="shared" si="35"/>
        <v>669841</v>
      </c>
      <c r="Q102" s="225">
        <f t="shared" si="36"/>
        <v>5852620.2999999998</v>
      </c>
      <c r="R102" s="207">
        <f t="shared" si="36"/>
        <v>3023370</v>
      </c>
      <c r="S102" s="226">
        <f t="shared" si="36"/>
        <v>9016323.4699999988</v>
      </c>
      <c r="T102" s="227">
        <f>N102/'2017'!N102-1</f>
        <v>0.14368050558922363</v>
      </c>
      <c r="U102" s="228">
        <f>O102/'2017'!O102-1</f>
        <v>8.8216344893858656E-2</v>
      </c>
      <c r="V102" s="228">
        <f>P102/'2017'!P102-1</f>
        <v>0.10069656123215265</v>
      </c>
      <c r="W102" s="228">
        <f>Q102/'2017'!Q102-1</f>
        <v>7.3403654472470325E-2</v>
      </c>
      <c r="X102" s="228">
        <f>R102/'2017'!R102-1</f>
        <v>0.20423961555083348</v>
      </c>
      <c r="Y102" s="244">
        <f>S102/'2017'!S102-1</f>
        <v>0.1078384243306183</v>
      </c>
      <c r="Z102" s="245"/>
      <c r="AA102" s="246">
        <f t="shared" si="30"/>
        <v>585.26202999999998</v>
      </c>
      <c r="AB102" s="247"/>
      <c r="AC102" s="248"/>
      <c r="AD102" s="247">
        <f t="shared" si="26"/>
        <v>5992953.4699999988</v>
      </c>
      <c r="AE102" s="177">
        <f t="shared" si="28"/>
        <v>32885.29</v>
      </c>
      <c r="AF102" s="177">
        <f t="shared" si="33"/>
        <v>43161.64</v>
      </c>
      <c r="AG102" s="248">
        <f t="shared" si="27"/>
        <v>64286.239999998987</v>
      </c>
      <c r="AH102" s="263"/>
      <c r="AI102" s="264"/>
      <c r="AJ102" s="264"/>
      <c r="AK102" s="264"/>
      <c r="AL102" s="264"/>
      <c r="AM102" s="264"/>
      <c r="AN102" s="264"/>
      <c r="AO102" s="264"/>
      <c r="AP102" s="264"/>
      <c r="AQ102" s="264"/>
      <c r="AR102" s="264"/>
      <c r="AS102" s="264"/>
      <c r="AT102" s="264"/>
      <c r="AU102" s="264"/>
      <c r="AV102" s="264"/>
      <c r="AW102" s="264"/>
      <c r="AX102" s="264"/>
      <c r="AY102" s="264"/>
      <c r="AZ102" s="264"/>
      <c r="BA102" s="264"/>
      <c r="BB102" s="264"/>
      <c r="BC102" s="264"/>
    </row>
    <row r="103" spans="1:55" x14ac:dyDescent="0.15">
      <c r="A103" s="180">
        <v>42833</v>
      </c>
      <c r="B103" s="175" t="s">
        <v>1</v>
      </c>
      <c r="C103" s="176">
        <v>66556</v>
      </c>
      <c r="D103" s="177">
        <f>10311+19919</f>
        <v>30230</v>
      </c>
      <c r="E103" s="177">
        <v>98730</v>
      </c>
      <c r="F103" s="178">
        <v>4767</v>
      </c>
      <c r="G103" s="177">
        <v>3367</v>
      </c>
      <c r="H103" s="179"/>
      <c r="I103" s="179"/>
      <c r="J103" s="204">
        <f t="shared" si="24"/>
        <v>68500</v>
      </c>
      <c r="K103" s="177">
        <v>563</v>
      </c>
      <c r="L103" s="177">
        <v>0</v>
      </c>
      <c r="M103" s="205">
        <f t="shared" si="25"/>
        <v>1381</v>
      </c>
      <c r="N103" s="206">
        <f t="shared" si="35"/>
        <v>529105</v>
      </c>
      <c r="O103" s="209">
        <f t="shared" si="35"/>
        <v>229539</v>
      </c>
      <c r="P103" s="208">
        <f t="shared" si="35"/>
        <v>768571</v>
      </c>
      <c r="Q103" s="225">
        <f t="shared" si="36"/>
        <v>5919176.2999999998</v>
      </c>
      <c r="R103" s="207">
        <f t="shared" si="36"/>
        <v>3053600</v>
      </c>
      <c r="S103" s="226">
        <f t="shared" si="36"/>
        <v>9115053.4699999988</v>
      </c>
      <c r="T103" s="227">
        <f>N103/'2017'!N103-1</f>
        <v>0.13116082385185379</v>
      </c>
      <c r="U103" s="228">
        <f>O103/'2017'!O103-1</f>
        <v>9.7154574524527693E-2</v>
      </c>
      <c r="V103" s="228">
        <f>P103/'2017'!P103-1</f>
        <v>9.621089805395977E-2</v>
      </c>
      <c r="W103" s="228">
        <f>Q103/'2017'!Q103-1</f>
        <v>7.3148646054265187E-2</v>
      </c>
      <c r="X103" s="228">
        <f>R103/'2017'!R103-1</f>
        <v>0.20378481045592922</v>
      </c>
      <c r="Y103" s="244">
        <f>S103/'2017'!S103-1</f>
        <v>0.10737604009833235</v>
      </c>
      <c r="Z103" s="245"/>
      <c r="AA103" s="246">
        <f t="shared" si="30"/>
        <v>591.91763000000003</v>
      </c>
      <c r="AB103" s="247"/>
      <c r="AC103" s="248"/>
      <c r="AD103" s="247">
        <f t="shared" si="26"/>
        <v>6061453.4699999988</v>
      </c>
      <c r="AE103" s="177">
        <f t="shared" si="28"/>
        <v>33448.29</v>
      </c>
      <c r="AF103" s="177">
        <f t="shared" ref="AF103:AF118" si="37">AF102+L103</f>
        <v>43161.64</v>
      </c>
      <c r="AG103" s="248">
        <f t="shared" si="27"/>
        <v>65667.239999998987</v>
      </c>
      <c r="AH103" s="263"/>
      <c r="AI103" s="264"/>
      <c r="AJ103" s="264"/>
      <c r="AK103" s="264"/>
      <c r="AL103" s="264"/>
      <c r="AM103" s="264"/>
      <c r="AN103" s="264"/>
      <c r="AO103" s="264"/>
      <c r="AP103" s="264"/>
      <c r="AQ103" s="264"/>
      <c r="AR103" s="264"/>
      <c r="AS103" s="264"/>
      <c r="AT103" s="264"/>
      <c r="AU103" s="264"/>
      <c r="AV103" s="264"/>
      <c r="AW103" s="264"/>
      <c r="AX103" s="264"/>
      <c r="AY103" s="264"/>
      <c r="AZ103" s="264"/>
      <c r="BA103" s="264"/>
      <c r="BB103" s="264"/>
      <c r="BC103" s="264"/>
    </row>
    <row r="104" spans="1:55" x14ac:dyDescent="0.15">
      <c r="A104" s="180">
        <v>42834</v>
      </c>
      <c r="B104" s="175" t="s">
        <v>34</v>
      </c>
      <c r="C104" s="176">
        <v>68163</v>
      </c>
      <c r="D104" s="177">
        <f>10702+19546</f>
        <v>30248</v>
      </c>
      <c r="E104" s="177">
        <v>100142</v>
      </c>
      <c r="F104" s="178">
        <v>4870</v>
      </c>
      <c r="G104" s="177">
        <v>3332</v>
      </c>
      <c r="H104" s="179"/>
      <c r="I104" s="179"/>
      <c r="J104" s="204">
        <f t="shared" si="24"/>
        <v>69894</v>
      </c>
      <c r="K104" s="177">
        <v>378</v>
      </c>
      <c r="L104" s="177">
        <v>0</v>
      </c>
      <c r="M104" s="205">
        <f t="shared" si="25"/>
        <v>1353</v>
      </c>
      <c r="N104" s="206">
        <f t="shared" si="35"/>
        <v>597268</v>
      </c>
      <c r="O104" s="209">
        <f t="shared" si="35"/>
        <v>259787</v>
      </c>
      <c r="P104" s="208">
        <f t="shared" si="35"/>
        <v>868713</v>
      </c>
      <c r="Q104" s="225">
        <f t="shared" si="36"/>
        <v>5987339.2999999998</v>
      </c>
      <c r="R104" s="207">
        <f t="shared" si="36"/>
        <v>3083848</v>
      </c>
      <c r="S104" s="226">
        <f t="shared" si="36"/>
        <v>9215195.4699999988</v>
      </c>
      <c r="T104" s="227">
        <f>N104/'2017'!N104-1</f>
        <v>0.13024752100522297</v>
      </c>
      <c r="U104" s="228">
        <f>O104/'2017'!O104-1</f>
        <v>0.10704530249246802</v>
      </c>
      <c r="V104" s="228">
        <f>P104/'2017'!P104-1</f>
        <v>9.9537889632703935E-2</v>
      </c>
      <c r="W104" s="228">
        <f>Q104/'2017'!Q104-1</f>
        <v>7.3693424703058286E-2</v>
      </c>
      <c r="X104" s="228">
        <f>R104/'2017'!R104-1</f>
        <v>0.20363136777356261</v>
      </c>
      <c r="Y104" s="244">
        <f>S104/'2017'!S104-1</f>
        <v>0.10757259422948651</v>
      </c>
      <c r="Z104" s="245"/>
      <c r="AA104" s="246">
        <f t="shared" si="30"/>
        <v>598.73392999999999</v>
      </c>
      <c r="AB104" s="247"/>
      <c r="AC104" s="248"/>
      <c r="AD104" s="247">
        <f t="shared" si="26"/>
        <v>6131347.4699999988</v>
      </c>
      <c r="AE104" s="177">
        <f t="shared" si="28"/>
        <v>33826.29</v>
      </c>
      <c r="AF104" s="177">
        <f t="shared" si="37"/>
        <v>43161.64</v>
      </c>
      <c r="AG104" s="248">
        <f t="shared" si="27"/>
        <v>67020.239999998987</v>
      </c>
      <c r="AH104" s="263"/>
      <c r="AI104" s="264"/>
      <c r="AJ104" s="264"/>
      <c r="AK104" s="264"/>
      <c r="AL104" s="264"/>
      <c r="AM104" s="264"/>
      <c r="AN104" s="264"/>
      <c r="AO104" s="264"/>
      <c r="AP104" s="264"/>
      <c r="AQ104" s="264"/>
      <c r="AR104" s="264"/>
      <c r="AS104" s="264"/>
      <c r="AT104" s="264"/>
      <c r="AU104" s="264"/>
      <c r="AV104" s="264"/>
      <c r="AW104" s="264"/>
      <c r="AX104" s="264"/>
      <c r="AY104" s="264"/>
      <c r="AZ104" s="264"/>
      <c r="BA104" s="264"/>
      <c r="BB104" s="264"/>
      <c r="BC104" s="264"/>
    </row>
    <row r="105" spans="1:55" x14ac:dyDescent="0.15">
      <c r="A105" s="180">
        <v>42835</v>
      </c>
      <c r="B105" s="175" t="s">
        <v>35</v>
      </c>
      <c r="C105" s="176">
        <v>68825</v>
      </c>
      <c r="D105" s="177">
        <f>19915+9492</f>
        <v>29407</v>
      </c>
      <c r="E105" s="177">
        <v>100598</v>
      </c>
      <c r="F105" s="178">
        <v>4823.6000000000004</v>
      </c>
      <c r="G105" s="177">
        <v>3355.8</v>
      </c>
      <c r="H105" s="179"/>
      <c r="I105" s="179"/>
      <c r="J105" s="204">
        <f t="shared" si="24"/>
        <v>71191</v>
      </c>
      <c r="K105" s="177">
        <v>910</v>
      </c>
      <c r="L105" s="177">
        <v>0</v>
      </c>
      <c r="M105" s="205">
        <f t="shared" si="25"/>
        <v>1456</v>
      </c>
      <c r="N105" s="206">
        <f t="shared" si="35"/>
        <v>666093</v>
      </c>
      <c r="O105" s="209">
        <f t="shared" si="35"/>
        <v>289194</v>
      </c>
      <c r="P105" s="208">
        <f t="shared" si="35"/>
        <v>969311</v>
      </c>
      <c r="Q105" s="225">
        <f t="shared" si="36"/>
        <v>6056164.2999999998</v>
      </c>
      <c r="R105" s="207">
        <f t="shared" si="36"/>
        <v>3113255</v>
      </c>
      <c r="S105" s="226">
        <f t="shared" si="36"/>
        <v>9315793.4699999988</v>
      </c>
      <c r="T105" s="227">
        <f>N105/'2017'!N105-1</f>
        <v>0.1229415612440321</v>
      </c>
      <c r="U105" s="228">
        <f>O105/'2017'!O105-1</f>
        <v>0.11302948896569243</v>
      </c>
      <c r="V105" s="228">
        <f>P105/'2017'!P105-1</f>
        <v>9.8024755968947996E-2</v>
      </c>
      <c r="W105" s="228">
        <f>Q105/'2017'!Q105-1</f>
        <v>7.3574117267038552E-2</v>
      </c>
      <c r="X105" s="228">
        <f>R105/'2017'!R105-1</f>
        <v>0.20329311218465418</v>
      </c>
      <c r="Y105" s="244">
        <f>S105/'2017'!S105-1</f>
        <v>0.10732527996901298</v>
      </c>
      <c r="Z105" s="245"/>
      <c r="AA105" s="246">
        <f t="shared" si="30"/>
        <v>605.61643000000004</v>
      </c>
      <c r="AB105" s="247"/>
      <c r="AC105" s="248"/>
      <c r="AD105" s="247">
        <f t="shared" si="26"/>
        <v>6202538.4699999988</v>
      </c>
      <c r="AE105" s="177">
        <f t="shared" si="28"/>
        <v>34736.29</v>
      </c>
      <c r="AF105" s="177">
        <f t="shared" si="37"/>
        <v>43161.64</v>
      </c>
      <c r="AG105" s="248">
        <f t="shared" si="27"/>
        <v>68476.239999998987</v>
      </c>
      <c r="AH105" s="263"/>
      <c r="AI105" s="264"/>
      <c r="AJ105" s="264"/>
      <c r="AK105" s="264"/>
      <c r="AL105" s="264"/>
      <c r="AM105" s="264"/>
      <c r="AN105" s="264"/>
      <c r="AO105" s="264"/>
      <c r="AP105" s="264"/>
      <c r="AQ105" s="264"/>
      <c r="AR105" s="264"/>
      <c r="AS105" s="264"/>
      <c r="AT105" s="264"/>
      <c r="AU105" s="264"/>
      <c r="AV105" s="264"/>
      <c r="AW105" s="264"/>
      <c r="AX105" s="264"/>
      <c r="AY105" s="264"/>
      <c r="AZ105" s="264"/>
      <c r="BA105" s="264"/>
      <c r="BB105" s="264"/>
      <c r="BC105" s="264"/>
    </row>
    <row r="106" spans="1:55" x14ac:dyDescent="0.15">
      <c r="A106" s="180">
        <v>42836</v>
      </c>
      <c r="B106" s="175" t="s">
        <v>36</v>
      </c>
      <c r="C106" s="176">
        <v>71865</v>
      </c>
      <c r="D106" s="177">
        <f>19911+9465</f>
        <v>29376</v>
      </c>
      <c r="E106" s="177">
        <v>102624</v>
      </c>
      <c r="F106" s="178">
        <v>5005.6000000000004</v>
      </c>
      <c r="G106" s="177">
        <v>3392.8</v>
      </c>
      <c r="H106" s="179"/>
      <c r="I106" s="179"/>
      <c r="J106" s="204">
        <f t="shared" si="24"/>
        <v>73248</v>
      </c>
      <c r="K106" s="177">
        <v>495</v>
      </c>
      <c r="L106" s="177">
        <v>0</v>
      </c>
      <c r="M106" s="205">
        <f t="shared" si="25"/>
        <v>888</v>
      </c>
      <c r="N106" s="206">
        <f t="shared" si="35"/>
        <v>737958</v>
      </c>
      <c r="O106" s="209">
        <f t="shared" si="35"/>
        <v>318570</v>
      </c>
      <c r="P106" s="208">
        <f t="shared" si="35"/>
        <v>1071935</v>
      </c>
      <c r="Q106" s="225">
        <f t="shared" si="36"/>
        <v>6128029.2999999998</v>
      </c>
      <c r="R106" s="207">
        <f t="shared" si="36"/>
        <v>3142631</v>
      </c>
      <c r="S106" s="226">
        <f t="shared" si="36"/>
        <v>9418417.4699999988</v>
      </c>
      <c r="T106" s="227">
        <f>N106/'2017'!N106-1</f>
        <v>0.11932399903532431</v>
      </c>
      <c r="U106" s="228">
        <f>O106/'2017'!O106-1</f>
        <v>0.1193369078656108</v>
      </c>
      <c r="V106" s="228">
        <f>P106/'2017'!P106-1</f>
        <v>9.746196531318474E-2</v>
      </c>
      <c r="W106" s="228">
        <f>Q106/'2017'!Q106-1</f>
        <v>7.3728168101068858E-2</v>
      </c>
      <c r="X106" s="228">
        <f>R106/'2017'!R106-1</f>
        <v>0.2031240488825099</v>
      </c>
      <c r="Y106" s="244">
        <f>S106/'2017'!S106-1</f>
        <v>0.10715793169800114</v>
      </c>
      <c r="Z106" s="245"/>
      <c r="AA106" s="246">
        <f t="shared" si="30"/>
        <v>612.80292999999995</v>
      </c>
      <c r="AB106" s="247"/>
      <c r="AC106" s="248"/>
      <c r="AD106" s="247">
        <f t="shared" si="26"/>
        <v>6275786.4699999988</v>
      </c>
      <c r="AE106" s="177">
        <f t="shared" si="28"/>
        <v>35231.29</v>
      </c>
      <c r="AF106" s="177">
        <f t="shared" si="37"/>
        <v>43161.64</v>
      </c>
      <c r="AG106" s="248">
        <f t="shared" si="27"/>
        <v>69364.239999998987</v>
      </c>
      <c r="AH106" s="263"/>
      <c r="AI106" s="264"/>
      <c r="AJ106" s="264"/>
      <c r="AK106" s="264"/>
      <c r="AL106" s="264"/>
      <c r="AM106" s="264"/>
      <c r="AN106" s="264"/>
      <c r="AO106" s="264"/>
      <c r="AP106" s="264"/>
      <c r="AQ106" s="264"/>
      <c r="AR106" s="264"/>
      <c r="AS106" s="264"/>
      <c r="AT106" s="264"/>
      <c r="AU106" s="264"/>
      <c r="AV106" s="264"/>
      <c r="AW106" s="264"/>
      <c r="AX106" s="264"/>
      <c r="AY106" s="264"/>
      <c r="AZ106" s="264"/>
      <c r="BA106" s="264"/>
      <c r="BB106" s="264"/>
      <c r="BC106" s="264"/>
    </row>
    <row r="107" spans="1:55" s="157" customFormat="1" x14ac:dyDescent="0.15">
      <c r="A107" s="181">
        <v>42837</v>
      </c>
      <c r="B107" s="182" t="s">
        <v>37</v>
      </c>
      <c r="C107" s="183">
        <f>67461+5467</f>
        <v>72928</v>
      </c>
      <c r="D107" s="184">
        <f>18388+11574</f>
        <v>29962</v>
      </c>
      <c r="E107" s="184">
        <f>85641+18388</f>
        <v>104029</v>
      </c>
      <c r="F107" s="185">
        <v>5214</v>
      </c>
      <c r="G107" s="184">
        <v>3420</v>
      </c>
      <c r="H107" s="186"/>
      <c r="I107" s="186"/>
      <c r="J107" s="210">
        <f t="shared" si="24"/>
        <v>74067</v>
      </c>
      <c r="K107" s="184">
        <v>582</v>
      </c>
      <c r="L107" s="184">
        <v>0</v>
      </c>
      <c r="M107" s="211">
        <f t="shared" si="25"/>
        <v>557</v>
      </c>
      <c r="N107" s="212">
        <f t="shared" si="35"/>
        <v>810886</v>
      </c>
      <c r="O107" s="215">
        <f t="shared" si="35"/>
        <v>348532</v>
      </c>
      <c r="P107" s="214">
        <f t="shared" si="35"/>
        <v>1175964</v>
      </c>
      <c r="Q107" s="229">
        <f t="shared" si="36"/>
        <v>6200957.2999999998</v>
      </c>
      <c r="R107" s="213">
        <f t="shared" si="36"/>
        <v>3172593</v>
      </c>
      <c r="S107" s="230">
        <f t="shared" si="36"/>
        <v>9522446.4699999988</v>
      </c>
      <c r="T107" s="231">
        <f>N107/'2017'!N107-1</f>
        <v>0.12078850470493263</v>
      </c>
      <c r="U107" s="232">
        <f>O107/'2017'!O107-1</f>
        <v>0.12576753500541038</v>
      </c>
      <c r="V107" s="232">
        <f>P107/'2017'!P107-1</f>
        <v>0.10017101821325269</v>
      </c>
      <c r="W107" s="232">
        <f>Q107/'2017'!Q107-1</f>
        <v>7.4419005654627668E-2</v>
      </c>
      <c r="X107" s="232">
        <f>R107/'2017'!R107-1</f>
        <v>0.20308504054533705</v>
      </c>
      <c r="Y107" s="249">
        <f>S107/'2017'!S107-1</f>
        <v>0.107390770830607</v>
      </c>
      <c r="Z107" s="250">
        <v>29.89</v>
      </c>
      <c r="AA107" s="251">
        <f t="shared" si="30"/>
        <v>590.20573000000002</v>
      </c>
      <c r="AB107" s="252">
        <v>4269.4799999999996</v>
      </c>
      <c r="AC107" s="211">
        <f t="shared" si="31"/>
        <v>1382.3831707842642</v>
      </c>
      <c r="AD107" s="252">
        <f t="shared" si="26"/>
        <v>6349853.4699999988</v>
      </c>
      <c r="AE107" s="184">
        <f t="shared" si="28"/>
        <v>35813.29</v>
      </c>
      <c r="AF107" s="184">
        <f t="shared" si="37"/>
        <v>43161.64</v>
      </c>
      <c r="AG107" s="211">
        <f t="shared" si="27"/>
        <v>69921.239999998987</v>
      </c>
      <c r="AH107" s="263"/>
      <c r="AI107" s="264"/>
      <c r="AJ107" s="264"/>
      <c r="AK107" s="264"/>
      <c r="AL107" s="264"/>
      <c r="AM107" s="264"/>
      <c r="AN107" s="264"/>
      <c r="AO107" s="264"/>
      <c r="AP107" s="264"/>
      <c r="AQ107" s="264"/>
      <c r="AR107" s="264"/>
      <c r="AS107" s="264"/>
      <c r="AT107" s="264"/>
      <c r="AU107" s="264"/>
      <c r="AV107" s="264"/>
      <c r="AW107" s="264"/>
      <c r="AX107" s="264"/>
      <c r="AY107" s="264"/>
      <c r="AZ107" s="264"/>
      <c r="BA107" s="264"/>
      <c r="BB107" s="264"/>
      <c r="BC107" s="264"/>
    </row>
    <row r="108" spans="1:55" x14ac:dyDescent="0.15">
      <c r="A108" s="180">
        <v>42838</v>
      </c>
      <c r="B108" s="175" t="s">
        <v>38</v>
      </c>
      <c r="C108" s="176">
        <v>72584</v>
      </c>
      <c r="D108" s="177">
        <f>20278+9830</f>
        <v>30108</v>
      </c>
      <c r="E108" s="177">
        <v>103714</v>
      </c>
      <c r="F108" s="178">
        <v>5229.1000000000004</v>
      </c>
      <c r="G108" s="177">
        <v>3400.1</v>
      </c>
      <c r="H108" s="179"/>
      <c r="I108" s="179"/>
      <c r="J108" s="204">
        <f t="shared" si="24"/>
        <v>73606</v>
      </c>
      <c r="K108" s="177">
        <v>432</v>
      </c>
      <c r="L108" s="177">
        <v>0</v>
      </c>
      <c r="M108" s="205">
        <f t="shared" si="25"/>
        <v>590</v>
      </c>
      <c r="N108" s="206">
        <f t="shared" si="35"/>
        <v>883470</v>
      </c>
      <c r="O108" s="209">
        <f t="shared" si="35"/>
        <v>378640</v>
      </c>
      <c r="P108" s="208">
        <f t="shared" si="35"/>
        <v>1279678</v>
      </c>
      <c r="Q108" s="225">
        <f t="shared" si="36"/>
        <v>6273541.2999999998</v>
      </c>
      <c r="R108" s="207">
        <f t="shared" si="36"/>
        <v>3202701</v>
      </c>
      <c r="S108" s="226">
        <f t="shared" si="36"/>
        <v>9626160.4699999988</v>
      </c>
      <c r="T108" s="227">
        <f>N108/'2017'!N108-1</f>
        <v>0.12403623501870276</v>
      </c>
      <c r="U108" s="228">
        <f>O108/'2017'!O108-1</f>
        <v>0.13046437890739293</v>
      </c>
      <c r="V108" s="228">
        <f>P108/'2017'!P108-1</f>
        <v>0.10272674707682339</v>
      </c>
      <c r="W108" s="228">
        <f>Q108/'2017'!Q108-1</f>
        <v>7.5353195404911144E-2</v>
      </c>
      <c r="X108" s="228">
        <f>R108/'2017'!R108-1</f>
        <v>0.20293983424698436</v>
      </c>
      <c r="Y108" s="244">
        <f>S108/'2017'!S108-1</f>
        <v>0.10765596522592102</v>
      </c>
      <c r="Z108" s="245"/>
      <c r="AA108" s="246">
        <f t="shared" si="30"/>
        <v>627.35412999999994</v>
      </c>
      <c r="AB108" s="247"/>
      <c r="AC108" s="248"/>
      <c r="AD108" s="247">
        <f t="shared" si="26"/>
        <v>6423459.4699999988</v>
      </c>
      <c r="AE108" s="177">
        <f t="shared" si="28"/>
        <v>36245.29</v>
      </c>
      <c r="AF108" s="177">
        <f t="shared" si="37"/>
        <v>43161.64</v>
      </c>
      <c r="AG108" s="248">
        <f t="shared" si="27"/>
        <v>70511.239999998987</v>
      </c>
      <c r="AH108" s="263"/>
      <c r="AI108" s="264"/>
      <c r="AJ108" s="264"/>
      <c r="AK108" s="264"/>
      <c r="AL108" s="264"/>
      <c r="AM108" s="264"/>
      <c r="AN108" s="264"/>
      <c r="AO108" s="264"/>
      <c r="AP108" s="264"/>
      <c r="AQ108" s="264"/>
      <c r="AR108" s="264"/>
      <c r="AS108" s="264"/>
      <c r="AT108" s="264"/>
      <c r="AU108" s="264"/>
      <c r="AV108" s="264"/>
      <c r="AW108" s="264"/>
      <c r="AX108" s="264"/>
      <c r="AY108" s="264"/>
      <c r="AZ108" s="264"/>
      <c r="BA108" s="264"/>
      <c r="BB108" s="264"/>
      <c r="BC108" s="264"/>
    </row>
    <row r="109" spans="1:55" x14ac:dyDescent="0.15">
      <c r="A109" s="180">
        <v>42839</v>
      </c>
      <c r="B109" s="175" t="s">
        <v>39</v>
      </c>
      <c r="C109" s="176">
        <v>68418</v>
      </c>
      <c r="D109" s="177">
        <f>21644+9818</f>
        <v>31462</v>
      </c>
      <c r="E109" s="177">
        <v>101156</v>
      </c>
      <c r="F109" s="178">
        <v>5103.3</v>
      </c>
      <c r="G109" s="177">
        <v>3345</v>
      </c>
      <c r="H109" s="179"/>
      <c r="I109" s="179"/>
      <c r="J109" s="204">
        <f t="shared" si="24"/>
        <v>69694</v>
      </c>
      <c r="K109" s="177">
        <v>701</v>
      </c>
      <c r="L109" s="177">
        <v>0</v>
      </c>
      <c r="M109" s="205">
        <f t="shared" si="25"/>
        <v>575</v>
      </c>
      <c r="N109" s="206">
        <f t="shared" si="35"/>
        <v>951888</v>
      </c>
      <c r="O109" s="209">
        <f t="shared" si="35"/>
        <v>410102</v>
      </c>
      <c r="P109" s="208">
        <f t="shared" si="35"/>
        <v>1380834</v>
      </c>
      <c r="Q109" s="225">
        <f t="shared" si="36"/>
        <v>6341959.2999999998</v>
      </c>
      <c r="R109" s="207">
        <f t="shared" si="36"/>
        <v>3234163</v>
      </c>
      <c r="S109" s="226">
        <f t="shared" si="36"/>
        <v>9727316.4699999988</v>
      </c>
      <c r="T109" s="227">
        <f>N109/'2017'!N109-1</f>
        <v>0.12130218290920269</v>
      </c>
      <c r="U109" s="228">
        <f>O109/'2017'!O109-1</f>
        <v>0.13731460836189768</v>
      </c>
      <c r="V109" s="228">
        <f>P109/'2017'!P109-1</f>
        <v>0.10255910698744009</v>
      </c>
      <c r="W109" s="228">
        <f>Q109/'2017'!Q109-1</f>
        <v>7.5479160116473931E-2</v>
      </c>
      <c r="X109" s="228">
        <f>R109/'2017'!R109-1</f>
        <v>0.20316728799895545</v>
      </c>
      <c r="Y109" s="244">
        <f>S109/'2017'!S109-1</f>
        <v>0.10758046737179039</v>
      </c>
      <c r="Z109" s="245"/>
      <c r="AA109" s="246">
        <f t="shared" si="30"/>
        <v>634.19592999999998</v>
      </c>
      <c r="AB109" s="247"/>
      <c r="AC109" s="248"/>
      <c r="AD109" s="247">
        <f t="shared" si="26"/>
        <v>6493153.4699999988</v>
      </c>
      <c r="AE109" s="177">
        <f t="shared" si="28"/>
        <v>36946.29</v>
      </c>
      <c r="AF109" s="177">
        <f t="shared" si="37"/>
        <v>43161.64</v>
      </c>
      <c r="AG109" s="248">
        <f t="shared" si="27"/>
        <v>71086.239999998987</v>
      </c>
      <c r="AH109" s="263"/>
      <c r="AI109" s="264"/>
      <c r="AJ109" s="264"/>
      <c r="AK109" s="264"/>
      <c r="AL109" s="264"/>
      <c r="AM109" s="264"/>
      <c r="AN109" s="264"/>
      <c r="AO109" s="264"/>
      <c r="AP109" s="264"/>
      <c r="AQ109" s="264"/>
      <c r="AR109" s="264"/>
      <c r="AS109" s="264"/>
      <c r="AT109" s="264"/>
      <c r="AU109" s="264"/>
      <c r="AV109" s="264"/>
      <c r="AW109" s="264"/>
      <c r="AX109" s="264"/>
      <c r="AY109" s="264"/>
      <c r="AZ109" s="264"/>
      <c r="BA109" s="264"/>
      <c r="BB109" s="264"/>
      <c r="BC109" s="264"/>
    </row>
    <row r="110" spans="1:55" x14ac:dyDescent="0.15">
      <c r="A110" s="180">
        <v>42840</v>
      </c>
      <c r="B110" s="175" t="s">
        <v>1</v>
      </c>
      <c r="C110" s="176">
        <v>60936</v>
      </c>
      <c r="D110" s="177">
        <f>20945+9841</f>
        <v>30786</v>
      </c>
      <c r="E110" s="177">
        <v>93025</v>
      </c>
      <c r="F110" s="178">
        <v>4466.7</v>
      </c>
      <c r="G110" s="177">
        <v>3239.1</v>
      </c>
      <c r="H110" s="179"/>
      <c r="I110" s="179"/>
      <c r="J110" s="204">
        <f t="shared" si="24"/>
        <v>62239</v>
      </c>
      <c r="K110" s="177">
        <v>306</v>
      </c>
      <c r="L110" s="177">
        <v>0</v>
      </c>
      <c r="M110" s="205">
        <f t="shared" si="25"/>
        <v>997</v>
      </c>
      <c r="N110" s="206">
        <f t="shared" si="35"/>
        <v>1012824</v>
      </c>
      <c r="O110" s="209">
        <f t="shared" si="35"/>
        <v>440888</v>
      </c>
      <c r="P110" s="208">
        <f t="shared" si="35"/>
        <v>1473859</v>
      </c>
      <c r="Q110" s="225">
        <f t="shared" si="36"/>
        <v>6402895.2999999998</v>
      </c>
      <c r="R110" s="207">
        <f t="shared" si="36"/>
        <v>3264949</v>
      </c>
      <c r="S110" s="226">
        <f t="shared" si="36"/>
        <v>9820341.4699999988</v>
      </c>
      <c r="T110" s="227">
        <f>N110/'2017'!N110-1</f>
        <v>0.1131768972907623</v>
      </c>
      <c r="U110" s="228">
        <f>O110/'2017'!O110-1</f>
        <v>0.13892175350675529</v>
      </c>
      <c r="V110" s="228">
        <f>P110/'2017'!P110-1</f>
        <v>9.728422231288536E-2</v>
      </c>
      <c r="W110" s="228">
        <f>Q110/'2017'!Q110-1</f>
        <v>7.4706984271680543E-2</v>
      </c>
      <c r="X110" s="228">
        <f>R110/'2017'!R110-1</f>
        <v>0.20275307664622266</v>
      </c>
      <c r="Y110" s="244">
        <f>S110/'2017'!S110-1</f>
        <v>0.10673060318707339</v>
      </c>
      <c r="Z110" s="245"/>
      <c r="AA110" s="246">
        <f t="shared" si="30"/>
        <v>640.28953000000001</v>
      </c>
      <c r="AB110" s="247"/>
      <c r="AC110" s="248"/>
      <c r="AD110" s="247">
        <f t="shared" si="26"/>
        <v>6555392.4699999988</v>
      </c>
      <c r="AE110" s="177">
        <f t="shared" si="28"/>
        <v>37252.29</v>
      </c>
      <c r="AF110" s="177">
        <f t="shared" si="37"/>
        <v>43161.64</v>
      </c>
      <c r="AG110" s="248">
        <f t="shared" si="27"/>
        <v>72083.239999998987</v>
      </c>
      <c r="AH110" s="263"/>
      <c r="AI110" s="264"/>
      <c r="AJ110" s="264"/>
      <c r="AK110" s="264"/>
      <c r="AL110" s="264"/>
      <c r="AM110" s="264"/>
      <c r="AN110" s="264"/>
      <c r="AO110" s="264"/>
      <c r="AP110" s="264"/>
      <c r="AQ110" s="264"/>
      <c r="AR110" s="264"/>
      <c r="AS110" s="264"/>
      <c r="AT110" s="264"/>
      <c r="AU110" s="264"/>
      <c r="AV110" s="264"/>
      <c r="AW110" s="264"/>
      <c r="AX110" s="264"/>
      <c r="AY110" s="264"/>
      <c r="AZ110" s="264"/>
      <c r="BA110" s="264"/>
      <c r="BB110" s="264"/>
      <c r="BC110" s="264"/>
    </row>
    <row r="111" spans="1:55" x14ac:dyDescent="0.15">
      <c r="A111" s="180">
        <v>42841</v>
      </c>
      <c r="B111" s="175" t="s">
        <v>34</v>
      </c>
      <c r="C111" s="176">
        <v>68810</v>
      </c>
      <c r="D111" s="177">
        <f>20500+9829</f>
        <v>30329</v>
      </c>
      <c r="E111" s="177">
        <v>100288</v>
      </c>
      <c r="F111" s="178">
        <v>5062.8999999999996</v>
      </c>
      <c r="G111" s="177">
        <v>3132.3</v>
      </c>
      <c r="H111" s="179"/>
      <c r="I111" s="179"/>
      <c r="J111" s="204">
        <f t="shared" si="24"/>
        <v>69959</v>
      </c>
      <c r="K111" s="177">
        <v>714</v>
      </c>
      <c r="L111" s="177">
        <v>0</v>
      </c>
      <c r="M111" s="205">
        <f t="shared" si="25"/>
        <v>435</v>
      </c>
      <c r="N111" s="206">
        <f t="shared" si="35"/>
        <v>1081634</v>
      </c>
      <c r="O111" s="209">
        <f t="shared" si="35"/>
        <v>471217</v>
      </c>
      <c r="P111" s="208">
        <f t="shared" si="35"/>
        <v>1574147</v>
      </c>
      <c r="Q111" s="225">
        <f t="shared" si="36"/>
        <v>6471705.2999999998</v>
      </c>
      <c r="R111" s="207">
        <f t="shared" si="36"/>
        <v>3295278</v>
      </c>
      <c r="S111" s="226">
        <f t="shared" si="36"/>
        <v>9920629.4699999988</v>
      </c>
      <c r="T111" s="227">
        <f>N111/'2017'!N111-1</f>
        <v>0.11870104026824824</v>
      </c>
      <c r="U111" s="228">
        <f>O111/'2017'!O111-1</f>
        <v>0.138461055261206</v>
      </c>
      <c r="V111" s="228">
        <f>P111/'2017'!P111-1</f>
        <v>0.10072743317411326</v>
      </c>
      <c r="W111" s="228">
        <f>Q111/'2017'!Q111-1</f>
        <v>7.5959640970964637E-2</v>
      </c>
      <c r="X111" s="228">
        <f>R111/'2017'!R111-1</f>
        <v>0.20205956167741568</v>
      </c>
      <c r="Y111" s="244">
        <f>S111/'2017'!S111-1</f>
        <v>0.10718853387130278</v>
      </c>
      <c r="Z111" s="245"/>
      <c r="AA111" s="246">
        <f t="shared" si="30"/>
        <v>647.17052999999999</v>
      </c>
      <c r="AB111" s="247"/>
      <c r="AC111" s="248"/>
      <c r="AD111" s="247">
        <f t="shared" si="26"/>
        <v>6625351.4699999988</v>
      </c>
      <c r="AE111" s="177">
        <f t="shared" si="28"/>
        <v>37966.29</v>
      </c>
      <c r="AF111" s="177">
        <f t="shared" si="37"/>
        <v>43161.64</v>
      </c>
      <c r="AG111" s="248">
        <f t="shared" si="27"/>
        <v>72518.239999998987</v>
      </c>
      <c r="AH111" s="263"/>
      <c r="AI111" s="264"/>
      <c r="AJ111" s="264"/>
      <c r="AK111" s="264"/>
      <c r="AL111" s="264"/>
      <c r="AM111" s="264"/>
      <c r="AN111" s="264"/>
      <c r="AO111" s="264"/>
      <c r="AP111" s="264"/>
      <c r="AQ111" s="264"/>
      <c r="AR111" s="264"/>
      <c r="AS111" s="264"/>
      <c r="AT111" s="264"/>
      <c r="AU111" s="264"/>
      <c r="AV111" s="264"/>
      <c r="AW111" s="264"/>
      <c r="AX111" s="264"/>
      <c r="AY111" s="264"/>
      <c r="AZ111" s="264"/>
      <c r="BA111" s="264"/>
      <c r="BB111" s="264"/>
      <c r="BC111" s="264"/>
    </row>
    <row r="112" spans="1:55" x14ac:dyDescent="0.15">
      <c r="A112" s="180">
        <v>42842</v>
      </c>
      <c r="B112" s="175" t="s">
        <v>35</v>
      </c>
      <c r="C112" s="176">
        <v>65392</v>
      </c>
      <c r="D112" s="177">
        <f>22671+9815</f>
        <v>32486</v>
      </c>
      <c r="E112" s="177">
        <v>99957</v>
      </c>
      <c r="F112" s="178">
        <v>4787.1000000000004</v>
      </c>
      <c r="G112" s="177">
        <v>3379.7</v>
      </c>
      <c r="H112" s="179"/>
      <c r="I112" s="179"/>
      <c r="J112" s="204">
        <f t="shared" si="24"/>
        <v>67471</v>
      </c>
      <c r="K112" s="177">
        <v>902</v>
      </c>
      <c r="L112" s="177">
        <v>0</v>
      </c>
      <c r="M112" s="205">
        <f t="shared" si="25"/>
        <v>1177</v>
      </c>
      <c r="N112" s="206">
        <f t="shared" si="35"/>
        <v>1147026</v>
      </c>
      <c r="O112" s="209">
        <f t="shared" si="35"/>
        <v>503703</v>
      </c>
      <c r="P112" s="208">
        <f t="shared" si="35"/>
        <v>1674104</v>
      </c>
      <c r="Q112" s="225">
        <f t="shared" si="36"/>
        <v>6537097.2999999998</v>
      </c>
      <c r="R112" s="207">
        <f t="shared" si="36"/>
        <v>3327764</v>
      </c>
      <c r="S112" s="226">
        <f t="shared" si="36"/>
        <v>10020586.469999999</v>
      </c>
      <c r="T112" s="227">
        <f>N112/'2017'!N112-1</f>
        <v>0.11478204415486459</v>
      </c>
      <c r="U112" s="228">
        <f>O112/'2017'!O112-1</f>
        <v>0.14341264760763273</v>
      </c>
      <c r="V112" s="228">
        <f>P112/'2017'!P112-1</f>
        <v>9.996294261887928E-2</v>
      </c>
      <c r="W112" s="228">
        <f>Q112/'2017'!Q112-1</f>
        <v>7.5732566635461129E-2</v>
      </c>
      <c r="X112" s="228">
        <f>R112/'2017'!R112-1</f>
        <v>0.20223599962282957</v>
      </c>
      <c r="Y112" s="244">
        <f>S112/'2017'!S112-1</f>
        <v>0.10699442469634812</v>
      </c>
      <c r="Z112" s="245"/>
      <c r="AA112" s="246">
        <f t="shared" si="30"/>
        <v>653.70973000000004</v>
      </c>
      <c r="AB112" s="247"/>
      <c r="AC112" s="248"/>
      <c r="AD112" s="247">
        <f t="shared" si="26"/>
        <v>6692822.4699999988</v>
      </c>
      <c r="AE112" s="177">
        <f t="shared" si="28"/>
        <v>38868.29</v>
      </c>
      <c r="AF112" s="177">
        <f t="shared" si="37"/>
        <v>43161.64</v>
      </c>
      <c r="AG112" s="248">
        <f t="shared" si="27"/>
        <v>73695.239999998987</v>
      </c>
      <c r="AH112" s="263"/>
      <c r="AI112" s="264"/>
      <c r="AJ112" s="264"/>
      <c r="AK112" s="264"/>
      <c r="AL112" s="264"/>
      <c r="AM112" s="264"/>
      <c r="AN112" s="264"/>
      <c r="AO112" s="264"/>
      <c r="AP112" s="264"/>
      <c r="AQ112" s="264"/>
      <c r="AR112" s="264"/>
      <c r="AS112" s="264"/>
      <c r="AT112" s="264"/>
      <c r="AU112" s="264"/>
      <c r="AV112" s="264"/>
      <c r="AW112" s="264"/>
      <c r="AX112" s="264"/>
      <c r="AY112" s="264"/>
      <c r="AZ112" s="264"/>
      <c r="BA112" s="264"/>
      <c r="BB112" s="264"/>
      <c r="BC112" s="264"/>
    </row>
    <row r="113" spans="1:55" ht="15" customHeight="1" x14ac:dyDescent="0.15">
      <c r="A113" s="180">
        <v>42843</v>
      </c>
      <c r="B113" s="175" t="s">
        <v>36</v>
      </c>
      <c r="C113" s="176">
        <v>65444</v>
      </c>
      <c r="D113" s="177">
        <f>22125+9839</f>
        <v>31964</v>
      </c>
      <c r="E113" s="177">
        <v>99806</v>
      </c>
      <c r="F113" s="178">
        <v>4807.8999999999996</v>
      </c>
      <c r="G113" s="177">
        <v>3406.8</v>
      </c>
      <c r="H113" s="179"/>
      <c r="I113" s="179"/>
      <c r="J113" s="204">
        <f t="shared" si="24"/>
        <v>67842</v>
      </c>
      <c r="K113" s="177">
        <v>1250</v>
      </c>
      <c r="L113" s="177">
        <v>0</v>
      </c>
      <c r="M113" s="205">
        <f t="shared" si="25"/>
        <v>1148</v>
      </c>
      <c r="N113" s="206">
        <f t="shared" ref="N113:P124" si="38">N112+C113</f>
        <v>1212470</v>
      </c>
      <c r="O113" s="209">
        <f t="shared" si="38"/>
        <v>535667</v>
      </c>
      <c r="P113" s="208">
        <f t="shared" si="38"/>
        <v>1773910</v>
      </c>
      <c r="Q113" s="225">
        <f t="shared" si="36"/>
        <v>6602541.2999999998</v>
      </c>
      <c r="R113" s="207">
        <f t="shared" si="36"/>
        <v>3359728</v>
      </c>
      <c r="S113" s="226">
        <f t="shared" si="36"/>
        <v>10120392.469999999</v>
      </c>
      <c r="T113" s="227">
        <f>N113/'2017'!N113-1</f>
        <v>0.10958586942894044</v>
      </c>
      <c r="U113" s="228">
        <f>O113/'2017'!O113-1</f>
        <v>0.14808583418707433</v>
      </c>
      <c r="V113" s="228">
        <f>P113/'2017'!P113-1</f>
        <v>9.8357519270217741E-2</v>
      </c>
      <c r="W113" s="228">
        <f>Q113/'2017'!Q113-1</f>
        <v>7.5213623661701368E-2</v>
      </c>
      <c r="X113" s="228">
        <f>R113/'2017'!R113-1</f>
        <v>0.20246797901380331</v>
      </c>
      <c r="Y113" s="244">
        <f>S113/'2017'!S113-1</f>
        <v>0.10663932622096595</v>
      </c>
      <c r="Z113" s="245">
        <v>32.869999999999997</v>
      </c>
      <c r="AA113" s="246">
        <f t="shared" si="30"/>
        <v>627.38413000000003</v>
      </c>
      <c r="AB113" s="247"/>
      <c r="AC113" s="248"/>
      <c r="AD113" s="247">
        <f t="shared" si="26"/>
        <v>6760664.4699999988</v>
      </c>
      <c r="AE113" s="177">
        <f t="shared" si="28"/>
        <v>40118.29</v>
      </c>
      <c r="AF113" s="177">
        <f t="shared" si="37"/>
        <v>43161.64</v>
      </c>
      <c r="AG113" s="248">
        <f t="shared" si="27"/>
        <v>74843.239999998987</v>
      </c>
      <c r="AH113" s="263"/>
      <c r="AI113" s="264"/>
      <c r="AJ113" s="264"/>
      <c r="AK113" s="264"/>
      <c r="AL113" s="264"/>
      <c r="AM113" s="264"/>
      <c r="AN113" s="264"/>
      <c r="AO113" s="264"/>
      <c r="AP113" s="264"/>
      <c r="AQ113" s="264"/>
      <c r="AR113" s="264"/>
      <c r="AS113" s="264"/>
      <c r="AT113" s="264"/>
      <c r="AU113" s="264"/>
      <c r="AV113" s="264"/>
      <c r="AW113" s="264"/>
      <c r="AX113" s="264"/>
      <c r="AY113" s="264"/>
      <c r="AZ113" s="264"/>
      <c r="BA113" s="264"/>
      <c r="BB113" s="264"/>
      <c r="BC113" s="264"/>
    </row>
    <row r="114" spans="1:55" s="157" customFormat="1" ht="15" customHeight="1" x14ac:dyDescent="0.15">
      <c r="A114" s="181">
        <v>42844</v>
      </c>
      <c r="B114" s="182" t="s">
        <v>37</v>
      </c>
      <c r="C114" s="183">
        <v>65932</v>
      </c>
      <c r="D114" s="184">
        <f>9777+21815</f>
        <v>31592</v>
      </c>
      <c r="E114" s="184">
        <v>99990</v>
      </c>
      <c r="F114" s="185">
        <v>4825</v>
      </c>
      <c r="G114" s="184">
        <v>3385</v>
      </c>
      <c r="H114" s="186"/>
      <c r="I114" s="186"/>
      <c r="J114" s="210">
        <f t="shared" si="24"/>
        <v>68398</v>
      </c>
      <c r="K114" s="184">
        <v>1242</v>
      </c>
      <c r="L114" s="184">
        <v>0</v>
      </c>
      <c r="M114" s="211">
        <f t="shared" si="25"/>
        <v>1224</v>
      </c>
      <c r="N114" s="212">
        <f t="shared" si="38"/>
        <v>1278402</v>
      </c>
      <c r="O114" s="215">
        <f t="shared" si="38"/>
        <v>567259</v>
      </c>
      <c r="P114" s="214">
        <f t="shared" si="38"/>
        <v>1873900</v>
      </c>
      <c r="Q114" s="229">
        <f t="shared" si="36"/>
        <v>6668473.2999999998</v>
      </c>
      <c r="R114" s="213">
        <f t="shared" si="36"/>
        <v>3391320</v>
      </c>
      <c r="S114" s="230">
        <f t="shared" si="36"/>
        <v>10220382.469999999</v>
      </c>
      <c r="T114" s="231">
        <f>N114/'2017'!N114-1</f>
        <v>0.10631282711639112</v>
      </c>
      <c r="U114" s="232">
        <f>O114/'2017'!O114-1</f>
        <v>0.14926071647088857</v>
      </c>
      <c r="V114" s="232">
        <f>P114/'2017'!P114-1</f>
        <v>9.7128578153212741E-2</v>
      </c>
      <c r="W114" s="232">
        <f>Q114/'2017'!Q114-1</f>
        <v>7.4952062483244042E-2</v>
      </c>
      <c r="X114" s="232">
        <f>R114/'2017'!R114-1</f>
        <v>0.20215282383547328</v>
      </c>
      <c r="Y114" s="249">
        <f>S114/'2017'!S114-1</f>
        <v>0.10632878578236959</v>
      </c>
      <c r="Z114" s="250">
        <v>33.340000000000003</v>
      </c>
      <c r="AA114" s="251">
        <f t="shared" si="30"/>
        <v>633.50732999999991</v>
      </c>
      <c r="AB114" s="252">
        <v>4269.4799999999996</v>
      </c>
      <c r="AC114" s="211">
        <f t="shared" si="31"/>
        <v>1483.8044211473059</v>
      </c>
      <c r="AD114" s="252">
        <f t="shared" si="26"/>
        <v>6829062.4699999988</v>
      </c>
      <c r="AE114" s="184">
        <f t="shared" si="28"/>
        <v>41360.29</v>
      </c>
      <c r="AF114" s="184">
        <f t="shared" si="37"/>
        <v>43161.64</v>
      </c>
      <c r="AG114" s="211">
        <f t="shared" si="27"/>
        <v>76067.239999998987</v>
      </c>
      <c r="AH114" s="263"/>
      <c r="AI114" s="264"/>
      <c r="AJ114" s="264"/>
      <c r="AK114" s="264"/>
      <c r="AL114" s="264"/>
      <c r="AM114" s="264"/>
      <c r="AN114" s="264"/>
      <c r="AO114" s="264"/>
      <c r="AP114" s="264"/>
      <c r="AQ114" s="264"/>
      <c r="AR114" s="264"/>
      <c r="AS114" s="264"/>
      <c r="AT114" s="264"/>
      <c r="AU114" s="264"/>
      <c r="AV114" s="264"/>
      <c r="AW114" s="264"/>
      <c r="AX114" s="264"/>
      <c r="AY114" s="264"/>
      <c r="AZ114" s="264"/>
      <c r="BA114" s="264"/>
      <c r="BB114" s="264"/>
      <c r="BC114" s="264"/>
    </row>
    <row r="115" spans="1:55" ht="15" customHeight="1" x14ac:dyDescent="0.15">
      <c r="A115" s="180">
        <v>42845</v>
      </c>
      <c r="B115" s="175" t="s">
        <v>38</v>
      </c>
      <c r="C115" s="176">
        <v>63918</v>
      </c>
      <c r="D115" s="177">
        <f>23268+9777</f>
        <v>33045</v>
      </c>
      <c r="E115" s="177">
        <v>99648</v>
      </c>
      <c r="F115" s="178">
        <v>4827.8</v>
      </c>
      <c r="G115" s="177">
        <v>3370.2</v>
      </c>
      <c r="H115" s="179"/>
      <c r="I115" s="179"/>
      <c r="J115" s="204">
        <f t="shared" si="24"/>
        <v>66603</v>
      </c>
      <c r="K115" s="177">
        <v>1384</v>
      </c>
      <c r="L115" s="177">
        <v>0</v>
      </c>
      <c r="M115" s="205">
        <f t="shared" si="25"/>
        <v>1301</v>
      </c>
      <c r="N115" s="206">
        <f t="shared" si="38"/>
        <v>1342320</v>
      </c>
      <c r="O115" s="209">
        <f t="shared" ref="O115:P117" si="39">O114+D115</f>
        <v>600304</v>
      </c>
      <c r="P115" s="208">
        <f t="shared" si="39"/>
        <v>1973548</v>
      </c>
      <c r="Q115" s="225">
        <f t="shared" si="36"/>
        <v>6732391.2999999998</v>
      </c>
      <c r="R115" s="207">
        <f t="shared" si="36"/>
        <v>3424365</v>
      </c>
      <c r="S115" s="226">
        <f t="shared" si="36"/>
        <v>10320030.469999999</v>
      </c>
      <c r="T115" s="227">
        <f>N115/'2017'!N115-1</f>
        <v>0.1008316596534764</v>
      </c>
      <c r="U115" s="228">
        <f>O115/'2017'!O115-1</f>
        <v>0.15347914893289949</v>
      </c>
      <c r="V115" s="228">
        <f>P115/'2017'!P115-1</f>
        <v>9.5503852904638142E-2</v>
      </c>
      <c r="W115" s="228">
        <f>Q115/'2017'!Q115-1</f>
        <v>7.4204978829076396E-2</v>
      </c>
      <c r="X115" s="228">
        <f>R115/'2017'!R115-1</f>
        <v>0.20242517070580868</v>
      </c>
      <c r="Y115" s="244">
        <f>S115/'2017'!S115-1</f>
        <v>0.10592294931880586</v>
      </c>
      <c r="Z115" s="245"/>
      <c r="AA115" s="246">
        <f t="shared" si="30"/>
        <v>673.23912999999993</v>
      </c>
      <c r="AB115" s="247"/>
      <c r="AC115" s="248"/>
      <c r="AD115" s="247">
        <f t="shared" si="26"/>
        <v>6895665.4699999988</v>
      </c>
      <c r="AE115" s="177">
        <f t="shared" si="28"/>
        <v>42744.29</v>
      </c>
      <c r="AF115" s="177">
        <f t="shared" si="37"/>
        <v>43161.64</v>
      </c>
      <c r="AG115" s="248">
        <f t="shared" si="27"/>
        <v>77368.239999998987</v>
      </c>
      <c r="AH115" s="263"/>
      <c r="AI115" s="264"/>
      <c r="AJ115" s="264"/>
      <c r="AK115" s="264"/>
      <c r="AL115" s="264"/>
      <c r="AM115" s="264"/>
      <c r="AN115" s="264"/>
      <c r="AO115" s="264"/>
      <c r="AP115" s="264"/>
      <c r="AQ115" s="264"/>
      <c r="AR115" s="264"/>
      <c r="AS115" s="264"/>
      <c r="AT115" s="264"/>
      <c r="AU115" s="264"/>
      <c r="AV115" s="264"/>
      <c r="AW115" s="264"/>
      <c r="AX115" s="264"/>
      <c r="AY115" s="264"/>
      <c r="AZ115" s="264"/>
      <c r="BA115" s="264"/>
      <c r="BB115" s="264"/>
      <c r="BC115" s="264"/>
    </row>
    <row r="116" spans="1:55" ht="15" customHeight="1" x14ac:dyDescent="0.15">
      <c r="A116" s="180">
        <v>42846</v>
      </c>
      <c r="B116" s="175" t="s">
        <v>39</v>
      </c>
      <c r="C116" s="176">
        <v>64335</v>
      </c>
      <c r="D116" s="177">
        <f>24701+9706</f>
        <v>34407</v>
      </c>
      <c r="E116" s="177">
        <v>100766</v>
      </c>
      <c r="F116" s="178">
        <v>4987.8</v>
      </c>
      <c r="G116" s="177">
        <v>3350.6</v>
      </c>
      <c r="H116" s="179"/>
      <c r="I116" s="179"/>
      <c r="J116" s="204">
        <f t="shared" si="24"/>
        <v>66359</v>
      </c>
      <c r="K116" s="177">
        <v>1057</v>
      </c>
      <c r="L116" s="177">
        <v>0</v>
      </c>
      <c r="M116" s="205">
        <f t="shared" si="25"/>
        <v>967</v>
      </c>
      <c r="N116" s="206">
        <f t="shared" si="38"/>
        <v>1406655</v>
      </c>
      <c r="O116" s="209">
        <f t="shared" si="39"/>
        <v>634711</v>
      </c>
      <c r="P116" s="208">
        <f t="shared" si="39"/>
        <v>2074314</v>
      </c>
      <c r="Q116" s="225">
        <f t="shared" si="36"/>
        <v>6796726.2999999998</v>
      </c>
      <c r="R116" s="207">
        <f t="shared" si="36"/>
        <v>3458772</v>
      </c>
      <c r="S116" s="226">
        <f t="shared" si="36"/>
        <v>10420796.469999999</v>
      </c>
      <c r="T116" s="227">
        <f>N116/'2017'!N116-1</f>
        <v>9.5958450883643298E-2</v>
      </c>
      <c r="U116" s="228">
        <f>O116/'2017'!O116-1</f>
        <v>0.16055073550250953</v>
      </c>
      <c r="V116" s="228">
        <f>P116/'2017'!P116-1</f>
        <v>9.462018102298253E-2</v>
      </c>
      <c r="W116" s="228">
        <f>Q116/'2017'!Q116-1</f>
        <v>7.3486767193392533E-2</v>
      </c>
      <c r="X116" s="228">
        <f>R116/'2017'!R116-1</f>
        <v>0.20331983698620704</v>
      </c>
      <c r="Y116" s="244">
        <f>S116/'2017'!S116-1</f>
        <v>0.10564190697316977</v>
      </c>
      <c r="Z116" s="245"/>
      <c r="AA116" s="246">
        <f t="shared" si="30"/>
        <v>679.67263000000003</v>
      </c>
      <c r="AB116" s="247"/>
      <c r="AC116" s="248"/>
      <c r="AD116" s="247">
        <f t="shared" si="26"/>
        <v>6962024.4699999988</v>
      </c>
      <c r="AE116" s="177">
        <f t="shared" si="28"/>
        <v>43801.29</v>
      </c>
      <c r="AF116" s="177">
        <f t="shared" si="37"/>
        <v>43161.64</v>
      </c>
      <c r="AG116" s="248">
        <f t="shared" si="27"/>
        <v>78335.239999998987</v>
      </c>
      <c r="AH116" s="263"/>
      <c r="AI116" s="264"/>
      <c r="AJ116" s="264"/>
      <c r="AK116" s="264"/>
      <c r="AL116" s="264"/>
      <c r="AM116" s="264"/>
      <c r="AN116" s="264"/>
      <c r="AO116" s="264"/>
      <c r="AP116" s="264"/>
      <c r="AQ116" s="264"/>
      <c r="AR116" s="264"/>
      <c r="AS116" s="264"/>
      <c r="AT116" s="264"/>
      <c r="AU116" s="264"/>
      <c r="AV116" s="264"/>
      <c r="AW116" s="264"/>
      <c r="AX116" s="264"/>
      <c r="AY116" s="264"/>
      <c r="AZ116" s="264"/>
      <c r="BA116" s="264"/>
      <c r="BB116" s="264"/>
      <c r="BC116" s="264"/>
    </row>
    <row r="117" spans="1:55" ht="15" customHeight="1" x14ac:dyDescent="0.15">
      <c r="A117" s="180">
        <v>42847</v>
      </c>
      <c r="B117" s="175" t="s">
        <v>1</v>
      </c>
      <c r="C117" s="176">
        <v>62314</v>
      </c>
      <c r="D117" s="177">
        <f>23776+9716</f>
        <v>33492</v>
      </c>
      <c r="E117" s="177">
        <v>97755</v>
      </c>
      <c r="F117" s="178">
        <v>4757.3</v>
      </c>
      <c r="G117" s="177">
        <v>3345.1</v>
      </c>
      <c r="H117" s="179"/>
      <c r="I117" s="179"/>
      <c r="J117" s="204">
        <f t="shared" si="24"/>
        <v>64263</v>
      </c>
      <c r="K117" s="177">
        <v>1073</v>
      </c>
      <c r="L117" s="177">
        <v>0</v>
      </c>
      <c r="M117" s="205">
        <f t="shared" si="25"/>
        <v>876</v>
      </c>
      <c r="N117" s="206">
        <f t="shared" si="38"/>
        <v>1468969</v>
      </c>
      <c r="O117" s="209">
        <f t="shared" si="39"/>
        <v>668203</v>
      </c>
      <c r="P117" s="208">
        <f t="shared" si="39"/>
        <v>2172069</v>
      </c>
      <c r="Q117" s="225">
        <f t="shared" si="36"/>
        <v>6859040.2999999998</v>
      </c>
      <c r="R117" s="207">
        <f t="shared" si="36"/>
        <v>3492264</v>
      </c>
      <c r="S117" s="226">
        <f t="shared" si="36"/>
        <v>10518551.469999999</v>
      </c>
      <c r="T117" s="227">
        <f>N117/'2017'!N117-1</f>
        <v>9.0331693471529029E-2</v>
      </c>
      <c r="U117" s="228">
        <f>O117/'2017'!O117-1</f>
        <v>0.16925001749842505</v>
      </c>
      <c r="V117" s="228">
        <f>P117/'2017'!P117-1</f>
        <v>9.3438720294473976E-2</v>
      </c>
      <c r="W117" s="228">
        <f>Q117/'2017'!Q117-1</f>
        <v>7.2525484374736271E-2</v>
      </c>
      <c r="X117" s="228">
        <f>R117/'2017'!R117-1</f>
        <v>0.20467220180666468</v>
      </c>
      <c r="Y117" s="244">
        <f>S117/'2017'!S117-1</f>
        <v>0.10528937967939966</v>
      </c>
      <c r="Z117" s="245"/>
      <c r="AA117" s="246">
        <f t="shared" si="30"/>
        <v>685.90403000000003</v>
      </c>
      <c r="AB117" s="247"/>
      <c r="AC117" s="248"/>
      <c r="AD117" s="247">
        <f t="shared" si="26"/>
        <v>7026287.4699999988</v>
      </c>
      <c r="AE117" s="177">
        <f t="shared" si="28"/>
        <v>44874.29</v>
      </c>
      <c r="AF117" s="177">
        <f t="shared" si="37"/>
        <v>43161.64</v>
      </c>
      <c r="AG117" s="248">
        <f t="shared" si="27"/>
        <v>79211.239999998987</v>
      </c>
      <c r="AH117" s="263"/>
      <c r="AI117" s="264"/>
      <c r="AJ117" s="264"/>
      <c r="AK117" s="264"/>
      <c r="AL117" s="264"/>
      <c r="AM117" s="264"/>
      <c r="AN117" s="264"/>
      <c r="AO117" s="264"/>
      <c r="AP117" s="264"/>
      <c r="AQ117" s="264"/>
      <c r="AR117" s="264"/>
      <c r="AS117" s="264"/>
      <c r="AT117" s="264"/>
      <c r="AU117" s="264"/>
      <c r="AV117" s="264"/>
      <c r="AW117" s="264"/>
      <c r="AX117" s="264"/>
      <c r="AY117" s="264"/>
      <c r="AZ117" s="264"/>
      <c r="BA117" s="264"/>
      <c r="BB117" s="264"/>
      <c r="BC117" s="264"/>
    </row>
    <row r="118" spans="1:55" ht="15" customHeight="1" x14ac:dyDescent="0.15">
      <c r="A118" s="180">
        <v>42848</v>
      </c>
      <c r="B118" s="175" t="s">
        <v>34</v>
      </c>
      <c r="C118" s="176">
        <v>67016</v>
      </c>
      <c r="D118" s="177">
        <f>23945+9732</f>
        <v>33677</v>
      </c>
      <c r="E118" s="177">
        <f>102626</f>
        <v>102626</v>
      </c>
      <c r="F118" s="178">
        <v>5299.1</v>
      </c>
      <c r="G118" s="177">
        <v>3301.5</v>
      </c>
      <c r="H118" s="179"/>
      <c r="I118" s="179"/>
      <c r="J118" s="204">
        <f t="shared" si="24"/>
        <v>68949</v>
      </c>
      <c r="K118" s="177">
        <v>1467</v>
      </c>
      <c r="L118" s="177">
        <v>0</v>
      </c>
      <c r="M118" s="205">
        <f t="shared" si="25"/>
        <v>466</v>
      </c>
      <c r="N118" s="206">
        <f t="shared" si="38"/>
        <v>1535985</v>
      </c>
      <c r="O118" s="209">
        <f t="shared" si="38"/>
        <v>701880</v>
      </c>
      <c r="P118" s="208">
        <f t="shared" si="38"/>
        <v>2274695</v>
      </c>
      <c r="Q118" s="225">
        <f t="shared" si="36"/>
        <v>6926056.2999999998</v>
      </c>
      <c r="R118" s="207">
        <f t="shared" si="36"/>
        <v>3525941</v>
      </c>
      <c r="S118" s="226">
        <f t="shared" si="36"/>
        <v>10621177.469999999</v>
      </c>
      <c r="T118" s="227">
        <f>N118/'2017'!N118-1</f>
        <v>9.0717167743429084E-2</v>
      </c>
      <c r="U118" s="228">
        <f>O118/'2017'!O118-1</f>
        <v>0.17870511716014481</v>
      </c>
      <c r="V118" s="228">
        <f>P118/'2017'!P118-1</f>
        <v>9.6490086400542907E-2</v>
      </c>
      <c r="W118" s="228">
        <f>Q118/'2017'!Q118-1</f>
        <v>7.2777709203617924E-2</v>
      </c>
      <c r="X118" s="228">
        <f>R118/'2017'!R118-1</f>
        <v>0.20630773336252783</v>
      </c>
      <c r="Y118" s="244">
        <f>S118/'2017'!S118-1</f>
        <v>0.10583978947790929</v>
      </c>
      <c r="Z118" s="245"/>
      <c r="AA118" s="246">
        <f t="shared" si="30"/>
        <v>692.60563000000002</v>
      </c>
      <c r="AB118" s="247"/>
      <c r="AC118" s="248"/>
      <c r="AD118" s="247">
        <f t="shared" si="26"/>
        <v>7095236.4699999988</v>
      </c>
      <c r="AE118" s="177">
        <f t="shared" si="28"/>
        <v>46341.29</v>
      </c>
      <c r="AF118" s="177">
        <f t="shared" si="37"/>
        <v>43161.64</v>
      </c>
      <c r="AG118" s="248">
        <f t="shared" si="27"/>
        <v>79677.239999998987</v>
      </c>
      <c r="AH118" s="263"/>
      <c r="AI118" s="264"/>
      <c r="AJ118" s="264"/>
      <c r="AK118" s="264"/>
      <c r="AL118" s="264"/>
      <c r="AM118" s="264"/>
      <c r="AN118" s="264"/>
      <c r="AO118" s="264"/>
      <c r="AP118" s="264"/>
      <c r="AQ118" s="264"/>
      <c r="AR118" s="264"/>
      <c r="AS118" s="264"/>
      <c r="AT118" s="264"/>
      <c r="AU118" s="264"/>
      <c r="AV118" s="264"/>
      <c r="AW118" s="264"/>
      <c r="AX118" s="264"/>
      <c r="AY118" s="264"/>
      <c r="AZ118" s="264"/>
      <c r="BA118" s="264"/>
      <c r="BB118" s="264"/>
      <c r="BC118" s="264"/>
    </row>
    <row r="119" spans="1:55" ht="15" customHeight="1" x14ac:dyDescent="0.15">
      <c r="A119" s="180">
        <v>42849</v>
      </c>
      <c r="B119" s="175" t="s">
        <v>35</v>
      </c>
      <c r="C119" s="176">
        <v>64528</v>
      </c>
      <c r="D119" s="177">
        <f>23874+9900</f>
        <v>33774</v>
      </c>
      <c r="E119" s="177">
        <v>100557</v>
      </c>
      <c r="F119" s="178">
        <v>5097.1000000000004</v>
      </c>
      <c r="G119" s="177">
        <v>3289.9</v>
      </c>
      <c r="H119" s="179"/>
      <c r="I119" s="179"/>
      <c r="J119" s="204">
        <f t="shared" si="24"/>
        <v>66783</v>
      </c>
      <c r="K119" s="177">
        <v>1122</v>
      </c>
      <c r="L119" s="177">
        <v>0</v>
      </c>
      <c r="M119" s="205">
        <f t="shared" si="25"/>
        <v>1133</v>
      </c>
      <c r="N119" s="206">
        <f t="shared" si="38"/>
        <v>1600513</v>
      </c>
      <c r="O119" s="209">
        <f t="shared" si="38"/>
        <v>735654</v>
      </c>
      <c r="P119" s="208">
        <f t="shared" si="38"/>
        <v>2375252</v>
      </c>
      <c r="Q119" s="225">
        <f t="shared" si="36"/>
        <v>6990584.2999999998</v>
      </c>
      <c r="R119" s="207">
        <f t="shared" si="36"/>
        <v>3559715</v>
      </c>
      <c r="S119" s="226">
        <f t="shared" si="36"/>
        <v>10721734.469999999</v>
      </c>
      <c r="T119" s="227">
        <f>N119/'2017'!N119-1</f>
        <v>8.6155414310125522E-2</v>
      </c>
      <c r="U119" s="228">
        <f>O119/'2017'!O119-1</f>
        <v>0.18784917554204972</v>
      </c>
      <c r="V119" s="228">
        <f>P119/'2017'!P119-1</f>
        <v>9.6290224390261914E-2</v>
      </c>
      <c r="W119" s="228">
        <f>Q119/'2017'!Q119-1</f>
        <v>7.1926659676172955E-2</v>
      </c>
      <c r="X119" s="228">
        <f>R119/'2017'!R119-1</f>
        <v>0.20800612467417712</v>
      </c>
      <c r="Y119" s="244">
        <f>S119/'2017'!S119-1</f>
        <v>0.10570632569386107</v>
      </c>
      <c r="Z119" s="245"/>
      <c r="AA119" s="246">
        <f t="shared" si="30"/>
        <v>699.05842999999993</v>
      </c>
      <c r="AB119" s="247"/>
      <c r="AC119" s="248"/>
      <c r="AD119" s="247">
        <f t="shared" si="26"/>
        <v>7162019.4699999988</v>
      </c>
      <c r="AE119" s="177">
        <f t="shared" si="28"/>
        <v>47463.29</v>
      </c>
      <c r="AF119" s="177">
        <f t="shared" ref="AF119:AF134" si="40">AF118+L119</f>
        <v>43161.64</v>
      </c>
      <c r="AG119" s="248">
        <f t="shared" si="27"/>
        <v>80810.239999998987</v>
      </c>
      <c r="AH119" s="263"/>
      <c r="AI119" s="264"/>
      <c r="AJ119" s="264"/>
      <c r="AK119" s="264"/>
      <c r="AL119" s="264"/>
      <c r="AM119" s="264"/>
      <c r="AN119" s="264"/>
      <c r="AO119" s="264"/>
      <c r="AP119" s="264"/>
      <c r="AQ119" s="264"/>
      <c r="AR119" s="264"/>
      <c r="AS119" s="264"/>
      <c r="AT119" s="264"/>
      <c r="AU119" s="264"/>
      <c r="AV119" s="264"/>
      <c r="AW119" s="264"/>
      <c r="AX119" s="264"/>
      <c r="AY119" s="264"/>
      <c r="AZ119" s="264"/>
      <c r="BA119" s="264"/>
      <c r="BB119" s="264"/>
      <c r="BC119" s="264"/>
    </row>
    <row r="120" spans="1:55" ht="15" customHeight="1" x14ac:dyDescent="0.15">
      <c r="A120" s="180">
        <v>42850</v>
      </c>
      <c r="B120" s="175" t="s">
        <v>36</v>
      </c>
      <c r="C120" s="176">
        <f>60476+3775</f>
        <v>64251</v>
      </c>
      <c r="D120" s="177">
        <f>11753+20979</f>
        <v>32732</v>
      </c>
      <c r="E120" s="177">
        <f>78656+20979</f>
        <v>99635</v>
      </c>
      <c r="F120" s="178">
        <v>4803</v>
      </c>
      <c r="G120" s="177">
        <v>3357</v>
      </c>
      <c r="H120" s="179"/>
      <c r="I120" s="179"/>
      <c r="J120" s="204">
        <f t="shared" si="24"/>
        <v>66903</v>
      </c>
      <c r="K120" s="177">
        <v>1364</v>
      </c>
      <c r="L120" s="177">
        <v>0</v>
      </c>
      <c r="M120" s="205">
        <f t="shared" si="25"/>
        <v>1288</v>
      </c>
      <c r="N120" s="206">
        <f t="shared" si="38"/>
        <v>1664764</v>
      </c>
      <c r="O120" s="209">
        <f t="shared" si="38"/>
        <v>768386</v>
      </c>
      <c r="P120" s="208">
        <f t="shared" si="38"/>
        <v>2474887</v>
      </c>
      <c r="Q120" s="225">
        <f t="shared" si="36"/>
        <v>7054835.2999999998</v>
      </c>
      <c r="R120" s="207">
        <f t="shared" si="36"/>
        <v>3592447</v>
      </c>
      <c r="S120" s="226">
        <f t="shared" si="36"/>
        <v>10821369.469999999</v>
      </c>
      <c r="T120" s="227">
        <f>N120/'2017'!N120-1</f>
        <v>8.0321793341808334E-2</v>
      </c>
      <c r="U120" s="228">
        <f>O120/'2017'!O120-1</f>
        <v>0.19348510523953233</v>
      </c>
      <c r="V120" s="228">
        <f>P120/'2017'!P120-1</f>
        <v>9.4739305235658433E-2</v>
      </c>
      <c r="W120" s="228">
        <f>Q120/'2017'!Q120-1</f>
        <v>7.0707938459965147E-2</v>
      </c>
      <c r="X120" s="228">
        <f>R120/'2017'!R120-1</f>
        <v>0.20906110854954285</v>
      </c>
      <c r="Y120" s="244">
        <f>S120/'2017'!S120-1</f>
        <v>0.10525773542037165</v>
      </c>
      <c r="Z120" s="245"/>
      <c r="AA120" s="246">
        <f t="shared" si="30"/>
        <v>705.48352999999997</v>
      </c>
      <c r="AB120" s="247"/>
      <c r="AC120" s="248"/>
      <c r="AD120" s="247">
        <f t="shared" si="26"/>
        <v>7228922.4699999988</v>
      </c>
      <c r="AE120" s="177">
        <f t="shared" si="28"/>
        <v>48827.29</v>
      </c>
      <c r="AF120" s="177">
        <f t="shared" si="40"/>
        <v>43161.64</v>
      </c>
      <c r="AG120" s="248">
        <f t="shared" si="27"/>
        <v>82098.239999998987</v>
      </c>
      <c r="AH120" s="263"/>
      <c r="AI120" s="264"/>
      <c r="AJ120" s="264"/>
      <c r="AK120" s="264"/>
      <c r="AL120" s="264"/>
      <c r="AM120" s="264"/>
      <c r="AN120" s="264"/>
      <c r="AO120" s="264"/>
      <c r="AP120" s="264"/>
      <c r="AQ120" s="264"/>
      <c r="AR120" s="264"/>
      <c r="AS120" s="264"/>
      <c r="AT120" s="264"/>
      <c r="AU120" s="264"/>
      <c r="AV120" s="264"/>
      <c r="AW120" s="264"/>
      <c r="AX120" s="264"/>
      <c r="AY120" s="264"/>
      <c r="AZ120" s="264"/>
      <c r="BA120" s="264"/>
      <c r="BB120" s="264"/>
      <c r="BC120" s="264"/>
    </row>
    <row r="121" spans="1:55" s="157" customFormat="1" ht="15" customHeight="1" x14ac:dyDescent="0.15">
      <c r="A121" s="181">
        <v>42851</v>
      </c>
      <c r="B121" s="182" t="s">
        <v>37</v>
      </c>
      <c r="C121" s="183">
        <f>64318+3665</f>
        <v>67983</v>
      </c>
      <c r="D121" s="184">
        <f>19951+11494</f>
        <v>31445</v>
      </c>
      <c r="E121" s="184">
        <f>81735+19951</f>
        <v>101686</v>
      </c>
      <c r="F121" s="185">
        <v>4893</v>
      </c>
      <c r="G121" s="184">
        <v>3408</v>
      </c>
      <c r="H121" s="186"/>
      <c r="I121" s="186"/>
      <c r="J121" s="210">
        <f t="shared" si="24"/>
        <v>70241</v>
      </c>
      <c r="K121" s="184">
        <v>1357</v>
      </c>
      <c r="L121" s="184">
        <v>0</v>
      </c>
      <c r="M121" s="211">
        <f t="shared" si="25"/>
        <v>901</v>
      </c>
      <c r="N121" s="212">
        <f t="shared" si="38"/>
        <v>1732747</v>
      </c>
      <c r="O121" s="215">
        <f t="shared" si="38"/>
        <v>799831</v>
      </c>
      <c r="P121" s="214">
        <f t="shared" si="38"/>
        <v>2576573</v>
      </c>
      <c r="Q121" s="229">
        <f t="shared" si="36"/>
        <v>7122818.2999999998</v>
      </c>
      <c r="R121" s="213">
        <f t="shared" si="36"/>
        <v>3623892</v>
      </c>
      <c r="S121" s="230">
        <f t="shared" si="36"/>
        <v>10923055.469999999</v>
      </c>
      <c r="T121" s="231">
        <f>N121/'2017'!N121-1</f>
        <v>7.7548824815225847E-2</v>
      </c>
      <c r="U121" s="232">
        <f>O121/'2017'!O121-1</f>
        <v>0.19668179791553841</v>
      </c>
      <c r="V121" s="232">
        <f>P121/'2017'!P121-1</f>
        <v>9.4445902814767946E-2</v>
      </c>
      <c r="W121" s="232">
        <f>Q121/'2017'!Q121-1</f>
        <v>7.0134862863241221E-2</v>
      </c>
      <c r="X121" s="232">
        <f>R121/'2017'!R121-1</f>
        <v>0.20964661844625865</v>
      </c>
      <c r="Y121" s="249">
        <f>S121/'2017'!S121-1</f>
        <v>0.10508833719094435</v>
      </c>
      <c r="Z121" s="250">
        <v>35.86</v>
      </c>
      <c r="AA121" s="251">
        <f t="shared" si="30"/>
        <v>676.42183</v>
      </c>
      <c r="AB121" s="252">
        <v>4269.4799999999996</v>
      </c>
      <c r="AC121" s="211">
        <f t="shared" si="31"/>
        <v>1584.3190037194227</v>
      </c>
      <c r="AD121" s="252">
        <f t="shared" si="26"/>
        <v>7299163.4699999988</v>
      </c>
      <c r="AE121" s="184">
        <f t="shared" si="28"/>
        <v>50184.29</v>
      </c>
      <c r="AF121" s="184">
        <f t="shared" si="40"/>
        <v>43161.64</v>
      </c>
      <c r="AG121" s="211">
        <f t="shared" si="27"/>
        <v>82999.239999998987</v>
      </c>
      <c r="AH121" s="263"/>
      <c r="AI121" s="264"/>
      <c r="AJ121" s="264"/>
      <c r="AK121" s="264"/>
      <c r="AL121" s="264"/>
      <c r="AM121" s="264"/>
      <c r="AN121" s="264"/>
      <c r="AO121" s="264"/>
      <c r="AP121" s="264"/>
      <c r="AQ121" s="264"/>
      <c r="AR121" s="264"/>
      <c r="AS121" s="264"/>
      <c r="AT121" s="264"/>
      <c r="AU121" s="264"/>
      <c r="AV121" s="264"/>
      <c r="AW121" s="264"/>
      <c r="AX121" s="264"/>
      <c r="AY121" s="264"/>
      <c r="AZ121" s="264"/>
      <c r="BA121" s="264"/>
      <c r="BB121" s="264"/>
      <c r="BC121" s="264"/>
    </row>
    <row r="122" spans="1:55" ht="15" customHeight="1" x14ac:dyDescent="0.15">
      <c r="A122" s="180">
        <v>42852</v>
      </c>
      <c r="B122" s="175" t="s">
        <v>38</v>
      </c>
      <c r="C122" s="176">
        <f>63496+3196</f>
        <v>66692</v>
      </c>
      <c r="D122" s="177">
        <f>22259+11471</f>
        <v>33730</v>
      </c>
      <c r="E122" s="177">
        <f>79993+22259</f>
        <v>102252</v>
      </c>
      <c r="F122" s="178">
        <v>4991</v>
      </c>
      <c r="G122" s="177">
        <v>3418</v>
      </c>
      <c r="H122" s="179"/>
      <c r="I122" s="179"/>
      <c r="J122" s="204">
        <f t="shared" si="24"/>
        <v>68522</v>
      </c>
      <c r="K122" s="177">
        <v>951</v>
      </c>
      <c r="L122" s="177">
        <v>0</v>
      </c>
      <c r="M122" s="205">
        <f t="shared" si="25"/>
        <v>879</v>
      </c>
      <c r="N122" s="206">
        <f t="shared" si="38"/>
        <v>1799439</v>
      </c>
      <c r="O122" s="209">
        <f t="shared" si="38"/>
        <v>833561</v>
      </c>
      <c r="P122" s="208">
        <f t="shared" si="38"/>
        <v>2678825</v>
      </c>
      <c r="Q122" s="225">
        <f t="shared" si="36"/>
        <v>7189510.2999999998</v>
      </c>
      <c r="R122" s="207">
        <f t="shared" si="36"/>
        <v>3657622</v>
      </c>
      <c r="S122" s="226">
        <f t="shared" si="36"/>
        <v>11025307.469999999</v>
      </c>
      <c r="T122" s="227">
        <f>N122/'2017'!N122-1</f>
        <v>7.5701591040199023E-2</v>
      </c>
      <c r="U122" s="228">
        <f>O122/'2017'!O122-1</f>
        <v>0.20340972416720327</v>
      </c>
      <c r="V122" s="228">
        <f>P122/'2017'!P122-1</f>
        <v>9.5060215895066857E-2</v>
      </c>
      <c r="W122" s="228">
        <f>Q122/'2017'!Q122-1</f>
        <v>6.9746523823885909E-2</v>
      </c>
      <c r="X122" s="228">
        <f>R122/'2017'!R122-1</f>
        <v>0.2110853910061159</v>
      </c>
      <c r="Y122" s="244">
        <f>S122/'2017'!S122-1</f>
        <v>0.10514077033487634</v>
      </c>
      <c r="Z122" s="245"/>
      <c r="AA122" s="246">
        <f t="shared" si="30"/>
        <v>718.95102999999995</v>
      </c>
      <c r="AB122" s="247"/>
      <c r="AC122" s="248"/>
      <c r="AD122" s="247">
        <f t="shared" si="26"/>
        <v>7367685.4699999988</v>
      </c>
      <c r="AE122" s="177">
        <f t="shared" si="28"/>
        <v>51135.29</v>
      </c>
      <c r="AF122" s="177">
        <f t="shared" si="40"/>
        <v>43161.64</v>
      </c>
      <c r="AG122" s="248">
        <f t="shared" si="27"/>
        <v>83878.239999998987</v>
      </c>
      <c r="AH122" s="263"/>
      <c r="AI122" s="264"/>
      <c r="AJ122" s="264"/>
      <c r="AK122" s="26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264"/>
    </row>
    <row r="123" spans="1:55" ht="15" customHeight="1" x14ac:dyDescent="0.15">
      <c r="A123" s="180">
        <v>42853</v>
      </c>
      <c r="B123" s="175" t="s">
        <v>39</v>
      </c>
      <c r="C123" s="176">
        <f>64575+3787</f>
        <v>68362</v>
      </c>
      <c r="D123" s="177">
        <f>20142+11302</f>
        <v>31444</v>
      </c>
      <c r="E123" s="177">
        <f>81623+20142</f>
        <v>101765</v>
      </c>
      <c r="F123" s="178">
        <v>4992</v>
      </c>
      <c r="G123" s="177">
        <v>3442</v>
      </c>
      <c r="H123" s="179"/>
      <c r="I123" s="179"/>
      <c r="J123" s="204">
        <f t="shared" si="24"/>
        <v>70321</v>
      </c>
      <c r="K123" s="177">
        <v>996</v>
      </c>
      <c r="L123" s="177">
        <v>0</v>
      </c>
      <c r="M123" s="205">
        <f t="shared" si="25"/>
        <v>963</v>
      </c>
      <c r="N123" s="206">
        <f t="shared" si="38"/>
        <v>1867801</v>
      </c>
      <c r="O123" s="209">
        <f t="shared" si="38"/>
        <v>865005</v>
      </c>
      <c r="P123" s="208">
        <f t="shared" si="38"/>
        <v>2780590</v>
      </c>
      <c r="Q123" s="225">
        <f t="shared" si="36"/>
        <v>7257872.2999999998</v>
      </c>
      <c r="R123" s="207">
        <f t="shared" si="36"/>
        <v>3689066</v>
      </c>
      <c r="S123" s="226">
        <f t="shared" si="36"/>
        <v>11127072.469999999</v>
      </c>
      <c r="T123" s="227">
        <f>N123/'2017'!N123-1</f>
        <v>7.5440269280241834E-2</v>
      </c>
      <c r="U123" s="228">
        <f>O123/'2017'!O123-1</f>
        <v>0.20597855183028835</v>
      </c>
      <c r="V123" s="228">
        <f>P123/'2017'!P123-1</f>
        <v>9.5586158039048907E-2</v>
      </c>
      <c r="W123" s="228">
        <f>Q123/'2017'!Q123-1</f>
        <v>6.9735779943171483E-2</v>
      </c>
      <c r="X123" s="228">
        <f>R123/'2017'!R123-1</f>
        <v>0.211628535591321</v>
      </c>
      <c r="Y123" s="244">
        <f>S123/'2017'!S123-1</f>
        <v>0.10518152577824602</v>
      </c>
      <c r="Z123" s="245"/>
      <c r="AA123" s="246">
        <f t="shared" si="30"/>
        <v>725.78723000000002</v>
      </c>
      <c r="AB123" s="247"/>
      <c r="AC123" s="248"/>
      <c r="AD123" s="247">
        <f t="shared" si="26"/>
        <v>7438006.4699999988</v>
      </c>
      <c r="AE123" s="177">
        <f t="shared" si="28"/>
        <v>52131.29</v>
      </c>
      <c r="AF123" s="177">
        <f t="shared" si="40"/>
        <v>43161.64</v>
      </c>
      <c r="AG123" s="248">
        <f t="shared" si="27"/>
        <v>84841.239999998987</v>
      </c>
      <c r="AH123" s="263"/>
      <c r="AI123" s="264"/>
      <c r="AJ123" s="264"/>
      <c r="AK123" s="264"/>
      <c r="AL123" s="264"/>
      <c r="AM123" s="264"/>
      <c r="AN123" s="264"/>
      <c r="AO123" s="264"/>
      <c r="AP123" s="264"/>
      <c r="AQ123" s="264"/>
      <c r="AR123" s="264"/>
      <c r="AS123" s="264"/>
      <c r="AT123" s="264"/>
      <c r="AU123" s="264"/>
      <c r="AV123" s="264"/>
      <c r="AW123" s="264"/>
      <c r="AX123" s="264"/>
      <c r="AY123" s="264"/>
      <c r="AZ123" s="264"/>
      <c r="BA123" s="264"/>
      <c r="BB123" s="264"/>
      <c r="BC123" s="264"/>
    </row>
    <row r="124" spans="1:55" ht="15" customHeight="1" x14ac:dyDescent="0.15">
      <c r="A124" s="180">
        <v>42854</v>
      </c>
      <c r="B124" s="175" t="s">
        <v>1</v>
      </c>
      <c r="C124" s="176">
        <f>65248+3680</f>
        <v>68928</v>
      </c>
      <c r="D124" s="177">
        <f>18489+10767</f>
        <v>29256</v>
      </c>
      <c r="E124" s="177">
        <f>81006+18489</f>
        <v>99495</v>
      </c>
      <c r="F124" s="178">
        <v>4887</v>
      </c>
      <c r="G124" s="177">
        <v>3397</v>
      </c>
      <c r="H124" s="179"/>
      <c r="I124" s="179"/>
      <c r="J124" s="204">
        <f t="shared" si="24"/>
        <v>70239</v>
      </c>
      <c r="K124" s="177">
        <v>467</v>
      </c>
      <c r="L124" s="177">
        <v>0</v>
      </c>
      <c r="M124" s="205">
        <f t="shared" si="25"/>
        <v>844</v>
      </c>
      <c r="N124" s="206">
        <f t="shared" si="38"/>
        <v>1936729</v>
      </c>
      <c r="O124" s="209">
        <f t="shared" si="38"/>
        <v>894261</v>
      </c>
      <c r="P124" s="208">
        <f t="shared" si="38"/>
        <v>2880085</v>
      </c>
      <c r="Q124" s="225">
        <f t="shared" si="36"/>
        <v>7326800.2999999998</v>
      </c>
      <c r="R124" s="207">
        <f t="shared" si="36"/>
        <v>3718322</v>
      </c>
      <c r="S124" s="226">
        <f t="shared" si="36"/>
        <v>11226567.469999999</v>
      </c>
      <c r="T124" s="227">
        <f>N124/'2017'!N124-1</f>
        <v>7.6678341116299675E-2</v>
      </c>
      <c r="U124" s="228">
        <f>O124/'2017'!O124-1</f>
        <v>0.20628135382423918</v>
      </c>
      <c r="V124" s="228">
        <f>P124/'2017'!P124-1</f>
        <v>9.6278169330391794E-2</v>
      </c>
      <c r="W124" s="228">
        <f>Q124/'2017'!Q124-1</f>
        <v>7.011272452880779E-2</v>
      </c>
      <c r="X124" s="228">
        <f>R124/'2017'!R124-1</f>
        <v>0.21165736332561047</v>
      </c>
      <c r="Y124" s="244">
        <f>S124/'2017'!S124-1</f>
        <v>0.10527628972319691</v>
      </c>
      <c r="Z124" s="245"/>
      <c r="AA124" s="246">
        <f t="shared" si="30"/>
        <v>732.68002999999999</v>
      </c>
      <c r="AB124" s="247"/>
      <c r="AC124" s="248"/>
      <c r="AD124" s="247">
        <f t="shared" si="26"/>
        <v>7508245.4699999988</v>
      </c>
      <c r="AE124" s="177">
        <f t="shared" si="28"/>
        <v>52598.29</v>
      </c>
      <c r="AF124" s="177">
        <f t="shared" si="40"/>
        <v>43161.64</v>
      </c>
      <c r="AG124" s="248">
        <f t="shared" si="27"/>
        <v>85685.239999998987</v>
      </c>
      <c r="AH124" s="263"/>
      <c r="AI124" s="264"/>
      <c r="AJ124" s="264"/>
      <c r="AK124" s="264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264"/>
    </row>
    <row r="125" spans="1:55" ht="15" customHeight="1" x14ac:dyDescent="0.15">
      <c r="A125" s="195">
        <v>42855</v>
      </c>
      <c r="B125" s="188" t="s">
        <v>34</v>
      </c>
      <c r="C125" s="189">
        <f>59393+3745</f>
        <v>63138</v>
      </c>
      <c r="D125" s="190">
        <f>16694+10304</f>
        <v>26998</v>
      </c>
      <c r="E125" s="190">
        <f>74493+16694</f>
        <v>91187</v>
      </c>
      <c r="F125" s="191">
        <v>4294</v>
      </c>
      <c r="G125" s="190">
        <v>3288</v>
      </c>
      <c r="H125" s="192"/>
      <c r="I125" s="192"/>
      <c r="J125" s="216">
        <f t="shared" si="24"/>
        <v>64189</v>
      </c>
      <c r="K125" s="190">
        <v>184</v>
      </c>
      <c r="L125" s="190">
        <v>0</v>
      </c>
      <c r="M125" s="217">
        <f t="shared" si="25"/>
        <v>867</v>
      </c>
      <c r="N125" s="218">
        <f>[3]表2、统调口径电量!$D$10</f>
        <v>2000577.88</v>
      </c>
      <c r="O125" s="222">
        <f>[3]表2、统调口径电量!$D$14</f>
        <v>921258</v>
      </c>
      <c r="P125" s="268">
        <f>[3]表2、统调口径电量!$D$3</f>
        <v>2971268.14</v>
      </c>
      <c r="Q125" s="233">
        <f>[3]表2、统调口径电量!$I$10</f>
        <v>7390704.4800000004</v>
      </c>
      <c r="R125" s="219">
        <f>[3]表2、统调口径电量!$I$14</f>
        <v>3745318</v>
      </c>
      <c r="S125" s="234">
        <f>[3]表2、统调口径电量!$I$3</f>
        <v>11317748.98</v>
      </c>
      <c r="T125" s="235">
        <f>N125/'2017'!N125-1</f>
        <v>8.0639337629794472E-2</v>
      </c>
      <c r="U125" s="236">
        <f>O125/'2017'!O125-1</f>
        <v>0.20336848815125008</v>
      </c>
      <c r="V125" s="236">
        <f>P125/'2017'!P125-1</f>
        <v>9.7874842093583991E-2</v>
      </c>
      <c r="W125" s="236">
        <f>Q125/'2017'!Q125-1</f>
        <v>7.1233556036055301E-2</v>
      </c>
      <c r="X125" s="236">
        <f>R125/'2017'!R125-1</f>
        <v>0.21089395183152781</v>
      </c>
      <c r="Y125" s="254">
        <f>S125/'2017'!S125-1</f>
        <v>0.10562810805738909</v>
      </c>
      <c r="Z125" s="255">
        <f>[3]表2、统调口径电量!$I$12/10000</f>
        <v>37.157039000000005</v>
      </c>
      <c r="AA125" s="256">
        <f t="shared" si="30"/>
        <v>701.913409</v>
      </c>
      <c r="AB125" s="257">
        <v>4283.88</v>
      </c>
      <c r="AC125" s="258">
        <f t="shared" si="31"/>
        <v>1638.4992320046313</v>
      </c>
      <c r="AD125" s="257">
        <f>[3]表2、统调口径电量!$I$4</f>
        <v>7572430.9800000004</v>
      </c>
      <c r="AE125" s="190">
        <f>[3]表2、统调口径电量!$I$13</f>
        <v>52541.2</v>
      </c>
      <c r="AF125" s="190">
        <f>[3]表2、统调口径电量!$I$15</f>
        <v>43161.64</v>
      </c>
      <c r="AG125" s="258">
        <f>[3]表2、统调口径电量!$I$16+[3]表2、统调口径电量!$I$17</f>
        <v>86023.66</v>
      </c>
      <c r="AH125" s="272"/>
      <c r="AI125" s="264"/>
      <c r="AJ125" s="264"/>
      <c r="AK125" s="26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264"/>
    </row>
    <row r="126" spans="1:55" ht="15" customHeight="1" x14ac:dyDescent="0.15">
      <c r="A126" s="180">
        <v>42856</v>
      </c>
      <c r="B126" s="175" t="s">
        <v>35</v>
      </c>
      <c r="C126" s="176">
        <f>44761+1383</f>
        <v>46144</v>
      </c>
      <c r="D126" s="177">
        <f>14888+10251</f>
        <v>25139</v>
      </c>
      <c r="E126" s="177">
        <f>57400+14888</f>
        <v>72288</v>
      </c>
      <c r="F126" s="178">
        <v>3323</v>
      </c>
      <c r="G126" s="177">
        <v>2743</v>
      </c>
      <c r="H126" s="179"/>
      <c r="I126" s="179"/>
      <c r="J126" s="204">
        <f t="shared" si="24"/>
        <v>47149</v>
      </c>
      <c r="K126" s="177">
        <v>248</v>
      </c>
      <c r="L126" s="177">
        <v>0</v>
      </c>
      <c r="M126" s="205">
        <f t="shared" si="25"/>
        <v>757</v>
      </c>
      <c r="N126" s="206">
        <f>C126</f>
        <v>46144</v>
      </c>
      <c r="O126" s="209">
        <f>D126</f>
        <v>25139</v>
      </c>
      <c r="P126" s="208">
        <f>E126</f>
        <v>72288</v>
      </c>
      <c r="Q126" s="225">
        <f>N126+Q$125</f>
        <v>7436848.4800000004</v>
      </c>
      <c r="R126" s="207">
        <f>O126+R$125</f>
        <v>3770457</v>
      </c>
      <c r="S126" s="226">
        <f>P126+S$125</f>
        <v>11390036.98</v>
      </c>
      <c r="T126" s="227">
        <f>N126/'2017'!N126-1</f>
        <v>0.14384868991844524</v>
      </c>
      <c r="U126" s="228">
        <f>O126/'2017'!O126-1</f>
        <v>0.24057441768653764</v>
      </c>
      <c r="V126" s="228">
        <f>P126/'2017'!P126-1</f>
        <v>0.16563467492260053</v>
      </c>
      <c r="W126" s="228">
        <f>Q126/'2017'!Q126-1</f>
        <v>7.165568012765533E-2</v>
      </c>
      <c r="X126" s="228">
        <f>R126/'2017'!R126-1</f>
        <v>0.21108713856080552</v>
      </c>
      <c r="Y126" s="244">
        <f>S126/'2017'!S126-1</f>
        <v>0.1059894583284271</v>
      </c>
      <c r="Z126" s="245"/>
      <c r="AA126" s="246">
        <f t="shared" si="30"/>
        <v>743.68484799999999</v>
      </c>
      <c r="AB126" s="247"/>
      <c r="AC126" s="248"/>
      <c r="AD126" s="247">
        <f t="shared" si="26"/>
        <v>7619579.9800000004</v>
      </c>
      <c r="AE126" s="177">
        <f t="shared" si="28"/>
        <v>52789.2</v>
      </c>
      <c r="AF126" s="177">
        <f t="shared" si="40"/>
        <v>43161.64</v>
      </c>
      <c r="AG126" s="248">
        <f t="shared" si="27"/>
        <v>86780.66</v>
      </c>
      <c r="AH126" s="263"/>
      <c r="AI126" s="264"/>
      <c r="AJ126" s="264"/>
      <c r="AK126" s="264"/>
      <c r="AL126" s="264"/>
      <c r="AM126" s="264"/>
      <c r="AN126" s="264"/>
      <c r="AO126" s="264"/>
      <c r="AP126" s="264"/>
      <c r="AQ126" s="264"/>
      <c r="AR126" s="264"/>
      <c r="AS126" s="264"/>
      <c r="AT126" s="264"/>
      <c r="AU126" s="264"/>
      <c r="AV126" s="264"/>
      <c r="AW126" s="264"/>
      <c r="AX126" s="264"/>
      <c r="AY126" s="264"/>
      <c r="AZ126" s="264"/>
      <c r="BA126" s="264"/>
      <c r="BB126" s="264"/>
      <c r="BC126" s="264"/>
    </row>
    <row r="127" spans="1:55" ht="15" customHeight="1" x14ac:dyDescent="0.15">
      <c r="A127" s="180">
        <v>42857</v>
      </c>
      <c r="B127" s="175" t="s">
        <v>36</v>
      </c>
      <c r="C127" s="176">
        <f>55910+3538</f>
        <v>59448</v>
      </c>
      <c r="D127" s="177">
        <f>17722+11296</f>
        <v>29018</v>
      </c>
      <c r="E127" s="177">
        <f>72798+17722</f>
        <v>90520</v>
      </c>
      <c r="F127" s="178">
        <v>4606</v>
      </c>
      <c r="G127" s="177">
        <v>2578</v>
      </c>
      <c r="H127" s="179"/>
      <c r="I127" s="179"/>
      <c r="J127" s="204">
        <f t="shared" si="24"/>
        <v>61502</v>
      </c>
      <c r="K127" s="177">
        <v>1205</v>
      </c>
      <c r="L127" s="177">
        <v>0</v>
      </c>
      <c r="M127" s="205">
        <f t="shared" si="25"/>
        <v>849</v>
      </c>
      <c r="N127" s="206">
        <f t="shared" ref="N127:P142" si="41">N126+C127</f>
        <v>105592</v>
      </c>
      <c r="O127" s="209">
        <f t="shared" si="41"/>
        <v>54157</v>
      </c>
      <c r="P127" s="208">
        <f t="shared" si="41"/>
        <v>162808</v>
      </c>
      <c r="Q127" s="225">
        <f t="shared" ref="Q127:S155" si="42">N127+Q$125</f>
        <v>7496296.4800000004</v>
      </c>
      <c r="R127" s="207">
        <f t="shared" si="42"/>
        <v>3799475</v>
      </c>
      <c r="S127" s="226">
        <f t="shared" si="42"/>
        <v>11480556.98</v>
      </c>
      <c r="T127" s="227">
        <f>N127/'2017'!N127-1</f>
        <v>0.13467799997850816</v>
      </c>
      <c r="U127" s="228">
        <f>O127/'2017'!O127-1</f>
        <v>0.22203669020917483</v>
      </c>
      <c r="V127" s="228">
        <f>P127/'2017'!P127-1</f>
        <v>0.15586351825294287</v>
      </c>
      <c r="W127" s="228">
        <f>Q127/'2017'!Q127-1</f>
        <v>7.2077923665009758E-2</v>
      </c>
      <c r="X127" s="228">
        <f>R127/'2017'!R127-1</f>
        <v>0.21105135057258773</v>
      </c>
      <c r="Y127" s="244">
        <f>S127/'2017'!S127-1</f>
        <v>0.10630996458616515</v>
      </c>
      <c r="Z127" s="245"/>
      <c r="AA127" s="246">
        <f t="shared" si="30"/>
        <v>749.62964800000009</v>
      </c>
      <c r="AB127" s="247"/>
      <c r="AC127" s="248"/>
      <c r="AD127" s="247">
        <f t="shared" si="26"/>
        <v>7681081.9800000004</v>
      </c>
      <c r="AE127" s="177">
        <f t="shared" si="28"/>
        <v>53994.2</v>
      </c>
      <c r="AF127" s="177">
        <f t="shared" si="40"/>
        <v>43161.64</v>
      </c>
      <c r="AG127" s="248">
        <f t="shared" si="27"/>
        <v>87629.66</v>
      </c>
      <c r="AH127" s="263"/>
      <c r="AI127" s="264"/>
      <c r="AJ127" s="264"/>
      <c r="AK127" s="264"/>
      <c r="AL127" s="264"/>
      <c r="AM127" s="264"/>
      <c r="AN127" s="264"/>
      <c r="AO127" s="264"/>
      <c r="AP127" s="264"/>
      <c r="AQ127" s="264"/>
      <c r="AR127" s="264"/>
      <c r="AS127" s="264"/>
      <c r="AT127" s="264"/>
      <c r="AU127" s="264"/>
      <c r="AV127" s="264"/>
      <c r="AW127" s="264"/>
      <c r="AX127" s="264"/>
      <c r="AY127" s="264"/>
      <c r="AZ127" s="264"/>
      <c r="BA127" s="264"/>
      <c r="BB127" s="264"/>
      <c r="BC127" s="264"/>
    </row>
    <row r="128" spans="1:55" s="157" customFormat="1" ht="15" customHeight="1" x14ac:dyDescent="0.15">
      <c r="A128" s="181">
        <v>42858</v>
      </c>
      <c r="B128" s="182" t="s">
        <v>37</v>
      </c>
      <c r="C128" s="183">
        <f>63443+2995</f>
        <v>66438</v>
      </c>
      <c r="D128" s="184">
        <f>17483+12214</f>
        <v>29697</v>
      </c>
      <c r="E128" s="184">
        <f>80387+17483</f>
        <v>97870</v>
      </c>
      <c r="F128" s="185">
        <v>4782</v>
      </c>
      <c r="G128" s="184">
        <v>3224</v>
      </c>
      <c r="H128" s="186"/>
      <c r="I128" s="186"/>
      <c r="J128" s="210">
        <f t="shared" si="24"/>
        <v>68173</v>
      </c>
      <c r="K128" s="184">
        <v>686</v>
      </c>
      <c r="L128" s="184">
        <v>0</v>
      </c>
      <c r="M128" s="211">
        <f t="shared" si="25"/>
        <v>1049</v>
      </c>
      <c r="N128" s="212">
        <f t="shared" si="41"/>
        <v>172030</v>
      </c>
      <c r="O128" s="215">
        <f t="shared" si="41"/>
        <v>83854</v>
      </c>
      <c r="P128" s="214">
        <f t="shared" si="41"/>
        <v>260678</v>
      </c>
      <c r="Q128" s="229">
        <f t="shared" si="42"/>
        <v>7562734.4800000004</v>
      </c>
      <c r="R128" s="213">
        <f t="shared" si="42"/>
        <v>3829172</v>
      </c>
      <c r="S128" s="230">
        <f t="shared" si="42"/>
        <v>11578426.98</v>
      </c>
      <c r="T128" s="231">
        <f>N128/'2017'!N128-1</f>
        <v>0.11601263728778366</v>
      </c>
      <c r="U128" s="232">
        <f>O128/'2017'!O128-1</f>
        <v>0.1902625975869412</v>
      </c>
      <c r="V128" s="232">
        <f>P128/'2017'!P128-1</f>
        <v>0.13195536063224633</v>
      </c>
      <c r="W128" s="232">
        <f>Q128/'2017'!Q128-1</f>
        <v>7.2212171638610823E-2</v>
      </c>
      <c r="X128" s="232">
        <f>R128/'2017'!R128-1</f>
        <v>0.21043449453748408</v>
      </c>
      <c r="Y128" s="249">
        <f>S128/'2017'!S128-1</f>
        <v>0.10620736013791499</v>
      </c>
      <c r="Z128" s="250">
        <v>38.090000000000003</v>
      </c>
      <c r="AA128" s="251">
        <f t="shared" si="30"/>
        <v>718.183448</v>
      </c>
      <c r="AB128" s="252">
        <v>4283.88</v>
      </c>
      <c r="AC128" s="211">
        <f t="shared" si="31"/>
        <v>1676.478911640849</v>
      </c>
      <c r="AD128" s="252">
        <f t="shared" si="26"/>
        <v>7749254.9800000004</v>
      </c>
      <c r="AE128" s="184">
        <f t="shared" si="28"/>
        <v>54680.2</v>
      </c>
      <c r="AF128" s="184">
        <f t="shared" si="40"/>
        <v>43161.64</v>
      </c>
      <c r="AG128" s="211">
        <f t="shared" si="27"/>
        <v>88678.659999999989</v>
      </c>
      <c r="AH128" s="263"/>
      <c r="AI128" s="264"/>
      <c r="AJ128" s="264"/>
      <c r="AK128" s="264"/>
      <c r="AL128" s="264"/>
      <c r="AM128" s="264"/>
      <c r="AN128" s="264"/>
      <c r="AO128" s="264"/>
      <c r="AP128" s="264"/>
      <c r="AQ128" s="264"/>
      <c r="AR128" s="264"/>
      <c r="AS128" s="264"/>
      <c r="AT128" s="264"/>
      <c r="AU128" s="264"/>
      <c r="AV128" s="264"/>
      <c r="AW128" s="264"/>
      <c r="AX128" s="264"/>
      <c r="AY128" s="264"/>
      <c r="AZ128" s="264"/>
      <c r="BA128" s="264"/>
      <c r="BB128" s="264"/>
      <c r="BC128" s="264"/>
    </row>
    <row r="129" spans="1:55" ht="15" customHeight="1" x14ac:dyDescent="0.15">
      <c r="A129" s="180">
        <v>42859</v>
      </c>
      <c r="B129" s="175" t="s">
        <v>38</v>
      </c>
      <c r="C129" s="176">
        <f>67852+2829</f>
        <v>70681</v>
      </c>
      <c r="D129" s="177">
        <f>15835+12237</f>
        <v>28072</v>
      </c>
      <c r="E129" s="177">
        <f>84677+15835</f>
        <v>100512</v>
      </c>
      <c r="F129" s="178">
        <v>4864</v>
      </c>
      <c r="G129" s="177">
        <v>3382</v>
      </c>
      <c r="H129" s="179"/>
      <c r="I129" s="179"/>
      <c r="J129" s="204">
        <f t="shared" si="24"/>
        <v>72440</v>
      </c>
      <c r="K129" s="177">
        <v>463</v>
      </c>
      <c r="L129" s="177">
        <v>0</v>
      </c>
      <c r="M129" s="205">
        <f t="shared" si="25"/>
        <v>1296</v>
      </c>
      <c r="N129" s="206">
        <f t="shared" si="41"/>
        <v>242711</v>
      </c>
      <c r="O129" s="209">
        <f t="shared" si="41"/>
        <v>111926</v>
      </c>
      <c r="P129" s="208">
        <f t="shared" si="41"/>
        <v>361190</v>
      </c>
      <c r="Q129" s="225">
        <f t="shared" si="42"/>
        <v>7633415.4800000004</v>
      </c>
      <c r="R129" s="207">
        <f t="shared" si="42"/>
        <v>3857244</v>
      </c>
      <c r="S129" s="226">
        <f t="shared" si="42"/>
        <v>11678938.98</v>
      </c>
      <c r="T129" s="227">
        <f>N129/'2017'!N129-1</f>
        <v>0.10850224248015561</v>
      </c>
      <c r="U129" s="228">
        <f>O129/'2017'!O129-1</f>
        <v>0.15515052686984609</v>
      </c>
      <c r="V129" s="228">
        <f>P129/'2017'!P129-1</f>
        <v>0.11618952260871707</v>
      </c>
      <c r="W129" s="228">
        <f>Q129/'2017'!Q129-1</f>
        <v>7.23799311410529E-2</v>
      </c>
      <c r="X129" s="228">
        <f>R129/'2017'!R129-1</f>
        <v>0.20920075538133975</v>
      </c>
      <c r="Y129" s="244">
        <f>S129/'2017'!S129-1</f>
        <v>0.10595174094866833</v>
      </c>
      <c r="Z129" s="245"/>
      <c r="AA129" s="246">
        <f t="shared" si="30"/>
        <v>763.34154799999999</v>
      </c>
      <c r="AB129" s="247"/>
      <c r="AC129" s="248"/>
      <c r="AD129" s="247">
        <f t="shared" si="26"/>
        <v>7821694.9800000004</v>
      </c>
      <c r="AE129" s="177">
        <f t="shared" si="28"/>
        <v>55143.199999999997</v>
      </c>
      <c r="AF129" s="177">
        <f t="shared" si="40"/>
        <v>43161.64</v>
      </c>
      <c r="AG129" s="248">
        <f t="shared" si="27"/>
        <v>89974.659999999989</v>
      </c>
      <c r="AH129" s="263"/>
      <c r="AI129" s="264"/>
      <c r="AJ129" s="264"/>
      <c r="AK129" s="264"/>
      <c r="AL129" s="264"/>
      <c r="AM129" s="264"/>
      <c r="AN129" s="264"/>
      <c r="AO129" s="264"/>
      <c r="AP129" s="264"/>
      <c r="AQ129" s="264"/>
      <c r="AR129" s="264"/>
      <c r="AS129" s="264"/>
      <c r="AT129" s="264"/>
      <c r="AU129" s="264"/>
      <c r="AV129" s="264"/>
      <c r="AW129" s="264"/>
      <c r="AX129" s="264"/>
      <c r="AY129" s="264"/>
      <c r="AZ129" s="264"/>
      <c r="BA129" s="264"/>
      <c r="BB129" s="264"/>
      <c r="BC129" s="264"/>
    </row>
    <row r="130" spans="1:55" ht="15" customHeight="1" x14ac:dyDescent="0.15">
      <c r="A130" s="180">
        <v>42860</v>
      </c>
      <c r="B130" s="175" t="s">
        <v>39</v>
      </c>
      <c r="C130" s="176">
        <f>68174+2856</f>
        <v>71030</v>
      </c>
      <c r="D130" s="177">
        <f>16765+12138</f>
        <v>28903</v>
      </c>
      <c r="E130" s="177">
        <f>84754+16765</f>
        <v>101519</v>
      </c>
      <c r="F130" s="178">
        <v>5139</v>
      </c>
      <c r="G130" s="177">
        <v>3386</v>
      </c>
      <c r="H130" s="179"/>
      <c r="I130" s="179"/>
      <c r="J130" s="204">
        <f t="shared" si="24"/>
        <v>72616</v>
      </c>
      <c r="K130" s="177">
        <v>866</v>
      </c>
      <c r="L130" s="177">
        <v>0</v>
      </c>
      <c r="M130" s="205">
        <f t="shared" si="25"/>
        <v>720</v>
      </c>
      <c r="N130" s="206">
        <f t="shared" si="41"/>
        <v>313741</v>
      </c>
      <c r="O130" s="209">
        <f t="shared" si="41"/>
        <v>140829</v>
      </c>
      <c r="P130" s="208">
        <f t="shared" si="41"/>
        <v>462709</v>
      </c>
      <c r="Q130" s="225">
        <f t="shared" si="42"/>
        <v>7704445.4800000004</v>
      </c>
      <c r="R130" s="207">
        <f t="shared" si="42"/>
        <v>3886147</v>
      </c>
      <c r="S130" s="226">
        <f t="shared" si="42"/>
        <v>11780457.98</v>
      </c>
      <c r="T130" s="227">
        <f>N130/'2017'!N130-1</f>
        <v>0.10255941691822734</v>
      </c>
      <c r="U130" s="228">
        <f>O130/'2017'!O130-1</f>
        <v>0.13850892510671331</v>
      </c>
      <c r="V130" s="228">
        <f>P130/'2017'!P130-1</f>
        <v>0.10834608852703265</v>
      </c>
      <c r="W130" s="228">
        <f>Q130/'2017'!Q130-1</f>
        <v>7.2474401899747853E-2</v>
      </c>
      <c r="X130" s="228">
        <f>R130/'2017'!R130-1</f>
        <v>0.20811044808135004</v>
      </c>
      <c r="Y130" s="244">
        <f>S130/'2017'!S130-1</f>
        <v>0.10573461247344662</v>
      </c>
      <c r="Z130" s="245"/>
      <c r="AA130" s="246">
        <f t="shared" si="30"/>
        <v>770.44454800000005</v>
      </c>
      <c r="AB130" s="247"/>
      <c r="AC130" s="248"/>
      <c r="AD130" s="247">
        <f t="shared" si="26"/>
        <v>7894310.9800000004</v>
      </c>
      <c r="AE130" s="177">
        <f t="shared" si="28"/>
        <v>56009.2</v>
      </c>
      <c r="AF130" s="177">
        <f t="shared" si="40"/>
        <v>43161.64</v>
      </c>
      <c r="AG130" s="248">
        <f t="shared" si="27"/>
        <v>90694.659999999989</v>
      </c>
      <c r="AH130" s="263"/>
      <c r="AI130" s="264"/>
      <c r="AJ130" s="264"/>
      <c r="AK130" s="264"/>
      <c r="AL130" s="264"/>
      <c r="AM130" s="264"/>
      <c r="AN130" s="264"/>
      <c r="AO130" s="264"/>
      <c r="AP130" s="264"/>
      <c r="AQ130" s="264"/>
      <c r="AR130" s="264"/>
      <c r="AS130" s="264"/>
      <c r="AT130" s="264"/>
      <c r="AU130" s="264"/>
      <c r="AV130" s="264"/>
      <c r="AW130" s="264"/>
      <c r="AX130" s="264"/>
      <c r="AY130" s="264"/>
      <c r="AZ130" s="264"/>
      <c r="BA130" s="264"/>
      <c r="BB130" s="264"/>
      <c r="BC130" s="264"/>
    </row>
    <row r="131" spans="1:55" ht="15" customHeight="1" x14ac:dyDescent="0.15">
      <c r="A131" s="180">
        <v>42861</v>
      </c>
      <c r="B131" s="175" t="s">
        <v>1</v>
      </c>
      <c r="C131" s="176">
        <v>68901</v>
      </c>
      <c r="D131" s="177">
        <f>10041+18752</f>
        <v>28793</v>
      </c>
      <c r="E131" s="177">
        <v>99596</v>
      </c>
      <c r="F131" s="178">
        <v>4871</v>
      </c>
      <c r="G131" s="177">
        <v>3331</v>
      </c>
      <c r="H131" s="179"/>
      <c r="I131" s="179"/>
      <c r="J131" s="204">
        <f t="shared" si="24"/>
        <v>70803</v>
      </c>
      <c r="K131" s="177">
        <v>929</v>
      </c>
      <c r="L131" s="177">
        <v>0</v>
      </c>
      <c r="M131" s="205">
        <f t="shared" si="25"/>
        <v>973</v>
      </c>
      <c r="N131" s="206">
        <f t="shared" si="41"/>
        <v>382642</v>
      </c>
      <c r="O131" s="209">
        <f t="shared" si="41"/>
        <v>169622</v>
      </c>
      <c r="P131" s="208">
        <f t="shared" si="41"/>
        <v>562305</v>
      </c>
      <c r="Q131" s="225">
        <f t="shared" si="42"/>
        <v>7773346.4800000004</v>
      </c>
      <c r="R131" s="207">
        <f t="shared" si="42"/>
        <v>3914940</v>
      </c>
      <c r="S131" s="226">
        <f t="shared" si="42"/>
        <v>11880053.98</v>
      </c>
      <c r="T131" s="227">
        <f>N131/'2017'!N131-1</f>
        <v>9.0210268391361259E-2</v>
      </c>
      <c r="U131" s="228">
        <f>O131/'2017'!O131-1</f>
        <v>0.13534715296417033</v>
      </c>
      <c r="V131" s="228">
        <f>P131/'2017'!P131-1</f>
        <v>9.9972809023491926E-2</v>
      </c>
      <c r="W131" s="228">
        <f>Q131/'2017'!Q131-1</f>
        <v>7.215220959831492E-2</v>
      </c>
      <c r="X131" s="228">
        <f>R131/'2017'!R131-1</f>
        <v>0.20741298166184508</v>
      </c>
      <c r="Y131" s="244">
        <f>S131/'2017'!S131-1</f>
        <v>0.10535912151342108</v>
      </c>
      <c r="Z131" s="245"/>
      <c r="AA131" s="246">
        <f t="shared" si="30"/>
        <v>777.33464800000002</v>
      </c>
      <c r="AB131" s="247"/>
      <c r="AC131" s="248"/>
      <c r="AD131" s="247">
        <f t="shared" si="26"/>
        <v>7965113.9800000004</v>
      </c>
      <c r="AE131" s="177">
        <f t="shared" si="28"/>
        <v>56938.2</v>
      </c>
      <c r="AF131" s="177">
        <f t="shared" si="40"/>
        <v>43161.64</v>
      </c>
      <c r="AG131" s="248">
        <f t="shared" si="27"/>
        <v>91667.659999999989</v>
      </c>
      <c r="AH131" s="263"/>
      <c r="AI131" s="264"/>
      <c r="AJ131" s="264"/>
      <c r="AK131" s="264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264"/>
    </row>
    <row r="132" spans="1:55" ht="15" customHeight="1" x14ac:dyDescent="0.15">
      <c r="A132" s="180">
        <v>42862</v>
      </c>
      <c r="B132" s="175" t="s">
        <v>34</v>
      </c>
      <c r="C132" s="176">
        <f>68658+2794</f>
        <v>71452</v>
      </c>
      <c r="D132" s="177">
        <f>17697+12195</f>
        <v>29892</v>
      </c>
      <c r="E132" s="177">
        <f>85872+17697</f>
        <v>103569</v>
      </c>
      <c r="F132" s="178">
        <v>5269</v>
      </c>
      <c r="G132" s="177">
        <v>3363</v>
      </c>
      <c r="H132" s="179"/>
      <c r="I132" s="179"/>
      <c r="J132" s="204">
        <f t="shared" si="24"/>
        <v>73677</v>
      </c>
      <c r="K132" s="177">
        <v>1756</v>
      </c>
      <c r="L132" s="177">
        <v>0</v>
      </c>
      <c r="M132" s="205">
        <f t="shared" si="25"/>
        <v>469</v>
      </c>
      <c r="N132" s="206">
        <f t="shared" si="41"/>
        <v>454094</v>
      </c>
      <c r="O132" s="209">
        <f t="shared" si="41"/>
        <v>199514</v>
      </c>
      <c r="P132" s="208">
        <f t="shared" si="41"/>
        <v>665874</v>
      </c>
      <c r="Q132" s="225">
        <f t="shared" si="42"/>
        <v>7844798.4800000004</v>
      </c>
      <c r="R132" s="207">
        <f t="shared" si="42"/>
        <v>3944832</v>
      </c>
      <c r="S132" s="226">
        <f t="shared" si="42"/>
        <v>11983622.98</v>
      </c>
      <c r="T132" s="227">
        <f>N132/'2017'!N132-1</f>
        <v>9.8256697011618765E-2</v>
      </c>
      <c r="U132" s="228">
        <f>O132/'2017'!O132-1</f>
        <v>0.13991715469218691</v>
      </c>
      <c r="V132" s="228">
        <f>P132/'2017'!P132-1</f>
        <v>0.10808908325720012</v>
      </c>
      <c r="W132" s="228">
        <f>Q132/'2017'!Q132-1</f>
        <v>7.2761470722840116E-2</v>
      </c>
      <c r="X132" s="228">
        <f>R132/'2017'!R132-1</f>
        <v>0.20709268296265293</v>
      </c>
      <c r="Y132" s="244">
        <f>S132/'2017'!S132-1</f>
        <v>0.10576456610407781</v>
      </c>
      <c r="Z132" s="245"/>
      <c r="AA132" s="246">
        <f t="shared" si="30"/>
        <v>784.47984800000006</v>
      </c>
      <c r="AB132" s="247"/>
      <c r="AC132" s="248"/>
      <c r="AD132" s="247">
        <f t="shared" si="26"/>
        <v>8038790.9800000004</v>
      </c>
      <c r="AE132" s="177">
        <f t="shared" si="28"/>
        <v>58694.2</v>
      </c>
      <c r="AF132" s="177">
        <f t="shared" si="40"/>
        <v>43161.64</v>
      </c>
      <c r="AG132" s="248">
        <f t="shared" si="27"/>
        <v>92136.659999999989</v>
      </c>
      <c r="AH132" s="263"/>
      <c r="AI132" s="264"/>
      <c r="AJ132" s="264"/>
      <c r="AK132" s="264"/>
      <c r="AL132" s="264"/>
      <c r="AM132" s="264"/>
      <c r="AN132" s="264"/>
      <c r="AO132" s="264"/>
      <c r="AP132" s="264"/>
      <c r="AQ132" s="264"/>
      <c r="AR132" s="264"/>
      <c r="AS132" s="264"/>
      <c r="AT132" s="264"/>
      <c r="AU132" s="264"/>
      <c r="AV132" s="264"/>
      <c r="AW132" s="264"/>
      <c r="AX132" s="264"/>
      <c r="AY132" s="264"/>
      <c r="AZ132" s="264"/>
      <c r="BA132" s="264"/>
      <c r="BB132" s="264"/>
      <c r="BC132" s="264"/>
    </row>
    <row r="133" spans="1:55" ht="15" customHeight="1" x14ac:dyDescent="0.15">
      <c r="A133" s="180">
        <v>42863</v>
      </c>
      <c r="B133" s="175" t="s">
        <v>35</v>
      </c>
      <c r="C133" s="176">
        <v>68919</v>
      </c>
      <c r="D133" s="177">
        <f>9943+20780</f>
        <v>30723</v>
      </c>
      <c r="E133" s="177">
        <v>101131</v>
      </c>
      <c r="F133" s="178">
        <v>5098</v>
      </c>
      <c r="G133" s="177">
        <v>3359</v>
      </c>
      <c r="H133" s="179"/>
      <c r="I133" s="179"/>
      <c r="J133" s="204">
        <f t="shared" ref="J133:J196" si="43">E133-D133</f>
        <v>70408</v>
      </c>
      <c r="K133" s="177">
        <v>607</v>
      </c>
      <c r="L133" s="177">
        <v>0</v>
      </c>
      <c r="M133" s="205">
        <f t="shared" si="25"/>
        <v>882</v>
      </c>
      <c r="N133" s="206">
        <f t="shared" si="41"/>
        <v>523013</v>
      </c>
      <c r="O133" s="209">
        <f t="shared" si="41"/>
        <v>230237</v>
      </c>
      <c r="P133" s="208">
        <f t="shared" si="41"/>
        <v>767005</v>
      </c>
      <c r="Q133" s="225">
        <f t="shared" si="42"/>
        <v>7913717.4800000004</v>
      </c>
      <c r="R133" s="207">
        <f t="shared" si="42"/>
        <v>3975555</v>
      </c>
      <c r="S133" s="226">
        <f t="shared" si="42"/>
        <v>12084753.98</v>
      </c>
      <c r="T133" s="227">
        <f>N133/'2017'!N133-1</f>
        <v>9.6934741345861442E-2</v>
      </c>
      <c r="U133" s="228">
        <f>O133/'2017'!O133-1</f>
        <v>0.14212792555038534</v>
      </c>
      <c r="V133" s="228">
        <f>P133/'2017'!P133-1</f>
        <v>0.10637742370084435</v>
      </c>
      <c r="W133" s="228">
        <f>Q133/'2017'!Q133-1</f>
        <v>7.2894907381087837E-2</v>
      </c>
      <c r="X133" s="228">
        <f>R133/'2017'!R133-1</f>
        <v>0.20668638577310472</v>
      </c>
      <c r="Y133" s="244">
        <f>S133/'2017'!S133-1</f>
        <v>0.10567563606574515</v>
      </c>
      <c r="Z133" s="245"/>
      <c r="AA133" s="246">
        <f t="shared" si="30"/>
        <v>791.37174800000003</v>
      </c>
      <c r="AB133" s="247"/>
      <c r="AC133" s="248"/>
      <c r="AD133" s="247">
        <f t="shared" si="26"/>
        <v>8109198.9800000004</v>
      </c>
      <c r="AE133" s="177">
        <f t="shared" si="28"/>
        <v>59301.2</v>
      </c>
      <c r="AF133" s="177">
        <f t="shared" si="40"/>
        <v>43161.64</v>
      </c>
      <c r="AG133" s="248">
        <f t="shared" si="27"/>
        <v>93018.659999999989</v>
      </c>
      <c r="AH133" s="263"/>
      <c r="AI133" s="264"/>
      <c r="AJ133" s="264"/>
      <c r="AK133" s="264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264"/>
    </row>
    <row r="134" spans="1:55" ht="15" customHeight="1" x14ac:dyDescent="0.15">
      <c r="A134" s="180">
        <v>42864</v>
      </c>
      <c r="B134" s="175" t="s">
        <v>36</v>
      </c>
      <c r="C134" s="176">
        <f>65049+2731</f>
        <v>67780</v>
      </c>
      <c r="D134" s="177">
        <f>18139+12381</f>
        <v>30520</v>
      </c>
      <c r="E134" s="177">
        <f>81923+18139</f>
        <v>100062</v>
      </c>
      <c r="F134" s="273">
        <v>4858</v>
      </c>
      <c r="G134" s="273">
        <v>3405</v>
      </c>
      <c r="H134" s="179"/>
      <c r="I134" s="179"/>
      <c r="J134" s="204">
        <f t="shared" si="43"/>
        <v>69542</v>
      </c>
      <c r="K134" s="177">
        <v>579</v>
      </c>
      <c r="L134" s="177">
        <v>0</v>
      </c>
      <c r="M134" s="248">
        <f t="shared" ref="M134:M197" si="44">J134-K134-L134-C134</f>
        <v>1183</v>
      </c>
      <c r="N134" s="206">
        <f t="shared" si="41"/>
        <v>590793</v>
      </c>
      <c r="O134" s="209">
        <f t="shared" si="41"/>
        <v>260757</v>
      </c>
      <c r="P134" s="208">
        <f t="shared" si="41"/>
        <v>867067</v>
      </c>
      <c r="Q134" s="225">
        <f t="shared" si="42"/>
        <v>7981497.4800000004</v>
      </c>
      <c r="R134" s="207">
        <f t="shared" si="42"/>
        <v>4006075</v>
      </c>
      <c r="S134" s="226">
        <f t="shared" si="42"/>
        <v>12184815.98</v>
      </c>
      <c r="T134" s="227">
        <f>N134/'2017'!N134-1</f>
        <v>9.5038534395516017E-2</v>
      </c>
      <c r="U134" s="228">
        <f>O134/'2017'!O134-1</f>
        <v>0.13750954260911286</v>
      </c>
      <c r="V134" s="228">
        <f>P134/'2017'!P134-1</f>
        <v>0.10392659391754155</v>
      </c>
      <c r="W134" s="228">
        <f>Q134/'2017'!Q134-1</f>
        <v>7.2960081203591098E-2</v>
      </c>
      <c r="X134" s="228">
        <f>R134/'2017'!R134-1</f>
        <v>0.20583043921385902</v>
      </c>
      <c r="Y134" s="244">
        <f>S134/'2017'!S134-1</f>
        <v>0.1055068556165597</v>
      </c>
      <c r="Z134" s="245"/>
      <c r="AA134" s="246">
        <f t="shared" si="30"/>
        <v>798.14974800000005</v>
      </c>
      <c r="AB134" s="247"/>
      <c r="AC134" s="248"/>
      <c r="AD134" s="247">
        <f t="shared" ref="AD134:AD197" si="45">S134-R134</f>
        <v>8178740.9800000004</v>
      </c>
      <c r="AE134" s="177">
        <f t="shared" si="28"/>
        <v>59880.2</v>
      </c>
      <c r="AF134" s="177">
        <f t="shared" si="40"/>
        <v>43161.64</v>
      </c>
      <c r="AG134" s="248">
        <f t="shared" ref="AG134:AG197" si="46">AD134-Q134-AE134-AF134</f>
        <v>94201.659999999989</v>
      </c>
      <c r="AH134" s="263"/>
      <c r="AI134" s="264"/>
      <c r="AJ134" s="264"/>
      <c r="AK134" s="264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264"/>
    </row>
    <row r="135" spans="1:55" s="157" customFormat="1" ht="15" customHeight="1" x14ac:dyDescent="0.15">
      <c r="A135" s="181">
        <v>42865</v>
      </c>
      <c r="B135" s="182" t="s">
        <v>37</v>
      </c>
      <c r="C135" s="183">
        <f>64929+2811</f>
        <v>67740</v>
      </c>
      <c r="D135" s="184">
        <f>18657+12154</f>
        <v>30811</v>
      </c>
      <c r="E135" s="184">
        <f>81712+18657</f>
        <v>100369</v>
      </c>
      <c r="F135" s="185">
        <v>4839</v>
      </c>
      <c r="G135" s="184">
        <v>3417</v>
      </c>
      <c r="H135" s="186"/>
      <c r="I135" s="186"/>
      <c r="J135" s="210">
        <f t="shared" si="43"/>
        <v>69558</v>
      </c>
      <c r="K135" s="184">
        <v>609</v>
      </c>
      <c r="L135" s="184">
        <v>0</v>
      </c>
      <c r="M135" s="211">
        <f t="shared" si="44"/>
        <v>1209</v>
      </c>
      <c r="N135" s="212">
        <f t="shared" si="41"/>
        <v>658533</v>
      </c>
      <c r="O135" s="215">
        <f t="shared" si="41"/>
        <v>291568</v>
      </c>
      <c r="P135" s="214">
        <f t="shared" si="41"/>
        <v>967436</v>
      </c>
      <c r="Q135" s="229">
        <f t="shared" si="42"/>
        <v>8049237.4800000004</v>
      </c>
      <c r="R135" s="213">
        <f t="shared" si="42"/>
        <v>4036886</v>
      </c>
      <c r="S135" s="230">
        <f t="shared" si="42"/>
        <v>12285184.98</v>
      </c>
      <c r="T135" s="231">
        <f>N135/'2017'!N135-1</f>
        <v>9.2295596701880367E-2</v>
      </c>
      <c r="U135" s="232">
        <f>O135/'2017'!O135-1</f>
        <v>0.1333019788318246</v>
      </c>
      <c r="V135" s="232">
        <f>P135/'2017'!P135-1</f>
        <v>0.10070495287419612</v>
      </c>
      <c r="W135" s="232">
        <f>Q135/'2017'!Q135-1</f>
        <v>7.2926150424518887E-2</v>
      </c>
      <c r="X135" s="232">
        <f>R135/'2017'!R135-1</f>
        <v>0.2049355697951103</v>
      </c>
      <c r="Y135" s="249">
        <f>S135/'2017'!S135-1</f>
        <v>0.10523882161400833</v>
      </c>
      <c r="Z135" s="250">
        <v>40.04</v>
      </c>
      <c r="AA135" s="251">
        <f t="shared" si="30"/>
        <v>764.88374800000008</v>
      </c>
      <c r="AB135" s="252">
        <v>4283.88</v>
      </c>
      <c r="AC135" s="211">
        <f t="shared" si="31"/>
        <v>1785.4929363100741</v>
      </c>
      <c r="AD135" s="252">
        <f t="shared" si="45"/>
        <v>8248298.9800000004</v>
      </c>
      <c r="AE135" s="184">
        <f t="shared" ref="AE135:AE198" si="47">AE134+K135</f>
        <v>60489.2</v>
      </c>
      <c r="AF135" s="184">
        <f t="shared" ref="AF135:AF150" si="48">AF134+L135</f>
        <v>43161.64</v>
      </c>
      <c r="AG135" s="211">
        <f t="shared" si="46"/>
        <v>95410.659999999989</v>
      </c>
      <c r="AH135" s="263"/>
      <c r="AI135" s="264"/>
      <c r="AJ135" s="264"/>
      <c r="AK135" s="264"/>
      <c r="AL135" s="264"/>
      <c r="AM135" s="264"/>
      <c r="AN135" s="264"/>
      <c r="AO135" s="264"/>
      <c r="AP135" s="264"/>
      <c r="AQ135" s="264"/>
      <c r="AR135" s="264"/>
      <c r="AS135" s="264"/>
      <c r="AT135" s="264"/>
      <c r="AU135" s="264"/>
      <c r="AV135" s="264"/>
      <c r="AW135" s="264"/>
      <c r="AX135" s="264"/>
      <c r="AY135" s="264"/>
      <c r="AZ135" s="264"/>
      <c r="BA135" s="264"/>
      <c r="BB135" s="264"/>
      <c r="BC135" s="264"/>
    </row>
    <row r="136" spans="1:55" ht="15" customHeight="1" x14ac:dyDescent="0.15">
      <c r="A136" s="180">
        <v>42866</v>
      </c>
      <c r="B136" s="175" t="s">
        <v>38</v>
      </c>
      <c r="C136" s="176">
        <f>66373+2927</f>
        <v>69300</v>
      </c>
      <c r="D136" s="177">
        <f>18860+11966</f>
        <v>30826</v>
      </c>
      <c r="E136" s="177">
        <f>83056+18860</f>
        <v>101916</v>
      </c>
      <c r="F136" s="178">
        <v>4634</v>
      </c>
      <c r="G136" s="177">
        <v>3421</v>
      </c>
      <c r="H136" s="179"/>
      <c r="I136" s="179"/>
      <c r="J136" s="204">
        <f t="shared" si="43"/>
        <v>71090</v>
      </c>
      <c r="K136" s="177">
        <v>593</v>
      </c>
      <c r="L136" s="177">
        <v>0</v>
      </c>
      <c r="M136" s="205">
        <f t="shared" si="44"/>
        <v>1197</v>
      </c>
      <c r="N136" s="206">
        <f t="shared" si="41"/>
        <v>727833</v>
      </c>
      <c r="O136" s="209">
        <f t="shared" si="41"/>
        <v>322394</v>
      </c>
      <c r="P136" s="208">
        <f t="shared" si="41"/>
        <v>1069352</v>
      </c>
      <c r="Q136" s="225">
        <f t="shared" si="42"/>
        <v>8118537.4800000004</v>
      </c>
      <c r="R136" s="207">
        <f t="shared" si="42"/>
        <v>4067712</v>
      </c>
      <c r="S136" s="226">
        <f t="shared" si="42"/>
        <v>12387100.98</v>
      </c>
      <c r="T136" s="227">
        <f>N136/'2017'!N136-1</f>
        <v>9.2880084447360733E-2</v>
      </c>
      <c r="U136" s="228">
        <f>O136/'2017'!O136-1</f>
        <v>0.11772373959048399</v>
      </c>
      <c r="V136" s="228">
        <f>P136/'2017'!P136-1</f>
        <v>9.6910786602603771E-2</v>
      </c>
      <c r="W136" s="228">
        <f>Q136/'2017'!Q136-1</f>
        <v>7.3139129591438534E-2</v>
      </c>
      <c r="X136" s="228">
        <f>R136/'2017'!R136-1</f>
        <v>0.20294654050014538</v>
      </c>
      <c r="Y136" s="244">
        <f>S136/'2017'!S136-1</f>
        <v>0.10487009971971561</v>
      </c>
      <c r="Z136" s="245"/>
      <c r="AA136" s="246">
        <f t="shared" si="30"/>
        <v>811.853748</v>
      </c>
      <c r="AB136" s="247"/>
      <c r="AC136" s="248"/>
      <c r="AD136" s="247">
        <f t="shared" si="45"/>
        <v>8319388.9800000004</v>
      </c>
      <c r="AE136" s="177">
        <f t="shared" si="47"/>
        <v>61082.2</v>
      </c>
      <c r="AF136" s="177">
        <f t="shared" si="48"/>
        <v>43161.64</v>
      </c>
      <c r="AG136" s="248">
        <f t="shared" si="46"/>
        <v>96607.659999999989</v>
      </c>
      <c r="AH136" s="263"/>
      <c r="AI136" s="264"/>
      <c r="AJ136" s="264"/>
      <c r="AK136" s="264"/>
      <c r="AL136" s="264"/>
      <c r="AM136" s="264"/>
      <c r="AN136" s="264"/>
      <c r="AO136" s="264"/>
      <c r="AP136" s="264"/>
      <c r="AQ136" s="264"/>
      <c r="AR136" s="264"/>
      <c r="AS136" s="264"/>
      <c r="AT136" s="264"/>
      <c r="AU136" s="264"/>
      <c r="AV136" s="264"/>
      <c r="AW136" s="264"/>
      <c r="AX136" s="264"/>
      <c r="AY136" s="264"/>
      <c r="AZ136" s="264"/>
      <c r="BA136" s="264"/>
      <c r="BB136" s="264"/>
      <c r="BC136" s="264"/>
    </row>
    <row r="137" spans="1:55" ht="15" customHeight="1" x14ac:dyDescent="0.15">
      <c r="A137" s="180">
        <v>42867</v>
      </c>
      <c r="B137" s="175" t="s">
        <v>39</v>
      </c>
      <c r="C137" s="176">
        <f>70339+2795</f>
        <v>73134</v>
      </c>
      <c r="D137" s="177">
        <f>17884+12163</f>
        <v>30047</v>
      </c>
      <c r="E137" s="177">
        <f>86635+17884</f>
        <v>104519</v>
      </c>
      <c r="F137" s="178">
        <v>5053</v>
      </c>
      <c r="G137" s="177">
        <v>3472</v>
      </c>
      <c r="H137" s="179"/>
      <c r="I137" s="179"/>
      <c r="J137" s="204">
        <f t="shared" si="43"/>
        <v>74472</v>
      </c>
      <c r="K137" s="177">
        <v>410</v>
      </c>
      <c r="L137" s="177">
        <v>0</v>
      </c>
      <c r="M137" s="205">
        <f t="shared" si="44"/>
        <v>928</v>
      </c>
      <c r="N137" s="206">
        <f t="shared" si="41"/>
        <v>800967</v>
      </c>
      <c r="O137" s="209">
        <f t="shared" si="41"/>
        <v>352441</v>
      </c>
      <c r="P137" s="208">
        <f t="shared" si="41"/>
        <v>1173871</v>
      </c>
      <c r="Q137" s="225">
        <f t="shared" si="42"/>
        <v>8191671.4800000004</v>
      </c>
      <c r="R137" s="207">
        <f t="shared" si="42"/>
        <v>4097759</v>
      </c>
      <c r="S137" s="226">
        <f t="shared" si="42"/>
        <v>12491619.98</v>
      </c>
      <c r="T137" s="227">
        <f>N137/'2017'!N137-1</f>
        <v>0.100153835588215</v>
      </c>
      <c r="U137" s="228">
        <f>O137/'2017'!O137-1</f>
        <v>0.10156401392735015</v>
      </c>
      <c r="V137" s="228">
        <f>P137/'2017'!P137-1</f>
        <v>9.6632948192879153E-2</v>
      </c>
      <c r="W137" s="228">
        <f>Q137/'2017'!Q137-1</f>
        <v>7.399408976177213E-2</v>
      </c>
      <c r="X137" s="228">
        <f>R137/'2017'!R137-1</f>
        <v>0.2006448938093417</v>
      </c>
      <c r="Y137" s="244">
        <f>S137/'2017'!S137-1</f>
        <v>0.10477653160048317</v>
      </c>
      <c r="Z137" s="245"/>
      <c r="AA137" s="246">
        <f t="shared" ref="AA137:AA200" si="49">Q137/10000-Z137</f>
        <v>819.167148</v>
      </c>
      <c r="AB137" s="247"/>
      <c r="AC137" s="248"/>
      <c r="AD137" s="247">
        <f t="shared" si="45"/>
        <v>8393860.9800000004</v>
      </c>
      <c r="AE137" s="177">
        <f t="shared" si="47"/>
        <v>61492.2</v>
      </c>
      <c r="AF137" s="177">
        <f t="shared" si="48"/>
        <v>43161.64</v>
      </c>
      <c r="AG137" s="248">
        <f t="shared" si="46"/>
        <v>97535.659999999989</v>
      </c>
      <c r="AH137" s="263"/>
      <c r="AI137" s="264"/>
      <c r="AJ137" s="264"/>
      <c r="AK137" s="264"/>
      <c r="AL137" s="264"/>
      <c r="AM137" s="264"/>
      <c r="AN137" s="264"/>
      <c r="AO137" s="264"/>
      <c r="AP137" s="264"/>
      <c r="AQ137" s="264"/>
      <c r="AR137" s="264"/>
      <c r="AS137" s="264"/>
      <c r="AT137" s="264"/>
      <c r="AU137" s="264"/>
      <c r="AV137" s="264"/>
      <c r="AW137" s="264"/>
      <c r="AX137" s="264"/>
      <c r="AY137" s="264"/>
      <c r="AZ137" s="264"/>
      <c r="BA137" s="264"/>
      <c r="BB137" s="264"/>
      <c r="BC137" s="264"/>
    </row>
    <row r="138" spans="1:55" ht="15" customHeight="1" x14ac:dyDescent="0.15">
      <c r="A138" s="180">
        <v>42868</v>
      </c>
      <c r="B138" s="175" t="s">
        <v>1</v>
      </c>
      <c r="C138" s="176">
        <v>69874</v>
      </c>
      <c r="D138" s="177">
        <f>10011+18532</f>
        <v>28543</v>
      </c>
      <c r="E138" s="177">
        <v>99783</v>
      </c>
      <c r="F138" s="178">
        <v>4791</v>
      </c>
      <c r="G138" s="177">
        <v>3489</v>
      </c>
      <c r="H138" s="179"/>
      <c r="I138" s="179"/>
      <c r="J138" s="204">
        <f t="shared" si="43"/>
        <v>71240</v>
      </c>
      <c r="K138" s="177">
        <v>477</v>
      </c>
      <c r="L138" s="177">
        <v>0</v>
      </c>
      <c r="M138" s="205">
        <f t="shared" si="44"/>
        <v>889</v>
      </c>
      <c r="N138" s="206">
        <f t="shared" si="41"/>
        <v>870841</v>
      </c>
      <c r="O138" s="209">
        <f t="shared" si="41"/>
        <v>380984</v>
      </c>
      <c r="P138" s="208">
        <f t="shared" si="41"/>
        <v>1273654</v>
      </c>
      <c r="Q138" s="225">
        <f t="shared" si="42"/>
        <v>8261545.4800000004</v>
      </c>
      <c r="R138" s="207">
        <f t="shared" si="42"/>
        <v>4126302</v>
      </c>
      <c r="S138" s="226">
        <f t="shared" si="42"/>
        <v>12591402.98</v>
      </c>
      <c r="T138" s="227">
        <f>N138/'2017'!N138-1</f>
        <v>0.10720488428804287</v>
      </c>
      <c r="U138" s="228">
        <f>O138/'2017'!O138-1</f>
        <v>8.2980852321826504E-2</v>
      </c>
      <c r="V138" s="228">
        <f>P138/'2017'!P138-1</f>
        <v>9.48563019048283E-2</v>
      </c>
      <c r="W138" s="228">
        <f>Q138/'2017'!Q138-1</f>
        <v>7.4914676620742027E-2</v>
      </c>
      <c r="X138" s="228">
        <f>R138/'2017'!R138-1</f>
        <v>0.19783117274068163</v>
      </c>
      <c r="Y138" s="244">
        <f>S138/'2017'!S138-1</f>
        <v>0.10452888501160618</v>
      </c>
      <c r="Z138" s="245"/>
      <c r="AA138" s="246">
        <f t="shared" si="49"/>
        <v>826.15454800000009</v>
      </c>
      <c r="AB138" s="247"/>
      <c r="AC138" s="248"/>
      <c r="AD138" s="247">
        <f t="shared" si="45"/>
        <v>8465100.9800000004</v>
      </c>
      <c r="AE138" s="177">
        <f t="shared" si="47"/>
        <v>61969.2</v>
      </c>
      <c r="AF138" s="177">
        <f t="shared" si="48"/>
        <v>43161.64</v>
      </c>
      <c r="AG138" s="248">
        <f t="shared" si="46"/>
        <v>98424.659999999989</v>
      </c>
      <c r="AH138" s="263"/>
      <c r="AI138" s="264"/>
      <c r="AJ138" s="264"/>
      <c r="AK138" s="264"/>
      <c r="AL138" s="264"/>
      <c r="AM138" s="264"/>
      <c r="AN138" s="264"/>
      <c r="AO138" s="264"/>
      <c r="AP138" s="264"/>
      <c r="AQ138" s="264"/>
      <c r="AR138" s="264"/>
      <c r="AS138" s="264"/>
      <c r="AT138" s="264"/>
      <c r="AU138" s="264"/>
      <c r="AV138" s="264"/>
      <c r="AW138" s="264"/>
      <c r="AX138" s="264"/>
      <c r="AY138" s="264"/>
      <c r="AZ138" s="264"/>
      <c r="BA138" s="264"/>
      <c r="BB138" s="264"/>
      <c r="BC138" s="264"/>
    </row>
    <row r="139" spans="1:55" ht="15" customHeight="1" x14ac:dyDescent="0.15">
      <c r="A139" s="180">
        <v>42869</v>
      </c>
      <c r="B139" s="175" t="s">
        <v>34</v>
      </c>
      <c r="C139" s="176">
        <v>76688</v>
      </c>
      <c r="D139" s="177">
        <f>9988+19198</f>
        <v>29186</v>
      </c>
      <c r="E139" s="177">
        <v>108315</v>
      </c>
      <c r="F139" s="178">
        <v>5416</v>
      </c>
      <c r="G139" s="177">
        <v>3374</v>
      </c>
      <c r="H139" s="179"/>
      <c r="I139" s="179"/>
      <c r="J139" s="204">
        <f t="shared" si="43"/>
        <v>79129</v>
      </c>
      <c r="K139" s="177">
        <v>1304</v>
      </c>
      <c r="L139" s="177">
        <v>0</v>
      </c>
      <c r="M139" s="205">
        <f t="shared" si="44"/>
        <v>1137</v>
      </c>
      <c r="N139" s="206">
        <f t="shared" si="41"/>
        <v>947529</v>
      </c>
      <c r="O139" s="209">
        <f t="shared" si="41"/>
        <v>410170</v>
      </c>
      <c r="P139" s="208">
        <f t="shared" si="41"/>
        <v>1381969</v>
      </c>
      <c r="Q139" s="225">
        <f t="shared" si="42"/>
        <v>8338233.4800000004</v>
      </c>
      <c r="R139" s="207">
        <f t="shared" si="42"/>
        <v>4155488</v>
      </c>
      <c r="S139" s="226">
        <f t="shared" si="42"/>
        <v>12699717.98</v>
      </c>
      <c r="T139" s="227">
        <f>N139/'2017'!N139-1</f>
        <v>0.12619004038708859</v>
      </c>
      <c r="U139" s="228">
        <f>O139/'2017'!O139-1</f>
        <v>6.9295522030089485E-2</v>
      </c>
      <c r="V139" s="228">
        <f>P139/'2017'!P139-1</f>
        <v>0.1036098915052075</v>
      </c>
      <c r="W139" s="228">
        <f>Q139/'2017'!Q139-1</f>
        <v>7.7207001275834353E-2</v>
      </c>
      <c r="X139" s="228">
        <f>R139/'2017'!R139-1</f>
        <v>0.19527079268068182</v>
      </c>
      <c r="Y139" s="244">
        <f>S139/'2017'!S139-1</f>
        <v>0.10540813015416028</v>
      </c>
      <c r="Z139" s="245"/>
      <c r="AA139" s="246">
        <f t="shared" si="49"/>
        <v>833.82334800000001</v>
      </c>
      <c r="AB139" s="247"/>
      <c r="AC139" s="248"/>
      <c r="AD139" s="247">
        <f t="shared" si="45"/>
        <v>8544229.9800000004</v>
      </c>
      <c r="AE139" s="177">
        <f t="shared" si="47"/>
        <v>63273.2</v>
      </c>
      <c r="AF139" s="177">
        <f t="shared" si="48"/>
        <v>43161.64</v>
      </c>
      <c r="AG139" s="248">
        <f t="shared" si="46"/>
        <v>99561.659999999989</v>
      </c>
      <c r="AH139" s="263"/>
      <c r="AI139" s="264"/>
      <c r="AJ139" s="264"/>
      <c r="AK139" s="264"/>
      <c r="AL139" s="264"/>
      <c r="AM139" s="264"/>
      <c r="AN139" s="264"/>
      <c r="AO139" s="264"/>
      <c r="AP139" s="264"/>
      <c r="AQ139" s="264"/>
      <c r="AR139" s="264"/>
      <c r="AS139" s="264"/>
      <c r="AT139" s="264"/>
      <c r="AU139" s="264"/>
      <c r="AV139" s="264"/>
      <c r="AW139" s="264"/>
      <c r="AX139" s="264"/>
      <c r="AY139" s="264"/>
      <c r="AZ139" s="264"/>
      <c r="BA139" s="264"/>
      <c r="BB139" s="264"/>
      <c r="BC139" s="264"/>
    </row>
    <row r="140" spans="1:55" ht="15" customHeight="1" x14ac:dyDescent="0.15">
      <c r="A140" s="180">
        <v>42870</v>
      </c>
      <c r="B140" s="175" t="s">
        <v>35</v>
      </c>
      <c r="C140" s="176">
        <v>79762</v>
      </c>
      <c r="D140" s="177">
        <f>10115+22197</f>
        <v>32312</v>
      </c>
      <c r="E140" s="177">
        <v>114937</v>
      </c>
      <c r="F140" s="178">
        <v>5630</v>
      </c>
      <c r="G140" s="177">
        <v>3668</v>
      </c>
      <c r="H140" s="179"/>
      <c r="I140" s="179"/>
      <c r="J140" s="204">
        <f t="shared" si="43"/>
        <v>82625</v>
      </c>
      <c r="K140" s="177">
        <v>1559</v>
      </c>
      <c r="L140" s="177">
        <v>0</v>
      </c>
      <c r="M140" s="205">
        <f t="shared" si="44"/>
        <v>1304</v>
      </c>
      <c r="N140" s="206">
        <f t="shared" si="41"/>
        <v>1027291</v>
      </c>
      <c r="O140" s="209">
        <f t="shared" si="41"/>
        <v>442482</v>
      </c>
      <c r="P140" s="208">
        <f t="shared" si="41"/>
        <v>1496906</v>
      </c>
      <c r="Q140" s="225">
        <f t="shared" si="42"/>
        <v>8417995.4800000004</v>
      </c>
      <c r="R140" s="207">
        <f t="shared" si="42"/>
        <v>4187800</v>
      </c>
      <c r="S140" s="226">
        <f t="shared" si="42"/>
        <v>12814654.98</v>
      </c>
      <c r="T140" s="227">
        <f>N140/'2017'!N140-1</f>
        <v>0.14087034743932159</v>
      </c>
      <c r="U140" s="228">
        <f>O140/'2017'!O140-1</f>
        <v>6.4654207901138294E-2</v>
      </c>
      <c r="V140" s="228">
        <f>P140/'2017'!P140-1</f>
        <v>0.11270135063815245</v>
      </c>
      <c r="W140" s="228">
        <f>Q140/'2017'!Q140-1</f>
        <v>7.9272861148416585E-2</v>
      </c>
      <c r="X140" s="228">
        <f>R140/'2017'!R140-1</f>
        <v>0.19357127995827428</v>
      </c>
      <c r="Y140" s="244">
        <f>S140/'2017'!S140-1</f>
        <v>0.10644970577949553</v>
      </c>
      <c r="Z140" s="245">
        <v>41.3</v>
      </c>
      <c r="AA140" s="246">
        <f t="shared" si="49"/>
        <v>800.49954800000012</v>
      </c>
      <c r="AB140" s="247"/>
      <c r="AC140" s="248"/>
      <c r="AD140" s="247">
        <f t="shared" si="45"/>
        <v>8626854.9800000004</v>
      </c>
      <c r="AE140" s="177">
        <f t="shared" si="47"/>
        <v>64832.2</v>
      </c>
      <c r="AF140" s="177">
        <f t="shared" si="48"/>
        <v>43161.64</v>
      </c>
      <c r="AG140" s="248">
        <f t="shared" si="46"/>
        <v>100865.65999999999</v>
      </c>
      <c r="AH140" s="263"/>
      <c r="AI140" s="264"/>
      <c r="AJ140" s="264"/>
      <c r="AK140" s="264"/>
      <c r="AL140" s="264"/>
      <c r="AM140" s="264"/>
      <c r="AN140" s="264"/>
      <c r="AO140" s="264"/>
      <c r="AP140" s="264"/>
      <c r="AQ140" s="264"/>
      <c r="AR140" s="264"/>
      <c r="AS140" s="264"/>
      <c r="AT140" s="264"/>
      <c r="AU140" s="264"/>
      <c r="AV140" s="264"/>
      <c r="AW140" s="264"/>
      <c r="AX140" s="264"/>
      <c r="AY140" s="264"/>
      <c r="AZ140" s="264"/>
      <c r="BA140" s="264"/>
      <c r="BB140" s="264"/>
      <c r="BC140" s="264"/>
    </row>
    <row r="141" spans="1:55" ht="15" customHeight="1" x14ac:dyDescent="0.15">
      <c r="A141" s="180">
        <v>42871</v>
      </c>
      <c r="B141" s="175" t="s">
        <v>36</v>
      </c>
      <c r="C141" s="176">
        <v>81728</v>
      </c>
      <c r="D141" s="177">
        <v>35825</v>
      </c>
      <c r="E141" s="177">
        <v>121005</v>
      </c>
      <c r="F141" s="178">
        <v>5857</v>
      </c>
      <c r="G141" s="177">
        <v>3887</v>
      </c>
      <c r="H141" s="179"/>
      <c r="I141" s="179"/>
      <c r="J141" s="204">
        <f t="shared" si="43"/>
        <v>85180</v>
      </c>
      <c r="K141" s="177">
        <v>2113</v>
      </c>
      <c r="L141" s="177">
        <v>0</v>
      </c>
      <c r="M141" s="205">
        <f t="shared" si="44"/>
        <v>1339</v>
      </c>
      <c r="N141" s="206">
        <f t="shared" si="41"/>
        <v>1109019</v>
      </c>
      <c r="O141" s="209">
        <f t="shared" si="41"/>
        <v>478307</v>
      </c>
      <c r="P141" s="208">
        <f t="shared" si="41"/>
        <v>1617911</v>
      </c>
      <c r="Q141" s="225">
        <f t="shared" si="42"/>
        <v>8499723.4800000004</v>
      </c>
      <c r="R141" s="207">
        <f t="shared" si="42"/>
        <v>4223625</v>
      </c>
      <c r="S141" s="226">
        <f t="shared" si="42"/>
        <v>12935659.98</v>
      </c>
      <c r="T141" s="227">
        <f>N141/'2017'!N141-1</f>
        <v>0.15437917531482048</v>
      </c>
      <c r="U141" s="228">
        <f>O141/'2017'!O141-1</f>
        <v>6.9746064832417076E-2</v>
      </c>
      <c r="V141" s="228">
        <f>P141/'2017'!P141-1</f>
        <v>0.12420977880060091</v>
      </c>
      <c r="W141" s="228">
        <f>Q141/'2017'!Q141-1</f>
        <v>8.1396275746756785E-2</v>
      </c>
      <c r="X141" s="228">
        <f>R141/'2017'!R141-1</f>
        <v>0.19306688631893465</v>
      </c>
      <c r="Y141" s="244">
        <f>S141/'2017'!S141-1</f>
        <v>0.10791850763707922</v>
      </c>
      <c r="Z141" s="245"/>
      <c r="AA141" s="246">
        <f t="shared" si="49"/>
        <v>849.97234800000001</v>
      </c>
      <c r="AB141" s="247"/>
      <c r="AC141" s="248"/>
      <c r="AD141" s="247">
        <f t="shared" si="45"/>
        <v>8712034.9800000004</v>
      </c>
      <c r="AE141" s="177">
        <f t="shared" si="47"/>
        <v>66945.2</v>
      </c>
      <c r="AF141" s="177">
        <f t="shared" si="48"/>
        <v>43161.64</v>
      </c>
      <c r="AG141" s="248">
        <f t="shared" si="46"/>
        <v>102204.65999999999</v>
      </c>
      <c r="AH141" s="263"/>
      <c r="AI141" s="264"/>
      <c r="AJ141" s="264"/>
      <c r="AK141" s="264"/>
      <c r="AL141" s="264"/>
      <c r="AM141" s="264"/>
      <c r="AN141" s="264"/>
      <c r="AO141" s="264"/>
      <c r="AP141" s="264"/>
      <c r="AQ141" s="264"/>
      <c r="AR141" s="264"/>
      <c r="AS141" s="264"/>
      <c r="AT141" s="264"/>
      <c r="AU141" s="264"/>
      <c r="AV141" s="264"/>
      <c r="AW141" s="264"/>
      <c r="AX141" s="264"/>
      <c r="AY141" s="264"/>
      <c r="AZ141" s="264"/>
      <c r="BA141" s="264"/>
      <c r="BB141" s="264"/>
      <c r="BC141" s="264"/>
    </row>
    <row r="142" spans="1:55" s="157" customFormat="1" ht="15" customHeight="1" x14ac:dyDescent="0.15">
      <c r="A142" s="181">
        <v>42872</v>
      </c>
      <c r="B142" s="182" t="s">
        <v>37</v>
      </c>
      <c r="C142" s="183">
        <v>83611</v>
      </c>
      <c r="D142" s="184">
        <v>39471</v>
      </c>
      <c r="E142" s="184">
        <v>125932</v>
      </c>
      <c r="F142" s="185">
        <v>6099</v>
      </c>
      <c r="G142" s="184">
        <v>4079</v>
      </c>
      <c r="H142" s="186"/>
      <c r="I142" s="186"/>
      <c r="J142" s="210">
        <f t="shared" si="43"/>
        <v>86461</v>
      </c>
      <c r="K142" s="184">
        <v>1784</v>
      </c>
      <c r="L142" s="184">
        <v>0</v>
      </c>
      <c r="M142" s="211">
        <f t="shared" si="44"/>
        <v>1066</v>
      </c>
      <c r="N142" s="212">
        <f t="shared" si="41"/>
        <v>1192630</v>
      </c>
      <c r="O142" s="215">
        <f t="shared" si="41"/>
        <v>517778</v>
      </c>
      <c r="P142" s="214">
        <f t="shared" si="41"/>
        <v>1743843</v>
      </c>
      <c r="Q142" s="229">
        <f t="shared" si="42"/>
        <v>8583334.4800000004</v>
      </c>
      <c r="R142" s="213">
        <f t="shared" si="42"/>
        <v>4263096</v>
      </c>
      <c r="S142" s="230">
        <f t="shared" si="42"/>
        <v>13061591.98</v>
      </c>
      <c r="T142" s="231">
        <f>N142/'2017'!N142-1</f>
        <v>0.16522165620279772</v>
      </c>
      <c r="U142" s="232">
        <f>O142/'2017'!O142-1</f>
        <v>8.7040407793936403E-2</v>
      </c>
      <c r="V142" s="232">
        <f>P142/'2017'!P142-1</f>
        <v>0.13725875096356144</v>
      </c>
      <c r="W142" s="232">
        <f>Q142/'2017'!Q142-1</f>
        <v>8.3375635780432056E-2</v>
      </c>
      <c r="X142" s="232">
        <f>R142/'2017'!R142-1</f>
        <v>0.19436601409000764</v>
      </c>
      <c r="Y142" s="249">
        <f>S142/'2017'!S142-1</f>
        <v>0.10974893844525258</v>
      </c>
      <c r="Z142" s="250">
        <v>42.13</v>
      </c>
      <c r="AA142" s="251">
        <f t="shared" si="49"/>
        <v>816.20344800000009</v>
      </c>
      <c r="AB142" s="252">
        <v>4283.88</v>
      </c>
      <c r="AC142" s="211">
        <f t="shared" ref="AC142:AC198" si="50">AA142*10000/AB142</f>
        <v>1905.290176195412</v>
      </c>
      <c r="AD142" s="252">
        <f t="shared" si="45"/>
        <v>8798495.9800000004</v>
      </c>
      <c r="AE142" s="184">
        <f t="shared" si="47"/>
        <v>68729.2</v>
      </c>
      <c r="AF142" s="184">
        <f t="shared" si="48"/>
        <v>43161.64</v>
      </c>
      <c r="AG142" s="211">
        <f t="shared" si="46"/>
        <v>103270.65999999999</v>
      </c>
      <c r="AH142" s="288"/>
      <c r="AI142" s="289"/>
      <c r="AJ142" s="289"/>
      <c r="AK142" s="289"/>
      <c r="AL142" s="289"/>
      <c r="AM142" s="289"/>
      <c r="AN142" s="289"/>
      <c r="AO142" s="289"/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89"/>
      <c r="BB142" s="289"/>
      <c r="BC142" s="289"/>
    </row>
    <row r="143" spans="1:55" ht="15" customHeight="1" x14ac:dyDescent="0.15">
      <c r="A143" s="180">
        <v>42873</v>
      </c>
      <c r="B143" s="175" t="s">
        <v>38</v>
      </c>
      <c r="C143" s="176">
        <v>82645</v>
      </c>
      <c r="D143" s="177">
        <v>41581</v>
      </c>
      <c r="E143" s="177">
        <v>126200</v>
      </c>
      <c r="F143" s="178">
        <v>6174</v>
      </c>
      <c r="G143" s="177">
        <v>4232</v>
      </c>
      <c r="H143" s="179">
        <v>4720</v>
      </c>
      <c r="I143" s="179"/>
      <c r="J143" s="204">
        <f t="shared" si="43"/>
        <v>84619</v>
      </c>
      <c r="K143" s="177">
        <v>1073</v>
      </c>
      <c r="L143" s="177">
        <v>0</v>
      </c>
      <c r="M143" s="205">
        <f t="shared" si="44"/>
        <v>901</v>
      </c>
      <c r="N143" s="206">
        <f t="shared" ref="N143:P155" si="51">N142+C143</f>
        <v>1275275</v>
      </c>
      <c r="O143" s="209">
        <f t="shared" si="51"/>
        <v>559359</v>
      </c>
      <c r="P143" s="208">
        <f t="shared" si="51"/>
        <v>1870043</v>
      </c>
      <c r="Q143" s="225">
        <f t="shared" si="42"/>
        <v>8665979.4800000004</v>
      </c>
      <c r="R143" s="207">
        <f t="shared" si="42"/>
        <v>4304677</v>
      </c>
      <c r="S143" s="226">
        <f t="shared" si="42"/>
        <v>13187791.98</v>
      </c>
      <c r="T143" s="227">
        <f>N143/'2017'!N143-1</f>
        <v>0.17409717586945006</v>
      </c>
      <c r="U143" s="228">
        <f>O143/'2017'!O143-1</f>
        <v>0.10383172535190432</v>
      </c>
      <c r="V143" s="228">
        <f>P143/'2017'!P143-1</f>
        <v>0.14838020704757615</v>
      </c>
      <c r="W143" s="228">
        <f>Q143/'2017'!Q143-1</f>
        <v>8.5225039232462052E-2</v>
      </c>
      <c r="X143" s="228">
        <f>R143/'2017'!R143-1</f>
        <v>0.19582266827640282</v>
      </c>
      <c r="Y143" s="244">
        <f>S143/'2017'!S143-1</f>
        <v>0.11149568820507016</v>
      </c>
      <c r="Z143" s="245"/>
      <c r="AA143" s="246">
        <f t="shared" si="49"/>
        <v>866.59794800000009</v>
      </c>
      <c r="AB143" s="247"/>
      <c r="AC143" s="248"/>
      <c r="AD143" s="247">
        <f t="shared" si="45"/>
        <v>8883114.9800000004</v>
      </c>
      <c r="AE143" s="177">
        <f t="shared" si="47"/>
        <v>69802.2</v>
      </c>
      <c r="AF143" s="177">
        <f t="shared" si="48"/>
        <v>43161.64</v>
      </c>
      <c r="AG143" s="248">
        <f t="shared" si="46"/>
        <v>104171.65999999999</v>
      </c>
      <c r="AH143" s="263"/>
      <c r="AI143" s="264"/>
      <c r="AJ143" s="264"/>
      <c r="AK143" s="264"/>
      <c r="AL143" s="264"/>
      <c r="AM143" s="264"/>
      <c r="AN143" s="264"/>
      <c r="AO143" s="264"/>
      <c r="AP143" s="264"/>
      <c r="AQ143" s="264"/>
      <c r="AR143" s="264"/>
      <c r="AS143" s="264"/>
      <c r="AT143" s="264"/>
      <c r="AU143" s="264"/>
      <c r="AV143" s="264"/>
      <c r="AW143" s="264"/>
      <c r="AX143" s="264"/>
      <c r="AY143" s="264"/>
      <c r="AZ143" s="264"/>
      <c r="BA143" s="264"/>
      <c r="BB143" s="264"/>
      <c r="BC143" s="264"/>
    </row>
    <row r="144" spans="1:55" ht="15" customHeight="1" x14ac:dyDescent="0.15">
      <c r="A144" s="180">
        <v>42874</v>
      </c>
      <c r="B144" s="175" t="s">
        <v>39</v>
      </c>
      <c r="C144" s="176">
        <v>74602</v>
      </c>
      <c r="D144" s="177">
        <v>35763</v>
      </c>
      <c r="E144" s="177">
        <v>111761</v>
      </c>
      <c r="F144" s="178">
        <v>5539</v>
      </c>
      <c r="G144" s="177">
        <v>3927</v>
      </c>
      <c r="H144" s="179">
        <v>4788</v>
      </c>
      <c r="I144" s="179"/>
      <c r="J144" s="204">
        <f t="shared" si="43"/>
        <v>75998</v>
      </c>
      <c r="K144" s="177">
        <v>986</v>
      </c>
      <c r="L144" s="177">
        <v>0</v>
      </c>
      <c r="M144" s="205">
        <f t="shared" si="44"/>
        <v>410</v>
      </c>
      <c r="N144" s="206">
        <f t="shared" si="51"/>
        <v>1349877</v>
      </c>
      <c r="O144" s="209">
        <f t="shared" si="51"/>
        <v>595122</v>
      </c>
      <c r="P144" s="208">
        <f t="shared" si="51"/>
        <v>1981804</v>
      </c>
      <c r="Q144" s="225">
        <f t="shared" si="42"/>
        <v>8740581.4800000004</v>
      </c>
      <c r="R144" s="207">
        <f t="shared" si="42"/>
        <v>4340440</v>
      </c>
      <c r="S144" s="226">
        <f t="shared" si="42"/>
        <v>13299552.98</v>
      </c>
      <c r="T144" s="227">
        <f>N144/'2017'!N144-1</f>
        <v>0.17451794696437761</v>
      </c>
      <c r="U144" s="228">
        <f>O144/'2017'!O144-1</f>
        <v>0.10745508748032107</v>
      </c>
      <c r="V144" s="228">
        <f>P144/'2017'!P144-1</f>
        <v>0.14916833617947822</v>
      </c>
      <c r="W144" s="228">
        <f>Q144/'2017'!Q144-1</f>
        <v>8.5982183565120662E-2</v>
      </c>
      <c r="X144" s="228">
        <f>R144/'2017'!R144-1</f>
        <v>0.19558274205272874</v>
      </c>
      <c r="Y144" s="244">
        <f>S144/'2017'!S144-1</f>
        <v>0.11190578111910288</v>
      </c>
      <c r="Z144" s="245"/>
      <c r="AA144" s="246">
        <f t="shared" si="49"/>
        <v>874.05814800000007</v>
      </c>
      <c r="AB144" s="247"/>
      <c r="AC144" s="248"/>
      <c r="AD144" s="247">
        <f t="shared" si="45"/>
        <v>8959112.9800000004</v>
      </c>
      <c r="AE144" s="177">
        <f t="shared" si="47"/>
        <v>70788.2</v>
      </c>
      <c r="AF144" s="177">
        <f t="shared" si="48"/>
        <v>43161.64</v>
      </c>
      <c r="AG144" s="248">
        <f t="shared" si="46"/>
        <v>104581.65999999999</v>
      </c>
      <c r="AH144" s="263"/>
      <c r="AI144" s="264"/>
      <c r="AJ144" s="264"/>
      <c r="AK144" s="264"/>
      <c r="AL144" s="264"/>
      <c r="AM144" s="264"/>
      <c r="AN144" s="264"/>
      <c r="AO144" s="264"/>
      <c r="AP144" s="264"/>
      <c r="AQ144" s="264"/>
      <c r="AR144" s="264"/>
      <c r="AS144" s="264"/>
      <c r="AT144" s="264"/>
      <c r="AU144" s="264"/>
      <c r="AV144" s="264"/>
      <c r="AW144" s="264"/>
      <c r="AX144" s="264"/>
      <c r="AY144" s="264"/>
      <c r="AZ144" s="264"/>
      <c r="BA144" s="264"/>
      <c r="BB144" s="264"/>
      <c r="BC144" s="264"/>
    </row>
    <row r="145" spans="1:55" ht="15" customHeight="1" x14ac:dyDescent="0.15">
      <c r="A145" s="180">
        <v>42875</v>
      </c>
      <c r="B145" s="175" t="s">
        <v>1</v>
      </c>
      <c r="C145" s="176">
        <v>68027</v>
      </c>
      <c r="D145" s="177">
        <v>33467</v>
      </c>
      <c r="E145" s="177">
        <v>102129</v>
      </c>
      <c r="F145" s="178">
        <v>4984</v>
      </c>
      <c r="G145" s="177">
        <v>3578</v>
      </c>
      <c r="H145" s="179">
        <v>4801</v>
      </c>
      <c r="I145" s="179"/>
      <c r="J145" s="204">
        <f t="shared" si="43"/>
        <v>68662</v>
      </c>
      <c r="K145" s="177">
        <v>278</v>
      </c>
      <c r="L145" s="177">
        <v>0</v>
      </c>
      <c r="M145" s="205">
        <f t="shared" si="44"/>
        <v>357</v>
      </c>
      <c r="N145" s="206">
        <f t="shared" si="51"/>
        <v>1417904</v>
      </c>
      <c r="O145" s="209">
        <f t="shared" si="51"/>
        <v>628589</v>
      </c>
      <c r="P145" s="208">
        <f t="shared" si="51"/>
        <v>2083933</v>
      </c>
      <c r="Q145" s="225">
        <f t="shared" si="42"/>
        <v>8808608.4800000004</v>
      </c>
      <c r="R145" s="207">
        <f t="shared" si="42"/>
        <v>4373907</v>
      </c>
      <c r="S145" s="226">
        <f t="shared" si="42"/>
        <v>13401681.98</v>
      </c>
      <c r="T145" s="227">
        <f>N145/'2017'!N145-1</f>
        <v>0.16868824407950922</v>
      </c>
      <c r="U145" s="228">
        <f>O145/'2017'!O145-1</f>
        <v>0.10751115723374594</v>
      </c>
      <c r="V145" s="228">
        <f>P145/'2017'!P145-1</f>
        <v>0.14476464826744406</v>
      </c>
      <c r="W145" s="228">
        <f>Q145/'2017'!Q145-1</f>
        <v>8.5808157255913287E-2</v>
      </c>
      <c r="X145" s="228">
        <f>R145/'2017'!R145-1</f>
        <v>0.19486459552399782</v>
      </c>
      <c r="Y145" s="244">
        <f>S145/'2017'!S145-1</f>
        <v>0.11153711682008183</v>
      </c>
      <c r="Z145" s="245"/>
      <c r="AA145" s="246">
        <f t="shared" si="49"/>
        <v>880.86084800000003</v>
      </c>
      <c r="AB145" s="247"/>
      <c r="AC145" s="248"/>
      <c r="AD145" s="247">
        <f t="shared" si="45"/>
        <v>9027774.9800000004</v>
      </c>
      <c r="AE145" s="177">
        <f t="shared" si="47"/>
        <v>71066.2</v>
      </c>
      <c r="AF145" s="177">
        <f t="shared" si="48"/>
        <v>43161.64</v>
      </c>
      <c r="AG145" s="248">
        <f t="shared" si="46"/>
        <v>104938.65999999999</v>
      </c>
      <c r="AH145" s="263"/>
      <c r="AI145" s="264"/>
      <c r="AJ145" s="264"/>
      <c r="AK145" s="264"/>
      <c r="AL145" s="264"/>
      <c r="AM145" s="264"/>
      <c r="AN145" s="264"/>
      <c r="AO145" s="264"/>
      <c r="AP145" s="264"/>
      <c r="AQ145" s="264"/>
      <c r="AR145" s="264"/>
      <c r="AS145" s="264"/>
      <c r="AT145" s="264"/>
      <c r="AU145" s="264"/>
      <c r="AV145" s="264"/>
      <c r="AW145" s="264"/>
      <c r="AX145" s="264"/>
      <c r="AY145" s="264"/>
      <c r="AZ145" s="264"/>
      <c r="BA145" s="264"/>
      <c r="BB145" s="264"/>
      <c r="BC145" s="264"/>
    </row>
    <row r="146" spans="1:55" ht="15" customHeight="1" x14ac:dyDescent="0.15">
      <c r="A146" s="180">
        <v>42876</v>
      </c>
      <c r="B146" s="175" t="s">
        <v>34</v>
      </c>
      <c r="C146" s="176">
        <v>71136</v>
      </c>
      <c r="D146" s="177">
        <v>32615</v>
      </c>
      <c r="E146" s="177">
        <v>104330</v>
      </c>
      <c r="F146" s="178">
        <v>5300</v>
      </c>
      <c r="G146" s="177">
        <v>3336</v>
      </c>
      <c r="H146" s="179">
        <v>4491</v>
      </c>
      <c r="I146" s="179"/>
      <c r="J146" s="204">
        <f t="shared" si="43"/>
        <v>71715</v>
      </c>
      <c r="K146" s="177">
        <v>334</v>
      </c>
      <c r="L146" s="177">
        <v>0</v>
      </c>
      <c r="M146" s="205">
        <f t="shared" si="44"/>
        <v>245</v>
      </c>
      <c r="N146" s="206">
        <f t="shared" si="51"/>
        <v>1489040</v>
      </c>
      <c r="O146" s="209">
        <f t="shared" si="51"/>
        <v>661204</v>
      </c>
      <c r="P146" s="208">
        <f t="shared" si="51"/>
        <v>2188263</v>
      </c>
      <c r="Q146" s="225">
        <f t="shared" si="42"/>
        <v>8879744.4800000004</v>
      </c>
      <c r="R146" s="207">
        <f t="shared" si="42"/>
        <v>4406522</v>
      </c>
      <c r="S146" s="226">
        <f t="shared" si="42"/>
        <v>13506011.98</v>
      </c>
      <c r="T146" s="227">
        <f>N146/'2017'!N146-1</f>
        <v>0.16962849386688106</v>
      </c>
      <c r="U146" s="228">
        <f>O146/'2017'!O146-1</f>
        <v>0.10575887511622772</v>
      </c>
      <c r="V146" s="228">
        <f>P146/'2017'!P146-1</f>
        <v>0.14426219907246418</v>
      </c>
      <c r="W146" s="228">
        <f>Q146/'2017'!Q146-1</f>
        <v>8.6561540093376133E-2</v>
      </c>
      <c r="X146" s="228">
        <f>R146/'2017'!R146-1</f>
        <v>0.19386136430322209</v>
      </c>
      <c r="Y146" s="244">
        <f>S146/'2017'!S146-1</f>
        <v>0.11170958246027118</v>
      </c>
      <c r="Z146" s="245"/>
      <c r="AA146" s="246">
        <f t="shared" si="49"/>
        <v>887.97444800000005</v>
      </c>
      <c r="AB146" s="247"/>
      <c r="AC146" s="248"/>
      <c r="AD146" s="247">
        <f t="shared" si="45"/>
        <v>9099489.9800000004</v>
      </c>
      <c r="AE146" s="177">
        <f t="shared" si="47"/>
        <v>71400.2</v>
      </c>
      <c r="AF146" s="177">
        <f t="shared" si="48"/>
        <v>43161.64</v>
      </c>
      <c r="AG146" s="248">
        <f t="shared" si="46"/>
        <v>105183.65999999999</v>
      </c>
      <c r="AH146" s="263"/>
      <c r="AI146" s="264"/>
      <c r="AJ146" s="264"/>
      <c r="AK146" s="264"/>
      <c r="AL146" s="264"/>
      <c r="AM146" s="264"/>
      <c r="AN146" s="264"/>
      <c r="AO146" s="264"/>
      <c r="AP146" s="264"/>
      <c r="AQ146" s="264"/>
      <c r="AR146" s="264"/>
      <c r="AS146" s="264"/>
      <c r="AT146" s="264"/>
      <c r="AU146" s="264"/>
      <c r="AV146" s="264"/>
      <c r="AW146" s="264"/>
      <c r="AX146" s="264"/>
      <c r="AY146" s="264"/>
      <c r="AZ146" s="264"/>
      <c r="BA146" s="264"/>
      <c r="BB146" s="264"/>
      <c r="BC146" s="264"/>
    </row>
    <row r="147" spans="1:55" ht="15" customHeight="1" x14ac:dyDescent="0.15">
      <c r="A147" s="180">
        <v>42877</v>
      </c>
      <c r="B147" s="175" t="s">
        <v>35</v>
      </c>
      <c r="C147" s="176">
        <v>69535</v>
      </c>
      <c r="D147" s="177">
        <v>35614</v>
      </c>
      <c r="E147" s="177">
        <v>105918</v>
      </c>
      <c r="F147" s="178">
        <v>5223</v>
      </c>
      <c r="G147" s="177">
        <v>3478</v>
      </c>
      <c r="H147" s="179">
        <v>4897</v>
      </c>
      <c r="I147" s="179"/>
      <c r="J147" s="204">
        <f t="shared" si="43"/>
        <v>70304</v>
      </c>
      <c r="K147" s="177">
        <v>239</v>
      </c>
      <c r="L147" s="177">
        <v>0</v>
      </c>
      <c r="M147" s="205">
        <f t="shared" si="44"/>
        <v>530</v>
      </c>
      <c r="N147" s="206">
        <f t="shared" si="51"/>
        <v>1558575</v>
      </c>
      <c r="O147" s="209">
        <f t="shared" si="51"/>
        <v>696818</v>
      </c>
      <c r="P147" s="208">
        <f t="shared" si="51"/>
        <v>2294181</v>
      </c>
      <c r="Q147" s="225">
        <f t="shared" si="42"/>
        <v>8949279.4800000004</v>
      </c>
      <c r="R147" s="207">
        <f t="shared" si="42"/>
        <v>4442136</v>
      </c>
      <c r="S147" s="226">
        <f t="shared" si="42"/>
        <v>13611929.98</v>
      </c>
      <c r="T147" s="227">
        <f>N147/'2017'!N147-1</f>
        <v>0.16441216638227041</v>
      </c>
      <c r="U147" s="228">
        <f>O147/'2017'!O147-1</f>
        <v>0.10967822073872591</v>
      </c>
      <c r="V147" s="228">
        <f>P147/'2017'!P147-1</f>
        <v>0.14133247765025447</v>
      </c>
      <c r="W147" s="228">
        <f>Q147/'2017'!Q147-1</f>
        <v>8.637364229522726E-2</v>
      </c>
      <c r="X147" s="228">
        <f>R147/'2017'!R147-1</f>
        <v>0.1938128953107594</v>
      </c>
      <c r="Y147" s="244">
        <f>S147/'2017'!S147-1</f>
        <v>0.11148843864459534</v>
      </c>
      <c r="Z147" s="245"/>
      <c r="AA147" s="246">
        <f t="shared" si="49"/>
        <v>894.92794800000001</v>
      </c>
      <c r="AB147" s="247"/>
      <c r="AC147" s="248"/>
      <c r="AD147" s="247">
        <f t="shared" si="45"/>
        <v>9169793.9800000004</v>
      </c>
      <c r="AE147" s="177">
        <f t="shared" si="47"/>
        <v>71639.199999999997</v>
      </c>
      <c r="AF147" s="177">
        <f t="shared" si="48"/>
        <v>43161.64</v>
      </c>
      <c r="AG147" s="248">
        <f t="shared" si="46"/>
        <v>105713.65999999999</v>
      </c>
      <c r="AH147" s="263"/>
      <c r="AI147" s="264"/>
      <c r="AJ147" s="264"/>
      <c r="AK147" s="264"/>
      <c r="AL147" s="264"/>
      <c r="AM147" s="264"/>
      <c r="AN147" s="264"/>
      <c r="AO147" s="264"/>
      <c r="AP147" s="264"/>
      <c r="AQ147" s="264"/>
      <c r="AR147" s="264"/>
      <c r="AS147" s="264"/>
      <c r="AT147" s="264"/>
      <c r="AU147" s="264"/>
      <c r="AV147" s="264"/>
      <c r="AW147" s="264"/>
      <c r="AX147" s="264"/>
      <c r="AY147" s="264"/>
      <c r="AZ147" s="264"/>
      <c r="BA147" s="264"/>
      <c r="BB147" s="264"/>
      <c r="BC147" s="264"/>
    </row>
    <row r="148" spans="1:55" ht="15" customHeight="1" x14ac:dyDescent="0.15">
      <c r="A148" s="180">
        <v>42878</v>
      </c>
      <c r="B148" s="175" t="s">
        <v>36</v>
      </c>
      <c r="C148" s="176">
        <v>67364</v>
      </c>
      <c r="D148" s="177">
        <v>32545</v>
      </c>
      <c r="E148" s="177">
        <v>101194</v>
      </c>
      <c r="F148" s="178">
        <v>4950</v>
      </c>
      <c r="G148" s="177">
        <v>3431</v>
      </c>
      <c r="H148" s="179">
        <v>5069</v>
      </c>
      <c r="I148" s="179"/>
      <c r="J148" s="204">
        <f t="shared" si="43"/>
        <v>68649</v>
      </c>
      <c r="K148" s="177">
        <v>362</v>
      </c>
      <c r="L148" s="177">
        <v>0</v>
      </c>
      <c r="M148" s="205">
        <f t="shared" si="44"/>
        <v>923</v>
      </c>
      <c r="N148" s="206">
        <f t="shared" si="51"/>
        <v>1625939</v>
      </c>
      <c r="O148" s="209">
        <f t="shared" si="51"/>
        <v>729363</v>
      </c>
      <c r="P148" s="208">
        <f t="shared" si="51"/>
        <v>2395375</v>
      </c>
      <c r="Q148" s="225">
        <f t="shared" si="42"/>
        <v>9016643.4800000004</v>
      </c>
      <c r="R148" s="207">
        <f t="shared" si="42"/>
        <v>4474681</v>
      </c>
      <c r="S148" s="226">
        <f t="shared" si="42"/>
        <v>13713123.98</v>
      </c>
      <c r="T148" s="227">
        <f>N148/'2017'!N148-1</f>
        <v>0.15690447424332343</v>
      </c>
      <c r="U148" s="228">
        <f>O148/'2017'!O148-1</f>
        <v>0.10663636184323333</v>
      </c>
      <c r="V148" s="228">
        <f>P148/'2017'!P148-1</f>
        <v>0.13539517890457908</v>
      </c>
      <c r="W148" s="228">
        <f>Q148/'2017'!Q148-1</f>
        <v>8.5731882081686139E-2</v>
      </c>
      <c r="X148" s="228">
        <f>R148/'2017'!R148-1</f>
        <v>0.19258042163055356</v>
      </c>
      <c r="Y148" s="244">
        <f>S148/'2017'!S148-1</f>
        <v>0.11071472101596247</v>
      </c>
      <c r="Z148" s="245"/>
      <c r="AA148" s="246">
        <f t="shared" si="49"/>
        <v>901.66434800000002</v>
      </c>
      <c r="AB148" s="247"/>
      <c r="AC148" s="248"/>
      <c r="AD148" s="247">
        <f t="shared" si="45"/>
        <v>9238442.9800000004</v>
      </c>
      <c r="AE148" s="177">
        <f t="shared" si="47"/>
        <v>72001.2</v>
      </c>
      <c r="AF148" s="177">
        <f t="shared" si="48"/>
        <v>43161.64</v>
      </c>
      <c r="AG148" s="248">
        <f t="shared" si="46"/>
        <v>106636.65999999999</v>
      </c>
      <c r="AH148" s="263"/>
      <c r="AI148" s="264"/>
      <c r="AJ148" s="264"/>
      <c r="AK148" s="264"/>
      <c r="AL148" s="264"/>
      <c r="AM148" s="264"/>
      <c r="AN148" s="264"/>
      <c r="AO148" s="264"/>
      <c r="AP148" s="264"/>
      <c r="AQ148" s="264"/>
      <c r="AR148" s="264"/>
      <c r="AS148" s="264"/>
      <c r="AT148" s="264"/>
      <c r="AU148" s="264"/>
      <c r="AV148" s="264"/>
      <c r="AW148" s="264"/>
      <c r="AX148" s="264"/>
      <c r="AY148" s="264"/>
      <c r="AZ148" s="264"/>
      <c r="BA148" s="264"/>
      <c r="BB148" s="264"/>
      <c r="BC148" s="264"/>
    </row>
    <row r="149" spans="1:55" s="157" customFormat="1" ht="15" customHeight="1" x14ac:dyDescent="0.15">
      <c r="A149" s="181">
        <v>42879</v>
      </c>
      <c r="B149" s="182" t="s">
        <v>37</v>
      </c>
      <c r="C149" s="183">
        <v>60309</v>
      </c>
      <c r="D149" s="184">
        <v>40958</v>
      </c>
      <c r="E149" s="184">
        <v>102510</v>
      </c>
      <c r="F149" s="185">
        <v>5960</v>
      </c>
      <c r="G149" s="184">
        <v>3429</v>
      </c>
      <c r="H149" s="186">
        <v>4824</v>
      </c>
      <c r="I149" s="186"/>
      <c r="J149" s="210">
        <f t="shared" si="43"/>
        <v>61552</v>
      </c>
      <c r="K149" s="184">
        <v>380</v>
      </c>
      <c r="L149" s="184">
        <v>0</v>
      </c>
      <c r="M149" s="211">
        <f t="shared" si="44"/>
        <v>863</v>
      </c>
      <c r="N149" s="212">
        <f t="shared" si="51"/>
        <v>1686248</v>
      </c>
      <c r="O149" s="215">
        <f t="shared" si="51"/>
        <v>770321</v>
      </c>
      <c r="P149" s="214">
        <f t="shared" si="51"/>
        <v>2497885</v>
      </c>
      <c r="Q149" s="229">
        <f t="shared" si="42"/>
        <v>9076952.4800000004</v>
      </c>
      <c r="R149" s="213">
        <f t="shared" si="42"/>
        <v>4515639</v>
      </c>
      <c r="S149" s="230">
        <f t="shared" si="42"/>
        <v>13815633.98</v>
      </c>
      <c r="T149" s="231">
        <f>N149/'2017'!N149-1</f>
        <v>0.14704817982199558</v>
      </c>
      <c r="U149" s="232">
        <f>O149/'2017'!O149-1</f>
        <v>0.11992120203246426</v>
      </c>
      <c r="V149" s="232">
        <f>P149/'2017'!P149-1</f>
        <v>0.13283485700135955</v>
      </c>
      <c r="W149" s="232">
        <f>Q149/'2017'!Q149-1</f>
        <v>8.4550435318922368E-2</v>
      </c>
      <c r="X149" s="232">
        <f>R149/'2017'!R149-1</f>
        <v>0.19434365886648886</v>
      </c>
      <c r="Y149" s="249">
        <f>S149/'2017'!S149-1</f>
        <v>0.11044992418674915</v>
      </c>
      <c r="Z149" s="250">
        <v>43.91</v>
      </c>
      <c r="AA149" s="251">
        <f t="shared" si="49"/>
        <v>863.78524800000002</v>
      </c>
      <c r="AB149" s="252">
        <v>4283.88</v>
      </c>
      <c r="AC149" s="211">
        <f t="shared" si="50"/>
        <v>2016.361914899577</v>
      </c>
      <c r="AD149" s="252">
        <f t="shared" si="45"/>
        <v>9299994.9800000004</v>
      </c>
      <c r="AE149" s="184">
        <f t="shared" si="47"/>
        <v>72381.2</v>
      </c>
      <c r="AF149" s="184">
        <f t="shared" si="48"/>
        <v>43161.64</v>
      </c>
      <c r="AG149" s="211">
        <f t="shared" si="46"/>
        <v>107499.65999999999</v>
      </c>
      <c r="AH149" s="263"/>
      <c r="AI149" s="264"/>
      <c r="AJ149" s="264"/>
      <c r="AK149" s="264"/>
      <c r="AL149" s="264"/>
      <c r="AM149" s="264"/>
      <c r="AN149" s="264"/>
      <c r="AO149" s="264"/>
      <c r="AP149" s="264"/>
      <c r="AQ149" s="264"/>
      <c r="AR149" s="264"/>
      <c r="AS149" s="264"/>
      <c r="AT149" s="264"/>
      <c r="AU149" s="264"/>
      <c r="AV149" s="264"/>
      <c r="AW149" s="264"/>
      <c r="AX149" s="264"/>
      <c r="AY149" s="264"/>
      <c r="AZ149" s="264"/>
      <c r="BA149" s="264"/>
      <c r="BB149" s="264"/>
      <c r="BC149" s="264"/>
    </row>
    <row r="150" spans="1:55" ht="15" customHeight="1" x14ac:dyDescent="0.15">
      <c r="A150" s="180">
        <v>42880</v>
      </c>
      <c r="B150" s="175" t="s">
        <v>38</v>
      </c>
      <c r="C150" s="176">
        <v>66810</v>
      </c>
      <c r="D150" s="177">
        <f>30870+9963</f>
        <v>40833</v>
      </c>
      <c r="E150" s="177">
        <v>108888</v>
      </c>
      <c r="F150" s="178">
        <v>5401.8</v>
      </c>
      <c r="G150" s="177">
        <v>3483.7</v>
      </c>
      <c r="H150" s="179"/>
      <c r="I150" s="179"/>
      <c r="J150" s="204">
        <f t="shared" si="43"/>
        <v>68055</v>
      </c>
      <c r="K150" s="177">
        <v>415</v>
      </c>
      <c r="L150" s="177">
        <v>0</v>
      </c>
      <c r="M150" s="205">
        <f t="shared" si="44"/>
        <v>830</v>
      </c>
      <c r="N150" s="206">
        <f t="shared" si="51"/>
        <v>1753058</v>
      </c>
      <c r="O150" s="209">
        <f t="shared" si="51"/>
        <v>811154</v>
      </c>
      <c r="P150" s="208">
        <f t="shared" si="51"/>
        <v>2606773</v>
      </c>
      <c r="Q150" s="225">
        <f t="shared" si="42"/>
        <v>9143762.4800000004</v>
      </c>
      <c r="R150" s="207">
        <f t="shared" si="42"/>
        <v>4556472</v>
      </c>
      <c r="S150" s="226">
        <f t="shared" si="42"/>
        <v>13924521.98</v>
      </c>
      <c r="T150" s="227">
        <f>N150/'2017'!N150-1</f>
        <v>0.14420336252815535</v>
      </c>
      <c r="U150" s="228">
        <f>O150/'2017'!O150-1</f>
        <v>0.12822460064119956</v>
      </c>
      <c r="V150" s="228">
        <f>P150/'2017'!P150-1</f>
        <v>0.13330959566844136</v>
      </c>
      <c r="W150" s="228">
        <f>Q150/'2017'!Q150-1</f>
        <v>8.4493394541956368E-2</v>
      </c>
      <c r="X150" s="228">
        <f>R150/'2017'!R150-1</f>
        <v>0.19530197398520044</v>
      </c>
      <c r="Y150" s="244">
        <f>S150/'2017'!S150-1</f>
        <v>0.11070693320642411</v>
      </c>
      <c r="Z150" s="245"/>
      <c r="AA150" s="246">
        <f t="shared" si="49"/>
        <v>914.37624800000003</v>
      </c>
      <c r="AB150" s="247"/>
      <c r="AC150" s="248"/>
      <c r="AD150" s="247">
        <f t="shared" si="45"/>
        <v>9368049.9800000004</v>
      </c>
      <c r="AE150" s="177">
        <f t="shared" si="47"/>
        <v>72796.2</v>
      </c>
      <c r="AF150" s="177">
        <f t="shared" si="48"/>
        <v>43161.64</v>
      </c>
      <c r="AG150" s="248">
        <f t="shared" si="46"/>
        <v>108329.65999999999</v>
      </c>
      <c r="AH150" s="263"/>
      <c r="AI150" s="264"/>
      <c r="AJ150" s="264"/>
      <c r="AK150" s="264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264"/>
      <c r="AZ150" s="264"/>
      <c r="BA150" s="264"/>
      <c r="BB150" s="264"/>
      <c r="BC150" s="264"/>
    </row>
    <row r="151" spans="1:55" ht="15" customHeight="1" x14ac:dyDescent="0.15">
      <c r="A151" s="180">
        <v>42881</v>
      </c>
      <c r="B151" s="175" t="s">
        <v>39</v>
      </c>
      <c r="C151" s="176">
        <v>70220</v>
      </c>
      <c r="D151" s="177">
        <f>26881+10218</f>
        <v>37099</v>
      </c>
      <c r="E151" s="177">
        <v>108398</v>
      </c>
      <c r="F151" s="178">
        <v>5403.5</v>
      </c>
      <c r="G151" s="177">
        <v>3611.2</v>
      </c>
      <c r="H151" s="179"/>
      <c r="I151" s="179"/>
      <c r="J151" s="204">
        <f t="shared" si="43"/>
        <v>71299</v>
      </c>
      <c r="K151" s="177">
        <v>560</v>
      </c>
      <c r="L151" s="177">
        <v>0</v>
      </c>
      <c r="M151" s="205">
        <f t="shared" si="44"/>
        <v>519</v>
      </c>
      <c r="N151" s="206">
        <f t="shared" si="51"/>
        <v>1823278</v>
      </c>
      <c r="O151" s="209">
        <f t="shared" si="51"/>
        <v>848253</v>
      </c>
      <c r="P151" s="208">
        <f t="shared" si="51"/>
        <v>2715171</v>
      </c>
      <c r="Q151" s="225">
        <f t="shared" si="42"/>
        <v>9213982.4800000004</v>
      </c>
      <c r="R151" s="207">
        <f t="shared" si="42"/>
        <v>4593571</v>
      </c>
      <c r="S151" s="226">
        <f t="shared" si="42"/>
        <v>14032919.98</v>
      </c>
      <c r="T151" s="227">
        <f>N151/'2017'!N151-1</f>
        <v>0.14241191987418467</v>
      </c>
      <c r="U151" s="228">
        <f>O151/'2017'!O151-1</f>
        <v>0.1315561994253196</v>
      </c>
      <c r="V151" s="228">
        <f>P151/'2017'!P151-1</f>
        <v>0.1329049567207492</v>
      </c>
      <c r="W151" s="228">
        <f>Q151/'2017'!Q151-1</f>
        <v>8.4605750610164732E-2</v>
      </c>
      <c r="X151" s="228">
        <f>R151/'2017'!R151-1</f>
        <v>0.19541655205401054</v>
      </c>
      <c r="Y151" s="244">
        <f>S151/'2017'!S151-1</f>
        <v>0.1108028277730706</v>
      </c>
      <c r="Z151" s="245"/>
      <c r="AA151" s="246">
        <f t="shared" si="49"/>
        <v>921.39824800000008</v>
      </c>
      <c r="AB151" s="247"/>
      <c r="AC151" s="248"/>
      <c r="AD151" s="247">
        <f t="shared" si="45"/>
        <v>9439348.9800000004</v>
      </c>
      <c r="AE151" s="177">
        <f t="shared" si="47"/>
        <v>73356.2</v>
      </c>
      <c r="AF151" s="177">
        <f t="shared" ref="AF151:AF166" si="52">AF150+L151</f>
        <v>43161.64</v>
      </c>
      <c r="AG151" s="248">
        <f t="shared" si="46"/>
        <v>108848.65999999999</v>
      </c>
      <c r="AH151" s="263"/>
      <c r="AI151" s="264"/>
      <c r="AJ151" s="264"/>
      <c r="AK151" s="264"/>
      <c r="AL151" s="264"/>
      <c r="AM151" s="264"/>
      <c r="AN151" s="264"/>
      <c r="AO151" s="264"/>
      <c r="AP151" s="264"/>
      <c r="AQ151" s="264"/>
      <c r="AR151" s="264"/>
      <c r="AS151" s="264"/>
      <c r="AT151" s="264"/>
      <c r="AU151" s="264"/>
      <c r="AV151" s="264"/>
      <c r="AW151" s="264"/>
      <c r="AX151" s="264"/>
      <c r="AY151" s="264"/>
      <c r="AZ151" s="264"/>
      <c r="BA151" s="264"/>
      <c r="BB151" s="264"/>
      <c r="BC151" s="264"/>
    </row>
    <row r="152" spans="1:55" ht="15" customHeight="1" x14ac:dyDescent="0.15">
      <c r="A152" s="180">
        <v>42882</v>
      </c>
      <c r="B152" s="175" t="s">
        <v>1</v>
      </c>
      <c r="C152" s="176">
        <v>69556</v>
      </c>
      <c r="D152" s="177">
        <f>20896+9945</f>
        <v>30841</v>
      </c>
      <c r="E152" s="177">
        <v>101166</v>
      </c>
      <c r="F152" s="178">
        <v>4965.8999999999996</v>
      </c>
      <c r="G152" s="177">
        <v>3558</v>
      </c>
      <c r="H152" s="179"/>
      <c r="I152" s="179"/>
      <c r="J152" s="204">
        <f t="shared" si="43"/>
        <v>70325</v>
      </c>
      <c r="K152" s="177">
        <v>406</v>
      </c>
      <c r="L152" s="177">
        <v>0</v>
      </c>
      <c r="M152" s="205">
        <f t="shared" si="44"/>
        <v>363</v>
      </c>
      <c r="N152" s="206">
        <f t="shared" si="51"/>
        <v>1892834</v>
      </c>
      <c r="O152" s="209">
        <f t="shared" si="51"/>
        <v>879094</v>
      </c>
      <c r="P152" s="208">
        <f t="shared" si="51"/>
        <v>2816337</v>
      </c>
      <c r="Q152" s="225">
        <f t="shared" si="42"/>
        <v>9283538.4800000004</v>
      </c>
      <c r="R152" s="207">
        <f t="shared" si="42"/>
        <v>4624412</v>
      </c>
      <c r="S152" s="226">
        <f t="shared" si="42"/>
        <v>14134085.98</v>
      </c>
      <c r="T152" s="227">
        <f>N152/'2017'!N152-1</f>
        <v>0.13821403186797721</v>
      </c>
      <c r="U152" s="228">
        <f>O152/'2017'!O152-1</f>
        <v>0.13086097042966838</v>
      </c>
      <c r="V152" s="228">
        <f>P152/'2017'!P152-1</f>
        <v>0.12932423085020006</v>
      </c>
      <c r="W152" s="228">
        <f>Q152/'2017'!Q152-1</f>
        <v>8.4242732340344739E-2</v>
      </c>
      <c r="X152" s="228">
        <f>R152/'2017'!R152-1</f>
        <v>0.19481932809802438</v>
      </c>
      <c r="Y152" s="244">
        <f>S152/'2017'!S152-1</f>
        <v>0.11027009784369257</v>
      </c>
      <c r="Z152" s="245"/>
      <c r="AA152" s="246">
        <f t="shared" si="49"/>
        <v>928.35384800000008</v>
      </c>
      <c r="AB152" s="247"/>
      <c r="AC152" s="248"/>
      <c r="AD152" s="247">
        <f t="shared" si="45"/>
        <v>9509673.9800000004</v>
      </c>
      <c r="AE152" s="177">
        <f t="shared" si="47"/>
        <v>73762.2</v>
      </c>
      <c r="AF152" s="177">
        <f t="shared" si="52"/>
        <v>43161.64</v>
      </c>
      <c r="AG152" s="248">
        <f t="shared" si="46"/>
        <v>109211.65999999999</v>
      </c>
      <c r="AH152" s="263"/>
      <c r="AI152" s="264"/>
      <c r="AJ152" s="264"/>
      <c r="AK152" s="26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264"/>
    </row>
    <row r="153" spans="1:55" ht="15" customHeight="1" x14ac:dyDescent="0.15">
      <c r="A153" s="180">
        <v>42883</v>
      </c>
      <c r="B153" s="175" t="s">
        <v>34</v>
      </c>
      <c r="C153" s="176">
        <v>68457</v>
      </c>
      <c r="D153" s="177">
        <f>10655+24790</f>
        <v>35445</v>
      </c>
      <c r="E153" s="177">
        <v>105147</v>
      </c>
      <c r="F153" s="178">
        <v>5238</v>
      </c>
      <c r="G153" s="177">
        <v>3344</v>
      </c>
      <c r="H153" s="179"/>
      <c r="I153" s="179"/>
      <c r="J153" s="204">
        <f t="shared" si="43"/>
        <v>69702</v>
      </c>
      <c r="K153" s="177">
        <v>564</v>
      </c>
      <c r="L153" s="177">
        <v>0</v>
      </c>
      <c r="M153" s="205">
        <f t="shared" si="44"/>
        <v>681</v>
      </c>
      <c r="N153" s="206">
        <f t="shared" si="51"/>
        <v>1961291</v>
      </c>
      <c r="O153" s="209">
        <f t="shared" si="51"/>
        <v>914539</v>
      </c>
      <c r="P153" s="208">
        <f t="shared" si="51"/>
        <v>2921484</v>
      </c>
      <c r="Q153" s="225">
        <f t="shared" si="42"/>
        <v>9351995.4800000004</v>
      </c>
      <c r="R153" s="207">
        <f t="shared" si="42"/>
        <v>4659857</v>
      </c>
      <c r="S153" s="226">
        <f t="shared" si="42"/>
        <v>14239232.98</v>
      </c>
      <c r="T153" s="227">
        <f>N153/'2017'!N153-1</f>
        <v>0.13260678620122524</v>
      </c>
      <c r="U153" s="228">
        <f>O153/'2017'!O153-1</f>
        <v>0.14313374031908888</v>
      </c>
      <c r="V153" s="228">
        <f>P153/'2017'!P153-1</f>
        <v>0.12872216669480596</v>
      </c>
      <c r="W153" s="228">
        <f>Q153/'2017'!Q153-1</f>
        <v>8.3547165904606535E-2</v>
      </c>
      <c r="X153" s="228">
        <f>R153/'2017'!R153-1</f>
        <v>0.19696910928637656</v>
      </c>
      <c r="Y153" s="244">
        <f>S153/'2017'!S153-1</f>
        <v>0.11028896905821228</v>
      </c>
      <c r="Z153" s="245"/>
      <c r="AA153" s="246">
        <f t="shared" si="49"/>
        <v>935.19954800000005</v>
      </c>
      <c r="AB153" s="247"/>
      <c r="AC153" s="248"/>
      <c r="AD153" s="247">
        <f t="shared" si="45"/>
        <v>9579375.9800000004</v>
      </c>
      <c r="AE153" s="177">
        <f t="shared" si="47"/>
        <v>74326.2</v>
      </c>
      <c r="AF153" s="177">
        <f t="shared" si="52"/>
        <v>43161.64</v>
      </c>
      <c r="AG153" s="248">
        <f t="shared" si="46"/>
        <v>109892.65999999999</v>
      </c>
      <c r="AH153" s="263"/>
      <c r="AI153" s="264"/>
      <c r="AJ153" s="264"/>
      <c r="AK153" s="26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264"/>
    </row>
    <row r="154" spans="1:55" ht="15" customHeight="1" x14ac:dyDescent="0.15">
      <c r="A154" s="180">
        <v>42884</v>
      </c>
      <c r="B154" s="175" t="s">
        <v>35</v>
      </c>
      <c r="C154" s="176">
        <v>70213</v>
      </c>
      <c r="D154" s="177">
        <f>10757+25957</f>
        <v>36714</v>
      </c>
      <c r="E154" s="177">
        <v>108214</v>
      </c>
      <c r="F154" s="178">
        <v>5392</v>
      </c>
      <c r="G154" s="177">
        <v>3575</v>
      </c>
      <c r="H154" s="179"/>
      <c r="I154" s="179"/>
      <c r="J154" s="204">
        <f t="shared" si="43"/>
        <v>71500</v>
      </c>
      <c r="K154" s="177">
        <v>815</v>
      </c>
      <c r="L154" s="177">
        <v>0</v>
      </c>
      <c r="M154" s="205">
        <f t="shared" si="44"/>
        <v>472</v>
      </c>
      <c r="N154" s="206">
        <f t="shared" si="51"/>
        <v>2031504</v>
      </c>
      <c r="O154" s="209">
        <f t="shared" si="51"/>
        <v>951253</v>
      </c>
      <c r="P154" s="208">
        <f t="shared" si="51"/>
        <v>3029698</v>
      </c>
      <c r="Q154" s="225">
        <f t="shared" si="42"/>
        <v>9422208.4800000004</v>
      </c>
      <c r="R154" s="207">
        <f t="shared" si="42"/>
        <v>4696571</v>
      </c>
      <c r="S154" s="226">
        <f t="shared" si="42"/>
        <v>14347446.98</v>
      </c>
      <c r="T154" s="227">
        <f>N154/'2017'!N154-1</f>
        <v>0.13135435351983338</v>
      </c>
      <c r="U154" s="228">
        <f>O154/'2017'!O154-1</f>
        <v>0.15447248207463371</v>
      </c>
      <c r="V154" s="228">
        <f>P154/'2017'!P154-1</f>
        <v>0.13111614958056794</v>
      </c>
      <c r="W154" s="228">
        <f>Q154/'2017'!Q154-1</f>
        <v>8.3649504159491794E-2</v>
      </c>
      <c r="X154" s="228">
        <f>R154/'2017'!R154-1</f>
        <v>0.19902522114551702</v>
      </c>
      <c r="Y154" s="244">
        <f>S154/'2017'!S154-1</f>
        <v>0.11091419730925622</v>
      </c>
      <c r="Z154" s="245"/>
      <c r="AA154" s="246">
        <f t="shared" si="49"/>
        <v>942.22084800000005</v>
      </c>
      <c r="AB154" s="247"/>
      <c r="AC154" s="248"/>
      <c r="AD154" s="247">
        <f t="shared" si="45"/>
        <v>9650875.9800000004</v>
      </c>
      <c r="AE154" s="177">
        <f t="shared" si="47"/>
        <v>75141.2</v>
      </c>
      <c r="AF154" s="177">
        <f t="shared" si="52"/>
        <v>43161.64</v>
      </c>
      <c r="AG154" s="248">
        <f t="shared" si="46"/>
        <v>110364.65999999999</v>
      </c>
      <c r="AH154" s="263"/>
      <c r="AI154" s="264"/>
      <c r="AJ154" s="264"/>
      <c r="AK154" s="264"/>
      <c r="AL154" s="264"/>
      <c r="AM154" s="264"/>
      <c r="AN154" s="264"/>
      <c r="AO154" s="264"/>
      <c r="AP154" s="264"/>
      <c r="AQ154" s="264"/>
      <c r="AR154" s="264"/>
      <c r="AS154" s="264"/>
      <c r="AT154" s="264"/>
      <c r="AU154" s="264"/>
      <c r="AV154" s="264"/>
      <c r="AW154" s="264"/>
      <c r="AX154" s="264"/>
      <c r="AY154" s="264"/>
      <c r="AZ154" s="264"/>
      <c r="BA154" s="264"/>
      <c r="BB154" s="264"/>
      <c r="BC154" s="264"/>
    </row>
    <row r="155" spans="1:55" ht="15" customHeight="1" x14ac:dyDescent="0.15">
      <c r="A155" s="180">
        <v>42885</v>
      </c>
      <c r="B155" s="175" t="s">
        <v>36</v>
      </c>
      <c r="C155" s="176">
        <f>66941+1465</f>
        <v>68406</v>
      </c>
      <c r="D155" s="177">
        <f>24236+13804</f>
        <v>38040</v>
      </c>
      <c r="E155" s="177">
        <f>83183+24236</f>
        <v>107419</v>
      </c>
      <c r="F155" s="178">
        <v>5416</v>
      </c>
      <c r="G155" s="177">
        <v>3545</v>
      </c>
      <c r="H155" s="179"/>
      <c r="I155" s="179"/>
      <c r="J155" s="204">
        <f t="shared" si="43"/>
        <v>69379</v>
      </c>
      <c r="K155" s="177">
        <v>485</v>
      </c>
      <c r="L155" s="177">
        <v>0</v>
      </c>
      <c r="M155" s="205">
        <f t="shared" si="44"/>
        <v>488</v>
      </c>
      <c r="N155" s="206">
        <f t="shared" si="51"/>
        <v>2099910</v>
      </c>
      <c r="O155" s="209">
        <f t="shared" si="51"/>
        <v>989293</v>
      </c>
      <c r="P155" s="208">
        <f t="shared" si="51"/>
        <v>3137117</v>
      </c>
      <c r="Q155" s="225">
        <f t="shared" si="42"/>
        <v>9490614.4800000004</v>
      </c>
      <c r="R155" s="207">
        <f t="shared" si="42"/>
        <v>4734611</v>
      </c>
      <c r="S155" s="226">
        <f t="shared" si="42"/>
        <v>14454865.98</v>
      </c>
      <c r="T155" s="227">
        <f>N155/'2017'!N155-1</f>
        <v>0.13726080620082826</v>
      </c>
      <c r="U155" s="228">
        <f>O155/'2017'!O155-1</f>
        <v>0.17026098909223397</v>
      </c>
      <c r="V155" s="228">
        <f>P155/'2017'!P155-1</f>
        <v>0.13980616387962908</v>
      </c>
      <c r="W155" s="228">
        <f>Q155/'2017'!Q155-1</f>
        <v>8.5173748411251138E-2</v>
      </c>
      <c r="X155" s="228">
        <f>R155/'2017'!R155-1</f>
        <v>0.20217221294034604</v>
      </c>
      <c r="Y155" s="244">
        <f>S155/'2017'!S155-1</f>
        <v>0.11287042625142085</v>
      </c>
      <c r="Z155" s="245"/>
      <c r="AA155" s="246">
        <f t="shared" si="49"/>
        <v>949.06144800000004</v>
      </c>
      <c r="AB155" s="247"/>
      <c r="AC155" s="248"/>
      <c r="AD155" s="247">
        <f t="shared" si="45"/>
        <v>9720254.9800000004</v>
      </c>
      <c r="AE155" s="177">
        <f t="shared" si="47"/>
        <v>75626.2</v>
      </c>
      <c r="AF155" s="177">
        <f t="shared" si="52"/>
        <v>43161.64</v>
      </c>
      <c r="AG155" s="248">
        <f t="shared" si="46"/>
        <v>110852.65999999999</v>
      </c>
      <c r="AH155" s="263"/>
      <c r="AI155" s="264"/>
      <c r="AJ155" s="264"/>
      <c r="AK155" s="264"/>
      <c r="AL155" s="264"/>
      <c r="AM155" s="264"/>
      <c r="AN155" s="264"/>
      <c r="AO155" s="264"/>
      <c r="AP155" s="264"/>
      <c r="AQ155" s="264"/>
      <c r="AR155" s="264"/>
      <c r="AS155" s="264"/>
      <c r="AT155" s="264"/>
      <c r="AU155" s="264"/>
      <c r="AV155" s="264"/>
      <c r="AW155" s="264"/>
      <c r="AX155" s="264"/>
      <c r="AY155" s="264"/>
      <c r="AZ155" s="264"/>
      <c r="BA155" s="264"/>
      <c r="BB155" s="264"/>
      <c r="BC155" s="264"/>
    </row>
    <row r="156" spans="1:55" s="157" customFormat="1" ht="15" customHeight="1" x14ac:dyDescent="0.15">
      <c r="A156" s="274">
        <v>42886</v>
      </c>
      <c r="B156" s="275" t="s">
        <v>37</v>
      </c>
      <c r="C156" s="276">
        <f>63898+1440</f>
        <v>65338</v>
      </c>
      <c r="D156" s="277">
        <f>19054+13823</f>
        <v>32877</v>
      </c>
      <c r="E156" s="277">
        <f>80133+19054</f>
        <v>99187</v>
      </c>
      <c r="F156" s="278">
        <v>5057</v>
      </c>
      <c r="G156" s="277">
        <v>3498</v>
      </c>
      <c r="H156" s="279"/>
      <c r="I156" s="279"/>
      <c r="J156" s="280">
        <f t="shared" si="43"/>
        <v>66310</v>
      </c>
      <c r="K156" s="277">
        <v>580</v>
      </c>
      <c r="L156" s="277">
        <v>0</v>
      </c>
      <c r="M156" s="281">
        <f t="shared" si="44"/>
        <v>392</v>
      </c>
      <c r="N156" s="218">
        <f>[4]表2、统调口径电量!$D$10</f>
        <v>2165250.7599999998</v>
      </c>
      <c r="O156" s="222">
        <f>[4]表2、统调口径电量!$D$14</f>
        <v>1022170</v>
      </c>
      <c r="P156" s="268">
        <f>[4]表2、统调口径电量!$D$3</f>
        <v>3236304.25</v>
      </c>
      <c r="Q156" s="233">
        <f>[4]表2、统调口径电量!$I$10</f>
        <v>9556059.1799999997</v>
      </c>
      <c r="R156" s="219">
        <f>[4]表2、统调口径电量!$I$14</f>
        <v>4767488</v>
      </c>
      <c r="S156" s="234">
        <f>[4]表2、统调口径电量!$I$3</f>
        <v>14554202.57</v>
      </c>
      <c r="T156" s="282">
        <f>N156/'2017'!N156-1</f>
        <v>0.13231660149906466</v>
      </c>
      <c r="U156" s="283">
        <f>O156/'2017'!O156-1</f>
        <v>0.17185717643147447</v>
      </c>
      <c r="V156" s="283">
        <f>P156/'2017'!P156-1</f>
        <v>0.1369063634251475</v>
      </c>
      <c r="W156" s="283">
        <f>Q156/'2017'!Q156-1</f>
        <v>8.4501303323941013E-2</v>
      </c>
      <c r="X156" s="283">
        <f>R156/'2017'!R156-1</f>
        <v>0.20230682089857877</v>
      </c>
      <c r="Y156" s="284">
        <f>S156/'2017'!S156-1</f>
        <v>0.11244497977711787</v>
      </c>
      <c r="Z156" s="285">
        <f>[4]表2、统调口径电量!$I$12/10000</f>
        <v>44.996718999999999</v>
      </c>
      <c r="AA156" s="286">
        <f>[4]表2、统调口径电量!$I$11/10000</f>
        <v>910.58214299999997</v>
      </c>
      <c r="AB156" s="287">
        <v>4283.88</v>
      </c>
      <c r="AC156" s="281">
        <f t="shared" si="50"/>
        <v>2125.6014244096473</v>
      </c>
      <c r="AD156" s="287">
        <f>[4]表2、统调口径电量!$I$4</f>
        <v>9786714.5700000003</v>
      </c>
      <c r="AE156" s="277">
        <f>[4]表2、统调口径电量!$I$13</f>
        <v>76209.22</v>
      </c>
      <c r="AF156" s="277">
        <f>[4]表2、统调口径电量!$I$15</f>
        <v>43161.64</v>
      </c>
      <c r="AG156" s="281">
        <f>[4]表2、统调口径电量!$I$16+[4]表2、统调口径电量!$I$17</f>
        <v>111284.53</v>
      </c>
      <c r="AH156" s="263"/>
      <c r="AI156" s="264"/>
      <c r="AJ156" s="264"/>
      <c r="AK156" s="264"/>
      <c r="AL156" s="264"/>
      <c r="AM156" s="264"/>
      <c r="AN156" s="264"/>
      <c r="AO156" s="264"/>
      <c r="AP156" s="264"/>
      <c r="AQ156" s="264"/>
      <c r="AR156" s="264"/>
      <c r="AS156" s="264"/>
      <c r="AT156" s="264"/>
      <c r="AU156" s="264"/>
      <c r="AV156" s="264"/>
      <c r="AW156" s="264"/>
      <c r="AX156" s="264"/>
      <c r="AY156" s="264"/>
      <c r="AZ156" s="264"/>
      <c r="BA156" s="264"/>
      <c r="BB156" s="264"/>
      <c r="BC156" s="264"/>
    </row>
    <row r="157" spans="1:55" ht="15" customHeight="1" x14ac:dyDescent="0.15">
      <c r="A157" s="180">
        <v>42887</v>
      </c>
      <c r="B157" s="175" t="s">
        <v>38</v>
      </c>
      <c r="C157" s="176">
        <v>52206</v>
      </c>
      <c r="D157" s="177">
        <f>27655+11298</f>
        <v>38953</v>
      </c>
      <c r="E157" s="177">
        <v>92662</v>
      </c>
      <c r="F157" s="178">
        <v>4456.7</v>
      </c>
      <c r="G157" s="177">
        <v>3172.2</v>
      </c>
      <c r="H157" s="179"/>
      <c r="I157" s="179"/>
      <c r="J157" s="204">
        <f t="shared" si="43"/>
        <v>53709</v>
      </c>
      <c r="K157" s="177">
        <v>464</v>
      </c>
      <c r="L157" s="177">
        <v>0</v>
      </c>
      <c r="M157" s="205">
        <f t="shared" si="44"/>
        <v>1039</v>
      </c>
      <c r="N157" s="206">
        <f>C157</f>
        <v>52206</v>
      </c>
      <c r="O157" s="209">
        <f>D157</f>
        <v>38953</v>
      </c>
      <c r="P157" s="208">
        <f>E157</f>
        <v>92662</v>
      </c>
      <c r="Q157" s="225">
        <f>Q$156+N157</f>
        <v>9608265.1799999997</v>
      </c>
      <c r="R157" s="207">
        <f>R$156+O157</f>
        <v>4806441</v>
      </c>
      <c r="S157" s="226">
        <f>S$156+P157</f>
        <v>14646864.57</v>
      </c>
      <c r="T157" s="227">
        <f>N157/'2017'!N157-1</f>
        <v>-0.22307875468777905</v>
      </c>
      <c r="U157" s="228">
        <f>O157/'2017'!O157-1</f>
        <v>0.26503637308391781</v>
      </c>
      <c r="V157" s="228">
        <f>P157/'2017'!P157-1</f>
        <v>-6.8292879119995153E-2</v>
      </c>
      <c r="W157" s="228">
        <f>Q157/'2017'!Q157-1</f>
        <v>8.2173461351461086E-2</v>
      </c>
      <c r="X157" s="228">
        <f>R157/'2017'!R157-1</f>
        <v>0.2027901871736173</v>
      </c>
      <c r="Y157" s="244">
        <f>S157/'2017'!S157-1</f>
        <v>0.11108142493710282</v>
      </c>
      <c r="Z157" s="245"/>
      <c r="AA157" s="246">
        <f t="shared" si="49"/>
        <v>960.82651799999996</v>
      </c>
      <c r="AB157" s="247"/>
      <c r="AC157" s="248"/>
      <c r="AD157" s="247">
        <f t="shared" si="45"/>
        <v>9840423.5700000003</v>
      </c>
      <c r="AE157" s="177">
        <f t="shared" si="47"/>
        <v>76673.22</v>
      </c>
      <c r="AF157" s="177">
        <f t="shared" si="52"/>
        <v>43161.64</v>
      </c>
      <c r="AG157" s="248">
        <f t="shared" si="46"/>
        <v>112323.5300000006</v>
      </c>
      <c r="AH157" s="263"/>
      <c r="AI157" s="264"/>
      <c r="AJ157" s="264"/>
      <c r="AK157" s="264"/>
      <c r="AL157" s="264"/>
      <c r="AM157" s="264"/>
      <c r="AN157" s="264"/>
      <c r="AO157" s="264"/>
      <c r="AP157" s="264"/>
      <c r="AQ157" s="264"/>
      <c r="AR157" s="264"/>
      <c r="AS157" s="264"/>
      <c r="AT157" s="264"/>
      <c r="AU157" s="264"/>
      <c r="AV157" s="264"/>
      <c r="AW157" s="264"/>
      <c r="AX157" s="264"/>
      <c r="AY157" s="264"/>
      <c r="AZ157" s="264"/>
      <c r="BA157" s="264"/>
      <c r="BB157" s="264"/>
      <c r="BC157" s="264"/>
    </row>
    <row r="158" spans="1:55" ht="15" customHeight="1" x14ac:dyDescent="0.15">
      <c r="A158" s="180">
        <v>42888</v>
      </c>
      <c r="B158" s="175" t="s">
        <v>39</v>
      </c>
      <c r="C158" s="176">
        <v>59861</v>
      </c>
      <c r="D158" s="177">
        <f>23948+10806</f>
        <v>34754</v>
      </c>
      <c r="E158" s="177">
        <v>95682</v>
      </c>
      <c r="F158" s="178">
        <v>4766.8999999999996</v>
      </c>
      <c r="G158" s="177">
        <v>3193.3</v>
      </c>
      <c r="H158" s="179"/>
      <c r="I158" s="179"/>
      <c r="J158" s="204">
        <f t="shared" si="43"/>
        <v>60928</v>
      </c>
      <c r="K158" s="177">
        <v>389</v>
      </c>
      <c r="L158" s="177">
        <v>0</v>
      </c>
      <c r="M158" s="205">
        <f t="shared" si="44"/>
        <v>678</v>
      </c>
      <c r="N158" s="206">
        <f t="shared" ref="N158:P173" si="53">N157+C158</f>
        <v>112067</v>
      </c>
      <c r="O158" s="209">
        <f t="shared" si="53"/>
        <v>73707</v>
      </c>
      <c r="P158" s="208">
        <f t="shared" si="53"/>
        <v>188344</v>
      </c>
      <c r="Q158" s="225">
        <f t="shared" ref="Q158:S185" si="54">Q$156+N158</f>
        <v>9668126.1799999997</v>
      </c>
      <c r="R158" s="207">
        <f t="shared" si="54"/>
        <v>4841195</v>
      </c>
      <c r="S158" s="226">
        <f t="shared" si="54"/>
        <v>14742546.57</v>
      </c>
      <c r="T158" s="227">
        <f>N158/'2017'!N158-1</f>
        <v>-0.16251662755765461</v>
      </c>
      <c r="U158" s="228">
        <f>O158/'2017'!O158-1</f>
        <v>0.17493185404810863</v>
      </c>
      <c r="V158" s="228">
        <f>P158/'2017'!P158-1</f>
        <v>-5.632659605383139E-2</v>
      </c>
      <c r="W158" s="228">
        <f>Q158/'2017'!Q158-1</f>
        <v>8.0806123997416934E-2</v>
      </c>
      <c r="X158" s="228">
        <f>R158/'2017'!R158-1</f>
        <v>0.20188047865736425</v>
      </c>
      <c r="Y158" s="244">
        <f>S158/'2017'!S158-1</f>
        <v>0.10990900898095091</v>
      </c>
      <c r="Z158" s="245"/>
      <c r="AA158" s="246">
        <f t="shared" si="49"/>
        <v>966.81261799999993</v>
      </c>
      <c r="AB158" s="247"/>
      <c r="AC158" s="248"/>
      <c r="AD158" s="247">
        <f t="shared" si="45"/>
        <v>9901351.5700000003</v>
      </c>
      <c r="AE158" s="177">
        <f t="shared" si="47"/>
        <v>77062.22</v>
      </c>
      <c r="AF158" s="177">
        <f t="shared" si="52"/>
        <v>43161.64</v>
      </c>
      <c r="AG158" s="248">
        <f t="shared" si="46"/>
        <v>113001.5300000006</v>
      </c>
      <c r="AH158" s="263"/>
      <c r="AI158" s="264"/>
      <c r="AJ158" s="264"/>
      <c r="AK158" s="264"/>
      <c r="AL158" s="264"/>
      <c r="AM158" s="264"/>
      <c r="AN158" s="264"/>
      <c r="AO158" s="264"/>
      <c r="AP158" s="264"/>
      <c r="AQ158" s="264"/>
      <c r="AR158" s="264"/>
      <c r="AS158" s="264"/>
      <c r="AT158" s="264"/>
      <c r="AU158" s="264"/>
      <c r="AV158" s="264"/>
      <c r="AW158" s="264"/>
      <c r="AX158" s="264"/>
      <c r="AY158" s="264"/>
      <c r="AZ158" s="264"/>
      <c r="BA158" s="264"/>
      <c r="BB158" s="264"/>
      <c r="BC158" s="264"/>
    </row>
    <row r="159" spans="1:55" ht="15" customHeight="1" x14ac:dyDescent="0.15">
      <c r="A159" s="180">
        <v>42889</v>
      </c>
      <c r="B159" s="175" t="s">
        <v>1</v>
      </c>
      <c r="C159" s="176">
        <v>65648</v>
      </c>
      <c r="D159" s="177">
        <f>15790+10694</f>
        <v>26484</v>
      </c>
      <c r="E159" s="177">
        <v>93073</v>
      </c>
      <c r="F159" s="178">
        <v>4526.5</v>
      </c>
      <c r="G159" s="177">
        <v>3284.1</v>
      </c>
      <c r="H159" s="179"/>
      <c r="I159" s="179"/>
      <c r="J159" s="204">
        <f t="shared" si="43"/>
        <v>66589</v>
      </c>
      <c r="K159" s="177">
        <v>459</v>
      </c>
      <c r="L159" s="177">
        <v>0</v>
      </c>
      <c r="M159" s="205">
        <f t="shared" si="44"/>
        <v>482</v>
      </c>
      <c r="N159" s="206">
        <f t="shared" si="53"/>
        <v>177715</v>
      </c>
      <c r="O159" s="209">
        <f t="shared" si="53"/>
        <v>100191</v>
      </c>
      <c r="P159" s="208">
        <f t="shared" si="53"/>
        <v>281417</v>
      </c>
      <c r="Q159" s="225">
        <f t="shared" si="54"/>
        <v>9733774.1799999997</v>
      </c>
      <c r="R159" s="207">
        <f t="shared" si="54"/>
        <v>4867679</v>
      </c>
      <c r="S159" s="226">
        <f t="shared" si="54"/>
        <v>14835619.57</v>
      </c>
      <c r="T159" s="227">
        <f>N159/'2017'!N159-1</f>
        <v>-0.107224491231243</v>
      </c>
      <c r="U159" s="228">
        <f>O159/'2017'!O159-1</f>
        <v>6.5657640026377972E-2</v>
      </c>
      <c r="V159" s="228">
        <f>P159/'2017'!P159-1</f>
        <v>-5.4699178034336438E-2</v>
      </c>
      <c r="W159" s="228">
        <f>Q159/'2017'!Q159-1</f>
        <v>8.0265734933204547E-2</v>
      </c>
      <c r="X159" s="228">
        <f>R159/'2017'!R159-1</f>
        <v>0.19914187217408319</v>
      </c>
      <c r="Y159" s="244">
        <f>S159/'2017'!S159-1</f>
        <v>0.10872628827347186</v>
      </c>
      <c r="Z159" s="245"/>
      <c r="AA159" s="246">
        <f t="shared" si="49"/>
        <v>973.37741799999992</v>
      </c>
      <c r="AB159" s="247"/>
      <c r="AC159" s="248"/>
      <c r="AD159" s="247">
        <f t="shared" si="45"/>
        <v>9967940.5700000003</v>
      </c>
      <c r="AE159" s="177">
        <f t="shared" si="47"/>
        <v>77521.22</v>
      </c>
      <c r="AF159" s="177">
        <f t="shared" si="52"/>
        <v>43161.64</v>
      </c>
      <c r="AG159" s="248">
        <f t="shared" si="46"/>
        <v>113483.5300000006</v>
      </c>
      <c r="AH159" s="263"/>
      <c r="AI159" s="264"/>
      <c r="AJ159" s="264"/>
      <c r="AK159" s="264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264"/>
    </row>
    <row r="160" spans="1:55" ht="15" customHeight="1" x14ac:dyDescent="0.15">
      <c r="A160" s="180">
        <v>42890</v>
      </c>
      <c r="B160" s="175" t="s">
        <v>34</v>
      </c>
      <c r="C160" s="176">
        <v>67268</v>
      </c>
      <c r="D160" s="177">
        <f>20155+11109</f>
        <v>31264</v>
      </c>
      <c r="E160" s="177">
        <v>100313</v>
      </c>
      <c r="F160" s="178">
        <v>4972.8</v>
      </c>
      <c r="G160" s="177">
        <v>3220</v>
      </c>
      <c r="H160" s="179"/>
      <c r="I160" s="179"/>
      <c r="J160" s="204">
        <f t="shared" si="43"/>
        <v>69049</v>
      </c>
      <c r="K160" s="177">
        <v>1100</v>
      </c>
      <c r="L160" s="177">
        <v>0</v>
      </c>
      <c r="M160" s="205">
        <f t="shared" si="44"/>
        <v>681</v>
      </c>
      <c r="N160" s="206">
        <f t="shared" si="53"/>
        <v>244983</v>
      </c>
      <c r="O160" s="209">
        <f t="shared" si="53"/>
        <v>131455</v>
      </c>
      <c r="P160" s="208">
        <f t="shared" si="53"/>
        <v>381730</v>
      </c>
      <c r="Q160" s="225">
        <f t="shared" si="54"/>
        <v>9801042.1799999997</v>
      </c>
      <c r="R160" s="207">
        <f t="shared" si="54"/>
        <v>4898943</v>
      </c>
      <c r="S160" s="226">
        <f t="shared" si="54"/>
        <v>14935932.57</v>
      </c>
      <c r="T160" s="227">
        <f>N160/'2017'!N160-1</f>
        <v>-4.1068597710147814E-2</v>
      </c>
      <c r="U160" s="228">
        <f>O160/'2017'!O160-1</f>
        <v>2.9404855129208984E-2</v>
      </c>
      <c r="V160" s="228">
        <f>P160/'2017'!P160-1</f>
        <v>-1.977752213480144E-2</v>
      </c>
      <c r="W160" s="228">
        <f>Q160/'2017'!Q160-1</f>
        <v>8.0963182953895485E-2</v>
      </c>
      <c r="X160" s="228">
        <f>R160/'2017'!R160-1</f>
        <v>0.19691232606821818</v>
      </c>
      <c r="Y160" s="244">
        <f>S160/'2017'!S160-1</f>
        <v>0.10862299858778246</v>
      </c>
      <c r="Z160" s="245"/>
      <c r="AA160" s="246">
        <f t="shared" si="49"/>
        <v>980.10421799999995</v>
      </c>
      <c r="AB160" s="247"/>
      <c r="AC160" s="248"/>
      <c r="AD160" s="247">
        <f t="shared" si="45"/>
        <v>10036989.57</v>
      </c>
      <c r="AE160" s="177">
        <f t="shared" si="47"/>
        <v>78621.22</v>
      </c>
      <c r="AF160" s="177">
        <f t="shared" si="52"/>
        <v>43161.64</v>
      </c>
      <c r="AG160" s="248">
        <f t="shared" si="46"/>
        <v>114164.5300000006</v>
      </c>
      <c r="AH160" s="263"/>
      <c r="AI160" s="264"/>
      <c r="AJ160" s="264"/>
      <c r="AK160" s="264"/>
      <c r="AL160" s="264"/>
      <c r="AM160" s="264"/>
      <c r="AN160" s="264"/>
      <c r="AO160" s="264"/>
      <c r="AP160" s="264"/>
      <c r="AQ160" s="264"/>
      <c r="AR160" s="264"/>
      <c r="AS160" s="264"/>
      <c r="AT160" s="264"/>
      <c r="AU160" s="264"/>
      <c r="AV160" s="264"/>
      <c r="AW160" s="264"/>
      <c r="AX160" s="264"/>
      <c r="AY160" s="264"/>
      <c r="AZ160" s="264"/>
      <c r="BA160" s="264"/>
      <c r="BB160" s="264"/>
      <c r="BC160" s="264"/>
    </row>
    <row r="161" spans="1:55" ht="15" customHeight="1" x14ac:dyDescent="0.15">
      <c r="A161" s="180">
        <v>42891</v>
      </c>
      <c r="B161" s="175" t="s">
        <v>35</v>
      </c>
      <c r="C161" s="176">
        <v>63444</v>
      </c>
      <c r="D161" s="177">
        <f>25185+11491</f>
        <v>36676</v>
      </c>
      <c r="E161" s="177">
        <v>101293</v>
      </c>
      <c r="F161" s="178">
        <v>5040.8</v>
      </c>
      <c r="G161" s="177">
        <v>3447.7</v>
      </c>
      <c r="H161" s="179"/>
      <c r="I161" s="179"/>
      <c r="J161" s="204">
        <f t="shared" si="43"/>
        <v>64617</v>
      </c>
      <c r="K161" s="177">
        <v>784</v>
      </c>
      <c r="L161" s="177">
        <v>0</v>
      </c>
      <c r="M161" s="205">
        <f t="shared" si="44"/>
        <v>389</v>
      </c>
      <c r="N161" s="206">
        <f t="shared" si="53"/>
        <v>308427</v>
      </c>
      <c r="O161" s="209">
        <f t="shared" si="53"/>
        <v>168131</v>
      </c>
      <c r="P161" s="208">
        <f t="shared" si="53"/>
        <v>483023</v>
      </c>
      <c r="Q161" s="225">
        <f t="shared" si="54"/>
        <v>9864486.1799999997</v>
      </c>
      <c r="R161" s="207">
        <f t="shared" si="54"/>
        <v>4935619</v>
      </c>
      <c r="S161" s="226">
        <f t="shared" si="54"/>
        <v>15037225.57</v>
      </c>
      <c r="T161" s="227">
        <f>N161/'2017'!N161-1</f>
        <v>-9.0953485532901945E-3</v>
      </c>
      <c r="U161" s="228">
        <f>O161/'2017'!O161-1</f>
        <v>3.465230769230776E-2</v>
      </c>
      <c r="V161" s="228">
        <f>P161/'2017'!P161-1</f>
        <v>1.2976863454789989E-3</v>
      </c>
      <c r="W161" s="228">
        <f>Q161/'2017'!Q161-1</f>
        <v>8.1307885554883885E-2</v>
      </c>
      <c r="X161" s="228">
        <f>R161/'2017'!R161-1</f>
        <v>0.1957067036453457</v>
      </c>
      <c r="Y161" s="244">
        <f>S161/'2017'!S161-1</f>
        <v>0.10849251017634121</v>
      </c>
      <c r="Z161" s="245"/>
      <c r="AA161" s="246">
        <f t="shared" si="49"/>
        <v>986.44861800000001</v>
      </c>
      <c r="AB161" s="247"/>
      <c r="AC161" s="248"/>
      <c r="AD161" s="247">
        <f t="shared" si="45"/>
        <v>10101606.57</v>
      </c>
      <c r="AE161" s="177">
        <f t="shared" si="47"/>
        <v>79405.22</v>
      </c>
      <c r="AF161" s="177">
        <f t="shared" si="52"/>
        <v>43161.64</v>
      </c>
      <c r="AG161" s="248">
        <f t="shared" si="46"/>
        <v>114553.5300000006</v>
      </c>
      <c r="AH161" s="263"/>
      <c r="AI161" s="264"/>
      <c r="AJ161" s="264"/>
      <c r="AK161" s="264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264"/>
    </row>
    <row r="162" spans="1:55" ht="15" customHeight="1" x14ac:dyDescent="0.15">
      <c r="A162" s="180">
        <v>42892</v>
      </c>
      <c r="B162" s="175" t="s">
        <v>36</v>
      </c>
      <c r="C162" s="176">
        <v>64271</v>
      </c>
      <c r="D162" s="177">
        <f>22437+11486</f>
        <v>33923</v>
      </c>
      <c r="E162" s="177">
        <v>99810</v>
      </c>
      <c r="F162" s="178">
        <v>4946.8999999999996</v>
      </c>
      <c r="G162" s="177">
        <v>3276</v>
      </c>
      <c r="H162" s="179"/>
      <c r="I162" s="179"/>
      <c r="J162" s="204">
        <f t="shared" si="43"/>
        <v>65887</v>
      </c>
      <c r="K162" s="177">
        <v>919</v>
      </c>
      <c r="L162" s="177">
        <v>0</v>
      </c>
      <c r="M162" s="205">
        <f t="shared" si="44"/>
        <v>697</v>
      </c>
      <c r="N162" s="206">
        <f t="shared" si="53"/>
        <v>372698</v>
      </c>
      <c r="O162" s="209">
        <f t="shared" si="53"/>
        <v>202054</v>
      </c>
      <c r="P162" s="208">
        <f t="shared" si="53"/>
        <v>582833</v>
      </c>
      <c r="Q162" s="225">
        <f t="shared" si="54"/>
        <v>9928757.1799999997</v>
      </c>
      <c r="R162" s="207">
        <f t="shared" si="54"/>
        <v>4969542</v>
      </c>
      <c r="S162" s="226">
        <f t="shared" si="54"/>
        <v>15137035.57</v>
      </c>
      <c r="T162" s="227">
        <f>N162/'2017'!N162-1</f>
        <v>6.7585819403774838E-3</v>
      </c>
      <c r="U162" s="228">
        <f>O162/'2017'!O162-1</f>
        <v>1.4581973386894376E-2</v>
      </c>
      <c r="V162" s="228">
        <f>P162/'2017'!P162-1</f>
        <v>5.4565528662859908E-3</v>
      </c>
      <c r="W162" s="228">
        <f>Q162/'2017'!Q162-1</f>
        <v>8.1366793750902389E-2</v>
      </c>
      <c r="X162" s="228">
        <f>R162/'2017'!R162-1</f>
        <v>0.19332951368661377</v>
      </c>
      <c r="Y162" s="244">
        <f>S162/'2017'!S162-1</f>
        <v>0.1079057766049345</v>
      </c>
      <c r="Z162" s="245"/>
      <c r="AA162" s="246">
        <f t="shared" si="49"/>
        <v>992.87571800000001</v>
      </c>
      <c r="AB162" s="247"/>
      <c r="AC162" s="248"/>
      <c r="AD162" s="247">
        <f t="shared" si="45"/>
        <v>10167493.57</v>
      </c>
      <c r="AE162" s="177">
        <f t="shared" si="47"/>
        <v>80324.22</v>
      </c>
      <c r="AF162" s="177">
        <f t="shared" si="52"/>
        <v>43161.64</v>
      </c>
      <c r="AG162" s="248">
        <f t="shared" si="46"/>
        <v>115250.5300000006</v>
      </c>
      <c r="AH162" s="263"/>
      <c r="AI162" s="264"/>
      <c r="AJ162" s="264"/>
      <c r="AK162" s="264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264"/>
    </row>
    <row r="163" spans="1:55" s="157" customFormat="1" ht="15" customHeight="1" x14ac:dyDescent="0.15">
      <c r="A163" s="181">
        <v>42893</v>
      </c>
      <c r="B163" s="182" t="s">
        <v>37</v>
      </c>
      <c r="C163" s="183">
        <f>60099+4137</f>
        <v>64236</v>
      </c>
      <c r="D163" s="184">
        <f>20839+15339</f>
        <v>36178</v>
      </c>
      <c r="E163" s="184">
        <f>81858+20839</f>
        <v>102697</v>
      </c>
      <c r="F163" s="185">
        <v>5069</v>
      </c>
      <c r="G163" s="184">
        <v>3351</v>
      </c>
      <c r="H163" s="186"/>
      <c r="I163" s="186"/>
      <c r="J163" s="210">
        <f t="shared" si="43"/>
        <v>66519</v>
      </c>
      <c r="K163" s="184">
        <v>1422</v>
      </c>
      <c r="L163" s="184">
        <v>0</v>
      </c>
      <c r="M163" s="211">
        <f t="shared" si="44"/>
        <v>861</v>
      </c>
      <c r="N163" s="212">
        <f t="shared" si="53"/>
        <v>436934</v>
      </c>
      <c r="O163" s="215">
        <f t="shared" si="53"/>
        <v>238232</v>
      </c>
      <c r="P163" s="214">
        <f t="shared" si="53"/>
        <v>685530</v>
      </c>
      <c r="Q163" s="229">
        <f t="shared" si="54"/>
        <v>9992993.1799999997</v>
      </c>
      <c r="R163" s="213">
        <f t="shared" si="54"/>
        <v>5005720</v>
      </c>
      <c r="S163" s="230">
        <f t="shared" si="54"/>
        <v>15239732.57</v>
      </c>
      <c r="T163" s="231">
        <f>N163/'2017'!N163-1</f>
        <v>1.4860545924150426E-2</v>
      </c>
      <c r="U163" s="232">
        <f>O163/'2017'!O163-1</f>
        <v>1.5048998721772566E-2</v>
      </c>
      <c r="V163" s="232">
        <f>P163/'2017'!P163-1</f>
        <v>1.2323072720157757E-2</v>
      </c>
      <c r="W163" s="232">
        <f>Q163/'2017'!Q163-1</f>
        <v>8.1257112857249458E-2</v>
      </c>
      <c r="X163" s="232">
        <f>R163/'2017'!R163-1</f>
        <v>0.19184263559099279</v>
      </c>
      <c r="Y163" s="249">
        <f>S163/'2017'!S163-1</f>
        <v>0.1075176711989243</v>
      </c>
      <c r="Z163" s="250">
        <v>46.81</v>
      </c>
      <c r="AA163" s="251">
        <f t="shared" si="49"/>
        <v>952.48931799999991</v>
      </c>
      <c r="AB163" s="252">
        <v>4283.88</v>
      </c>
      <c r="AC163" s="211">
        <f t="shared" si="50"/>
        <v>2223.4267019617728</v>
      </c>
      <c r="AD163" s="252">
        <f t="shared" si="45"/>
        <v>10234012.57</v>
      </c>
      <c r="AE163" s="184">
        <f t="shared" si="47"/>
        <v>81746.22</v>
      </c>
      <c r="AF163" s="184">
        <f t="shared" si="52"/>
        <v>43161.64</v>
      </c>
      <c r="AG163" s="211">
        <f t="shared" si="46"/>
        <v>116111.5300000006</v>
      </c>
      <c r="AH163" s="263"/>
      <c r="AI163" s="264"/>
      <c r="AJ163" s="264"/>
      <c r="AK163" s="264"/>
      <c r="AL163" s="264"/>
      <c r="AM163" s="264"/>
      <c r="AN163" s="264"/>
      <c r="AO163" s="264"/>
      <c r="AP163" s="264"/>
      <c r="AQ163" s="264"/>
      <c r="AR163" s="264"/>
      <c r="AS163" s="264"/>
      <c r="AT163" s="264"/>
      <c r="AU163" s="264"/>
      <c r="AV163" s="264"/>
      <c r="AW163" s="264"/>
      <c r="AX163" s="264"/>
      <c r="AY163" s="264"/>
      <c r="AZ163" s="264"/>
      <c r="BA163" s="264"/>
      <c r="BB163" s="264"/>
      <c r="BC163" s="264"/>
    </row>
    <row r="164" spans="1:55" ht="15" customHeight="1" x14ac:dyDescent="0.15">
      <c r="A164" s="180">
        <v>42894</v>
      </c>
      <c r="B164" s="175" t="s">
        <v>38</v>
      </c>
      <c r="C164" s="176">
        <v>65984</v>
      </c>
      <c r="D164" s="177">
        <f>24759+11639</f>
        <v>36398</v>
      </c>
      <c r="E164" s="177">
        <v>105014</v>
      </c>
      <c r="F164" s="178">
        <v>5247.7</v>
      </c>
      <c r="G164" s="177">
        <v>3449.7</v>
      </c>
      <c r="H164" s="179"/>
      <c r="I164" s="179"/>
      <c r="J164" s="204">
        <f t="shared" si="43"/>
        <v>68616</v>
      </c>
      <c r="K164" s="177">
        <v>1978</v>
      </c>
      <c r="L164" s="177">
        <v>0</v>
      </c>
      <c r="M164" s="205">
        <f t="shared" si="44"/>
        <v>654</v>
      </c>
      <c r="N164" s="206">
        <f t="shared" si="53"/>
        <v>502918</v>
      </c>
      <c r="O164" s="209">
        <f t="shared" si="53"/>
        <v>274630</v>
      </c>
      <c r="P164" s="208">
        <f t="shared" si="53"/>
        <v>790544</v>
      </c>
      <c r="Q164" s="225">
        <f t="shared" si="54"/>
        <v>10058977.18</v>
      </c>
      <c r="R164" s="207">
        <f t="shared" si="54"/>
        <v>5042118</v>
      </c>
      <c r="S164" s="226">
        <f t="shared" si="54"/>
        <v>15344746.57</v>
      </c>
      <c r="T164" s="227">
        <f>N164/'2017'!N164-1</f>
        <v>2.5990558531798547E-2</v>
      </c>
      <c r="U164" s="228">
        <f>O164/'2017'!O164-1</f>
        <v>7.2509746821050047E-3</v>
      </c>
      <c r="V164" s="228">
        <f>P164/'2017'!P164-1</f>
        <v>1.7970918942862957E-2</v>
      </c>
      <c r="W164" s="228">
        <f>Q164/'2017'!Q164-1</f>
        <v>8.1417908236471215E-2</v>
      </c>
      <c r="X164" s="228">
        <f>R164/'2017'!R164-1</f>
        <v>0.18975765803031042</v>
      </c>
      <c r="Y164" s="244">
        <f>S164/'2017'!S164-1</f>
        <v>0.10715138678151637</v>
      </c>
      <c r="Z164" s="245"/>
      <c r="AA164" s="246">
        <f t="shared" si="49"/>
        <v>1005.8977179999999</v>
      </c>
      <c r="AB164" s="247"/>
      <c r="AC164" s="248"/>
      <c r="AD164" s="247">
        <f t="shared" si="45"/>
        <v>10302628.57</v>
      </c>
      <c r="AE164" s="177">
        <f t="shared" si="47"/>
        <v>83724.22</v>
      </c>
      <c r="AF164" s="177">
        <f t="shared" si="52"/>
        <v>43161.64</v>
      </c>
      <c r="AG164" s="248">
        <f t="shared" si="46"/>
        <v>116765.5300000006</v>
      </c>
      <c r="AH164" s="263"/>
      <c r="AI164" s="264"/>
      <c r="AJ164" s="264"/>
      <c r="AK164" s="264"/>
      <c r="AL164" s="264"/>
      <c r="AM164" s="264"/>
      <c r="AN164" s="264"/>
      <c r="AO164" s="264"/>
      <c r="AP164" s="264"/>
      <c r="AQ164" s="264"/>
      <c r="AR164" s="264"/>
      <c r="AS164" s="264"/>
      <c r="AT164" s="264"/>
      <c r="AU164" s="264"/>
      <c r="AV164" s="264"/>
      <c r="AW164" s="264"/>
      <c r="AX164" s="264"/>
      <c r="AY164" s="264"/>
      <c r="AZ164" s="264"/>
      <c r="BA164" s="264"/>
      <c r="BB164" s="264"/>
      <c r="BC164" s="264"/>
    </row>
    <row r="165" spans="1:55" ht="15" customHeight="1" x14ac:dyDescent="0.15">
      <c r="A165" s="180">
        <v>42895</v>
      </c>
      <c r="B165" s="175" t="s">
        <v>39</v>
      </c>
      <c r="C165" s="176">
        <v>64056</v>
      </c>
      <c r="D165" s="177">
        <f>24922+11876</f>
        <v>36798</v>
      </c>
      <c r="E165" s="177">
        <v>103566</v>
      </c>
      <c r="F165" s="178">
        <v>5089.8999999999996</v>
      </c>
      <c r="G165" s="177">
        <v>3484.9</v>
      </c>
      <c r="H165" s="179"/>
      <c r="I165" s="179"/>
      <c r="J165" s="204">
        <f t="shared" si="43"/>
        <v>66768</v>
      </c>
      <c r="K165" s="177">
        <v>2024</v>
      </c>
      <c r="L165" s="177">
        <v>0</v>
      </c>
      <c r="M165" s="205">
        <f t="shared" si="44"/>
        <v>688</v>
      </c>
      <c r="N165" s="206">
        <f t="shared" si="53"/>
        <v>566974</v>
      </c>
      <c r="O165" s="209">
        <f t="shared" si="53"/>
        <v>311428</v>
      </c>
      <c r="P165" s="208">
        <f t="shared" si="53"/>
        <v>894110</v>
      </c>
      <c r="Q165" s="225">
        <f t="shared" si="54"/>
        <v>10123033.18</v>
      </c>
      <c r="R165" s="207">
        <f t="shared" si="54"/>
        <v>5078916</v>
      </c>
      <c r="S165" s="226">
        <f t="shared" si="54"/>
        <v>15448312.57</v>
      </c>
      <c r="T165" s="227">
        <f>N165/'2017'!N165-1</f>
        <v>1.4277459646185209E-2</v>
      </c>
      <c r="U165" s="228">
        <f>O165/'2017'!O165-1</f>
        <v>3.2572512300897971E-2</v>
      </c>
      <c r="V165" s="228">
        <f>P165/'2017'!P165-1</f>
        <v>2.0097091255512067E-2</v>
      </c>
      <c r="W165" s="228">
        <f>Q165/'2017'!Q165-1</f>
        <v>8.031211819087658E-2</v>
      </c>
      <c r="X165" s="228">
        <f>R165/'2017'!R165-1</f>
        <v>0.19030919021075787</v>
      </c>
      <c r="Y165" s="244">
        <f>S165/'2017'!S165-1</f>
        <v>0.1066466310523706</v>
      </c>
      <c r="Z165" s="245"/>
      <c r="AA165" s="246">
        <f t="shared" si="49"/>
        <v>1012.303318</v>
      </c>
      <c r="AB165" s="247"/>
      <c r="AC165" s="248"/>
      <c r="AD165" s="247">
        <f t="shared" si="45"/>
        <v>10369396.57</v>
      </c>
      <c r="AE165" s="177">
        <f t="shared" si="47"/>
        <v>85748.22</v>
      </c>
      <c r="AF165" s="177">
        <f t="shared" si="52"/>
        <v>43161.64</v>
      </c>
      <c r="AG165" s="248">
        <f t="shared" si="46"/>
        <v>117453.5300000006</v>
      </c>
      <c r="AH165" s="263"/>
      <c r="AI165" s="264"/>
      <c r="AJ165" s="264"/>
      <c r="AK165" s="264"/>
      <c r="AL165" s="264"/>
      <c r="AM165" s="264"/>
      <c r="AN165" s="264"/>
      <c r="AO165" s="264"/>
      <c r="AP165" s="264"/>
      <c r="AQ165" s="264"/>
      <c r="AR165" s="264"/>
      <c r="AS165" s="264"/>
      <c r="AT165" s="264"/>
      <c r="AU165" s="264"/>
      <c r="AV165" s="264"/>
      <c r="AW165" s="264"/>
      <c r="AX165" s="264"/>
      <c r="AY165" s="264"/>
      <c r="AZ165" s="264"/>
      <c r="BA165" s="264"/>
      <c r="BB165" s="264"/>
      <c r="BC165" s="264"/>
    </row>
    <row r="166" spans="1:55" ht="15" customHeight="1" x14ac:dyDescent="0.15">
      <c r="A166" s="180">
        <v>42896</v>
      </c>
      <c r="B166" s="175" t="s">
        <v>1</v>
      </c>
      <c r="C166" s="176">
        <v>59080</v>
      </c>
      <c r="D166" s="177">
        <f>23538+11412</f>
        <v>34950</v>
      </c>
      <c r="E166" s="177">
        <v>96274</v>
      </c>
      <c r="F166" s="178">
        <v>4740.8</v>
      </c>
      <c r="G166" s="177">
        <v>3451.4</v>
      </c>
      <c r="H166" s="179"/>
      <c r="I166" s="179"/>
      <c r="J166" s="204">
        <f t="shared" si="43"/>
        <v>61324</v>
      </c>
      <c r="K166" s="177">
        <v>1868</v>
      </c>
      <c r="L166" s="177">
        <v>0</v>
      </c>
      <c r="M166" s="205">
        <f t="shared" si="44"/>
        <v>376</v>
      </c>
      <c r="N166" s="206">
        <f t="shared" si="53"/>
        <v>626054</v>
      </c>
      <c r="O166" s="209">
        <f t="shared" si="53"/>
        <v>346378</v>
      </c>
      <c r="P166" s="208">
        <f t="shared" si="53"/>
        <v>990384</v>
      </c>
      <c r="Q166" s="225">
        <f t="shared" si="54"/>
        <v>10182113.18</v>
      </c>
      <c r="R166" s="207">
        <f t="shared" si="54"/>
        <v>5113866</v>
      </c>
      <c r="S166" s="226">
        <f t="shared" si="54"/>
        <v>15544586.57</v>
      </c>
      <c r="T166" s="227">
        <f>N166/'2017'!N166-1</f>
        <v>-3.0447508304589643E-3</v>
      </c>
      <c r="U166" s="228">
        <f>O166/'2017'!O166-1</f>
        <v>5.1165641937618078E-2</v>
      </c>
      <c r="V166" s="228">
        <f>P166/'2017'!P166-1</f>
        <v>1.3977222001531731E-2</v>
      </c>
      <c r="W166" s="228">
        <f>Q166/'2017'!Q166-1</f>
        <v>7.8677237151033586E-2</v>
      </c>
      <c r="X166" s="228">
        <f>R166/'2017'!R166-1</f>
        <v>0.19071053799453375</v>
      </c>
      <c r="Y166" s="244">
        <f>S166/'2017'!S166-1</f>
        <v>0.10560444484147902</v>
      </c>
      <c r="Z166" s="245">
        <v>47.99</v>
      </c>
      <c r="AA166" s="246">
        <f t="shared" si="49"/>
        <v>970.221318</v>
      </c>
      <c r="AB166" s="247"/>
      <c r="AC166" s="248"/>
      <c r="AD166" s="247">
        <f t="shared" si="45"/>
        <v>10430720.57</v>
      </c>
      <c r="AE166" s="177">
        <f t="shared" si="47"/>
        <v>87616.22</v>
      </c>
      <c r="AF166" s="177">
        <f t="shared" si="52"/>
        <v>43161.64</v>
      </c>
      <c r="AG166" s="248">
        <f t="shared" si="46"/>
        <v>117829.5300000006</v>
      </c>
      <c r="AH166" s="263"/>
      <c r="AI166" s="264"/>
      <c r="AJ166" s="264"/>
      <c r="AK166" s="264"/>
      <c r="AL166" s="264"/>
      <c r="AM166" s="264"/>
      <c r="AN166" s="264"/>
      <c r="AO166" s="264"/>
      <c r="AP166" s="264"/>
      <c r="AQ166" s="264"/>
      <c r="AR166" s="264"/>
      <c r="AS166" s="264"/>
      <c r="AT166" s="264"/>
      <c r="AU166" s="264"/>
      <c r="AV166" s="264"/>
      <c r="AW166" s="264"/>
      <c r="AX166" s="264"/>
      <c r="AY166" s="264"/>
      <c r="AZ166" s="264"/>
      <c r="BA166" s="264"/>
      <c r="BB166" s="264"/>
      <c r="BC166" s="264"/>
    </row>
    <row r="167" spans="1:55" ht="15" customHeight="1" x14ac:dyDescent="0.15">
      <c r="A167" s="180">
        <v>42897</v>
      </c>
      <c r="B167" s="175" t="s">
        <v>34</v>
      </c>
      <c r="C167" s="176">
        <v>59217</v>
      </c>
      <c r="D167" s="177">
        <f>26317+11757</f>
        <v>38074</v>
      </c>
      <c r="E167" s="177">
        <v>100430</v>
      </c>
      <c r="F167" s="178">
        <v>4982</v>
      </c>
      <c r="G167" s="177">
        <v>3193.7</v>
      </c>
      <c r="H167" s="179"/>
      <c r="I167" s="179"/>
      <c r="J167" s="204">
        <f t="shared" si="43"/>
        <v>62356</v>
      </c>
      <c r="K167" s="177">
        <v>1912</v>
      </c>
      <c r="L167" s="177">
        <v>0</v>
      </c>
      <c r="M167" s="205">
        <f t="shared" si="44"/>
        <v>1227</v>
      </c>
      <c r="N167" s="206">
        <f t="shared" si="53"/>
        <v>685271</v>
      </c>
      <c r="O167" s="209">
        <f t="shared" si="53"/>
        <v>384452</v>
      </c>
      <c r="P167" s="208">
        <f t="shared" si="53"/>
        <v>1090814</v>
      </c>
      <c r="Q167" s="225">
        <f t="shared" si="54"/>
        <v>10241330.18</v>
      </c>
      <c r="R167" s="207">
        <f t="shared" si="54"/>
        <v>5151940</v>
      </c>
      <c r="S167" s="226">
        <f t="shared" si="54"/>
        <v>15645016.57</v>
      </c>
      <c r="T167" s="227">
        <f>N167/'2017'!N167-1</f>
        <v>-8.2750955514486746E-3</v>
      </c>
      <c r="U167" s="228">
        <f>O167/'2017'!O167-1</f>
        <v>7.6983844626034026E-2</v>
      </c>
      <c r="V167" s="228">
        <f>P167/'2017'!P167-1</f>
        <v>2.0535821208310878E-2</v>
      </c>
      <c r="W167" s="228">
        <f>Q167/'2017'!Q167-1</f>
        <v>7.775490027967269E-2</v>
      </c>
      <c r="X167" s="228">
        <f>R167/'2017'!R167-1</f>
        <v>0.19195651344032227</v>
      </c>
      <c r="Y167" s="244">
        <f>S167/'2017'!S167-1</f>
        <v>0.10550328919214991</v>
      </c>
      <c r="Z167" s="245"/>
      <c r="AA167" s="246">
        <f t="shared" si="49"/>
        <v>1024.133018</v>
      </c>
      <c r="AB167" s="247"/>
      <c r="AC167" s="248"/>
      <c r="AD167" s="247">
        <f t="shared" si="45"/>
        <v>10493076.57</v>
      </c>
      <c r="AE167" s="177">
        <f t="shared" si="47"/>
        <v>89528.22</v>
      </c>
      <c r="AF167" s="177">
        <f t="shared" ref="AF167:AF182" si="55">AF166+L167</f>
        <v>43161.64</v>
      </c>
      <c r="AG167" s="248">
        <f t="shared" si="46"/>
        <v>119056.5300000006</v>
      </c>
      <c r="AH167" s="263"/>
      <c r="AI167" s="264"/>
      <c r="AJ167" s="264"/>
      <c r="AK167" s="264"/>
      <c r="AL167" s="264"/>
      <c r="AM167" s="264"/>
      <c r="AN167" s="264"/>
      <c r="AO167" s="264"/>
      <c r="AP167" s="264"/>
      <c r="AQ167" s="264"/>
      <c r="AR167" s="264"/>
      <c r="AS167" s="264"/>
      <c r="AT167" s="264"/>
      <c r="AU167" s="264"/>
      <c r="AV167" s="264"/>
      <c r="AW167" s="264"/>
      <c r="AX167" s="264"/>
      <c r="AY167" s="264"/>
      <c r="AZ167" s="264"/>
      <c r="BA167" s="264"/>
      <c r="BB167" s="264"/>
      <c r="BC167" s="264"/>
    </row>
    <row r="168" spans="1:55" ht="15" customHeight="1" x14ac:dyDescent="0.15">
      <c r="A168" s="180">
        <v>42898</v>
      </c>
      <c r="B168" s="175" t="s">
        <v>35</v>
      </c>
      <c r="C168" s="176">
        <v>64624</v>
      </c>
      <c r="D168" s="177">
        <f>26867+11203</f>
        <v>38070</v>
      </c>
      <c r="E168" s="177">
        <v>106562</v>
      </c>
      <c r="F168" s="178">
        <v>5187.3999999999996</v>
      </c>
      <c r="G168" s="177">
        <v>3495.3</v>
      </c>
      <c r="H168" s="179"/>
      <c r="I168" s="179"/>
      <c r="J168" s="204">
        <f t="shared" si="43"/>
        <v>68492</v>
      </c>
      <c r="K168" s="177">
        <v>2931</v>
      </c>
      <c r="L168" s="177">
        <v>0</v>
      </c>
      <c r="M168" s="205">
        <f t="shared" si="44"/>
        <v>937</v>
      </c>
      <c r="N168" s="206">
        <f t="shared" si="53"/>
        <v>749895</v>
      </c>
      <c r="O168" s="209">
        <f t="shared" si="53"/>
        <v>422522</v>
      </c>
      <c r="P168" s="208">
        <f t="shared" si="53"/>
        <v>1197376</v>
      </c>
      <c r="Q168" s="225">
        <f t="shared" si="54"/>
        <v>10305954.18</v>
      </c>
      <c r="R168" s="207">
        <f t="shared" si="54"/>
        <v>5190010</v>
      </c>
      <c r="S168" s="226">
        <f t="shared" si="54"/>
        <v>15751578.57</v>
      </c>
      <c r="T168" s="227">
        <f>N168/'2017'!N168-1</f>
        <v>-2.4569599676484977E-3</v>
      </c>
      <c r="U168" s="228">
        <f>O168/'2017'!O168-1</f>
        <v>9.5411179093643161E-2</v>
      </c>
      <c r="V168" s="228">
        <f>P168/'2017'!P168-1</f>
        <v>3.1719060732540383E-2</v>
      </c>
      <c r="W168" s="228">
        <f>Q168/'2017'!Q168-1</f>
        <v>7.7665720748851141E-2</v>
      </c>
      <c r="X168" s="228">
        <f>R168/'2017'!R168-1</f>
        <v>0.1928304363774429</v>
      </c>
      <c r="Y168" s="244">
        <f>S168/'2017'!S168-1</f>
        <v>0.10586747617421821</v>
      </c>
      <c r="Z168" s="245"/>
      <c r="AA168" s="246">
        <f t="shared" si="49"/>
        <v>1030.5954179999999</v>
      </c>
      <c r="AB168" s="247"/>
      <c r="AC168" s="248"/>
      <c r="AD168" s="247">
        <f t="shared" si="45"/>
        <v>10561568.57</v>
      </c>
      <c r="AE168" s="177">
        <f t="shared" si="47"/>
        <v>92459.22</v>
      </c>
      <c r="AF168" s="177">
        <f t="shared" si="55"/>
        <v>43161.64</v>
      </c>
      <c r="AG168" s="248">
        <f t="shared" si="46"/>
        <v>119993.5300000006</v>
      </c>
      <c r="AH168" s="263"/>
      <c r="AI168" s="264"/>
      <c r="AJ168" s="264"/>
      <c r="AK168" s="264"/>
      <c r="AL168" s="264"/>
      <c r="AM168" s="264"/>
      <c r="AN168" s="264"/>
      <c r="AO168" s="264"/>
      <c r="AP168" s="264"/>
      <c r="AQ168" s="264"/>
      <c r="AR168" s="264"/>
      <c r="AS168" s="264"/>
      <c r="AT168" s="264"/>
      <c r="AU168" s="264"/>
      <c r="AV168" s="264"/>
      <c r="AW168" s="264"/>
      <c r="AX168" s="264"/>
      <c r="AY168" s="264"/>
      <c r="AZ168" s="264"/>
      <c r="BA168" s="264"/>
      <c r="BB168" s="264"/>
      <c r="BC168" s="264"/>
    </row>
    <row r="169" spans="1:55" ht="15" customHeight="1" x14ac:dyDescent="0.15">
      <c r="A169" s="180">
        <v>42899</v>
      </c>
      <c r="B169" s="175" t="s">
        <v>36</v>
      </c>
      <c r="C169" s="176">
        <v>66478</v>
      </c>
      <c r="D169" s="177">
        <f>26916+11125</f>
        <v>38041</v>
      </c>
      <c r="E169" s="177">
        <v>108506</v>
      </c>
      <c r="F169" s="178">
        <v>5316.4</v>
      </c>
      <c r="G169" s="177">
        <v>3573.1</v>
      </c>
      <c r="H169" s="179"/>
      <c r="I169" s="179"/>
      <c r="J169" s="204">
        <f t="shared" si="43"/>
        <v>70465</v>
      </c>
      <c r="K169" s="177">
        <v>2809</v>
      </c>
      <c r="L169" s="177">
        <v>0</v>
      </c>
      <c r="M169" s="205">
        <f t="shared" si="44"/>
        <v>1178</v>
      </c>
      <c r="N169" s="206">
        <f t="shared" si="53"/>
        <v>816373</v>
      </c>
      <c r="O169" s="209">
        <f t="shared" si="53"/>
        <v>460563</v>
      </c>
      <c r="P169" s="208">
        <f t="shared" si="53"/>
        <v>1305882</v>
      </c>
      <c r="Q169" s="225">
        <f t="shared" si="54"/>
        <v>10372432.18</v>
      </c>
      <c r="R169" s="207">
        <f t="shared" si="54"/>
        <v>5228051</v>
      </c>
      <c r="S169" s="226">
        <f t="shared" si="54"/>
        <v>15860084.57</v>
      </c>
      <c r="T169" s="227">
        <f>N169/'2017'!N169-1</f>
        <v>1.5725351919913866E-2</v>
      </c>
      <c r="U169" s="228">
        <f>O169/'2017'!O169-1</f>
        <v>8.9617987948415134E-2</v>
      </c>
      <c r="V169" s="228">
        <f>P169/'2017'!P169-1</f>
        <v>4.313755562638244E-2</v>
      </c>
      <c r="W169" s="228">
        <f>Q169/'2017'!Q169-1</f>
        <v>7.8752332676119696E-2</v>
      </c>
      <c r="X169" s="228">
        <f>R169/'2017'!R169-1</f>
        <v>0.19145175886691956</v>
      </c>
      <c r="Y169" s="244">
        <f>S169/'2017'!S169-1</f>
        <v>0.10639232687980127</v>
      </c>
      <c r="Z169" s="245"/>
      <c r="AA169" s="246">
        <f t="shared" si="49"/>
        <v>1037.2432180000001</v>
      </c>
      <c r="AB169" s="247"/>
      <c r="AC169" s="248"/>
      <c r="AD169" s="247">
        <f t="shared" si="45"/>
        <v>10632033.57</v>
      </c>
      <c r="AE169" s="177">
        <f t="shared" si="47"/>
        <v>95268.22</v>
      </c>
      <c r="AF169" s="177">
        <f t="shared" si="55"/>
        <v>43161.64</v>
      </c>
      <c r="AG169" s="248">
        <f t="shared" si="46"/>
        <v>121171.5300000006</v>
      </c>
      <c r="AH169" s="263"/>
      <c r="AI169" s="264"/>
      <c r="AJ169" s="264"/>
      <c r="AK169" s="264"/>
      <c r="AL169" s="264"/>
      <c r="AM169" s="264"/>
      <c r="AN169" s="264"/>
      <c r="AO169" s="264"/>
      <c r="AP169" s="264"/>
      <c r="AQ169" s="264"/>
      <c r="AR169" s="264"/>
      <c r="AS169" s="264"/>
      <c r="AT169" s="264"/>
      <c r="AU169" s="264"/>
      <c r="AV169" s="264"/>
      <c r="AW169" s="264"/>
      <c r="AX169" s="264"/>
      <c r="AY169" s="264"/>
      <c r="AZ169" s="264"/>
      <c r="BA169" s="264"/>
      <c r="BB169" s="264"/>
      <c r="BC169" s="264"/>
    </row>
    <row r="170" spans="1:55" s="157" customFormat="1" ht="15" customHeight="1" x14ac:dyDescent="0.15">
      <c r="A170" s="181">
        <v>42900</v>
      </c>
      <c r="B170" s="182" t="s">
        <v>37</v>
      </c>
      <c r="C170" s="183">
        <f>66408+3851</f>
        <v>70259</v>
      </c>
      <c r="D170" s="184">
        <f>13852+21451</f>
        <v>35303</v>
      </c>
      <c r="E170" s="184">
        <f>87733+21451</f>
        <v>109184</v>
      </c>
      <c r="F170" s="185">
        <v>5244</v>
      </c>
      <c r="G170" s="184">
        <v>3696</v>
      </c>
      <c r="H170" s="186"/>
      <c r="I170" s="186"/>
      <c r="J170" s="210">
        <f t="shared" si="43"/>
        <v>73881</v>
      </c>
      <c r="K170" s="184">
        <v>2662</v>
      </c>
      <c r="L170" s="184">
        <v>0</v>
      </c>
      <c r="M170" s="211">
        <f t="shared" si="44"/>
        <v>960</v>
      </c>
      <c r="N170" s="212">
        <f t="shared" si="53"/>
        <v>886632</v>
      </c>
      <c r="O170" s="215">
        <f t="shared" si="53"/>
        <v>495866</v>
      </c>
      <c r="P170" s="214">
        <f t="shared" si="53"/>
        <v>1415066</v>
      </c>
      <c r="Q170" s="229">
        <f t="shared" si="54"/>
        <v>10442691.18</v>
      </c>
      <c r="R170" s="213">
        <f t="shared" si="54"/>
        <v>5263354</v>
      </c>
      <c r="S170" s="230">
        <f t="shared" si="54"/>
        <v>15969268.57</v>
      </c>
      <c r="T170" s="231">
        <f>N170/'2017'!N170-1</f>
        <v>3.815606905959279E-2</v>
      </c>
      <c r="U170" s="232">
        <f>O170/'2017'!O170-1</f>
        <v>7.9483188383711934E-2</v>
      </c>
      <c r="V170" s="232">
        <f>P170/'2017'!P170-1</f>
        <v>5.500455159178963E-2</v>
      </c>
      <c r="W170" s="232">
        <f>Q170/'2017'!Q170-1</f>
        <v>8.0406241283903945E-2</v>
      </c>
      <c r="X170" s="232">
        <f>R170/'2017'!R170-1</f>
        <v>0.18955557730246464</v>
      </c>
      <c r="Y170" s="249">
        <f>S170/'2017'!S170-1</f>
        <v>0.10710372470060325</v>
      </c>
      <c r="Z170" s="250">
        <v>49.56</v>
      </c>
      <c r="AA170" s="251">
        <f t="shared" si="49"/>
        <v>994.70911799999999</v>
      </c>
      <c r="AB170" s="252">
        <v>4283.88</v>
      </c>
      <c r="AC170" s="211">
        <f t="shared" si="50"/>
        <v>2321.9817501890807</v>
      </c>
      <c r="AD170" s="252">
        <f t="shared" si="45"/>
        <v>10705914.57</v>
      </c>
      <c r="AE170" s="184">
        <f t="shared" si="47"/>
        <v>97930.22</v>
      </c>
      <c r="AF170" s="184">
        <f t="shared" si="55"/>
        <v>43161.64</v>
      </c>
      <c r="AG170" s="211">
        <f t="shared" si="46"/>
        <v>122131.5300000006</v>
      </c>
      <c r="AH170" s="263"/>
      <c r="AI170" s="264"/>
      <c r="AJ170" s="264"/>
      <c r="AK170" s="264"/>
      <c r="AL170" s="264"/>
      <c r="AM170" s="264"/>
      <c r="AN170" s="264"/>
      <c r="AO170" s="264"/>
      <c r="AP170" s="264"/>
      <c r="AQ170" s="264"/>
      <c r="AR170" s="264"/>
      <c r="AS170" s="264"/>
      <c r="AT170" s="264"/>
      <c r="AU170" s="264"/>
      <c r="AV170" s="264"/>
      <c r="AW170" s="264"/>
      <c r="AX170" s="264"/>
      <c r="AY170" s="264"/>
      <c r="AZ170" s="264"/>
      <c r="BA170" s="264"/>
      <c r="BB170" s="264"/>
      <c r="BC170" s="264"/>
    </row>
    <row r="171" spans="1:55" ht="15" customHeight="1" x14ac:dyDescent="0.15">
      <c r="A171" s="180">
        <v>42901</v>
      </c>
      <c r="B171" s="175" t="s">
        <v>38</v>
      </c>
      <c r="C171" s="176">
        <v>70444</v>
      </c>
      <c r="D171" s="177">
        <f>24570+10781</f>
        <v>35351</v>
      </c>
      <c r="E171" s="177">
        <v>109923</v>
      </c>
      <c r="F171" s="178">
        <v>5329.4</v>
      </c>
      <c r="G171" s="177">
        <v>3701.8</v>
      </c>
      <c r="H171" s="179"/>
      <c r="I171" s="179"/>
      <c r="J171" s="204">
        <f t="shared" si="43"/>
        <v>74572</v>
      </c>
      <c r="K171" s="177">
        <v>2911</v>
      </c>
      <c r="L171" s="177">
        <v>0</v>
      </c>
      <c r="M171" s="205">
        <f t="shared" si="44"/>
        <v>1217</v>
      </c>
      <c r="N171" s="206">
        <f t="shared" si="53"/>
        <v>957076</v>
      </c>
      <c r="O171" s="209">
        <f t="shared" si="53"/>
        <v>531217</v>
      </c>
      <c r="P171" s="208">
        <f t="shared" si="53"/>
        <v>1524989</v>
      </c>
      <c r="Q171" s="225">
        <f t="shared" si="54"/>
        <v>10513135.18</v>
      </c>
      <c r="R171" s="207">
        <f t="shared" si="54"/>
        <v>5298705</v>
      </c>
      <c r="S171" s="226">
        <f t="shared" si="54"/>
        <v>16079191.57</v>
      </c>
      <c r="T171" s="227">
        <f>N171/'2017'!N171-1</f>
        <v>5.798093132513471E-2</v>
      </c>
      <c r="U171" s="228">
        <f>O171/'2017'!O171-1</f>
        <v>7.3271899642590954E-2</v>
      </c>
      <c r="V171" s="228">
        <f>P171/'2017'!P171-1</f>
        <v>6.6025555438272487E-2</v>
      </c>
      <c r="W171" s="228">
        <f>Q171/'2017'!Q171-1</f>
        <v>8.2032104308257914E-2</v>
      </c>
      <c r="X171" s="228">
        <f>R171/'2017'!R171-1</f>
        <v>0.18798785265798768</v>
      </c>
      <c r="Y171" s="244">
        <f>S171/'2017'!S171-1</f>
        <v>0.1078696405710593</v>
      </c>
      <c r="Z171" s="245"/>
      <c r="AA171" s="246">
        <f t="shared" si="49"/>
        <v>1051.3135179999999</v>
      </c>
      <c r="AB171" s="247"/>
      <c r="AC171" s="248"/>
      <c r="AD171" s="247">
        <f t="shared" si="45"/>
        <v>10780486.57</v>
      </c>
      <c r="AE171" s="177">
        <f t="shared" si="47"/>
        <v>100841.22</v>
      </c>
      <c r="AF171" s="177">
        <f t="shared" si="55"/>
        <v>43161.64</v>
      </c>
      <c r="AG171" s="248">
        <f t="shared" si="46"/>
        <v>123348.5300000006</v>
      </c>
      <c r="AH171" s="263"/>
      <c r="AI171" s="264"/>
      <c r="AJ171" s="264"/>
      <c r="AK171" s="264"/>
      <c r="AL171" s="264"/>
      <c r="AM171" s="264"/>
      <c r="AN171" s="264"/>
      <c r="AO171" s="264"/>
      <c r="AP171" s="264"/>
      <c r="AQ171" s="264"/>
      <c r="AR171" s="264"/>
      <c r="AS171" s="264"/>
      <c r="AT171" s="264"/>
      <c r="AU171" s="264"/>
      <c r="AV171" s="264"/>
      <c r="AW171" s="264"/>
      <c r="AX171" s="264"/>
      <c r="AY171" s="264"/>
      <c r="AZ171" s="264"/>
      <c r="BA171" s="264"/>
      <c r="BB171" s="264"/>
      <c r="BC171" s="264"/>
    </row>
    <row r="172" spans="1:55" ht="15" customHeight="1" x14ac:dyDescent="0.15">
      <c r="A172" s="180">
        <v>42902</v>
      </c>
      <c r="B172" s="175" t="s">
        <v>39</v>
      </c>
      <c r="C172" s="176">
        <v>66661</v>
      </c>
      <c r="D172" s="177">
        <f>24373+11172</f>
        <v>35545</v>
      </c>
      <c r="E172" s="177">
        <v>105730</v>
      </c>
      <c r="F172" s="178">
        <v>5098.8999999999996</v>
      </c>
      <c r="G172" s="177">
        <v>3673.4</v>
      </c>
      <c r="H172" s="179"/>
      <c r="I172" s="179"/>
      <c r="J172" s="204">
        <f t="shared" si="43"/>
        <v>70185</v>
      </c>
      <c r="K172" s="177">
        <v>2310</v>
      </c>
      <c r="L172" s="177">
        <v>0</v>
      </c>
      <c r="M172" s="205">
        <f t="shared" si="44"/>
        <v>1214</v>
      </c>
      <c r="N172" s="206">
        <f t="shared" si="53"/>
        <v>1023737</v>
      </c>
      <c r="O172" s="209">
        <f t="shared" si="53"/>
        <v>566762</v>
      </c>
      <c r="P172" s="208">
        <f t="shared" si="53"/>
        <v>1630719</v>
      </c>
      <c r="Q172" s="225">
        <f t="shared" si="54"/>
        <v>10579796.18</v>
      </c>
      <c r="R172" s="207">
        <f t="shared" si="54"/>
        <v>5334250</v>
      </c>
      <c r="S172" s="226">
        <f t="shared" si="54"/>
        <v>16184921.57</v>
      </c>
      <c r="T172" s="227">
        <f>N172/'2017'!N172-1</f>
        <v>7.2188108431930464E-2</v>
      </c>
      <c r="U172" s="228">
        <f>O172/'2017'!O172-1</f>
        <v>6.6510856822419973E-2</v>
      </c>
      <c r="V172" s="228">
        <f>P172/'2017'!P172-1</f>
        <v>7.3025697175633342E-2</v>
      </c>
      <c r="W172" s="228">
        <f>Q172/'2017'!Q172-1</f>
        <v>8.3297491503021126E-2</v>
      </c>
      <c r="X172" s="228">
        <f>R172/'2017'!R172-1</f>
        <v>0.18625854821123311</v>
      </c>
      <c r="Y172" s="244">
        <f>S172/'2017'!S172-1</f>
        <v>0.10834255022384864</v>
      </c>
      <c r="Z172" s="245"/>
      <c r="AA172" s="246">
        <f t="shared" si="49"/>
        <v>1057.9796180000001</v>
      </c>
      <c r="AB172" s="247"/>
      <c r="AC172" s="248"/>
      <c r="AD172" s="247">
        <f t="shared" si="45"/>
        <v>10850671.57</v>
      </c>
      <c r="AE172" s="177">
        <f t="shared" si="47"/>
        <v>103151.22</v>
      </c>
      <c r="AF172" s="177">
        <f t="shared" si="55"/>
        <v>43161.64</v>
      </c>
      <c r="AG172" s="248">
        <f t="shared" si="46"/>
        <v>124562.5300000006</v>
      </c>
      <c r="AH172" s="263"/>
      <c r="AI172" s="264"/>
      <c r="AJ172" s="264"/>
      <c r="AK172" s="264"/>
      <c r="AL172" s="264"/>
      <c r="AM172" s="264"/>
      <c r="AN172" s="264"/>
      <c r="AO172" s="264"/>
      <c r="AP172" s="264"/>
      <c r="AQ172" s="264"/>
      <c r="AR172" s="264"/>
      <c r="AS172" s="264"/>
      <c r="AT172" s="264"/>
      <c r="AU172" s="264"/>
      <c r="AV172" s="264"/>
      <c r="AW172" s="264"/>
      <c r="AX172" s="264"/>
      <c r="AY172" s="264"/>
      <c r="AZ172" s="264"/>
      <c r="BA172" s="264"/>
      <c r="BB172" s="264"/>
      <c r="BC172" s="264"/>
    </row>
    <row r="173" spans="1:55" ht="15" customHeight="1" x14ac:dyDescent="0.15">
      <c r="A173" s="180">
        <v>42903</v>
      </c>
      <c r="B173" s="175" t="s">
        <v>1</v>
      </c>
      <c r="C173" s="176">
        <v>61313</v>
      </c>
      <c r="D173" s="177">
        <f>24065+10989</f>
        <v>35054</v>
      </c>
      <c r="E173" s="177">
        <v>99033</v>
      </c>
      <c r="F173" s="178">
        <v>4635.1000000000004</v>
      </c>
      <c r="G173" s="177">
        <v>3543.5</v>
      </c>
      <c r="H173" s="179"/>
      <c r="I173" s="179"/>
      <c r="J173" s="204">
        <f t="shared" si="43"/>
        <v>63979</v>
      </c>
      <c r="K173" s="177">
        <v>1526</v>
      </c>
      <c r="L173" s="177">
        <v>0</v>
      </c>
      <c r="M173" s="205">
        <f t="shared" si="44"/>
        <v>1140</v>
      </c>
      <c r="N173" s="206">
        <f t="shared" si="53"/>
        <v>1085050</v>
      </c>
      <c r="O173" s="209">
        <f t="shared" si="53"/>
        <v>601816</v>
      </c>
      <c r="P173" s="208">
        <f t="shared" si="53"/>
        <v>1729752</v>
      </c>
      <c r="Q173" s="225">
        <f t="shared" si="54"/>
        <v>10641109.18</v>
      </c>
      <c r="R173" s="207">
        <f t="shared" si="54"/>
        <v>5369304</v>
      </c>
      <c r="S173" s="226">
        <f t="shared" si="54"/>
        <v>16283954.57</v>
      </c>
      <c r="T173" s="227">
        <f>N173/'2017'!N173-1</f>
        <v>8.2050555859158436E-2</v>
      </c>
      <c r="U173" s="228">
        <f>O173/'2017'!O173-1</f>
        <v>5.8214306437914587E-2</v>
      </c>
      <c r="V173" s="228">
        <f>P173/'2017'!P173-1</f>
        <v>7.5541174261407606E-2</v>
      </c>
      <c r="W173" s="228">
        <f>Q173/'2017'!Q173-1</f>
        <v>8.4250897945860492E-2</v>
      </c>
      <c r="X173" s="228">
        <f>R173/'2017'!R173-1</f>
        <v>0.18423297080520418</v>
      </c>
      <c r="Y173" s="244">
        <f>S173/'2017'!S173-1</f>
        <v>0.10840511718722778</v>
      </c>
      <c r="Z173" s="245"/>
      <c r="AA173" s="246">
        <f t="shared" si="49"/>
        <v>1064.1109180000001</v>
      </c>
      <c r="AB173" s="247"/>
      <c r="AC173" s="248"/>
      <c r="AD173" s="247">
        <f t="shared" si="45"/>
        <v>10914650.57</v>
      </c>
      <c r="AE173" s="177">
        <f t="shared" si="47"/>
        <v>104677.22</v>
      </c>
      <c r="AF173" s="177">
        <f t="shared" si="55"/>
        <v>43161.64</v>
      </c>
      <c r="AG173" s="248">
        <f t="shared" si="46"/>
        <v>125702.5300000006</v>
      </c>
      <c r="AH173" s="263"/>
      <c r="AI173" s="264"/>
      <c r="AJ173" s="264"/>
      <c r="AK173" s="264"/>
      <c r="AL173" s="264"/>
      <c r="AM173" s="264"/>
      <c r="AN173" s="264"/>
      <c r="AO173" s="264"/>
      <c r="AP173" s="264"/>
      <c r="AQ173" s="264"/>
      <c r="AR173" s="264"/>
      <c r="AS173" s="264"/>
      <c r="AT173" s="264"/>
      <c r="AU173" s="264"/>
      <c r="AV173" s="264"/>
      <c r="AW173" s="264"/>
      <c r="AX173" s="264"/>
      <c r="AY173" s="264"/>
      <c r="AZ173" s="264"/>
      <c r="BA173" s="264"/>
      <c r="BB173" s="264"/>
      <c r="BC173" s="264"/>
    </row>
    <row r="174" spans="1:55" ht="15" customHeight="1" x14ac:dyDescent="0.15">
      <c r="A174" s="180">
        <v>42904</v>
      </c>
      <c r="B174" s="175" t="s">
        <v>34</v>
      </c>
      <c r="C174" s="176">
        <v>54796</v>
      </c>
      <c r="D174" s="177">
        <f>18637+8285</f>
        <v>26922</v>
      </c>
      <c r="E174" s="177">
        <v>84748</v>
      </c>
      <c r="F174" s="178">
        <v>4082.1</v>
      </c>
      <c r="G174" s="177">
        <v>3165.1</v>
      </c>
      <c r="H174" s="179"/>
      <c r="I174" s="179"/>
      <c r="J174" s="204">
        <f t="shared" si="43"/>
        <v>57826</v>
      </c>
      <c r="K174" s="177">
        <v>1953</v>
      </c>
      <c r="L174" s="177">
        <v>0</v>
      </c>
      <c r="M174" s="205">
        <f t="shared" si="44"/>
        <v>1077</v>
      </c>
      <c r="N174" s="206">
        <f t="shared" ref="N174:P185" si="56">N173+C174</f>
        <v>1139846</v>
      </c>
      <c r="O174" s="209">
        <f t="shared" si="56"/>
        <v>628738</v>
      </c>
      <c r="P174" s="208">
        <f t="shared" si="56"/>
        <v>1814500</v>
      </c>
      <c r="Q174" s="225">
        <f t="shared" si="54"/>
        <v>10695905.18</v>
      </c>
      <c r="R174" s="207">
        <f t="shared" si="54"/>
        <v>5396226</v>
      </c>
      <c r="S174" s="226">
        <f t="shared" si="54"/>
        <v>16368702.57</v>
      </c>
      <c r="T174" s="227">
        <f>N174/'2017'!N174-1</f>
        <v>8.8307043348161196E-2</v>
      </c>
      <c r="U174" s="228">
        <f>O174/'2017'!O174-1</f>
        <v>3.7977065840781643E-2</v>
      </c>
      <c r="V174" s="228">
        <f>P174/'2017'!P174-1</f>
        <v>7.1818008905333963E-2</v>
      </c>
      <c r="W174" s="228">
        <f>Q174/'2017'!Q174-1</f>
        <v>8.4905607537098415E-2</v>
      </c>
      <c r="X174" s="228">
        <f>R174/'2017'!R174-1</f>
        <v>0.18053046389228822</v>
      </c>
      <c r="Y174" s="244">
        <f>S174/'2017'!S174-1</f>
        <v>0.10779025882947013</v>
      </c>
      <c r="Z174" s="245"/>
      <c r="AA174" s="246">
        <f t="shared" si="49"/>
        <v>1069.590518</v>
      </c>
      <c r="AB174" s="247"/>
      <c r="AC174" s="248"/>
      <c r="AD174" s="247">
        <f t="shared" si="45"/>
        <v>10972476.57</v>
      </c>
      <c r="AE174" s="177">
        <f t="shared" si="47"/>
        <v>106630.22</v>
      </c>
      <c r="AF174" s="177">
        <f t="shared" si="55"/>
        <v>43161.64</v>
      </c>
      <c r="AG174" s="248">
        <f t="shared" si="46"/>
        <v>126779.5300000006</v>
      </c>
      <c r="AH174" s="263"/>
      <c r="AI174" s="264"/>
      <c r="AJ174" s="264"/>
      <c r="AK174" s="264"/>
      <c r="AL174" s="264"/>
      <c r="AM174" s="264"/>
      <c r="AN174" s="264"/>
      <c r="AO174" s="264"/>
      <c r="AP174" s="264"/>
      <c r="AQ174" s="264"/>
      <c r="AR174" s="264"/>
      <c r="AS174" s="264"/>
      <c r="AT174" s="264"/>
      <c r="AU174" s="264"/>
      <c r="AV174" s="264"/>
      <c r="AW174" s="264"/>
      <c r="AX174" s="264"/>
      <c r="AY174" s="264"/>
      <c r="AZ174" s="264"/>
      <c r="BA174" s="264"/>
      <c r="BB174" s="264"/>
      <c r="BC174" s="264"/>
    </row>
    <row r="175" spans="1:55" ht="15" customHeight="1" x14ac:dyDescent="0.15">
      <c r="A175" s="180">
        <v>42905</v>
      </c>
      <c r="B175" s="175" t="s">
        <v>35</v>
      </c>
      <c r="C175" s="176">
        <v>74732</v>
      </c>
      <c r="D175" s="177">
        <f>25685+10155</f>
        <v>35840</v>
      </c>
      <c r="E175" s="177">
        <v>112905</v>
      </c>
      <c r="F175" s="178">
        <v>5722</v>
      </c>
      <c r="G175" s="177">
        <v>3150.2</v>
      </c>
      <c r="H175" s="179"/>
      <c r="I175" s="179"/>
      <c r="J175" s="204">
        <f t="shared" si="43"/>
        <v>77065</v>
      </c>
      <c r="K175" s="177">
        <v>1358</v>
      </c>
      <c r="L175" s="177">
        <v>0</v>
      </c>
      <c r="M175" s="205">
        <f t="shared" si="44"/>
        <v>975</v>
      </c>
      <c r="N175" s="206">
        <f t="shared" si="56"/>
        <v>1214578</v>
      </c>
      <c r="O175" s="209">
        <f t="shared" si="56"/>
        <v>664578</v>
      </c>
      <c r="P175" s="208">
        <f t="shared" si="56"/>
        <v>1927405</v>
      </c>
      <c r="Q175" s="225">
        <f t="shared" si="54"/>
        <v>10770637.18</v>
      </c>
      <c r="R175" s="207">
        <f t="shared" si="54"/>
        <v>5432066</v>
      </c>
      <c r="S175" s="226">
        <f t="shared" si="54"/>
        <v>16481607.57</v>
      </c>
      <c r="T175" s="227">
        <f>N175/'2017'!N175-1</f>
        <v>0.10566552329349732</v>
      </c>
      <c r="U175" s="228">
        <f>O175/'2017'!O175-1</f>
        <v>3.5429500902096844E-2</v>
      </c>
      <c r="V175" s="228">
        <f>P175/'2017'!P175-1</f>
        <v>8.0492381242288413E-2</v>
      </c>
      <c r="W175" s="228">
        <f>Q175/'2017'!Q175-1</f>
        <v>8.6847319766324205E-2</v>
      </c>
      <c r="X175" s="228">
        <f>R175/'2017'!R175-1</f>
        <v>0.17905842302417874</v>
      </c>
      <c r="Y175" s="244">
        <f>S175/'2017'!S175-1</f>
        <v>0.10861111215485431</v>
      </c>
      <c r="Z175" s="245"/>
      <c r="AA175" s="246">
        <f t="shared" si="49"/>
        <v>1077.0637179999999</v>
      </c>
      <c r="AB175" s="247"/>
      <c r="AC175" s="248"/>
      <c r="AD175" s="247">
        <f t="shared" si="45"/>
        <v>11049541.57</v>
      </c>
      <c r="AE175" s="177">
        <f t="shared" si="47"/>
        <v>107988.22</v>
      </c>
      <c r="AF175" s="177">
        <f t="shared" si="55"/>
        <v>43161.64</v>
      </c>
      <c r="AG175" s="248">
        <f t="shared" si="46"/>
        <v>127754.5300000006</v>
      </c>
      <c r="AH175" s="263"/>
      <c r="AI175" s="264"/>
      <c r="AJ175" s="264"/>
      <c r="AK175" s="264"/>
      <c r="AL175" s="264"/>
      <c r="AM175" s="264"/>
      <c r="AN175" s="264"/>
      <c r="AO175" s="264"/>
      <c r="AP175" s="264"/>
      <c r="AQ175" s="264"/>
      <c r="AR175" s="264"/>
      <c r="AS175" s="264"/>
      <c r="AT175" s="264"/>
      <c r="AU175" s="264"/>
      <c r="AV175" s="264"/>
      <c r="AW175" s="264"/>
      <c r="AX175" s="264"/>
      <c r="AY175" s="264"/>
      <c r="AZ175" s="264"/>
      <c r="BA175" s="264"/>
      <c r="BB175" s="264"/>
      <c r="BC175" s="264"/>
    </row>
    <row r="176" spans="1:55" ht="15" customHeight="1" x14ac:dyDescent="0.15">
      <c r="A176" s="180">
        <v>42906</v>
      </c>
      <c r="B176" s="175" t="s">
        <v>36</v>
      </c>
      <c r="C176" s="176">
        <v>73085</v>
      </c>
      <c r="D176" s="177">
        <f>27172+11019</f>
        <v>38191</v>
      </c>
      <c r="E176" s="177">
        <v>112436</v>
      </c>
      <c r="F176" s="178">
        <v>5688.9</v>
      </c>
      <c r="G176" s="177">
        <v>3940.9</v>
      </c>
      <c r="H176" s="179"/>
      <c r="I176" s="179"/>
      <c r="J176" s="204">
        <f t="shared" si="43"/>
        <v>74245</v>
      </c>
      <c r="K176" s="177">
        <v>820</v>
      </c>
      <c r="L176" s="177">
        <v>0</v>
      </c>
      <c r="M176" s="205">
        <f t="shared" si="44"/>
        <v>340</v>
      </c>
      <c r="N176" s="206">
        <f t="shared" si="56"/>
        <v>1287663</v>
      </c>
      <c r="O176" s="209">
        <f t="shared" si="56"/>
        <v>702769</v>
      </c>
      <c r="P176" s="208">
        <f t="shared" si="56"/>
        <v>2039841</v>
      </c>
      <c r="Q176" s="225">
        <f t="shared" si="54"/>
        <v>10843722.18</v>
      </c>
      <c r="R176" s="207">
        <f t="shared" si="54"/>
        <v>5470257</v>
      </c>
      <c r="S176" s="226">
        <f t="shared" si="54"/>
        <v>16594043.57</v>
      </c>
      <c r="T176" s="227">
        <f>N176/'2017'!N176-1</f>
        <v>0.1204220780915819</v>
      </c>
      <c r="U176" s="228">
        <f>O176/'2017'!O176-1</f>
        <v>3.2231483861491661E-2</v>
      </c>
      <c r="V176" s="228">
        <f>P176/'2017'!P176-1</f>
        <v>8.5946017887563952E-2</v>
      </c>
      <c r="W176" s="228">
        <f>Q176/'2017'!Q176-1</f>
        <v>8.8645825648791643E-2</v>
      </c>
      <c r="X176" s="228">
        <f>R176/'2017'!R176-1</f>
        <v>0.17738455985427803</v>
      </c>
      <c r="Y176" s="244">
        <f>S176/'2017'!S176-1</f>
        <v>0.10911805875974112</v>
      </c>
      <c r="Z176" s="245"/>
      <c r="AA176" s="246">
        <f t="shared" si="49"/>
        <v>1084.372218</v>
      </c>
      <c r="AB176" s="247"/>
      <c r="AC176" s="248"/>
      <c r="AD176" s="247">
        <f t="shared" si="45"/>
        <v>11123786.57</v>
      </c>
      <c r="AE176" s="177">
        <f t="shared" si="47"/>
        <v>108808.22</v>
      </c>
      <c r="AF176" s="177">
        <f t="shared" si="55"/>
        <v>43161.64</v>
      </c>
      <c r="AG176" s="248">
        <f t="shared" si="46"/>
        <v>128094.5300000006</v>
      </c>
      <c r="AH176" s="263"/>
      <c r="AI176" s="264"/>
      <c r="AJ176" s="264"/>
      <c r="AK176" s="264"/>
      <c r="AL176" s="264"/>
      <c r="AM176" s="264"/>
      <c r="AN176" s="264"/>
      <c r="AO176" s="264"/>
      <c r="AP176" s="264"/>
      <c r="AQ176" s="264"/>
      <c r="AR176" s="264"/>
      <c r="AS176" s="264"/>
      <c r="AT176" s="264"/>
      <c r="AU176" s="264"/>
      <c r="AV176" s="264"/>
      <c r="AW176" s="264"/>
      <c r="AX176" s="264"/>
      <c r="AY176" s="264"/>
      <c r="AZ176" s="264"/>
      <c r="BA176" s="264"/>
      <c r="BB176" s="264"/>
      <c r="BC176" s="264"/>
    </row>
    <row r="177" spans="1:55" s="157" customFormat="1" ht="15" customHeight="1" x14ac:dyDescent="0.15">
      <c r="A177" s="181">
        <v>42907</v>
      </c>
      <c r="B177" s="182" t="s">
        <v>37</v>
      </c>
      <c r="C177" s="183">
        <f>63544+2816</f>
        <v>66360</v>
      </c>
      <c r="D177" s="184">
        <f>24577+14140</f>
        <v>38717</v>
      </c>
      <c r="E177" s="184">
        <f>81610+24577</f>
        <v>106187</v>
      </c>
      <c r="F177" s="185">
        <v>5240</v>
      </c>
      <c r="G177" s="184">
        <v>3597</v>
      </c>
      <c r="H177" s="186"/>
      <c r="I177" s="186"/>
      <c r="J177" s="210">
        <f t="shared" si="43"/>
        <v>67470</v>
      </c>
      <c r="K177" s="184">
        <v>312</v>
      </c>
      <c r="L177" s="184">
        <v>0</v>
      </c>
      <c r="M177" s="211">
        <f t="shared" si="44"/>
        <v>798</v>
      </c>
      <c r="N177" s="212">
        <f t="shared" si="56"/>
        <v>1354023</v>
      </c>
      <c r="O177" s="215">
        <f t="shared" si="56"/>
        <v>741486</v>
      </c>
      <c r="P177" s="214">
        <f t="shared" si="56"/>
        <v>2146028</v>
      </c>
      <c r="Q177" s="229">
        <f t="shared" si="54"/>
        <v>10910082.18</v>
      </c>
      <c r="R177" s="213">
        <f t="shared" si="54"/>
        <v>5508974</v>
      </c>
      <c r="S177" s="230">
        <f t="shared" si="54"/>
        <v>16700230.57</v>
      </c>
      <c r="T177" s="231">
        <f>N177/'2017'!N177-1</f>
        <v>0.12922200094072434</v>
      </c>
      <c r="U177" s="232">
        <f>O177/'2017'!O177-1</f>
        <v>2.7821711497542978E-2</v>
      </c>
      <c r="V177" s="232">
        <f>P177/'2017'!P177-1</f>
        <v>8.7501697615635532E-2</v>
      </c>
      <c r="W177" s="232">
        <f>Q177/'2017'!Q177-1</f>
        <v>8.9858001482679084E-2</v>
      </c>
      <c r="X177" s="232">
        <f>R177/'2017'!R177-1</f>
        <v>0.17544864733152266</v>
      </c>
      <c r="Y177" s="249">
        <f>S177/'2017'!S177-1</f>
        <v>0.10917581385032604</v>
      </c>
      <c r="Z177" s="250">
        <v>51.34</v>
      </c>
      <c r="AA177" s="251">
        <f t="shared" si="49"/>
        <v>1039.668218</v>
      </c>
      <c r="AB177" s="252">
        <v>4283.88</v>
      </c>
      <c r="AC177" s="211">
        <f t="shared" si="50"/>
        <v>2426.9312352353472</v>
      </c>
      <c r="AD177" s="252">
        <f t="shared" si="45"/>
        <v>11191256.57</v>
      </c>
      <c r="AE177" s="184">
        <f t="shared" si="47"/>
        <v>109120.22</v>
      </c>
      <c r="AF177" s="184">
        <f t="shared" si="55"/>
        <v>43161.64</v>
      </c>
      <c r="AG177" s="211">
        <f t="shared" si="46"/>
        <v>128892.5300000006</v>
      </c>
      <c r="AH177" s="263"/>
      <c r="AI177" s="264"/>
      <c r="AJ177" s="264"/>
      <c r="AK177" s="264"/>
      <c r="AL177" s="264"/>
      <c r="AM177" s="264"/>
      <c r="AN177" s="264"/>
      <c r="AO177" s="264"/>
      <c r="AP177" s="264"/>
      <c r="AQ177" s="264"/>
      <c r="AR177" s="264"/>
      <c r="AS177" s="264"/>
      <c r="AT177" s="264"/>
      <c r="AU177" s="264"/>
      <c r="AV177" s="264"/>
      <c r="AW177" s="264"/>
      <c r="AX177" s="264"/>
      <c r="AY177" s="264"/>
      <c r="AZ177" s="264"/>
      <c r="BA177" s="264"/>
      <c r="BB177" s="264"/>
      <c r="BC177" s="264"/>
    </row>
    <row r="178" spans="1:55" ht="15" customHeight="1" x14ac:dyDescent="0.15">
      <c r="A178" s="180">
        <v>42908</v>
      </c>
      <c r="B178" s="175" t="s">
        <v>38</v>
      </c>
      <c r="C178" s="176">
        <v>68500</v>
      </c>
      <c r="D178" s="177">
        <f>25548+11079</f>
        <v>36627</v>
      </c>
      <c r="E178" s="177">
        <v>105851</v>
      </c>
      <c r="F178" s="178">
        <v>5350.8</v>
      </c>
      <c r="G178" s="177">
        <v>3566.6</v>
      </c>
      <c r="H178" s="179"/>
      <c r="I178" s="179"/>
      <c r="J178" s="204">
        <f t="shared" si="43"/>
        <v>69224</v>
      </c>
      <c r="K178" s="177">
        <v>349</v>
      </c>
      <c r="L178" s="177">
        <v>0</v>
      </c>
      <c r="M178" s="205">
        <f t="shared" si="44"/>
        <v>375</v>
      </c>
      <c r="N178" s="206">
        <f t="shared" si="56"/>
        <v>1422523</v>
      </c>
      <c r="O178" s="209">
        <f t="shared" si="56"/>
        <v>778113</v>
      </c>
      <c r="P178" s="208">
        <f t="shared" si="56"/>
        <v>2251879</v>
      </c>
      <c r="Q178" s="225">
        <f t="shared" si="54"/>
        <v>10978582.18</v>
      </c>
      <c r="R178" s="207">
        <f t="shared" si="54"/>
        <v>5545601</v>
      </c>
      <c r="S178" s="226">
        <f t="shared" si="54"/>
        <v>16806081.57</v>
      </c>
      <c r="T178" s="227">
        <f>N178/'2017'!N178-1</f>
        <v>0.13895234091955411</v>
      </c>
      <c r="U178" s="228">
        <f>O178/'2017'!O178-1</f>
        <v>2.1413756891572655E-2</v>
      </c>
      <c r="V178" s="228">
        <f>P178/'2017'!P178-1</f>
        <v>8.9094349076396462E-2</v>
      </c>
      <c r="W178" s="228">
        <f>Q178/'2017'!Q178-1</f>
        <v>9.1261236092154308E-2</v>
      </c>
      <c r="X178" s="228">
        <f>R178/'2017'!R178-1</f>
        <v>0.17315473979307328</v>
      </c>
      <c r="Y178" s="244">
        <f>S178/'2017'!S178-1</f>
        <v>0.10925825641337572</v>
      </c>
      <c r="Z178" s="245"/>
      <c r="AA178" s="246">
        <f t="shared" si="49"/>
        <v>1097.8582180000001</v>
      </c>
      <c r="AB178" s="247"/>
      <c r="AC178" s="248"/>
      <c r="AD178" s="247">
        <f t="shared" si="45"/>
        <v>11260480.57</v>
      </c>
      <c r="AE178" s="177">
        <f t="shared" si="47"/>
        <v>109469.22</v>
      </c>
      <c r="AF178" s="177">
        <f t="shared" si="55"/>
        <v>43161.64</v>
      </c>
      <c r="AG178" s="248">
        <f t="shared" si="46"/>
        <v>129267.5300000006</v>
      </c>
      <c r="AH178" s="263"/>
      <c r="AI178" s="264"/>
      <c r="AJ178" s="264"/>
      <c r="AK178" s="264"/>
      <c r="AL178" s="264"/>
      <c r="AM178" s="264"/>
      <c r="AN178" s="264"/>
      <c r="AO178" s="264"/>
      <c r="AP178" s="264"/>
      <c r="AQ178" s="264"/>
      <c r="AR178" s="264"/>
      <c r="AS178" s="264"/>
      <c r="AT178" s="264"/>
      <c r="AU178" s="264"/>
      <c r="AV178" s="264"/>
      <c r="AW178" s="264"/>
      <c r="AX178" s="264"/>
      <c r="AY178" s="264"/>
      <c r="AZ178" s="264"/>
      <c r="BA178" s="264"/>
      <c r="BB178" s="264"/>
      <c r="BC178" s="264"/>
    </row>
    <row r="179" spans="1:55" ht="15" customHeight="1" x14ac:dyDescent="0.15">
      <c r="A179" s="180">
        <v>42909</v>
      </c>
      <c r="B179" s="175" t="s">
        <v>39</v>
      </c>
      <c r="C179" s="176">
        <v>62337</v>
      </c>
      <c r="D179" s="177">
        <f>28692+11029</f>
        <v>39721</v>
      </c>
      <c r="E179" s="177">
        <v>103155</v>
      </c>
      <c r="F179" s="178">
        <v>5231.2</v>
      </c>
      <c r="G179" s="177">
        <v>3460.6</v>
      </c>
      <c r="H179" s="179"/>
      <c r="I179" s="179"/>
      <c r="J179" s="204">
        <f t="shared" si="43"/>
        <v>63434</v>
      </c>
      <c r="K179" s="177">
        <v>613</v>
      </c>
      <c r="L179" s="177">
        <v>0</v>
      </c>
      <c r="M179" s="205">
        <f t="shared" si="44"/>
        <v>484</v>
      </c>
      <c r="N179" s="206">
        <f t="shared" si="56"/>
        <v>1484860</v>
      </c>
      <c r="O179" s="209">
        <f t="shared" si="56"/>
        <v>817834</v>
      </c>
      <c r="P179" s="208">
        <f t="shared" si="56"/>
        <v>2355034</v>
      </c>
      <c r="Q179" s="225">
        <f t="shared" si="54"/>
        <v>11040919.18</v>
      </c>
      <c r="R179" s="207">
        <f t="shared" si="54"/>
        <v>5585322</v>
      </c>
      <c r="S179" s="226">
        <f t="shared" si="54"/>
        <v>16909236.57</v>
      </c>
      <c r="T179" s="227">
        <f>N179/'2017'!N179-1</f>
        <v>0.1444069447773515</v>
      </c>
      <c r="U179" s="228">
        <f>O179/'2017'!O179-1</f>
        <v>1.5287019565001447E-2</v>
      </c>
      <c r="V179" s="228">
        <f>P179/'2017'!P179-1</f>
        <v>8.8066005612583931E-2</v>
      </c>
      <c r="W179" s="228">
        <f>Q179/'2017'!Q179-1</f>
        <v>9.2190231487877528E-2</v>
      </c>
      <c r="X179" s="228">
        <f>R179/'2017'!R179-1</f>
        <v>0.17072971348225585</v>
      </c>
      <c r="Y179" s="244">
        <f>S179/'2017'!S179-1</f>
        <v>0.10898432105667344</v>
      </c>
      <c r="Z179" s="245"/>
      <c r="AA179" s="246">
        <f t="shared" si="49"/>
        <v>1104.0919180000001</v>
      </c>
      <c r="AB179" s="247"/>
      <c r="AC179" s="248"/>
      <c r="AD179" s="247">
        <f t="shared" si="45"/>
        <v>11323914.57</v>
      </c>
      <c r="AE179" s="177">
        <f t="shared" si="47"/>
        <v>110082.22</v>
      </c>
      <c r="AF179" s="177">
        <f t="shared" si="55"/>
        <v>43161.64</v>
      </c>
      <c r="AG179" s="248">
        <f t="shared" si="46"/>
        <v>129751.5300000006</v>
      </c>
      <c r="AH179" s="263"/>
      <c r="AI179" s="264"/>
      <c r="AJ179" s="264"/>
      <c r="AK179" s="264"/>
      <c r="AL179" s="264"/>
      <c r="AM179" s="264"/>
      <c r="AN179" s="264"/>
      <c r="AO179" s="264"/>
      <c r="AP179" s="264"/>
      <c r="AQ179" s="264"/>
      <c r="AR179" s="264"/>
      <c r="AS179" s="264"/>
      <c r="AT179" s="264"/>
      <c r="AU179" s="264"/>
      <c r="AV179" s="264"/>
      <c r="AW179" s="264"/>
      <c r="AX179" s="264"/>
      <c r="AY179" s="264"/>
      <c r="AZ179" s="264"/>
      <c r="BA179" s="264"/>
      <c r="BB179" s="264"/>
      <c r="BC179" s="264"/>
    </row>
    <row r="180" spans="1:55" ht="15" customHeight="1" x14ac:dyDescent="0.15">
      <c r="A180" s="180">
        <v>42910</v>
      </c>
      <c r="B180" s="175" t="s">
        <v>1</v>
      </c>
      <c r="C180" s="176">
        <v>62204</v>
      </c>
      <c r="D180" s="177">
        <f>28014+10983</f>
        <v>38997</v>
      </c>
      <c r="E180" s="177">
        <v>102805</v>
      </c>
      <c r="F180" s="178">
        <v>4916.2</v>
      </c>
      <c r="G180" s="177">
        <v>3448.4</v>
      </c>
      <c r="H180" s="179"/>
      <c r="I180" s="179"/>
      <c r="J180" s="204">
        <f t="shared" si="43"/>
        <v>63808</v>
      </c>
      <c r="K180" s="177">
        <v>979</v>
      </c>
      <c r="L180" s="177">
        <v>0</v>
      </c>
      <c r="M180" s="205">
        <f t="shared" si="44"/>
        <v>625</v>
      </c>
      <c r="N180" s="206">
        <f t="shared" si="56"/>
        <v>1547064</v>
      </c>
      <c r="O180" s="209">
        <f t="shared" si="56"/>
        <v>856831</v>
      </c>
      <c r="P180" s="208">
        <f t="shared" si="56"/>
        <v>2457839</v>
      </c>
      <c r="Q180" s="225">
        <f t="shared" si="54"/>
        <v>11103123.18</v>
      </c>
      <c r="R180" s="207">
        <f t="shared" si="54"/>
        <v>5624319</v>
      </c>
      <c r="S180" s="226">
        <f t="shared" si="54"/>
        <v>17012041.57</v>
      </c>
      <c r="T180" s="227">
        <f>N180/'2017'!N180-1</f>
        <v>0.15271973229992719</v>
      </c>
      <c r="U180" s="228">
        <f>O180/'2017'!O180-1</f>
        <v>7.5338889777334384E-3</v>
      </c>
      <c r="V180" s="228">
        <f>P180/'2017'!P180-1</f>
        <v>8.8106062316525069E-2</v>
      </c>
      <c r="W180" s="228">
        <f>Q180/'2017'!Q180-1</f>
        <v>9.3518409998103458E-2</v>
      </c>
      <c r="X180" s="228">
        <f>R180/'2017'!R180-1</f>
        <v>0.16791113580806805</v>
      </c>
      <c r="Y180" s="244">
        <f>S180/'2017'!S180-1</f>
        <v>0.10886150517494886</v>
      </c>
      <c r="Z180" s="245"/>
      <c r="AA180" s="246">
        <f t="shared" si="49"/>
        <v>1110.312318</v>
      </c>
      <c r="AB180" s="247"/>
      <c r="AC180" s="248"/>
      <c r="AD180" s="247">
        <f t="shared" si="45"/>
        <v>11387722.57</v>
      </c>
      <c r="AE180" s="177">
        <f t="shared" si="47"/>
        <v>111061.22</v>
      </c>
      <c r="AF180" s="177">
        <f t="shared" si="55"/>
        <v>43161.64</v>
      </c>
      <c r="AG180" s="248">
        <f t="shared" si="46"/>
        <v>130376.5300000006</v>
      </c>
      <c r="AH180" s="263"/>
      <c r="AI180" s="264"/>
      <c r="AJ180" s="264"/>
      <c r="AK180" s="264"/>
      <c r="AL180" s="264"/>
      <c r="AM180" s="264"/>
      <c r="AN180" s="264"/>
      <c r="AO180" s="264"/>
      <c r="AP180" s="264"/>
      <c r="AQ180" s="264"/>
      <c r="AR180" s="264"/>
      <c r="AS180" s="264"/>
      <c r="AT180" s="264"/>
      <c r="AU180" s="264"/>
      <c r="AV180" s="264"/>
      <c r="AW180" s="264"/>
      <c r="AX180" s="264"/>
      <c r="AY180" s="264"/>
      <c r="AZ180" s="264"/>
      <c r="BA180" s="264"/>
      <c r="BB180" s="264"/>
      <c r="BC180" s="264"/>
    </row>
    <row r="181" spans="1:55" ht="15" customHeight="1" x14ac:dyDescent="0.15">
      <c r="A181" s="180">
        <v>42911</v>
      </c>
      <c r="B181" s="175" t="s">
        <v>34</v>
      </c>
      <c r="C181" s="176">
        <v>76232</v>
      </c>
      <c r="D181" s="177">
        <f>29192+10977</f>
        <v>40169</v>
      </c>
      <c r="E181" s="177">
        <v>117979</v>
      </c>
      <c r="F181" s="178">
        <v>5934.2</v>
      </c>
      <c r="G181" s="177">
        <v>3539.8</v>
      </c>
      <c r="H181" s="179"/>
      <c r="I181" s="179"/>
      <c r="J181" s="204">
        <f t="shared" si="43"/>
        <v>77810</v>
      </c>
      <c r="K181" s="177">
        <v>448</v>
      </c>
      <c r="L181" s="177">
        <v>0</v>
      </c>
      <c r="M181" s="205">
        <f t="shared" si="44"/>
        <v>1130</v>
      </c>
      <c r="N181" s="206">
        <f t="shared" si="56"/>
        <v>1623296</v>
      </c>
      <c r="O181" s="209">
        <f t="shared" si="56"/>
        <v>897000</v>
      </c>
      <c r="P181" s="208">
        <f t="shared" si="56"/>
        <v>2575818</v>
      </c>
      <c r="Q181" s="225">
        <f t="shared" si="54"/>
        <v>11179355.18</v>
      </c>
      <c r="R181" s="207">
        <f t="shared" si="54"/>
        <v>5664488</v>
      </c>
      <c r="S181" s="226">
        <f t="shared" si="54"/>
        <v>17130020.57</v>
      </c>
      <c r="T181" s="227">
        <f>N181/'2017'!N181-1</f>
        <v>0.17485161427600571</v>
      </c>
      <c r="U181" s="228">
        <f>O181/'2017'!O181-1</f>
        <v>2.8598835922284405E-3</v>
      </c>
      <c r="V181" s="228">
        <f>P181/'2017'!P181-1</f>
        <v>9.7898458528601351E-2</v>
      </c>
      <c r="W181" s="228">
        <f>Q181/'2017'!Q181-1</f>
        <v>9.6748441670438279E-2</v>
      </c>
      <c r="X181" s="228">
        <f>R181/'2017'!R181-1</f>
        <v>0.16559822508511801</v>
      </c>
      <c r="Y181" s="244">
        <f>S181/'2017'!S181-1</f>
        <v>0.11023306486286866</v>
      </c>
      <c r="Z181" s="245"/>
      <c r="AA181" s="246">
        <f t="shared" si="49"/>
        <v>1117.935518</v>
      </c>
      <c r="AB181" s="247"/>
      <c r="AC181" s="248"/>
      <c r="AD181" s="247">
        <f t="shared" si="45"/>
        <v>11465532.57</v>
      </c>
      <c r="AE181" s="177">
        <f t="shared" si="47"/>
        <v>111509.22</v>
      </c>
      <c r="AF181" s="177">
        <f t="shared" si="55"/>
        <v>43161.64</v>
      </c>
      <c r="AG181" s="248">
        <f t="shared" si="46"/>
        <v>131506.53000000061</v>
      </c>
      <c r="AH181" s="263"/>
      <c r="AI181" s="264"/>
      <c r="AJ181" s="264"/>
      <c r="AK181" s="264"/>
      <c r="AL181" s="264"/>
      <c r="AM181" s="264"/>
      <c r="AN181" s="264"/>
      <c r="AO181" s="264"/>
      <c r="AP181" s="264"/>
      <c r="AQ181" s="264"/>
      <c r="AR181" s="264"/>
      <c r="AS181" s="264"/>
      <c r="AT181" s="264"/>
      <c r="AU181" s="264"/>
      <c r="AV181" s="264"/>
      <c r="AW181" s="264"/>
      <c r="AX181" s="264"/>
      <c r="AY181" s="264"/>
      <c r="AZ181" s="264"/>
      <c r="BA181" s="264"/>
      <c r="BB181" s="264"/>
      <c r="BC181" s="264"/>
    </row>
    <row r="182" spans="1:55" ht="15" customHeight="1" x14ac:dyDescent="0.15">
      <c r="A182" s="180">
        <v>42912</v>
      </c>
      <c r="B182" s="175" t="s">
        <v>35</v>
      </c>
      <c r="C182" s="176">
        <v>80816</v>
      </c>
      <c r="D182" s="177">
        <f>35158+10887</f>
        <v>46045</v>
      </c>
      <c r="E182" s="177">
        <v>128354</v>
      </c>
      <c r="F182" s="178">
        <v>6256.3</v>
      </c>
      <c r="G182" s="177">
        <v>4048.2</v>
      </c>
      <c r="H182" s="179"/>
      <c r="I182" s="179"/>
      <c r="J182" s="204">
        <f t="shared" si="43"/>
        <v>82309</v>
      </c>
      <c r="K182" s="177">
        <v>220</v>
      </c>
      <c r="L182" s="177">
        <v>0</v>
      </c>
      <c r="M182" s="205">
        <f t="shared" si="44"/>
        <v>1273</v>
      </c>
      <c r="N182" s="206">
        <f t="shared" si="56"/>
        <v>1704112</v>
      </c>
      <c r="O182" s="209">
        <f t="shared" si="56"/>
        <v>943045</v>
      </c>
      <c r="P182" s="208">
        <f t="shared" si="56"/>
        <v>2704172</v>
      </c>
      <c r="Q182" s="225">
        <f t="shared" si="54"/>
        <v>11260171.18</v>
      </c>
      <c r="R182" s="207">
        <f t="shared" si="54"/>
        <v>5710533</v>
      </c>
      <c r="S182" s="226">
        <f t="shared" si="54"/>
        <v>17258374.57</v>
      </c>
      <c r="T182" s="227">
        <f>N182/'2017'!N182-1</f>
        <v>0.19737466159174311</v>
      </c>
      <c r="U182" s="228">
        <f>O182/'2017'!O182-1</f>
        <v>3.373856495658023E-3</v>
      </c>
      <c r="V182" s="228">
        <f>P182/'2017'!P182-1</f>
        <v>0.10952133600192338</v>
      </c>
      <c r="W182" s="228">
        <f>Q182/'2017'!Q182-1</f>
        <v>0.1001971607367973</v>
      </c>
      <c r="X182" s="228">
        <f>R182/'2017'!R182-1</f>
        <v>0.16418941041246793</v>
      </c>
      <c r="Y182" s="244">
        <f>S182/'2017'!S182-1</f>
        <v>0.11198586371674191</v>
      </c>
      <c r="Z182" s="245"/>
      <c r="AA182" s="246">
        <f t="shared" si="49"/>
        <v>1126.017118</v>
      </c>
      <c r="AB182" s="247"/>
      <c r="AC182" s="248"/>
      <c r="AD182" s="247">
        <f t="shared" si="45"/>
        <v>11547841.57</v>
      </c>
      <c r="AE182" s="177">
        <f t="shared" si="47"/>
        <v>111729.22</v>
      </c>
      <c r="AF182" s="177">
        <f t="shared" si="55"/>
        <v>43161.64</v>
      </c>
      <c r="AG182" s="248">
        <f t="shared" si="46"/>
        <v>132779.53000000061</v>
      </c>
      <c r="AH182" s="263"/>
      <c r="AI182" s="264"/>
      <c r="AJ182" s="264"/>
      <c r="AK182" s="264"/>
      <c r="AL182" s="264"/>
      <c r="AM182" s="264"/>
      <c r="AN182" s="264"/>
      <c r="AO182" s="264"/>
      <c r="AP182" s="264"/>
      <c r="AQ182" s="264"/>
      <c r="AR182" s="264"/>
      <c r="AS182" s="264"/>
      <c r="AT182" s="264"/>
      <c r="AU182" s="264"/>
      <c r="AV182" s="264"/>
      <c r="AW182" s="264"/>
      <c r="AX182" s="264"/>
      <c r="AY182" s="264"/>
      <c r="AZ182" s="264"/>
      <c r="BA182" s="264"/>
      <c r="BB182" s="264"/>
      <c r="BC182" s="264"/>
    </row>
    <row r="183" spans="1:55" ht="15" customHeight="1" x14ac:dyDescent="0.15">
      <c r="A183" s="180">
        <v>42913</v>
      </c>
      <c r="B183" s="175" t="s">
        <v>36</v>
      </c>
      <c r="C183" s="176">
        <v>83270</v>
      </c>
      <c r="D183" s="177">
        <f>38687+10928</f>
        <v>49615</v>
      </c>
      <c r="E183" s="177">
        <v>134617</v>
      </c>
      <c r="F183" s="178">
        <v>6469.4</v>
      </c>
      <c r="G183" s="177">
        <v>4345.3999999999996</v>
      </c>
      <c r="H183" s="179"/>
      <c r="I183" s="179"/>
      <c r="J183" s="204">
        <f t="shared" si="43"/>
        <v>85002</v>
      </c>
      <c r="K183" s="177">
        <v>415</v>
      </c>
      <c r="L183" s="177">
        <v>0</v>
      </c>
      <c r="M183" s="205">
        <f t="shared" si="44"/>
        <v>1317</v>
      </c>
      <c r="N183" s="206">
        <f t="shared" si="56"/>
        <v>1787382</v>
      </c>
      <c r="O183" s="209">
        <f t="shared" si="56"/>
        <v>992660</v>
      </c>
      <c r="P183" s="208">
        <f t="shared" si="56"/>
        <v>2838789</v>
      </c>
      <c r="Q183" s="225">
        <f t="shared" si="54"/>
        <v>11343441.18</v>
      </c>
      <c r="R183" s="207">
        <f t="shared" si="54"/>
        <v>5760148</v>
      </c>
      <c r="S183" s="226">
        <f t="shared" si="54"/>
        <v>17392991.57</v>
      </c>
      <c r="T183" s="227">
        <f>N183/'2017'!N183-1</f>
        <v>0.22082346649326978</v>
      </c>
      <c r="U183" s="228">
        <f>O183/'2017'!O183-1</f>
        <v>7.1876750245540855E-3</v>
      </c>
      <c r="V183" s="228">
        <f>P183/'2017'!P183-1</f>
        <v>0.12298755088235636</v>
      </c>
      <c r="W183" s="228">
        <f>Q183/'2017'!Q183-1</f>
        <v>0.10392471947812165</v>
      </c>
      <c r="X183" s="228">
        <f>R183/'2017'!R183-1</f>
        <v>0.16346412542467359</v>
      </c>
      <c r="Y183" s="244">
        <f>S183/'2017'!S183-1</f>
        <v>0.11415214251953532</v>
      </c>
      <c r="Z183" s="245"/>
      <c r="AA183" s="246">
        <f t="shared" si="49"/>
        <v>1134.344118</v>
      </c>
      <c r="AB183" s="247"/>
      <c r="AC183" s="248"/>
      <c r="AD183" s="247">
        <f t="shared" si="45"/>
        <v>11632843.57</v>
      </c>
      <c r="AE183" s="177">
        <f t="shared" si="47"/>
        <v>112144.22</v>
      </c>
      <c r="AF183" s="177">
        <f t="shared" ref="AF183:AF198" si="57">AF182+L183</f>
        <v>43161.64</v>
      </c>
      <c r="AG183" s="248">
        <f t="shared" si="46"/>
        <v>134096.53000000061</v>
      </c>
      <c r="AH183" s="263"/>
      <c r="AI183" s="264"/>
      <c r="AJ183" s="264"/>
      <c r="AK183" s="264"/>
      <c r="AL183" s="264"/>
      <c r="AM183" s="264"/>
      <c r="AN183" s="264"/>
      <c r="AO183" s="264"/>
      <c r="AP183" s="264"/>
      <c r="AQ183" s="264"/>
      <c r="AR183" s="264"/>
      <c r="AS183" s="264"/>
      <c r="AT183" s="264"/>
      <c r="AU183" s="264"/>
      <c r="AV183" s="264"/>
      <c r="AW183" s="264"/>
      <c r="AX183" s="264"/>
      <c r="AY183" s="264"/>
      <c r="AZ183" s="264"/>
      <c r="BA183" s="264"/>
      <c r="BB183" s="264"/>
      <c r="BC183" s="264"/>
    </row>
    <row r="184" spans="1:55" s="157" customFormat="1" ht="15" customHeight="1" x14ac:dyDescent="0.15">
      <c r="A184" s="181">
        <v>42914</v>
      </c>
      <c r="B184" s="182" t="s">
        <v>37</v>
      </c>
      <c r="C184" s="183">
        <f>82666+3405</f>
        <v>86071</v>
      </c>
      <c r="D184" s="184">
        <f>36219+13812</f>
        <v>50031</v>
      </c>
      <c r="E184" s="184">
        <f>101219+36219</f>
        <v>137438</v>
      </c>
      <c r="F184" s="185">
        <v>6648</v>
      </c>
      <c r="G184" s="184">
        <v>4560</v>
      </c>
      <c r="H184" s="186"/>
      <c r="I184" s="186"/>
      <c r="J184" s="210">
        <f t="shared" si="43"/>
        <v>87407</v>
      </c>
      <c r="K184" s="184">
        <v>277</v>
      </c>
      <c r="L184" s="184">
        <v>0</v>
      </c>
      <c r="M184" s="211">
        <f t="shared" si="44"/>
        <v>1059</v>
      </c>
      <c r="N184" s="212">
        <f t="shared" si="56"/>
        <v>1873453</v>
      </c>
      <c r="O184" s="215">
        <f t="shared" si="56"/>
        <v>1042691</v>
      </c>
      <c r="P184" s="214">
        <f t="shared" si="56"/>
        <v>2976227</v>
      </c>
      <c r="Q184" s="229">
        <f t="shared" si="54"/>
        <v>11429512.18</v>
      </c>
      <c r="R184" s="213">
        <f t="shared" si="54"/>
        <v>5810179</v>
      </c>
      <c r="S184" s="230">
        <f t="shared" si="54"/>
        <v>17530429.57</v>
      </c>
      <c r="T184" s="231">
        <f>N184/'2017'!N184-1</f>
        <v>0.24502773886391616</v>
      </c>
      <c r="U184" s="232">
        <f>O184/'2017'!O184-1</f>
        <v>9.9836882400348159E-3</v>
      </c>
      <c r="V184" s="232">
        <f>P184/'2017'!P184-1</f>
        <v>0.13608635124606883</v>
      </c>
      <c r="W184" s="232">
        <f>Q184/'2017'!Q184-1</f>
        <v>0.1079160518027511</v>
      </c>
      <c r="X184" s="232">
        <f>R184/'2017'!R184-1</f>
        <v>0.16257802639150909</v>
      </c>
      <c r="Y184" s="249">
        <f>S184/'2017'!S184-1</f>
        <v>0.11638910238516553</v>
      </c>
      <c r="Z184" s="250">
        <v>53.29</v>
      </c>
      <c r="AA184" s="251">
        <f t="shared" si="49"/>
        <v>1089.661218</v>
      </c>
      <c r="AB184" s="252">
        <v>4283.88</v>
      </c>
      <c r="AC184" s="211">
        <f t="shared" si="50"/>
        <v>2543.6315162889714</v>
      </c>
      <c r="AD184" s="252">
        <f t="shared" si="45"/>
        <v>11720250.57</v>
      </c>
      <c r="AE184" s="184">
        <f t="shared" si="47"/>
        <v>112421.22</v>
      </c>
      <c r="AF184" s="184">
        <f t="shared" si="57"/>
        <v>43161.64</v>
      </c>
      <c r="AG184" s="211">
        <f t="shared" si="46"/>
        <v>135155.53000000061</v>
      </c>
      <c r="AH184" s="263"/>
      <c r="AI184" s="264"/>
      <c r="AJ184" s="264"/>
      <c r="AK184" s="264"/>
      <c r="AL184" s="264"/>
      <c r="AM184" s="264"/>
      <c r="AN184" s="264"/>
      <c r="AO184" s="264"/>
      <c r="AP184" s="264"/>
      <c r="AQ184" s="264"/>
      <c r="AR184" s="264"/>
      <c r="AS184" s="264"/>
      <c r="AT184" s="264"/>
      <c r="AU184" s="264"/>
      <c r="AV184" s="264"/>
      <c r="AW184" s="264"/>
      <c r="AX184" s="264"/>
      <c r="AY184" s="264"/>
      <c r="AZ184" s="264"/>
      <c r="BA184" s="264"/>
      <c r="BB184" s="264"/>
      <c r="BC184" s="264"/>
    </row>
    <row r="185" spans="1:55" ht="15" customHeight="1" x14ac:dyDescent="0.15">
      <c r="A185" s="180">
        <v>42915</v>
      </c>
      <c r="B185" s="175" t="s">
        <v>38</v>
      </c>
      <c r="C185" s="176">
        <f>76478+2375</f>
        <v>78853</v>
      </c>
      <c r="D185" s="177">
        <f>13638+34953</f>
        <v>48591</v>
      </c>
      <c r="E185" s="177">
        <f>93512+34953</f>
        <v>128465</v>
      </c>
      <c r="F185" s="178">
        <v>6338</v>
      </c>
      <c r="G185" s="177">
        <v>4459</v>
      </c>
      <c r="H185" s="179"/>
      <c r="I185" s="179"/>
      <c r="J185" s="204">
        <f t="shared" si="43"/>
        <v>79874</v>
      </c>
      <c r="K185" s="177">
        <v>166</v>
      </c>
      <c r="L185" s="177">
        <v>0</v>
      </c>
      <c r="M185" s="205">
        <f t="shared" si="44"/>
        <v>855</v>
      </c>
      <c r="N185" s="206">
        <f t="shared" si="56"/>
        <v>1952306</v>
      </c>
      <c r="O185" s="209">
        <f t="shared" si="56"/>
        <v>1091282</v>
      </c>
      <c r="P185" s="208">
        <f t="shared" si="56"/>
        <v>3104692</v>
      </c>
      <c r="Q185" s="225">
        <f t="shared" si="54"/>
        <v>11508365.18</v>
      </c>
      <c r="R185" s="207">
        <f t="shared" si="54"/>
        <v>5858770</v>
      </c>
      <c r="S185" s="226">
        <f t="shared" si="54"/>
        <v>17658894.57</v>
      </c>
      <c r="T185" s="227">
        <f>N185/'2017'!N185-1</f>
        <v>0.26284706679879632</v>
      </c>
      <c r="U185" s="228">
        <f>O185/'2017'!O185-1</f>
        <v>9.5470516077345025E-3</v>
      </c>
      <c r="V185" s="228">
        <f>P185/'2017'!P185-1</f>
        <v>0.14411155254572572</v>
      </c>
      <c r="W185" s="228">
        <f>Q185/'2017'!Q185-1</f>
        <v>0.11112128544597355</v>
      </c>
      <c r="X185" s="228">
        <f>R185/'2017'!R185-1</f>
        <v>0.16101553511263611</v>
      </c>
      <c r="Y185" s="244">
        <f>S185/'2017'!S185-1</f>
        <v>0.11788480257637524</v>
      </c>
      <c r="Z185" s="245"/>
      <c r="AA185" s="246">
        <f t="shared" si="49"/>
        <v>1150.8365180000001</v>
      </c>
      <c r="AB185" s="247"/>
      <c r="AC185" s="248"/>
      <c r="AD185" s="247">
        <f t="shared" si="45"/>
        <v>11800124.57</v>
      </c>
      <c r="AE185" s="177">
        <f t="shared" si="47"/>
        <v>112587.22</v>
      </c>
      <c r="AF185" s="177">
        <f t="shared" si="57"/>
        <v>43161.64</v>
      </c>
      <c r="AG185" s="248">
        <f t="shared" si="46"/>
        <v>136010.53000000061</v>
      </c>
      <c r="AH185" s="263"/>
      <c r="AI185" s="264"/>
      <c r="AJ185" s="264"/>
      <c r="AK185" s="264"/>
      <c r="AL185" s="264"/>
      <c r="AM185" s="264"/>
      <c r="AN185" s="264"/>
      <c r="AO185" s="264"/>
      <c r="AP185" s="264"/>
      <c r="AQ185" s="264"/>
      <c r="AR185" s="264"/>
      <c r="AS185" s="264"/>
      <c r="AT185" s="264"/>
      <c r="AU185" s="264"/>
      <c r="AV185" s="264"/>
      <c r="AW185" s="264"/>
      <c r="AX185" s="264"/>
      <c r="AY185" s="264"/>
      <c r="AZ185" s="264"/>
      <c r="BA185" s="264"/>
      <c r="BB185" s="264"/>
      <c r="BC185" s="264"/>
    </row>
    <row r="186" spans="1:55" ht="15" customHeight="1" x14ac:dyDescent="0.15">
      <c r="A186" s="195">
        <v>42916</v>
      </c>
      <c r="B186" s="188" t="s">
        <v>39</v>
      </c>
      <c r="C186" s="189">
        <v>69959</v>
      </c>
      <c r="D186" s="190">
        <v>46521</v>
      </c>
      <c r="E186" s="190">
        <v>117786</v>
      </c>
      <c r="F186" s="191">
        <v>5779</v>
      </c>
      <c r="G186" s="190">
        <v>4012</v>
      </c>
      <c r="H186" s="192"/>
      <c r="I186" s="192"/>
      <c r="J186" s="216">
        <f t="shared" si="43"/>
        <v>71265</v>
      </c>
      <c r="K186" s="190">
        <v>347.55</v>
      </c>
      <c r="L186" s="190">
        <v>34.56</v>
      </c>
      <c r="M186" s="217">
        <f t="shared" si="44"/>
        <v>923.88999999999942</v>
      </c>
      <c r="N186" s="218">
        <f>[5]表2、统调口径电量!$D$10</f>
        <v>2022262.82</v>
      </c>
      <c r="O186" s="222">
        <f>[5]表2、统调口径电量!$D$14</f>
        <v>1137803</v>
      </c>
      <c r="P186" s="220">
        <f>[5]表2、统调口径电量!$D$3</f>
        <v>3222478.17</v>
      </c>
      <c r="Q186" s="233">
        <f>[5]表2、统调口径电量!$I$10</f>
        <v>11578322</v>
      </c>
      <c r="R186" s="219">
        <f>[5]表2、统调口径电量!$I$14</f>
        <v>5905291</v>
      </c>
      <c r="S186" s="234">
        <f>[5]表2、统调口径电量!$I$3</f>
        <v>17776680.739999998</v>
      </c>
      <c r="T186" s="235">
        <f>N186/'2017'!N186-1</f>
        <v>0.27157842328859183</v>
      </c>
      <c r="U186" s="236">
        <f>O186/'2017'!O186-1</f>
        <v>7.7935950625507289E-3</v>
      </c>
      <c r="V186" s="236">
        <f>P186/'2017'!P186-1</f>
        <v>0.14679196768439695</v>
      </c>
      <c r="W186" s="236">
        <f>Q186/'2017'!Q186-1</f>
        <v>0.11310388252421055</v>
      </c>
      <c r="X186" s="236">
        <f>R186/'2017'!R186-1</f>
        <v>0.15918006724679734</v>
      </c>
      <c r="Y186" s="254">
        <f>S186/'2017'!S186-1</f>
        <v>0.11851774096648482</v>
      </c>
      <c r="Z186" s="255">
        <f>[5]表2、统调口径电量!$I$12/10000</f>
        <v>53.764030000000005</v>
      </c>
      <c r="AA186" s="256">
        <f t="shared" si="49"/>
        <v>1104.06817</v>
      </c>
      <c r="AB186" s="257"/>
      <c r="AC186" s="258"/>
      <c r="AD186" s="257">
        <f t="shared" si="45"/>
        <v>11871389.739999998</v>
      </c>
      <c r="AE186" s="190">
        <f t="shared" si="47"/>
        <v>112934.77</v>
      </c>
      <c r="AF186" s="190">
        <f t="shared" si="57"/>
        <v>43196.2</v>
      </c>
      <c r="AG186" s="258">
        <f t="shared" si="46"/>
        <v>136936.76999999833</v>
      </c>
      <c r="AH186" s="263"/>
      <c r="AI186" s="264"/>
      <c r="AJ186" s="264"/>
      <c r="AK186" s="264"/>
      <c r="AL186" s="264"/>
      <c r="AM186" s="264"/>
      <c r="AN186" s="264"/>
      <c r="AO186" s="264"/>
      <c r="AP186" s="264"/>
      <c r="AQ186" s="264"/>
      <c r="AR186" s="264"/>
      <c r="AS186" s="264"/>
      <c r="AT186" s="264"/>
      <c r="AU186" s="264"/>
      <c r="AV186" s="264"/>
      <c r="AW186" s="264"/>
      <c r="AX186" s="264"/>
      <c r="AY186" s="264"/>
      <c r="AZ186" s="264"/>
      <c r="BA186" s="264"/>
      <c r="BB186" s="264"/>
      <c r="BC186" s="264"/>
    </row>
    <row r="187" spans="1:55" ht="15" customHeight="1" x14ac:dyDescent="0.15">
      <c r="A187" s="180">
        <v>42917</v>
      </c>
      <c r="B187" s="175" t="s">
        <v>1</v>
      </c>
      <c r="C187" s="176">
        <v>54764</v>
      </c>
      <c r="D187" s="177">
        <f>10591+40607</f>
        <v>51198</v>
      </c>
      <c r="E187" s="177">
        <v>106863</v>
      </c>
      <c r="F187" s="178">
        <v>5011</v>
      </c>
      <c r="G187" s="177">
        <v>3828</v>
      </c>
      <c r="H187" s="179"/>
      <c r="I187" s="179"/>
      <c r="J187" s="204">
        <f t="shared" si="43"/>
        <v>55665</v>
      </c>
      <c r="K187" s="177">
        <v>166</v>
      </c>
      <c r="L187" s="177">
        <v>63</v>
      </c>
      <c r="M187" s="205">
        <f t="shared" si="44"/>
        <v>672</v>
      </c>
      <c r="N187" s="206">
        <f>C187</f>
        <v>54764</v>
      </c>
      <c r="O187" s="209">
        <f>D187</f>
        <v>51198</v>
      </c>
      <c r="P187" s="208">
        <f>E187</f>
        <v>106863</v>
      </c>
      <c r="Q187" s="225">
        <f t="shared" ref="Q187:S202" si="58">Q$186+N187</f>
        <v>11633086</v>
      </c>
      <c r="R187" s="207">
        <f t="shared" si="58"/>
        <v>5956489</v>
      </c>
      <c r="S187" s="226">
        <f t="shared" si="58"/>
        <v>17883543.739999998</v>
      </c>
      <c r="T187" s="227">
        <f>N187/'2017'!N187-1</f>
        <v>0.34423171330387836</v>
      </c>
      <c r="U187" s="228">
        <f>O187/'2017'!O187-1</f>
        <v>4.1880341880341954E-2</v>
      </c>
      <c r="V187" s="228">
        <f>P187/'2017'!P187-1</f>
        <v>0.13634478578492359</v>
      </c>
      <c r="W187" s="228">
        <f>Q187/'2017'!Q187-1</f>
        <v>0.11400559006036737</v>
      </c>
      <c r="X187" s="228">
        <f>R187/'2017'!R187-1</f>
        <v>0.15805941041417437</v>
      </c>
      <c r="Y187" s="244">
        <f>S187/'2017'!S187-1</f>
        <v>0.11862260501121624</v>
      </c>
      <c r="Z187" s="245"/>
      <c r="AA187" s="246">
        <f t="shared" si="49"/>
        <v>1163.3086000000001</v>
      </c>
      <c r="AB187" s="247"/>
      <c r="AC187" s="248"/>
      <c r="AD187" s="247">
        <f t="shared" si="45"/>
        <v>11927054.739999998</v>
      </c>
      <c r="AE187" s="177">
        <f t="shared" si="47"/>
        <v>113100.77</v>
      </c>
      <c r="AF187" s="177">
        <f t="shared" si="57"/>
        <v>43259.199999999997</v>
      </c>
      <c r="AG187" s="248">
        <f t="shared" si="46"/>
        <v>137608.76999999833</v>
      </c>
      <c r="AH187" s="263"/>
      <c r="AI187" s="264"/>
      <c r="AJ187" s="264"/>
      <c r="AK187" s="264"/>
      <c r="AL187" s="264"/>
      <c r="AM187" s="264"/>
      <c r="AN187" s="264"/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264"/>
      <c r="AY187" s="264"/>
      <c r="AZ187" s="264"/>
      <c r="BA187" s="264"/>
      <c r="BB187" s="264"/>
      <c r="BC187" s="264"/>
    </row>
    <row r="188" spans="1:55" ht="15" customHeight="1" x14ac:dyDescent="0.15">
      <c r="A188" s="180">
        <v>42918</v>
      </c>
      <c r="B188" s="175" t="s">
        <v>34</v>
      </c>
      <c r="C188" s="176">
        <v>70437</v>
      </c>
      <c r="D188" s="177">
        <f>10908+38022</f>
        <v>48930</v>
      </c>
      <c r="E188" s="177">
        <v>120575</v>
      </c>
      <c r="F188" s="178">
        <v>6008</v>
      </c>
      <c r="G188" s="177">
        <v>3693</v>
      </c>
      <c r="H188" s="179"/>
      <c r="I188" s="179"/>
      <c r="J188" s="204">
        <f t="shared" si="43"/>
        <v>71645</v>
      </c>
      <c r="K188" s="177">
        <v>207</v>
      </c>
      <c r="L188" s="177">
        <v>63.27</v>
      </c>
      <c r="M188" s="205">
        <f t="shared" si="44"/>
        <v>937.72999999999593</v>
      </c>
      <c r="N188" s="206">
        <f t="shared" ref="N188:P203" si="59">C188+N187</f>
        <v>125201</v>
      </c>
      <c r="O188" s="209">
        <f t="shared" si="59"/>
        <v>100128</v>
      </c>
      <c r="P188" s="208">
        <f t="shared" si="59"/>
        <v>227438</v>
      </c>
      <c r="Q188" s="225">
        <f t="shared" si="58"/>
        <v>11703523</v>
      </c>
      <c r="R188" s="207">
        <f t="shared" si="58"/>
        <v>6005419</v>
      </c>
      <c r="S188" s="226">
        <f t="shared" si="58"/>
        <v>18004118.739999998</v>
      </c>
      <c r="T188" s="227">
        <f>N188/'2017'!N188-1</f>
        <v>0.50527201683198086</v>
      </c>
      <c r="U188" s="228">
        <f>O188/'2017'!O188-1</f>
        <v>3.213037696756027E-2</v>
      </c>
      <c r="V188" s="228">
        <f>P188/'2017'!P188-1</f>
        <v>0.20654843689490354</v>
      </c>
      <c r="W188" s="228">
        <f>Q188/'2017'!Q188-1</f>
        <v>0.11621485591891001</v>
      </c>
      <c r="X188" s="228">
        <f>R188/'2017'!R188-1</f>
        <v>0.15680589746849583</v>
      </c>
      <c r="Y188" s="244">
        <f>S188/'2017'!S188-1</f>
        <v>0.11954960832715766</v>
      </c>
      <c r="Z188" s="245"/>
      <c r="AA188" s="246">
        <f t="shared" si="49"/>
        <v>1170.3523</v>
      </c>
      <c r="AB188" s="247"/>
      <c r="AC188" s="248"/>
      <c r="AD188" s="247">
        <f t="shared" si="45"/>
        <v>11998699.739999998</v>
      </c>
      <c r="AE188" s="177">
        <f t="shared" si="47"/>
        <v>113307.77</v>
      </c>
      <c r="AF188" s="177">
        <f t="shared" si="57"/>
        <v>43322.469999999994</v>
      </c>
      <c r="AG188" s="248">
        <f t="shared" si="46"/>
        <v>138546.49999999834</v>
      </c>
      <c r="AH188" s="263"/>
      <c r="AI188" s="264"/>
      <c r="AJ188" s="264"/>
      <c r="AK188" s="264"/>
      <c r="AL188" s="264"/>
      <c r="AM188" s="264"/>
      <c r="AN188" s="264"/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264"/>
      <c r="AY188" s="264"/>
      <c r="AZ188" s="264"/>
      <c r="BA188" s="264"/>
      <c r="BB188" s="264"/>
      <c r="BC188" s="264"/>
    </row>
    <row r="189" spans="1:55" ht="15" customHeight="1" x14ac:dyDescent="0.15">
      <c r="A189" s="180">
        <v>42919</v>
      </c>
      <c r="B189" s="175" t="s">
        <v>35</v>
      </c>
      <c r="C189" s="176">
        <v>71726</v>
      </c>
      <c r="D189" s="177">
        <f>11054+39790</f>
        <v>50844</v>
      </c>
      <c r="E189" s="177">
        <v>123528</v>
      </c>
      <c r="F189" s="178">
        <v>6104</v>
      </c>
      <c r="G189" s="177">
        <v>4024</v>
      </c>
      <c r="H189" s="179"/>
      <c r="I189" s="179"/>
      <c r="J189" s="204">
        <f t="shared" si="43"/>
        <v>72684</v>
      </c>
      <c r="K189" s="177">
        <v>193</v>
      </c>
      <c r="L189" s="177">
        <v>77.599999999999994</v>
      </c>
      <c r="M189" s="205">
        <f t="shared" si="44"/>
        <v>687.39999999999418</v>
      </c>
      <c r="N189" s="206">
        <f t="shared" si="59"/>
        <v>196927</v>
      </c>
      <c r="O189" s="209">
        <f t="shared" si="59"/>
        <v>150972</v>
      </c>
      <c r="P189" s="208">
        <f t="shared" si="59"/>
        <v>350966</v>
      </c>
      <c r="Q189" s="225">
        <f t="shared" si="58"/>
        <v>11775249</v>
      </c>
      <c r="R189" s="207">
        <f t="shared" si="58"/>
        <v>6056263</v>
      </c>
      <c r="S189" s="226">
        <f t="shared" si="58"/>
        <v>18127646.739999998</v>
      </c>
      <c r="T189" s="227">
        <f>N189/'2017'!N189-1</f>
        <v>0.42198906756590882</v>
      </c>
      <c r="U189" s="228">
        <f>O189/'2017'!O189-1</f>
        <v>6.7543487484089892E-2</v>
      </c>
      <c r="V189" s="228">
        <f>P189/'2017'!P189-1</f>
        <v>0.19936711023627418</v>
      </c>
      <c r="W189" s="228">
        <f>Q189/'2017'!Q189-1</f>
        <v>0.11716225815916004</v>
      </c>
      <c r="X189" s="228">
        <f>R189/'2017'!R189-1</f>
        <v>0.15670493979035438</v>
      </c>
      <c r="Y189" s="244">
        <f>S189/'2017'!S189-1</f>
        <v>0.11997944070120625</v>
      </c>
      <c r="Z189" s="245"/>
      <c r="AA189" s="246">
        <f t="shared" si="49"/>
        <v>1177.5248999999999</v>
      </c>
      <c r="AB189" s="247"/>
      <c r="AC189" s="248"/>
      <c r="AD189" s="247">
        <f t="shared" si="45"/>
        <v>12071383.739999998</v>
      </c>
      <c r="AE189" s="177">
        <f t="shared" si="47"/>
        <v>113500.77</v>
      </c>
      <c r="AF189" s="177">
        <f t="shared" si="57"/>
        <v>43400.069999999992</v>
      </c>
      <c r="AG189" s="248">
        <f t="shared" si="46"/>
        <v>139233.89999999834</v>
      </c>
      <c r="AH189" s="263"/>
      <c r="AI189" s="264"/>
      <c r="AJ189" s="264"/>
      <c r="AK189" s="264"/>
      <c r="AL189" s="264"/>
      <c r="AM189" s="264"/>
      <c r="AN189" s="264"/>
      <c r="AO189" s="264"/>
      <c r="AP189" s="264"/>
      <c r="AQ189" s="264"/>
      <c r="AR189" s="264"/>
      <c r="AS189" s="264"/>
      <c r="AT189" s="264"/>
      <c r="AU189" s="264"/>
      <c r="AV189" s="264"/>
      <c r="AW189" s="264"/>
      <c r="AX189" s="264"/>
      <c r="AY189" s="264"/>
      <c r="AZ189" s="264"/>
      <c r="BA189" s="264"/>
      <c r="BB189" s="264"/>
      <c r="BC189" s="264"/>
    </row>
    <row r="190" spans="1:55" ht="15" customHeight="1" x14ac:dyDescent="0.15">
      <c r="A190" s="180">
        <v>42920</v>
      </c>
      <c r="B190" s="175" t="s">
        <v>36</v>
      </c>
      <c r="C190" s="176">
        <v>76504</v>
      </c>
      <c r="D190" s="177">
        <f>10901+36227</f>
        <v>47128</v>
      </c>
      <c r="E190" s="177">
        <v>125278</v>
      </c>
      <c r="F190" s="178">
        <v>6276</v>
      </c>
      <c r="G190" s="177">
        <v>4033</v>
      </c>
      <c r="H190" s="179"/>
      <c r="I190" s="179"/>
      <c r="J190" s="204">
        <f t="shared" si="43"/>
        <v>78150</v>
      </c>
      <c r="K190" s="177">
        <v>309</v>
      </c>
      <c r="L190" s="177">
        <v>555</v>
      </c>
      <c r="M190" s="205">
        <f t="shared" si="44"/>
        <v>782</v>
      </c>
      <c r="N190" s="206">
        <f t="shared" si="59"/>
        <v>273431</v>
      </c>
      <c r="O190" s="209">
        <f t="shared" si="59"/>
        <v>198100</v>
      </c>
      <c r="P190" s="208">
        <f t="shared" si="59"/>
        <v>476244</v>
      </c>
      <c r="Q190" s="225">
        <f t="shared" si="58"/>
        <v>11851753</v>
      </c>
      <c r="R190" s="207">
        <f t="shared" si="58"/>
        <v>6103391</v>
      </c>
      <c r="S190" s="226">
        <f t="shared" si="58"/>
        <v>18252924.739999998</v>
      </c>
      <c r="T190" s="227">
        <f>N190/'2017'!N190-1</f>
        <v>0.43076689620528708</v>
      </c>
      <c r="U190" s="228">
        <f>O190/'2017'!O190-1</f>
        <v>4.2346305221728775E-2</v>
      </c>
      <c r="V190" s="228">
        <f>P190/'2017'!P190-1</f>
        <v>0.19546058130865984</v>
      </c>
      <c r="W190" s="228">
        <f>Q190/'2017'!Q190-1</f>
        <v>0.11883486285472666</v>
      </c>
      <c r="X190" s="228">
        <f>R190/'2017'!R190-1</f>
        <v>0.15497818966354115</v>
      </c>
      <c r="Y190" s="244">
        <f>S190/'2017'!S190-1</f>
        <v>0.12039923485279047</v>
      </c>
      <c r="Z190" s="245"/>
      <c r="AA190" s="246">
        <f t="shared" si="49"/>
        <v>1185.1753000000001</v>
      </c>
      <c r="AB190" s="247"/>
      <c r="AC190" s="248"/>
      <c r="AD190" s="247">
        <f t="shared" si="45"/>
        <v>12149533.739999998</v>
      </c>
      <c r="AE190" s="177">
        <f t="shared" si="47"/>
        <v>113809.77</v>
      </c>
      <c r="AF190" s="177">
        <f t="shared" si="57"/>
        <v>43955.069999999992</v>
      </c>
      <c r="AG190" s="248">
        <f t="shared" si="46"/>
        <v>140015.89999999834</v>
      </c>
      <c r="AH190" s="263"/>
      <c r="AI190" s="264"/>
      <c r="AJ190" s="264"/>
      <c r="AK190" s="264"/>
      <c r="AL190" s="264"/>
      <c r="AM190" s="264"/>
      <c r="AN190" s="264"/>
      <c r="AO190" s="264"/>
      <c r="AP190" s="264"/>
      <c r="AQ190" s="264"/>
      <c r="AR190" s="264"/>
      <c r="AS190" s="264"/>
      <c r="AT190" s="264"/>
      <c r="AU190" s="264"/>
      <c r="AV190" s="264"/>
      <c r="AW190" s="264"/>
      <c r="AX190" s="264"/>
      <c r="AY190" s="264"/>
      <c r="AZ190" s="264"/>
      <c r="BA190" s="264"/>
      <c r="BB190" s="264"/>
      <c r="BC190" s="264"/>
    </row>
    <row r="191" spans="1:55" s="157" customFormat="1" ht="15" customHeight="1" x14ac:dyDescent="0.15">
      <c r="A191" s="181">
        <v>42921</v>
      </c>
      <c r="B191" s="182" t="s">
        <v>37</v>
      </c>
      <c r="C191" s="183">
        <f>72500+4014</f>
        <v>76514</v>
      </c>
      <c r="D191" s="184">
        <f>32643+13715</f>
        <v>46358</v>
      </c>
      <c r="E191" s="184">
        <f>91503+32643</f>
        <v>124146</v>
      </c>
      <c r="F191" s="185">
        <v>6258</v>
      </c>
      <c r="G191" s="184">
        <v>4026</v>
      </c>
      <c r="H191" s="186"/>
      <c r="I191" s="186"/>
      <c r="J191" s="210">
        <f t="shared" si="43"/>
        <v>77788</v>
      </c>
      <c r="K191" s="184">
        <v>197</v>
      </c>
      <c r="L191" s="184">
        <v>555</v>
      </c>
      <c r="M191" s="211">
        <f t="shared" si="44"/>
        <v>522</v>
      </c>
      <c r="N191" s="212">
        <f t="shared" si="59"/>
        <v>349945</v>
      </c>
      <c r="O191" s="215">
        <f t="shared" si="59"/>
        <v>244458</v>
      </c>
      <c r="P191" s="214">
        <f t="shared" si="59"/>
        <v>600390</v>
      </c>
      <c r="Q191" s="229">
        <f t="shared" si="58"/>
        <v>11928267</v>
      </c>
      <c r="R191" s="213">
        <f t="shared" si="58"/>
        <v>6149749</v>
      </c>
      <c r="S191" s="230">
        <f t="shared" si="58"/>
        <v>18377070.739999998</v>
      </c>
      <c r="T191" s="231">
        <f>N191/'2017'!N191-1</f>
        <v>0.42809629330362431</v>
      </c>
      <c r="U191" s="232">
        <f>O191/'2017'!O191-1</f>
        <v>2.1362468403350876E-2</v>
      </c>
      <c r="V191" s="232">
        <f>P191/'2017'!P191-1</f>
        <v>0.184341342170671</v>
      </c>
      <c r="W191" s="232">
        <f>Q191/'2017'!Q191-1</f>
        <v>0.12035358439285915</v>
      </c>
      <c r="X191" s="232">
        <f>R191/'2017'!R191-1</f>
        <v>0.15299564243602104</v>
      </c>
      <c r="Y191" s="249">
        <f>S191/'2017'!S191-1</f>
        <v>0.12055241145868978</v>
      </c>
      <c r="Z191" s="250">
        <v>55.49</v>
      </c>
      <c r="AA191" s="251">
        <f t="shared" si="49"/>
        <v>1137.3367000000001</v>
      </c>
      <c r="AB191" s="252">
        <v>4283.88</v>
      </c>
      <c r="AC191" s="211">
        <f t="shared" si="50"/>
        <v>2654.9219399236204</v>
      </c>
      <c r="AD191" s="252">
        <f t="shared" si="45"/>
        <v>12227321.739999998</v>
      </c>
      <c r="AE191" s="184">
        <f t="shared" si="47"/>
        <v>114006.77</v>
      </c>
      <c r="AF191" s="184">
        <f t="shared" si="57"/>
        <v>44510.069999999992</v>
      </c>
      <c r="AG191" s="211">
        <f t="shared" si="46"/>
        <v>140537.89999999834</v>
      </c>
      <c r="AH191" s="263"/>
      <c r="AI191" s="264"/>
      <c r="AJ191" s="264"/>
      <c r="AK191" s="264"/>
      <c r="AL191" s="264"/>
      <c r="AM191" s="264"/>
      <c r="AN191" s="264"/>
      <c r="AO191" s="264"/>
      <c r="AP191" s="264"/>
      <c r="AQ191" s="264"/>
      <c r="AR191" s="264"/>
      <c r="AS191" s="264"/>
      <c r="AT191" s="264"/>
      <c r="AU191" s="264"/>
      <c r="AV191" s="264"/>
      <c r="AW191" s="264"/>
      <c r="AX191" s="264"/>
      <c r="AY191" s="264"/>
      <c r="AZ191" s="264"/>
      <c r="BA191" s="264"/>
      <c r="BB191" s="264"/>
      <c r="BC191" s="264"/>
    </row>
    <row r="192" spans="1:55" ht="15" customHeight="1" x14ac:dyDescent="0.15">
      <c r="A192" s="180">
        <v>42922</v>
      </c>
      <c r="B192" s="175" t="s">
        <v>38</v>
      </c>
      <c r="C192" s="176">
        <f>68340+4151</f>
        <v>72491</v>
      </c>
      <c r="D192" s="177">
        <f>13874+33956</f>
        <v>47830</v>
      </c>
      <c r="E192" s="177">
        <f>88067+33956</f>
        <v>122023</v>
      </c>
      <c r="F192" s="178">
        <v>6105</v>
      </c>
      <c r="G192" s="177">
        <v>3937</v>
      </c>
      <c r="H192" s="179"/>
      <c r="I192" s="179"/>
      <c r="J192" s="204">
        <f t="shared" si="43"/>
        <v>74193</v>
      </c>
      <c r="K192" s="177">
        <v>517</v>
      </c>
      <c r="L192" s="177">
        <v>579</v>
      </c>
      <c r="M192" s="205">
        <f t="shared" si="44"/>
        <v>606</v>
      </c>
      <c r="N192" s="206">
        <f t="shared" si="59"/>
        <v>422436</v>
      </c>
      <c r="O192" s="209">
        <f t="shared" si="59"/>
        <v>292288</v>
      </c>
      <c r="P192" s="208">
        <f t="shared" si="59"/>
        <v>722413</v>
      </c>
      <c r="Q192" s="225">
        <f t="shared" si="58"/>
        <v>12000758</v>
      </c>
      <c r="R192" s="207">
        <f t="shared" si="58"/>
        <v>6197579</v>
      </c>
      <c r="S192" s="226">
        <f t="shared" si="58"/>
        <v>18499093.739999998</v>
      </c>
      <c r="T192" s="227">
        <f>N192/'2017'!N192-1</f>
        <v>0.40235631554311779</v>
      </c>
      <c r="U192" s="228">
        <f>O192/'2017'!O192-1</f>
        <v>7.5005515111405963E-3</v>
      </c>
      <c r="V192" s="228">
        <f>P192/'2017'!P192-1</f>
        <v>0.16729279875387593</v>
      </c>
      <c r="W192" s="228">
        <f>Q192/'2017'!Q192-1</f>
        <v>0.1212447618414787</v>
      </c>
      <c r="X192" s="228">
        <f>R192/'2017'!R192-1</f>
        <v>0.15100768300603162</v>
      </c>
      <c r="Y192" s="244">
        <f>S192/'2017'!S192-1</f>
        <v>0.12034586307431971</v>
      </c>
      <c r="Z192" s="245"/>
      <c r="AA192" s="246">
        <f t="shared" si="49"/>
        <v>1200.0758000000001</v>
      </c>
      <c r="AB192" s="247"/>
      <c r="AC192" s="248"/>
      <c r="AD192" s="247">
        <f t="shared" si="45"/>
        <v>12301514.739999998</v>
      </c>
      <c r="AE192" s="177">
        <f t="shared" si="47"/>
        <v>114523.77</v>
      </c>
      <c r="AF192" s="177">
        <f t="shared" si="57"/>
        <v>45089.069999999992</v>
      </c>
      <c r="AG192" s="248">
        <f t="shared" si="46"/>
        <v>141143.89999999834</v>
      </c>
      <c r="AH192" s="263"/>
      <c r="AI192" s="264"/>
      <c r="AJ192" s="264"/>
      <c r="AK192" s="264"/>
      <c r="AL192" s="264"/>
      <c r="AM192" s="264"/>
      <c r="AN192" s="264"/>
      <c r="AO192" s="264"/>
      <c r="AP192" s="264"/>
      <c r="AQ192" s="264"/>
      <c r="AR192" s="264"/>
      <c r="AS192" s="264"/>
      <c r="AT192" s="264"/>
      <c r="AU192" s="264"/>
      <c r="AV192" s="264"/>
      <c r="AW192" s="264"/>
      <c r="AX192" s="264"/>
      <c r="AY192" s="264"/>
      <c r="AZ192" s="264"/>
      <c r="BA192" s="264"/>
      <c r="BB192" s="264"/>
      <c r="BC192" s="264"/>
    </row>
    <row r="193" spans="1:55" ht="15" customHeight="1" x14ac:dyDescent="0.15">
      <c r="A193" s="180">
        <v>42923</v>
      </c>
      <c r="B193" s="175" t="s">
        <v>39</v>
      </c>
      <c r="C193" s="176">
        <f>64006+4183</f>
        <v>68189</v>
      </c>
      <c r="D193" s="177">
        <f>14123+34711</f>
        <v>48834</v>
      </c>
      <c r="E193" s="177">
        <f>85637+34711</f>
        <v>120348</v>
      </c>
      <c r="F193" s="178">
        <v>5892</v>
      </c>
      <c r="G193" s="177">
        <v>3903</v>
      </c>
      <c r="H193" s="179"/>
      <c r="I193" s="179"/>
      <c r="J193" s="204">
        <f t="shared" si="43"/>
        <v>71514</v>
      </c>
      <c r="K193" s="177">
        <v>1585</v>
      </c>
      <c r="L193" s="177">
        <v>823</v>
      </c>
      <c r="M193" s="205">
        <f t="shared" si="44"/>
        <v>917</v>
      </c>
      <c r="N193" s="206">
        <f t="shared" si="59"/>
        <v>490625</v>
      </c>
      <c r="O193" s="209">
        <f t="shared" si="59"/>
        <v>341122</v>
      </c>
      <c r="P193" s="208">
        <f t="shared" si="59"/>
        <v>842761</v>
      </c>
      <c r="Q193" s="225">
        <f t="shared" si="58"/>
        <v>12068947</v>
      </c>
      <c r="R193" s="207">
        <f t="shared" si="58"/>
        <v>6246413</v>
      </c>
      <c r="S193" s="226">
        <f t="shared" si="58"/>
        <v>18619441.739999998</v>
      </c>
      <c r="T193" s="227">
        <f>N193/'2017'!N193-1</f>
        <v>0.35434120703029026</v>
      </c>
      <c r="U193" s="228">
        <f>O193/'2017'!O193-1</f>
        <v>-1.4109905036240322E-3</v>
      </c>
      <c r="V193" s="228">
        <f>P193/'2017'!P193-1</f>
        <v>0.14464668196011488</v>
      </c>
      <c r="W193" s="228">
        <f>Q193/'2017'!Q193-1</f>
        <v>0.12122262107424309</v>
      </c>
      <c r="X193" s="228">
        <f>R193/'2017'!R193-1</f>
        <v>0.14908830489040326</v>
      </c>
      <c r="Y193" s="244">
        <f>S193/'2017'!S193-1</f>
        <v>0.11967459870074726</v>
      </c>
      <c r="Z193" s="245"/>
      <c r="AA193" s="246">
        <f t="shared" si="49"/>
        <v>1206.8947000000001</v>
      </c>
      <c r="AB193" s="247"/>
      <c r="AC193" s="248"/>
      <c r="AD193" s="247">
        <f t="shared" si="45"/>
        <v>12373028.739999998</v>
      </c>
      <c r="AE193" s="177">
        <f t="shared" si="47"/>
        <v>116108.77</v>
      </c>
      <c r="AF193" s="177">
        <f t="shared" si="57"/>
        <v>45912.069999999992</v>
      </c>
      <c r="AG193" s="248">
        <f t="shared" si="46"/>
        <v>142060.89999999834</v>
      </c>
      <c r="AH193" s="263"/>
      <c r="AI193" s="264"/>
      <c r="AJ193" s="264"/>
      <c r="AK193" s="264"/>
      <c r="AL193" s="264"/>
      <c r="AM193" s="264"/>
      <c r="AN193" s="264"/>
      <c r="AO193" s="264"/>
      <c r="AP193" s="264"/>
      <c r="AQ193" s="264"/>
      <c r="AR193" s="264"/>
      <c r="AS193" s="264"/>
      <c r="AT193" s="264"/>
      <c r="AU193" s="264"/>
      <c r="AV193" s="264"/>
      <c r="AW193" s="264"/>
      <c r="AX193" s="264"/>
      <c r="AY193" s="264"/>
      <c r="AZ193" s="264"/>
      <c r="BA193" s="264"/>
      <c r="BB193" s="264"/>
      <c r="BC193" s="264"/>
    </row>
    <row r="194" spans="1:55" ht="15" customHeight="1" x14ac:dyDescent="0.15">
      <c r="A194" s="180">
        <v>42924</v>
      </c>
      <c r="B194" s="175" t="s">
        <v>1</v>
      </c>
      <c r="C194" s="176">
        <f>62119+3414</f>
        <v>65533</v>
      </c>
      <c r="D194" s="177">
        <f>14337+34245</f>
        <v>48582</v>
      </c>
      <c r="E194" s="177">
        <f>83807+34245</f>
        <v>118052</v>
      </c>
      <c r="F194" s="178">
        <v>5557</v>
      </c>
      <c r="G194" s="177">
        <v>4011</v>
      </c>
      <c r="H194" s="179"/>
      <c r="I194" s="179"/>
      <c r="J194" s="204">
        <f t="shared" si="43"/>
        <v>69470</v>
      </c>
      <c r="K194" s="177">
        <v>2090</v>
      </c>
      <c r="L194" s="177">
        <v>633</v>
      </c>
      <c r="M194" s="205">
        <f t="shared" si="44"/>
        <v>1214</v>
      </c>
      <c r="N194" s="206">
        <f t="shared" si="59"/>
        <v>556158</v>
      </c>
      <c r="O194" s="209">
        <f t="shared" si="59"/>
        <v>389704</v>
      </c>
      <c r="P194" s="208">
        <f t="shared" si="59"/>
        <v>960813</v>
      </c>
      <c r="Q194" s="225">
        <f t="shared" si="58"/>
        <v>12134480</v>
      </c>
      <c r="R194" s="207">
        <f t="shared" si="58"/>
        <v>6294995</v>
      </c>
      <c r="S194" s="226">
        <f t="shared" si="58"/>
        <v>18737493.739999998</v>
      </c>
      <c r="T194" s="227">
        <f>N194/'2017'!N194-1</f>
        <v>0.31679598065143932</v>
      </c>
      <c r="U194" s="228">
        <f>O194/'2017'!O194-1</f>
        <v>-9.9587423531085628E-3</v>
      </c>
      <c r="V194" s="228">
        <f>P194/'2017'!P194-1</f>
        <v>0.12649574052492496</v>
      </c>
      <c r="W194" s="228">
        <f>Q194/'2017'!Q194-1</f>
        <v>0.12105189287783058</v>
      </c>
      <c r="X194" s="228">
        <f>R194/'2017'!R194-1</f>
        <v>0.1470486569498175</v>
      </c>
      <c r="Y194" s="244">
        <f>S194/'2017'!S194-1</f>
        <v>0.1189240836510066</v>
      </c>
      <c r="Z194" s="245"/>
      <c r="AA194" s="246">
        <f t="shared" si="49"/>
        <v>1213.4480000000001</v>
      </c>
      <c r="AB194" s="247"/>
      <c r="AC194" s="248"/>
      <c r="AD194" s="247">
        <f t="shared" si="45"/>
        <v>12442498.739999998</v>
      </c>
      <c r="AE194" s="177">
        <f t="shared" si="47"/>
        <v>118198.77</v>
      </c>
      <c r="AF194" s="177">
        <f t="shared" si="57"/>
        <v>46545.069999999992</v>
      </c>
      <c r="AG194" s="248">
        <f t="shared" si="46"/>
        <v>143274.89999999834</v>
      </c>
      <c r="AH194" s="263"/>
      <c r="AI194" s="264"/>
      <c r="AJ194" s="264"/>
      <c r="AK194" s="264"/>
      <c r="AL194" s="264"/>
      <c r="AM194" s="264"/>
      <c r="AN194" s="264"/>
      <c r="AO194" s="264"/>
      <c r="AP194" s="264"/>
      <c r="AQ194" s="264"/>
      <c r="AR194" s="264"/>
      <c r="AS194" s="264"/>
      <c r="AT194" s="264"/>
      <c r="AU194" s="264"/>
      <c r="AV194" s="264"/>
      <c r="AW194" s="264"/>
      <c r="AX194" s="264"/>
      <c r="AY194" s="264"/>
      <c r="AZ194" s="264"/>
      <c r="BA194" s="264"/>
      <c r="BB194" s="264"/>
      <c r="BC194" s="264"/>
    </row>
    <row r="195" spans="1:55" ht="15" customHeight="1" x14ac:dyDescent="0.15">
      <c r="A195" s="180">
        <v>42925</v>
      </c>
      <c r="B195" s="175" t="s">
        <v>34</v>
      </c>
      <c r="C195" s="176">
        <v>74809</v>
      </c>
      <c r="D195" s="177">
        <f>37800+10795</f>
        <v>48595</v>
      </c>
      <c r="E195" s="177">
        <f>127918</f>
        <v>127918</v>
      </c>
      <c r="F195" s="178">
        <v>6285</v>
      </c>
      <c r="G195" s="177">
        <v>4404.8</v>
      </c>
      <c r="H195" s="179"/>
      <c r="I195" s="179"/>
      <c r="J195" s="204">
        <f t="shared" si="43"/>
        <v>79323</v>
      </c>
      <c r="K195" s="177">
        <v>2262</v>
      </c>
      <c r="L195" s="177">
        <v>990</v>
      </c>
      <c r="M195" s="205">
        <f t="shared" si="44"/>
        <v>1262</v>
      </c>
      <c r="N195" s="206">
        <f t="shared" si="59"/>
        <v>630967</v>
      </c>
      <c r="O195" s="209">
        <f t="shared" si="59"/>
        <v>438299</v>
      </c>
      <c r="P195" s="208">
        <f t="shared" si="59"/>
        <v>1088731</v>
      </c>
      <c r="Q195" s="225">
        <f t="shared" si="58"/>
        <v>12209289</v>
      </c>
      <c r="R195" s="207">
        <f t="shared" si="58"/>
        <v>6343590</v>
      </c>
      <c r="S195" s="226">
        <f t="shared" si="58"/>
        <v>18865411.739999998</v>
      </c>
      <c r="T195" s="227">
        <f>N195/'2017'!N195-1</f>
        <v>0.32574196056184146</v>
      </c>
      <c r="U195" s="228">
        <f>O195/'2017'!O195-1</f>
        <v>-1.5100478855958999E-2</v>
      </c>
      <c r="V195" s="228">
        <f>P195/'2017'!P195-1</f>
        <v>0.13152528632896132</v>
      </c>
      <c r="W195" s="228">
        <f>Q195/'2017'!Q195-1</f>
        <v>0.12240743567828449</v>
      </c>
      <c r="X195" s="228">
        <f>R195/'2017'!R195-1</f>
        <v>0.14517885369286287</v>
      </c>
      <c r="Y195" s="244">
        <f>S195/'2017'!S195-1</f>
        <v>0.11926027519206928</v>
      </c>
      <c r="Z195" s="245"/>
      <c r="AA195" s="246">
        <f t="shared" si="49"/>
        <v>1220.9289000000001</v>
      </c>
      <c r="AB195" s="247"/>
      <c r="AC195" s="248"/>
      <c r="AD195" s="247">
        <f t="shared" si="45"/>
        <v>12521821.739999998</v>
      </c>
      <c r="AE195" s="177">
        <f t="shared" si="47"/>
        <v>120460.77</v>
      </c>
      <c r="AF195" s="177">
        <f t="shared" si="57"/>
        <v>47535.069999999992</v>
      </c>
      <c r="AG195" s="248">
        <f t="shared" si="46"/>
        <v>144536.89999999834</v>
      </c>
      <c r="AH195" s="263"/>
      <c r="AI195" s="264"/>
      <c r="AJ195" s="264"/>
      <c r="AK195" s="264"/>
      <c r="AL195" s="264"/>
      <c r="AM195" s="264"/>
      <c r="AN195" s="264"/>
      <c r="AO195" s="264"/>
      <c r="AP195" s="264"/>
      <c r="AQ195" s="264"/>
      <c r="AR195" s="264"/>
      <c r="AS195" s="264"/>
      <c r="AT195" s="264"/>
      <c r="AU195" s="264"/>
      <c r="AV195" s="264"/>
      <c r="AW195" s="264"/>
      <c r="AX195" s="264"/>
      <c r="AY195" s="264"/>
      <c r="AZ195" s="264"/>
      <c r="BA195" s="264"/>
      <c r="BB195" s="264"/>
      <c r="BC195" s="264"/>
    </row>
    <row r="196" spans="1:55" ht="15" customHeight="1" x14ac:dyDescent="0.15">
      <c r="A196" s="180">
        <v>42926</v>
      </c>
      <c r="B196" s="175" t="s">
        <v>35</v>
      </c>
      <c r="C196" s="176">
        <v>74470</v>
      </c>
      <c r="D196" s="177">
        <f>39305+10638</f>
        <v>49943</v>
      </c>
      <c r="E196" s="177">
        <v>128793</v>
      </c>
      <c r="F196" s="178">
        <v>6232.4</v>
      </c>
      <c r="G196" s="177">
        <v>4226.6000000000004</v>
      </c>
      <c r="H196" s="179"/>
      <c r="I196" s="179"/>
      <c r="J196" s="204">
        <f t="shared" si="43"/>
        <v>78850</v>
      </c>
      <c r="K196" s="177">
        <v>2052</v>
      </c>
      <c r="L196" s="177">
        <v>1066</v>
      </c>
      <c r="M196" s="205">
        <f t="shared" si="44"/>
        <v>1262</v>
      </c>
      <c r="N196" s="206">
        <f t="shared" si="59"/>
        <v>705437</v>
      </c>
      <c r="O196" s="209">
        <f t="shared" si="59"/>
        <v>488242</v>
      </c>
      <c r="P196" s="208">
        <f t="shared" si="59"/>
        <v>1217524</v>
      </c>
      <c r="Q196" s="225">
        <f t="shared" si="58"/>
        <v>12283759</v>
      </c>
      <c r="R196" s="207">
        <f t="shared" si="58"/>
        <v>6393533</v>
      </c>
      <c r="S196" s="226">
        <f t="shared" si="58"/>
        <v>18994204.739999998</v>
      </c>
      <c r="T196" s="227">
        <f>N196/'2017'!N196-1</f>
        <v>0.30689725443699278</v>
      </c>
      <c r="U196" s="228">
        <f>O196/'2017'!O196-1</f>
        <v>-1.1183480367139009E-2</v>
      </c>
      <c r="V196" s="228">
        <f>P196/'2017'!P196-1</f>
        <v>0.12839647595056847</v>
      </c>
      <c r="W196" s="228">
        <f>Q196/'2017'!Q196-1</f>
        <v>0.12266424397233155</v>
      </c>
      <c r="X196" s="228">
        <f>R196/'2017'!R196-1</f>
        <v>0.14412684880621129</v>
      </c>
      <c r="Y196" s="244">
        <f>S196/'2017'!S196-1</f>
        <v>0.11914577429097273</v>
      </c>
      <c r="Z196" s="245"/>
      <c r="AA196" s="246">
        <f t="shared" si="49"/>
        <v>1228.3759</v>
      </c>
      <c r="AB196" s="247"/>
      <c r="AC196" s="248"/>
      <c r="AD196" s="247">
        <f t="shared" si="45"/>
        <v>12600671.739999998</v>
      </c>
      <c r="AE196" s="177">
        <f t="shared" si="47"/>
        <v>122512.77</v>
      </c>
      <c r="AF196" s="177">
        <f t="shared" si="57"/>
        <v>48601.069999999992</v>
      </c>
      <c r="AG196" s="248">
        <f t="shared" si="46"/>
        <v>145798.89999999834</v>
      </c>
      <c r="AH196" s="263"/>
      <c r="AI196" s="264"/>
      <c r="AJ196" s="264"/>
      <c r="AK196" s="264"/>
      <c r="AL196" s="264"/>
      <c r="AM196" s="264"/>
      <c r="AN196" s="264"/>
      <c r="AO196" s="264"/>
      <c r="AP196" s="264"/>
      <c r="AQ196" s="264"/>
      <c r="AR196" s="264"/>
      <c r="AS196" s="264"/>
      <c r="AT196" s="264"/>
      <c r="AU196" s="264"/>
      <c r="AV196" s="264"/>
      <c r="AW196" s="264"/>
      <c r="AX196" s="264"/>
      <c r="AY196" s="264"/>
      <c r="AZ196" s="264"/>
      <c r="BA196" s="264"/>
      <c r="BB196" s="264"/>
      <c r="BC196" s="264"/>
    </row>
    <row r="197" spans="1:55" ht="15" customHeight="1" x14ac:dyDescent="0.15">
      <c r="A197" s="180">
        <v>42927</v>
      </c>
      <c r="B197" s="175" t="s">
        <v>36</v>
      </c>
      <c r="C197" s="176">
        <v>76574</v>
      </c>
      <c r="D197" s="177">
        <f>27953+10603</f>
        <v>38556</v>
      </c>
      <c r="E197" s="177">
        <v>119074</v>
      </c>
      <c r="F197" s="178">
        <v>5691.2</v>
      </c>
      <c r="G197" s="177">
        <v>4120.3</v>
      </c>
      <c r="H197" s="179"/>
      <c r="I197" s="179"/>
      <c r="J197" s="204">
        <f t="shared" ref="J197:J260" si="60">E197-D197</f>
        <v>80518</v>
      </c>
      <c r="K197" s="177">
        <v>1674</v>
      </c>
      <c r="L197" s="177">
        <v>1066</v>
      </c>
      <c r="M197" s="205">
        <f t="shared" si="44"/>
        <v>1204</v>
      </c>
      <c r="N197" s="206">
        <f t="shared" si="59"/>
        <v>782011</v>
      </c>
      <c r="O197" s="209">
        <f t="shared" si="59"/>
        <v>526798</v>
      </c>
      <c r="P197" s="208">
        <f t="shared" si="59"/>
        <v>1336598</v>
      </c>
      <c r="Q197" s="225">
        <f t="shared" si="58"/>
        <v>12360333</v>
      </c>
      <c r="R197" s="207">
        <f t="shared" si="58"/>
        <v>6432089</v>
      </c>
      <c r="S197" s="226">
        <f t="shared" si="58"/>
        <v>19113278.739999998</v>
      </c>
      <c r="T197" s="227">
        <f>N197/'2017'!N197-1</f>
        <v>0.28714649232825384</v>
      </c>
      <c r="U197" s="228">
        <f>O197/'2017'!O197-1</f>
        <v>-2.7076842383264466E-2</v>
      </c>
      <c r="V197" s="228">
        <f>P197/'2017'!P197-1</f>
        <v>0.11523872619288</v>
      </c>
      <c r="W197" s="228">
        <f>Q197/'2017'!Q197-1</f>
        <v>0.12270843839272128</v>
      </c>
      <c r="X197" s="228">
        <f>R197/'2017'!R197-1</f>
        <v>0.14128553958708467</v>
      </c>
      <c r="Y197" s="244">
        <f>S197/'2017'!S197-1</f>
        <v>0.11828781144440303</v>
      </c>
      <c r="Z197" s="245"/>
      <c r="AA197" s="246">
        <f t="shared" si="49"/>
        <v>1236.0333000000001</v>
      </c>
      <c r="AB197" s="247"/>
      <c r="AC197" s="248"/>
      <c r="AD197" s="247">
        <f t="shared" si="45"/>
        <v>12681189.739999998</v>
      </c>
      <c r="AE197" s="177">
        <f t="shared" si="47"/>
        <v>124186.77</v>
      </c>
      <c r="AF197" s="177">
        <f t="shared" si="57"/>
        <v>49667.069999999992</v>
      </c>
      <c r="AG197" s="248">
        <f t="shared" si="46"/>
        <v>147002.89999999834</v>
      </c>
      <c r="AH197" s="263"/>
      <c r="AI197" s="264"/>
      <c r="AJ197" s="264"/>
      <c r="AK197" s="264"/>
      <c r="AL197" s="264"/>
      <c r="AM197" s="264"/>
      <c r="AN197" s="264"/>
      <c r="AO197" s="264"/>
      <c r="AP197" s="264"/>
      <c r="AQ197" s="264"/>
      <c r="AR197" s="264"/>
      <c r="AS197" s="264"/>
      <c r="AT197" s="264"/>
      <c r="AU197" s="264"/>
      <c r="AV197" s="264"/>
      <c r="AW197" s="264"/>
      <c r="AX197" s="264"/>
      <c r="AY197" s="264"/>
      <c r="AZ197" s="264"/>
      <c r="BA197" s="264"/>
      <c r="BB197" s="264"/>
      <c r="BC197" s="264"/>
    </row>
    <row r="198" spans="1:55" s="157" customFormat="1" ht="15" customHeight="1" x14ac:dyDescent="0.15">
      <c r="A198" s="181">
        <v>42928</v>
      </c>
      <c r="B198" s="182" t="s">
        <v>37</v>
      </c>
      <c r="C198" s="183">
        <v>74735</v>
      </c>
      <c r="D198" s="184">
        <f>9656+37040</f>
        <v>46696</v>
      </c>
      <c r="E198" s="184">
        <v>124810</v>
      </c>
      <c r="F198" s="185">
        <v>6137</v>
      </c>
      <c r="G198" s="184">
        <v>3920</v>
      </c>
      <c r="H198" s="186"/>
      <c r="I198" s="186"/>
      <c r="J198" s="210">
        <f t="shared" si="60"/>
        <v>78114</v>
      </c>
      <c r="K198" s="184">
        <v>835</v>
      </c>
      <c r="L198" s="184">
        <v>1063</v>
      </c>
      <c r="M198" s="211">
        <f t="shared" ref="M198:M261" si="61">J198-K198-L198-C198</f>
        <v>1481</v>
      </c>
      <c r="N198" s="212">
        <f t="shared" si="59"/>
        <v>856746</v>
      </c>
      <c r="O198" s="215">
        <f t="shared" si="59"/>
        <v>573494</v>
      </c>
      <c r="P198" s="214">
        <f t="shared" si="59"/>
        <v>1461408</v>
      </c>
      <c r="Q198" s="229">
        <f t="shared" si="58"/>
        <v>12435068</v>
      </c>
      <c r="R198" s="213">
        <f t="shared" si="58"/>
        <v>6478785</v>
      </c>
      <c r="S198" s="230">
        <f t="shared" si="58"/>
        <v>19238088.739999998</v>
      </c>
      <c r="T198" s="231">
        <f>N198/'2017'!N198-1</f>
        <v>0.25884131692974988</v>
      </c>
      <c r="U198" s="232">
        <f>O198/'2017'!O198-1</f>
        <v>-2.6958700878715547E-2</v>
      </c>
      <c r="V198" s="232">
        <f>P198/'2017'!P198-1</f>
        <v>0.10459423730581463</v>
      </c>
      <c r="W198" s="232">
        <f>Q198/'2017'!Q198-1</f>
        <v>0.12205377303983944</v>
      </c>
      <c r="X198" s="232">
        <f>R198/'2017'!R198-1</f>
        <v>0.139878200174814</v>
      </c>
      <c r="Y198" s="249">
        <f>S198/'2017'!S198-1</f>
        <v>0.11744774401592717</v>
      </c>
      <c r="Z198" s="250">
        <v>57.99</v>
      </c>
      <c r="AA198" s="251">
        <f t="shared" si="49"/>
        <v>1185.5168000000001</v>
      </c>
      <c r="AB198" s="252">
        <v>4283.88</v>
      </c>
      <c r="AC198" s="211">
        <f t="shared" si="50"/>
        <v>2767.3903097192269</v>
      </c>
      <c r="AD198" s="252">
        <f t="shared" ref="AD198:AD261" si="62">S198-R198</f>
        <v>12759303.739999998</v>
      </c>
      <c r="AE198" s="184">
        <f t="shared" si="47"/>
        <v>125021.77</v>
      </c>
      <c r="AF198" s="184">
        <f t="shared" si="57"/>
        <v>50730.069999999992</v>
      </c>
      <c r="AG198" s="211">
        <f t="shared" ref="AG198:AG261" si="63">AD198-Q198-AE198-AF198</f>
        <v>148483.89999999834</v>
      </c>
      <c r="AH198" s="263"/>
      <c r="AI198" s="264"/>
      <c r="AJ198" s="264"/>
      <c r="AK198" s="264"/>
      <c r="AL198" s="264"/>
      <c r="AM198" s="264"/>
      <c r="AN198" s="264"/>
      <c r="AO198" s="264"/>
      <c r="AP198" s="264"/>
      <c r="AQ198" s="264"/>
      <c r="AR198" s="264"/>
      <c r="AS198" s="264"/>
      <c r="AT198" s="264"/>
      <c r="AU198" s="264"/>
      <c r="AV198" s="264"/>
      <c r="AW198" s="264"/>
      <c r="AX198" s="264"/>
      <c r="AY198" s="264"/>
      <c r="AZ198" s="264"/>
      <c r="BA198" s="264"/>
      <c r="BB198" s="264"/>
      <c r="BC198" s="264"/>
    </row>
    <row r="199" spans="1:55" ht="15" customHeight="1" x14ac:dyDescent="0.15">
      <c r="A199" s="180">
        <v>42929</v>
      </c>
      <c r="B199" s="175" t="s">
        <v>38</v>
      </c>
      <c r="C199" s="176">
        <f>70498+4877</f>
        <v>75375</v>
      </c>
      <c r="D199" s="177">
        <f>39921+11214</f>
        <v>51135</v>
      </c>
      <c r="E199" s="177">
        <f>89841+39921</f>
        <v>129762</v>
      </c>
      <c r="F199" s="178">
        <v>6306</v>
      </c>
      <c r="G199" s="177">
        <v>4209</v>
      </c>
      <c r="H199" s="179"/>
      <c r="I199" s="179"/>
      <c r="J199" s="204">
        <f t="shared" si="60"/>
        <v>78627</v>
      </c>
      <c r="K199" s="177">
        <v>604</v>
      </c>
      <c r="L199" s="177">
        <v>1236</v>
      </c>
      <c r="M199" s="205">
        <f t="shared" si="61"/>
        <v>1412</v>
      </c>
      <c r="N199" s="206">
        <f t="shared" si="59"/>
        <v>932121</v>
      </c>
      <c r="O199" s="209">
        <f t="shared" si="59"/>
        <v>624629</v>
      </c>
      <c r="P199" s="208">
        <f t="shared" si="59"/>
        <v>1591170</v>
      </c>
      <c r="Q199" s="225">
        <f t="shared" si="58"/>
        <v>12510443</v>
      </c>
      <c r="R199" s="207">
        <f t="shared" si="58"/>
        <v>6529920</v>
      </c>
      <c r="S199" s="226">
        <f t="shared" si="58"/>
        <v>19367850.739999998</v>
      </c>
      <c r="T199" s="227">
        <f>N199/'2017'!N199-1</f>
        <v>0.23542205657816617</v>
      </c>
      <c r="U199" s="228">
        <f>O199/'2017'!O199-1</f>
        <v>-2.3339629367873926E-2</v>
      </c>
      <c r="V199" s="228">
        <f>P199/'2017'!P199-1</f>
        <v>9.7376784167461983E-2</v>
      </c>
      <c r="W199" s="228">
        <f>Q199/'2017'!Q199-1</f>
        <v>0.12137618816994911</v>
      </c>
      <c r="X199" s="228">
        <f>R199/'2017'!R199-1</f>
        <v>0.13882201110059866</v>
      </c>
      <c r="Y199" s="244">
        <f>S199/'2017'!S199-1</f>
        <v>0.11675023830306408</v>
      </c>
      <c r="Z199" s="245"/>
      <c r="AA199" s="246">
        <f t="shared" si="49"/>
        <v>1251.0443</v>
      </c>
      <c r="AB199" s="247"/>
      <c r="AC199" s="248"/>
      <c r="AD199" s="247">
        <f t="shared" si="62"/>
        <v>12837930.739999998</v>
      </c>
      <c r="AE199" s="177">
        <f t="shared" ref="AE199:AE262" si="64">AE198+K199</f>
        <v>125625.77</v>
      </c>
      <c r="AF199" s="177">
        <f t="shared" ref="AF199:AF214" si="65">AF198+L199</f>
        <v>51966.069999999992</v>
      </c>
      <c r="AG199" s="248">
        <f t="shared" si="63"/>
        <v>149895.89999999834</v>
      </c>
      <c r="AH199" s="263"/>
      <c r="AI199" s="264"/>
      <c r="AJ199" s="264"/>
      <c r="AK199" s="264"/>
      <c r="AL199" s="264"/>
      <c r="AM199" s="264"/>
      <c r="AN199" s="264"/>
      <c r="AO199" s="264"/>
      <c r="AP199" s="264"/>
      <c r="AQ199" s="264"/>
      <c r="AR199" s="264"/>
      <c r="AS199" s="264"/>
      <c r="AT199" s="264"/>
      <c r="AU199" s="264"/>
      <c r="AV199" s="264"/>
      <c r="AW199" s="264"/>
      <c r="AX199" s="264"/>
      <c r="AY199" s="264"/>
      <c r="AZ199" s="264"/>
      <c r="BA199" s="264"/>
      <c r="BB199" s="264"/>
      <c r="BC199" s="264"/>
    </row>
    <row r="200" spans="1:55" ht="15" customHeight="1" x14ac:dyDescent="0.15">
      <c r="A200" s="180">
        <v>42930</v>
      </c>
      <c r="B200" s="175" t="s">
        <v>39</v>
      </c>
      <c r="C200" s="176">
        <f>68350+4865</f>
        <v>73215</v>
      </c>
      <c r="D200" s="177">
        <f>13743+37827</f>
        <v>51570</v>
      </c>
      <c r="E200" s="177">
        <f>90089+37827</f>
        <v>127916</v>
      </c>
      <c r="F200" s="178">
        <v>6150</v>
      </c>
      <c r="G200" s="177">
        <v>4267</v>
      </c>
      <c r="H200" s="179"/>
      <c r="I200" s="179"/>
      <c r="J200" s="204">
        <f t="shared" si="60"/>
        <v>76346</v>
      </c>
      <c r="K200" s="177">
        <v>442</v>
      </c>
      <c r="L200" s="177">
        <v>1300</v>
      </c>
      <c r="M200" s="205">
        <f t="shared" si="61"/>
        <v>1389</v>
      </c>
      <c r="N200" s="206">
        <f t="shared" si="59"/>
        <v>1005336</v>
      </c>
      <c r="O200" s="209">
        <f t="shared" si="59"/>
        <v>676199</v>
      </c>
      <c r="P200" s="208">
        <f t="shared" si="59"/>
        <v>1719086</v>
      </c>
      <c r="Q200" s="225">
        <f t="shared" si="58"/>
        <v>12583658</v>
      </c>
      <c r="R200" s="207">
        <f t="shared" si="58"/>
        <v>6581490</v>
      </c>
      <c r="S200" s="226">
        <f t="shared" si="58"/>
        <v>19495766.739999998</v>
      </c>
      <c r="T200" s="227">
        <f>N200/'2017'!N200-1</f>
        <v>0.21267710627703496</v>
      </c>
      <c r="U200" s="228">
        <f>O200/'2017'!O200-1</f>
        <v>-2.0509648617094367E-2</v>
      </c>
      <c r="V200" s="228">
        <f>P200/'2017'!P200-1</f>
        <v>8.9276956513474337E-2</v>
      </c>
      <c r="W200" s="228">
        <f>Q200/'2017'!Q200-1</f>
        <v>0.12045402501134506</v>
      </c>
      <c r="X200" s="228">
        <f>R200/'2017'!R200-1</f>
        <v>0.13773562693624086</v>
      </c>
      <c r="Y200" s="244">
        <f>S200/'2017'!S200-1</f>
        <v>0.11587640235395247</v>
      </c>
      <c r="Z200" s="245"/>
      <c r="AA200" s="246">
        <f t="shared" si="49"/>
        <v>1258.3658</v>
      </c>
      <c r="AB200" s="247"/>
      <c r="AC200" s="248"/>
      <c r="AD200" s="247">
        <f t="shared" si="62"/>
        <v>12914276.739999998</v>
      </c>
      <c r="AE200" s="177">
        <f t="shared" si="64"/>
        <v>126067.77</v>
      </c>
      <c r="AF200" s="177">
        <f t="shared" si="65"/>
        <v>53266.069999999992</v>
      </c>
      <c r="AG200" s="248">
        <f t="shared" si="63"/>
        <v>151284.89999999834</v>
      </c>
      <c r="AH200" s="263"/>
      <c r="AI200" s="264"/>
      <c r="AJ200" s="264"/>
      <c r="AK200" s="264"/>
      <c r="AL200" s="264"/>
      <c r="AM200" s="264"/>
      <c r="AN200" s="264"/>
      <c r="AO200" s="264"/>
      <c r="AP200" s="264"/>
      <c r="AQ200" s="264"/>
      <c r="AR200" s="264"/>
      <c r="AS200" s="264"/>
      <c r="AT200" s="264"/>
      <c r="AU200" s="264"/>
      <c r="AV200" s="264"/>
      <c r="AW200" s="264"/>
      <c r="AX200" s="264"/>
      <c r="AY200" s="264"/>
      <c r="AZ200" s="264"/>
      <c r="BA200" s="264"/>
      <c r="BB200" s="264"/>
      <c r="BC200" s="264"/>
    </row>
    <row r="201" spans="1:55" ht="15" customHeight="1" x14ac:dyDescent="0.15">
      <c r="A201" s="180">
        <v>42931</v>
      </c>
      <c r="B201" s="175" t="s">
        <v>1</v>
      </c>
      <c r="C201" s="176">
        <v>65648</v>
      </c>
      <c r="D201" s="177">
        <f>10924+42012</f>
        <v>52936</v>
      </c>
      <c r="E201" s="177">
        <v>121502</v>
      </c>
      <c r="F201" s="178">
        <v>5630</v>
      </c>
      <c r="G201" s="177">
        <v>5630</v>
      </c>
      <c r="H201" s="179"/>
      <c r="I201" s="179"/>
      <c r="J201" s="204">
        <f t="shared" si="60"/>
        <v>68566</v>
      </c>
      <c r="K201" s="177">
        <v>302</v>
      </c>
      <c r="L201" s="177">
        <v>1307</v>
      </c>
      <c r="M201" s="205">
        <f t="shared" si="61"/>
        <v>1309</v>
      </c>
      <c r="N201" s="206">
        <f t="shared" si="59"/>
        <v>1070984</v>
      </c>
      <c r="O201" s="209">
        <f t="shared" si="59"/>
        <v>729135</v>
      </c>
      <c r="P201" s="208">
        <f t="shared" si="59"/>
        <v>1840588</v>
      </c>
      <c r="Q201" s="225">
        <f t="shared" si="58"/>
        <v>12649306</v>
      </c>
      <c r="R201" s="207">
        <f t="shared" si="58"/>
        <v>6634426</v>
      </c>
      <c r="S201" s="226">
        <f t="shared" si="58"/>
        <v>19617268.739999998</v>
      </c>
      <c r="T201" s="227">
        <f>N201/'2017'!N201-1</f>
        <v>0.1906370726121589</v>
      </c>
      <c r="U201" s="228">
        <f>O201/'2017'!O201-1</f>
        <v>-1.91637935325224E-2</v>
      </c>
      <c r="V201" s="228">
        <f>P201/'2017'!P201-1</f>
        <v>8.031070140242913E-2</v>
      </c>
      <c r="W201" s="228">
        <f>Q201/'2017'!Q201-1</f>
        <v>0.11927496465005216</v>
      </c>
      <c r="X201" s="228">
        <f>R201/'2017'!R201-1</f>
        <v>0.13646970151171267</v>
      </c>
      <c r="Y201" s="244">
        <f>S201/'2017'!S201-1</f>
        <v>0.11481846349682012</v>
      </c>
      <c r="Z201" s="245"/>
      <c r="AA201" s="246">
        <f t="shared" ref="AA201:AA264" si="66">Q201/10000-Z201</f>
        <v>1264.9305999999999</v>
      </c>
      <c r="AB201" s="247"/>
      <c r="AC201" s="248"/>
      <c r="AD201" s="247">
        <f t="shared" si="62"/>
        <v>12982842.739999998</v>
      </c>
      <c r="AE201" s="177">
        <f t="shared" si="64"/>
        <v>126369.77</v>
      </c>
      <c r="AF201" s="177">
        <f t="shared" si="65"/>
        <v>54573.069999999992</v>
      </c>
      <c r="AG201" s="248">
        <f t="shared" si="63"/>
        <v>152593.89999999834</v>
      </c>
      <c r="AH201" s="263"/>
      <c r="AI201" s="264"/>
      <c r="AJ201" s="264"/>
      <c r="AK201" s="264"/>
      <c r="AL201" s="264"/>
      <c r="AM201" s="264"/>
      <c r="AN201" s="264"/>
      <c r="AO201" s="264"/>
      <c r="AP201" s="264"/>
      <c r="AQ201" s="264"/>
      <c r="AR201" s="264"/>
      <c r="AS201" s="264"/>
      <c r="AT201" s="264"/>
      <c r="AU201" s="264"/>
      <c r="AV201" s="264"/>
      <c r="AW201" s="264"/>
      <c r="AX201" s="264"/>
      <c r="AY201" s="264"/>
      <c r="AZ201" s="264"/>
      <c r="BA201" s="264"/>
      <c r="BB201" s="264"/>
      <c r="BC201" s="264"/>
    </row>
    <row r="202" spans="1:55" ht="15" customHeight="1" x14ac:dyDescent="0.15">
      <c r="A202" s="180">
        <v>42932</v>
      </c>
      <c r="B202" s="175" t="s">
        <v>34</v>
      </c>
      <c r="C202" s="176">
        <v>75777</v>
      </c>
      <c r="D202" s="177">
        <f>10493+41021</f>
        <v>51514</v>
      </c>
      <c r="E202" s="177">
        <v>130356</v>
      </c>
      <c r="F202" s="178">
        <v>6343</v>
      </c>
      <c r="G202" s="177">
        <v>4161</v>
      </c>
      <c r="H202" s="179"/>
      <c r="I202" s="179"/>
      <c r="J202" s="204">
        <f t="shared" si="60"/>
        <v>78842</v>
      </c>
      <c r="K202" s="177">
        <v>523</v>
      </c>
      <c r="L202" s="177">
        <v>1320</v>
      </c>
      <c r="M202" s="205">
        <f t="shared" si="61"/>
        <v>1222</v>
      </c>
      <c r="N202" s="206">
        <f t="shared" si="59"/>
        <v>1146761</v>
      </c>
      <c r="O202" s="209">
        <f t="shared" si="59"/>
        <v>780649</v>
      </c>
      <c r="P202" s="208">
        <f t="shared" si="59"/>
        <v>1970944</v>
      </c>
      <c r="Q202" s="225">
        <f t="shared" si="58"/>
        <v>12725083</v>
      </c>
      <c r="R202" s="207">
        <f t="shared" si="58"/>
        <v>6685940</v>
      </c>
      <c r="S202" s="226">
        <f t="shared" si="58"/>
        <v>19747624.739999998</v>
      </c>
      <c r="T202" s="227">
        <f>N202/'2017'!N202-1</f>
        <v>0.18866254331437493</v>
      </c>
      <c r="U202" s="228">
        <f>O202/'2017'!O202-1</f>
        <v>-1.9409597525942068E-2</v>
      </c>
      <c r="V202" s="228">
        <f>P202/'2017'!P202-1</f>
        <v>8.0268238608491638E-2</v>
      </c>
      <c r="W202" s="228">
        <f>Q202/'2017'!Q202-1</f>
        <v>0.11951699201792754</v>
      </c>
      <c r="X202" s="228">
        <f>R202/'2017'!R202-1</f>
        <v>0.13504355340066243</v>
      </c>
      <c r="Y202" s="244">
        <f>S202/'2017'!S202-1</f>
        <v>0.11457893640435057</v>
      </c>
      <c r="Z202" s="245"/>
      <c r="AA202" s="246">
        <f t="shared" si="66"/>
        <v>1272.5083</v>
      </c>
      <c r="AB202" s="247"/>
      <c r="AC202" s="248"/>
      <c r="AD202" s="247">
        <f t="shared" si="62"/>
        <v>13061684.739999998</v>
      </c>
      <c r="AE202" s="177">
        <f t="shared" si="64"/>
        <v>126892.77</v>
      </c>
      <c r="AF202" s="177">
        <f t="shared" si="65"/>
        <v>55893.069999999992</v>
      </c>
      <c r="AG202" s="248">
        <f t="shared" si="63"/>
        <v>153815.89999999834</v>
      </c>
      <c r="AH202" s="263"/>
      <c r="AI202" s="264"/>
      <c r="AJ202" s="264"/>
      <c r="AK202" s="264"/>
      <c r="AL202" s="264"/>
      <c r="AM202" s="264"/>
      <c r="AN202" s="264"/>
      <c r="AO202" s="264"/>
      <c r="AP202" s="264"/>
      <c r="AQ202" s="264"/>
      <c r="AR202" s="264"/>
      <c r="AS202" s="264"/>
      <c r="AT202" s="264"/>
      <c r="AU202" s="264"/>
      <c r="AV202" s="264"/>
      <c r="AW202" s="264"/>
      <c r="AX202" s="264"/>
      <c r="AY202" s="264"/>
      <c r="AZ202" s="264"/>
      <c r="BA202" s="264"/>
      <c r="BB202" s="264"/>
      <c r="BC202" s="264"/>
    </row>
    <row r="203" spans="1:55" ht="15" customHeight="1" x14ac:dyDescent="0.15">
      <c r="A203" s="180">
        <v>42933</v>
      </c>
      <c r="B203" s="175" t="s">
        <v>35</v>
      </c>
      <c r="C203" s="176">
        <v>80610</v>
      </c>
      <c r="D203" s="177">
        <f>10634+41051</f>
        <v>51685</v>
      </c>
      <c r="E203" s="177">
        <v>135246</v>
      </c>
      <c r="F203" s="178">
        <v>6524</v>
      </c>
      <c r="G203" s="177">
        <v>4403</v>
      </c>
      <c r="H203" s="179"/>
      <c r="I203" s="179"/>
      <c r="J203" s="204">
        <f t="shared" si="60"/>
        <v>83561</v>
      </c>
      <c r="K203" s="177">
        <v>410</v>
      </c>
      <c r="L203" s="177">
        <v>1298</v>
      </c>
      <c r="M203" s="205">
        <f t="shared" si="61"/>
        <v>1243</v>
      </c>
      <c r="N203" s="206">
        <f t="shared" si="59"/>
        <v>1227371</v>
      </c>
      <c r="O203" s="209">
        <f t="shared" si="59"/>
        <v>832334</v>
      </c>
      <c r="P203" s="208">
        <f t="shared" si="59"/>
        <v>2106190</v>
      </c>
      <c r="Q203" s="225">
        <f t="shared" ref="Q203:S216" si="67">Q$186+N203</f>
        <v>12805693</v>
      </c>
      <c r="R203" s="207">
        <f t="shared" si="67"/>
        <v>6737625</v>
      </c>
      <c r="S203" s="226">
        <f t="shared" si="67"/>
        <v>19882870.739999998</v>
      </c>
      <c r="T203" s="227">
        <f>N203/'2017'!N203-1</f>
        <v>0.18209328105572276</v>
      </c>
      <c r="U203" s="228">
        <f>O203/'2017'!O203-1</f>
        <v>-2.0192186578487981E-2</v>
      </c>
      <c r="V203" s="228">
        <f>P203/'2017'!P203-1</f>
        <v>7.8022105137084852E-2</v>
      </c>
      <c r="W203" s="228">
        <f>Q203/'2017'!Q203-1</f>
        <v>0.11936533712034159</v>
      </c>
      <c r="X203" s="228">
        <f>R203/'2017'!R203-1</f>
        <v>0.1335444532976573</v>
      </c>
      <c r="Y203" s="244">
        <f>S203/'2017'!S203-1</f>
        <v>0.11408454262612855</v>
      </c>
      <c r="Z203" s="245"/>
      <c r="AA203" s="246">
        <f t="shared" si="66"/>
        <v>1280.5693000000001</v>
      </c>
      <c r="AB203" s="247"/>
      <c r="AC203" s="248"/>
      <c r="AD203" s="247">
        <f t="shared" si="62"/>
        <v>13145245.739999998</v>
      </c>
      <c r="AE203" s="177">
        <f t="shared" si="64"/>
        <v>127302.77</v>
      </c>
      <c r="AF203" s="177">
        <f t="shared" si="65"/>
        <v>57191.069999999992</v>
      </c>
      <c r="AG203" s="248">
        <f t="shared" si="63"/>
        <v>155058.89999999834</v>
      </c>
      <c r="AH203" s="263"/>
      <c r="AI203" s="264"/>
      <c r="AJ203" s="264"/>
      <c r="AK203" s="264"/>
      <c r="AL203" s="264"/>
      <c r="AM203" s="264"/>
      <c r="AN203" s="264"/>
      <c r="AO203" s="264"/>
      <c r="AP203" s="264"/>
      <c r="AQ203" s="264"/>
      <c r="AR203" s="264"/>
      <c r="AS203" s="264"/>
      <c r="AT203" s="264"/>
      <c r="AU203" s="264"/>
      <c r="AV203" s="264"/>
      <c r="AW203" s="264"/>
      <c r="AX203" s="264"/>
      <c r="AY203" s="264"/>
      <c r="AZ203" s="264"/>
      <c r="BA203" s="264"/>
      <c r="BB203" s="264"/>
      <c r="BC203" s="264"/>
    </row>
    <row r="204" spans="1:55" ht="15" customHeight="1" x14ac:dyDescent="0.15">
      <c r="A204" s="180">
        <v>42934</v>
      </c>
      <c r="B204" s="175" t="s">
        <v>36</v>
      </c>
      <c r="C204" s="176">
        <v>79093</v>
      </c>
      <c r="D204" s="177">
        <f>10602+41873</f>
        <v>52475</v>
      </c>
      <c r="E204" s="177">
        <v>134719</v>
      </c>
      <c r="F204" s="178">
        <v>6487</v>
      </c>
      <c r="G204" s="177">
        <v>4440</v>
      </c>
      <c r="H204" s="179"/>
      <c r="I204" s="179"/>
      <c r="J204" s="204">
        <f t="shared" si="60"/>
        <v>82244</v>
      </c>
      <c r="K204" s="177">
        <v>493</v>
      </c>
      <c r="L204" s="177">
        <v>1389</v>
      </c>
      <c r="M204" s="205">
        <f t="shared" si="61"/>
        <v>1269</v>
      </c>
      <c r="N204" s="206">
        <f t="shared" ref="N204:P216" si="68">C204+N203</f>
        <v>1306464</v>
      </c>
      <c r="O204" s="209">
        <f t="shared" si="68"/>
        <v>884809</v>
      </c>
      <c r="P204" s="208">
        <f t="shared" si="68"/>
        <v>2240909</v>
      </c>
      <c r="Q204" s="225">
        <f t="shared" si="67"/>
        <v>12884786</v>
      </c>
      <c r="R204" s="207">
        <f t="shared" si="67"/>
        <v>6790100</v>
      </c>
      <c r="S204" s="226">
        <f t="shared" si="67"/>
        <v>20017589.739999998</v>
      </c>
      <c r="T204" s="227">
        <f>N204/'2017'!N204-1</f>
        <v>0.16764501898313333</v>
      </c>
      <c r="U204" s="228">
        <f>O204/'2017'!O204-1</f>
        <v>-1.8576751109469547E-2</v>
      </c>
      <c r="V204" s="228">
        <f>P204/'2017'!P204-1</f>
        <v>7.3124864417306812E-2</v>
      </c>
      <c r="W204" s="228">
        <f>Q204/'2017'!Q204-1</f>
        <v>0.11840089621742877</v>
      </c>
      <c r="X204" s="228">
        <f>R204/'2017'!R204-1</f>
        <v>0.13245226842359292</v>
      </c>
      <c r="Y204" s="244">
        <f>S204/'2017'!S204-1</f>
        <v>0.11324615748184286</v>
      </c>
      <c r="Z204" s="245"/>
      <c r="AA204" s="246">
        <f t="shared" si="66"/>
        <v>1288.4785999999999</v>
      </c>
      <c r="AB204" s="247"/>
      <c r="AC204" s="248"/>
      <c r="AD204" s="247">
        <f t="shared" si="62"/>
        <v>13227489.739999998</v>
      </c>
      <c r="AE204" s="177">
        <f t="shared" si="64"/>
        <v>127795.77</v>
      </c>
      <c r="AF204" s="177">
        <f t="shared" si="65"/>
        <v>58580.069999999992</v>
      </c>
      <c r="AG204" s="248">
        <f t="shared" si="63"/>
        <v>156327.89999999834</v>
      </c>
      <c r="AH204" s="263"/>
      <c r="AI204" s="264"/>
      <c r="AJ204" s="264"/>
      <c r="AK204" s="264"/>
      <c r="AL204" s="264"/>
      <c r="AM204" s="264"/>
      <c r="AN204" s="264"/>
      <c r="AO204" s="264"/>
      <c r="AP204" s="264"/>
      <c r="AQ204" s="264"/>
      <c r="AR204" s="264"/>
      <c r="AS204" s="264"/>
      <c r="AT204" s="264"/>
      <c r="AU204" s="264"/>
      <c r="AV204" s="264"/>
      <c r="AW204" s="264"/>
      <c r="AX204" s="264"/>
      <c r="AY204" s="264"/>
      <c r="AZ204" s="264"/>
      <c r="BA204" s="264"/>
      <c r="BB204" s="264"/>
      <c r="BC204" s="264"/>
    </row>
    <row r="205" spans="1:55" s="157" customFormat="1" ht="15" customHeight="1" x14ac:dyDescent="0.15">
      <c r="A205" s="181">
        <v>42935</v>
      </c>
      <c r="B205" s="182" t="s">
        <v>37</v>
      </c>
      <c r="C205" s="183">
        <f>70339+6073</f>
        <v>76412</v>
      </c>
      <c r="D205" s="184">
        <f>43335+13286</f>
        <v>56621</v>
      </c>
      <c r="E205" s="184">
        <f>92585+43335</f>
        <v>135920</v>
      </c>
      <c r="F205" s="185">
        <v>6543</v>
      </c>
      <c r="G205" s="184">
        <v>4451</v>
      </c>
      <c r="H205" s="186"/>
      <c r="I205" s="186"/>
      <c r="J205" s="210">
        <f t="shared" si="60"/>
        <v>79299</v>
      </c>
      <c r="K205" s="184">
        <v>730</v>
      </c>
      <c r="L205" s="184">
        <v>970</v>
      </c>
      <c r="M205" s="211">
        <f t="shared" si="61"/>
        <v>1187</v>
      </c>
      <c r="N205" s="212">
        <f t="shared" si="68"/>
        <v>1382876</v>
      </c>
      <c r="O205" s="215">
        <f t="shared" si="68"/>
        <v>941430</v>
      </c>
      <c r="P205" s="214">
        <f t="shared" si="68"/>
        <v>2376829</v>
      </c>
      <c r="Q205" s="229">
        <f t="shared" si="67"/>
        <v>12961198</v>
      </c>
      <c r="R205" s="213">
        <f t="shared" si="67"/>
        <v>6846721</v>
      </c>
      <c r="S205" s="230">
        <f t="shared" si="67"/>
        <v>20153509.739999998</v>
      </c>
      <c r="T205" s="231">
        <f>N205/'2017'!N205-1</f>
        <v>0.15064768218973823</v>
      </c>
      <c r="U205" s="232">
        <f>O205/'2017'!O205-1</f>
        <v>-1.23592782710229E-2</v>
      </c>
      <c r="V205" s="232">
        <f>P205/'2017'!P205-1</f>
        <v>6.811293961155096E-2</v>
      </c>
      <c r="W205" s="232">
        <f>Q205/'2017'!Q205-1</f>
        <v>0.11699240102658082</v>
      </c>
      <c r="X205" s="232">
        <f>R205/'2017'!R205-1</f>
        <v>0.13214227839896298</v>
      </c>
      <c r="Y205" s="249">
        <f>S205/'2017'!S205-1</f>
        <v>0.11232711587369959</v>
      </c>
      <c r="Z205" s="250">
        <v>61.51</v>
      </c>
      <c r="AA205" s="251">
        <f t="shared" si="66"/>
        <v>1234.6098</v>
      </c>
      <c r="AB205" s="252">
        <v>4283.88</v>
      </c>
      <c r="AC205" s="211">
        <f t="shared" ref="AC205:AC261" si="69">AA205*10000/AB205</f>
        <v>2881.9896915879995</v>
      </c>
      <c r="AD205" s="252">
        <f t="shared" si="62"/>
        <v>13306788.739999998</v>
      </c>
      <c r="AE205" s="184">
        <f t="shared" si="64"/>
        <v>128525.77</v>
      </c>
      <c r="AF205" s="184">
        <f t="shared" si="65"/>
        <v>59550.069999999992</v>
      </c>
      <c r="AG205" s="211">
        <f t="shared" si="63"/>
        <v>157514.89999999834</v>
      </c>
      <c r="AH205" s="263"/>
      <c r="AI205" s="264"/>
      <c r="AJ205" s="264"/>
      <c r="AK205" s="264"/>
      <c r="AL205" s="264"/>
      <c r="AM205" s="264"/>
      <c r="AN205" s="264"/>
      <c r="AO205" s="264"/>
      <c r="AP205" s="264"/>
      <c r="AQ205" s="264"/>
      <c r="AR205" s="264"/>
      <c r="AS205" s="264"/>
      <c r="AT205" s="264"/>
      <c r="AU205" s="264"/>
      <c r="AV205" s="264"/>
      <c r="AW205" s="264"/>
      <c r="AX205" s="264"/>
      <c r="AY205" s="264"/>
      <c r="AZ205" s="264"/>
      <c r="BA205" s="264"/>
      <c r="BB205" s="264"/>
      <c r="BC205" s="264"/>
    </row>
    <row r="206" spans="1:55" ht="15" customHeight="1" x14ac:dyDescent="0.15">
      <c r="A206" s="180">
        <v>42936</v>
      </c>
      <c r="B206" s="175" t="s">
        <v>38</v>
      </c>
      <c r="C206" s="176">
        <v>77620</v>
      </c>
      <c r="D206" s="177">
        <f>45277+10742</f>
        <v>56019</v>
      </c>
      <c r="E206" s="177">
        <v>135949</v>
      </c>
      <c r="F206" s="178">
        <v>6527.6</v>
      </c>
      <c r="G206" s="177">
        <v>4483.3999999999996</v>
      </c>
      <c r="H206" s="179"/>
      <c r="I206" s="179"/>
      <c r="J206" s="204">
        <f t="shared" si="60"/>
        <v>79930</v>
      </c>
      <c r="K206" s="177">
        <v>1045</v>
      </c>
      <c r="L206" s="177">
        <v>52</v>
      </c>
      <c r="M206" s="205">
        <f t="shared" si="61"/>
        <v>1213</v>
      </c>
      <c r="N206" s="206">
        <f t="shared" si="68"/>
        <v>1460496</v>
      </c>
      <c r="O206" s="209">
        <f t="shared" si="68"/>
        <v>997449</v>
      </c>
      <c r="P206" s="208">
        <f t="shared" si="68"/>
        <v>2512778</v>
      </c>
      <c r="Q206" s="225">
        <f t="shared" si="67"/>
        <v>13038818</v>
      </c>
      <c r="R206" s="207">
        <f t="shared" si="67"/>
        <v>6902740</v>
      </c>
      <c r="S206" s="226">
        <f t="shared" si="67"/>
        <v>20289458.739999998</v>
      </c>
      <c r="T206" s="227">
        <f>N206/'2017'!N206-1</f>
        <v>0.13535347253533181</v>
      </c>
      <c r="U206" s="228">
        <f>O206/'2017'!O206-1</f>
        <v>-7.279328558077891E-3</v>
      </c>
      <c r="V206" s="228">
        <f>P206/'2017'!P206-1</f>
        <v>6.3103045913355249E-2</v>
      </c>
      <c r="W206" s="228">
        <f>Q206/'2017'!Q206-1</f>
        <v>0.11555262509362452</v>
      </c>
      <c r="X206" s="228">
        <f>R206/'2017'!R206-1</f>
        <v>0.13175776487539537</v>
      </c>
      <c r="Y206" s="244">
        <f>S206/'2017'!S206-1</f>
        <v>0.11134340810276533</v>
      </c>
      <c r="Z206" s="245"/>
      <c r="AA206" s="246">
        <f t="shared" si="66"/>
        <v>1303.8818000000001</v>
      </c>
      <c r="AB206" s="247"/>
      <c r="AC206" s="248"/>
      <c r="AD206" s="247">
        <f t="shared" si="62"/>
        <v>13386718.739999998</v>
      </c>
      <c r="AE206" s="177">
        <f t="shared" si="64"/>
        <v>129570.77</v>
      </c>
      <c r="AF206" s="177">
        <f t="shared" si="65"/>
        <v>59602.069999999992</v>
      </c>
      <c r="AG206" s="248">
        <f t="shared" si="63"/>
        <v>158727.89999999834</v>
      </c>
      <c r="AH206" s="263"/>
      <c r="AI206" s="264"/>
      <c r="AJ206" s="264"/>
      <c r="AK206" s="264"/>
      <c r="AL206" s="264"/>
      <c r="AM206" s="264"/>
      <c r="AN206" s="264"/>
      <c r="AO206" s="264"/>
      <c r="AP206" s="264"/>
      <c r="AQ206" s="264"/>
      <c r="AR206" s="264"/>
      <c r="AS206" s="264"/>
      <c r="AT206" s="264"/>
      <c r="AU206" s="264"/>
      <c r="AV206" s="264"/>
      <c r="AW206" s="264"/>
      <c r="AX206" s="264"/>
      <c r="AY206" s="264"/>
      <c r="AZ206" s="264"/>
      <c r="BA206" s="264"/>
      <c r="BB206" s="264"/>
      <c r="BC206" s="264"/>
    </row>
    <row r="207" spans="1:55" ht="15" customHeight="1" x14ac:dyDescent="0.15">
      <c r="A207" s="180">
        <v>42937</v>
      </c>
      <c r="B207" s="175" t="s">
        <v>39</v>
      </c>
      <c r="C207" s="176">
        <v>73580</v>
      </c>
      <c r="D207" s="177">
        <f>43318+10550</f>
        <v>53868</v>
      </c>
      <c r="E207" s="177">
        <v>129444</v>
      </c>
      <c r="F207" s="178">
        <v>6244.5</v>
      </c>
      <c r="G207" s="177">
        <v>4472.8</v>
      </c>
      <c r="H207" s="179"/>
      <c r="I207" s="179"/>
      <c r="J207" s="204">
        <f t="shared" si="60"/>
        <v>75576</v>
      </c>
      <c r="K207" s="177">
        <v>876</v>
      </c>
      <c r="L207" s="177">
        <v>0</v>
      </c>
      <c r="M207" s="205">
        <f t="shared" si="61"/>
        <v>1120</v>
      </c>
      <c r="N207" s="206">
        <f t="shared" si="68"/>
        <v>1534076</v>
      </c>
      <c r="O207" s="209">
        <f t="shared" si="68"/>
        <v>1051317</v>
      </c>
      <c r="P207" s="208">
        <f t="shared" si="68"/>
        <v>2642222</v>
      </c>
      <c r="Q207" s="225">
        <f t="shared" si="67"/>
        <v>13112398</v>
      </c>
      <c r="R207" s="207">
        <f t="shared" si="67"/>
        <v>6956608</v>
      </c>
      <c r="S207" s="226">
        <f t="shared" si="67"/>
        <v>20418902.739999998</v>
      </c>
      <c r="T207" s="227">
        <f>N207/'2017'!N207-1</f>
        <v>0.11748855796484392</v>
      </c>
      <c r="U207" s="228">
        <f>O207/'2017'!O207-1</f>
        <v>-5.3605403303553789E-3</v>
      </c>
      <c r="V207" s="228">
        <f>P207/'2017'!P207-1</f>
        <v>5.5023939684214263E-2</v>
      </c>
      <c r="W207" s="228">
        <f>Q207/'2017'!Q207-1</f>
        <v>0.11361508650301877</v>
      </c>
      <c r="X207" s="228">
        <f>R207/'2017'!R207-1</f>
        <v>0.1309071566705986</v>
      </c>
      <c r="Y207" s="244">
        <f>S207/'2017'!S207-1</f>
        <v>0.10987443739297764</v>
      </c>
      <c r="Z207" s="245"/>
      <c r="AA207" s="246">
        <f t="shared" si="66"/>
        <v>1311.2398000000001</v>
      </c>
      <c r="AB207" s="247"/>
      <c r="AC207" s="248"/>
      <c r="AD207" s="247">
        <f t="shared" si="62"/>
        <v>13462294.739999998</v>
      </c>
      <c r="AE207" s="177">
        <f t="shared" si="64"/>
        <v>130446.77</v>
      </c>
      <c r="AF207" s="177">
        <f t="shared" si="65"/>
        <v>59602.069999999992</v>
      </c>
      <c r="AG207" s="248">
        <f t="shared" si="63"/>
        <v>159847.89999999834</v>
      </c>
      <c r="AH207" s="263"/>
      <c r="AI207" s="264"/>
      <c r="AJ207" s="264"/>
      <c r="AK207" s="264"/>
      <c r="AL207" s="264"/>
      <c r="AM207" s="264"/>
      <c r="AN207" s="264"/>
      <c r="AO207" s="264"/>
      <c r="AP207" s="264"/>
      <c r="AQ207" s="264"/>
      <c r="AR207" s="264"/>
      <c r="AS207" s="264"/>
      <c r="AT207" s="264"/>
      <c r="AU207" s="264"/>
      <c r="AV207" s="264"/>
      <c r="AW207" s="264"/>
      <c r="AX207" s="264"/>
      <c r="AY207" s="264"/>
      <c r="AZ207" s="264"/>
      <c r="BA207" s="264"/>
      <c r="BB207" s="264"/>
      <c r="BC207" s="264"/>
    </row>
    <row r="208" spans="1:55" ht="15" customHeight="1" x14ac:dyDescent="0.15">
      <c r="A208" s="180">
        <v>42938</v>
      </c>
      <c r="B208" s="175" t="s">
        <v>1</v>
      </c>
      <c r="C208" s="176">
        <v>68887</v>
      </c>
      <c r="D208" s="177">
        <f>10536+36183</f>
        <v>46719</v>
      </c>
      <c r="E208" s="177">
        <v>117198</v>
      </c>
      <c r="F208" s="178">
        <v>5400.5</v>
      </c>
      <c r="G208" s="177">
        <v>4133.5</v>
      </c>
      <c r="H208" s="179"/>
      <c r="I208" s="179"/>
      <c r="J208" s="204">
        <f t="shared" si="60"/>
        <v>70479</v>
      </c>
      <c r="K208" s="177">
        <v>489</v>
      </c>
      <c r="L208" s="177">
        <v>0</v>
      </c>
      <c r="M208" s="205">
        <f t="shared" si="61"/>
        <v>1103</v>
      </c>
      <c r="N208" s="206">
        <f t="shared" si="68"/>
        <v>1602963</v>
      </c>
      <c r="O208" s="209">
        <f t="shared" si="68"/>
        <v>1098036</v>
      </c>
      <c r="P208" s="208">
        <f t="shared" si="68"/>
        <v>2759420</v>
      </c>
      <c r="Q208" s="225">
        <f t="shared" si="67"/>
        <v>13181285</v>
      </c>
      <c r="R208" s="207">
        <f t="shared" si="67"/>
        <v>7003327</v>
      </c>
      <c r="S208" s="226">
        <f t="shared" si="67"/>
        <v>20536100.739999998</v>
      </c>
      <c r="T208" s="227">
        <f>N208/'2017'!N208-1</f>
        <v>9.9928362338352006E-2</v>
      </c>
      <c r="U208" s="228">
        <f>O208/'2017'!O208-1</f>
        <v>-9.7828086616814636E-3</v>
      </c>
      <c r="V208" s="228">
        <f>P208/'2017'!P208-1</f>
        <v>4.3946128623793657E-2</v>
      </c>
      <c r="W208" s="228">
        <f>Q208/'2017'!Q208-1</f>
        <v>0.11148478637351178</v>
      </c>
      <c r="X208" s="228">
        <f>R208/'2017'!R208-1</f>
        <v>0.12897652247941527</v>
      </c>
      <c r="Y208" s="244">
        <f>S208/'2017'!S208-1</f>
        <v>0.10788391559594168</v>
      </c>
      <c r="Z208" s="245"/>
      <c r="AA208" s="246">
        <f t="shared" si="66"/>
        <v>1318.1285</v>
      </c>
      <c r="AB208" s="247"/>
      <c r="AC208" s="248"/>
      <c r="AD208" s="247">
        <f t="shared" si="62"/>
        <v>13532773.739999998</v>
      </c>
      <c r="AE208" s="177">
        <f t="shared" si="64"/>
        <v>130935.77</v>
      </c>
      <c r="AF208" s="177">
        <f t="shared" si="65"/>
        <v>59602.069999999992</v>
      </c>
      <c r="AG208" s="248">
        <f t="shared" si="63"/>
        <v>160950.89999999834</v>
      </c>
      <c r="AH208" s="263"/>
      <c r="AI208" s="264"/>
      <c r="AJ208" s="264"/>
      <c r="AK208" s="264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264"/>
    </row>
    <row r="209" spans="1:55" ht="15" customHeight="1" x14ac:dyDescent="0.15">
      <c r="A209" s="180">
        <v>42939</v>
      </c>
      <c r="B209" s="175" t="s">
        <v>34</v>
      </c>
      <c r="C209" s="176">
        <v>74630</v>
      </c>
      <c r="D209" s="177">
        <f>10715+42237</f>
        <v>52952</v>
      </c>
      <c r="E209" s="177">
        <v>128857</v>
      </c>
      <c r="F209" s="178">
        <v>6411.2</v>
      </c>
      <c r="G209" s="177">
        <v>4024.2</v>
      </c>
      <c r="H209" s="179"/>
      <c r="I209" s="179"/>
      <c r="J209" s="204">
        <f t="shared" si="60"/>
        <v>75905</v>
      </c>
      <c r="K209" s="177">
        <v>356</v>
      </c>
      <c r="L209" s="177">
        <v>0</v>
      </c>
      <c r="M209" s="205">
        <f t="shared" si="61"/>
        <v>919</v>
      </c>
      <c r="N209" s="206">
        <f t="shared" si="68"/>
        <v>1677593</v>
      </c>
      <c r="O209" s="209">
        <f t="shared" si="68"/>
        <v>1150988</v>
      </c>
      <c r="P209" s="208">
        <f t="shared" si="68"/>
        <v>2888277</v>
      </c>
      <c r="Q209" s="225">
        <f t="shared" si="67"/>
        <v>13255915</v>
      </c>
      <c r="R209" s="207">
        <f t="shared" si="67"/>
        <v>7056279</v>
      </c>
      <c r="S209" s="226">
        <f t="shared" si="67"/>
        <v>20664957.739999998</v>
      </c>
      <c r="T209" s="227">
        <f>N209/'2017'!N209-1</f>
        <v>9.1407730576784418E-2</v>
      </c>
      <c r="U209" s="228">
        <f>O209/'2017'!O209-1</f>
        <v>-7.9331696822594333E-3</v>
      </c>
      <c r="V209" s="228">
        <f>P209/'2017'!P209-1</f>
        <v>4.0279969831892748E-2</v>
      </c>
      <c r="W209" s="228">
        <f>Q209/'2017'!Q209-1</f>
        <v>0.11031058585653231</v>
      </c>
      <c r="X209" s="228">
        <f>R209/'2017'!R209-1</f>
        <v>0.12818133838649914</v>
      </c>
      <c r="Y209" s="244">
        <f>S209/'2017'!S209-1</f>
        <v>0.10688258767998815</v>
      </c>
      <c r="Z209" s="245"/>
      <c r="AA209" s="246">
        <f t="shared" si="66"/>
        <v>1325.5915</v>
      </c>
      <c r="AB209" s="247"/>
      <c r="AC209" s="302"/>
      <c r="AD209" s="247">
        <f t="shared" si="62"/>
        <v>13608678.739999998</v>
      </c>
      <c r="AE209" s="177">
        <f t="shared" si="64"/>
        <v>131291.77000000002</v>
      </c>
      <c r="AF209" s="177">
        <f t="shared" si="65"/>
        <v>59602.069999999992</v>
      </c>
      <c r="AG209" s="248">
        <f t="shared" si="63"/>
        <v>161869.89999999834</v>
      </c>
      <c r="AH209" s="263"/>
      <c r="AI209" s="264"/>
      <c r="AJ209" s="264"/>
      <c r="AK209" s="264"/>
      <c r="AL209" s="264"/>
      <c r="AM209" s="264"/>
      <c r="AN209" s="264"/>
      <c r="AO209" s="264"/>
      <c r="AP209" s="264"/>
      <c r="AQ209" s="264"/>
      <c r="AR209" s="264"/>
      <c r="AS209" s="264"/>
      <c r="AT209" s="264"/>
      <c r="AU209" s="264"/>
      <c r="AV209" s="264"/>
      <c r="AW209" s="264"/>
      <c r="AX209" s="264"/>
      <c r="AY209" s="264"/>
      <c r="AZ209" s="264"/>
      <c r="BA209" s="264"/>
      <c r="BB209" s="264"/>
      <c r="BC209" s="264"/>
    </row>
    <row r="210" spans="1:55" ht="15" customHeight="1" x14ac:dyDescent="0.15">
      <c r="A210" s="180">
        <v>42940</v>
      </c>
      <c r="B210" s="175" t="s">
        <v>35</v>
      </c>
      <c r="C210" s="176">
        <v>77019</v>
      </c>
      <c r="D210" s="177">
        <f>44407+10577</f>
        <v>54984</v>
      </c>
      <c r="E210" s="177">
        <v>133314</v>
      </c>
      <c r="F210" s="178">
        <v>6596.8</v>
      </c>
      <c r="G210" s="177">
        <v>4267.5</v>
      </c>
      <c r="H210" s="179"/>
      <c r="I210" s="179"/>
      <c r="J210" s="204">
        <f t="shared" si="60"/>
        <v>78330</v>
      </c>
      <c r="K210" s="177">
        <v>270</v>
      </c>
      <c r="L210" s="177">
        <v>0</v>
      </c>
      <c r="M210" s="205">
        <f t="shared" si="61"/>
        <v>1041</v>
      </c>
      <c r="N210" s="206">
        <f t="shared" si="68"/>
        <v>1754612</v>
      </c>
      <c r="O210" s="209">
        <f t="shared" si="68"/>
        <v>1205972</v>
      </c>
      <c r="P210" s="208">
        <f t="shared" si="68"/>
        <v>3021591</v>
      </c>
      <c r="Q210" s="225">
        <f t="shared" si="67"/>
        <v>13332934</v>
      </c>
      <c r="R210" s="207">
        <f t="shared" si="67"/>
        <v>7111263</v>
      </c>
      <c r="S210" s="226">
        <f t="shared" si="67"/>
        <v>20798271.739999998</v>
      </c>
      <c r="T210" s="227">
        <f>N210/'2017'!N210-1</f>
        <v>7.9273731126986435E-2</v>
      </c>
      <c r="U210" s="228">
        <f>O210/'2017'!O210-1</f>
        <v>-4.5571868760281298E-3</v>
      </c>
      <c r="V210" s="228">
        <f>P210/'2017'!P210-1</f>
        <v>3.5208357886600927E-2</v>
      </c>
      <c r="W210" s="228">
        <f>Q210/'2017'!Q210-1</f>
        <v>0.10853115206247055</v>
      </c>
      <c r="X210" s="228">
        <f>R210/'2017'!R210-1</f>
        <v>0.12772258574640549</v>
      </c>
      <c r="Y210" s="244">
        <f>S210/'2017'!S210-1</f>
        <v>0.10559158760234877</v>
      </c>
      <c r="Z210" s="245"/>
      <c r="AA210" s="246">
        <f t="shared" si="66"/>
        <v>1333.2934</v>
      </c>
      <c r="AB210" s="247"/>
      <c r="AC210" s="248"/>
      <c r="AD210" s="247">
        <f t="shared" si="62"/>
        <v>13687008.739999998</v>
      </c>
      <c r="AE210" s="177">
        <f t="shared" si="64"/>
        <v>131561.77000000002</v>
      </c>
      <c r="AF210" s="177">
        <f t="shared" si="65"/>
        <v>59602.069999999992</v>
      </c>
      <c r="AG210" s="248">
        <f t="shared" si="63"/>
        <v>162910.89999999834</v>
      </c>
      <c r="AH210" s="263"/>
      <c r="AI210" s="264"/>
      <c r="AJ210" s="264"/>
      <c r="AK210" s="264"/>
      <c r="AL210" s="264"/>
      <c r="AM210" s="264"/>
      <c r="AN210" s="264"/>
      <c r="AO210" s="264"/>
      <c r="AP210" s="264"/>
      <c r="AQ210" s="264"/>
      <c r="AR210" s="264"/>
      <c r="AS210" s="264"/>
      <c r="AT210" s="264"/>
      <c r="AU210" s="264"/>
      <c r="AV210" s="264"/>
      <c r="AW210" s="264"/>
      <c r="AX210" s="264"/>
      <c r="AY210" s="264"/>
      <c r="AZ210" s="264"/>
      <c r="BA210" s="264"/>
      <c r="BB210" s="264"/>
      <c r="BC210" s="264"/>
    </row>
    <row r="211" spans="1:55" ht="15" customHeight="1" x14ac:dyDescent="0.15">
      <c r="A211" s="180">
        <v>42941</v>
      </c>
      <c r="B211" s="175" t="s">
        <v>36</v>
      </c>
      <c r="C211" s="176">
        <v>82087</v>
      </c>
      <c r="D211" s="177">
        <f>45221+10699</f>
        <v>55920</v>
      </c>
      <c r="E211" s="177">
        <v>139628</v>
      </c>
      <c r="F211" s="178">
        <v>6853.7</v>
      </c>
      <c r="G211" s="177">
        <v>4361.7</v>
      </c>
      <c r="H211" s="179"/>
      <c r="I211" s="179"/>
      <c r="J211" s="204">
        <f t="shared" si="60"/>
        <v>83708</v>
      </c>
      <c r="K211" s="177">
        <v>465</v>
      </c>
      <c r="L211" s="177">
        <v>0</v>
      </c>
      <c r="M211" s="205">
        <f t="shared" si="61"/>
        <v>1156</v>
      </c>
      <c r="N211" s="206">
        <f t="shared" si="68"/>
        <v>1836699</v>
      </c>
      <c r="O211" s="209">
        <f t="shared" si="68"/>
        <v>1261892</v>
      </c>
      <c r="P211" s="208">
        <f t="shared" si="68"/>
        <v>3161219</v>
      </c>
      <c r="Q211" s="225">
        <f t="shared" si="67"/>
        <v>13415021</v>
      </c>
      <c r="R211" s="207">
        <f t="shared" si="67"/>
        <v>7167183</v>
      </c>
      <c r="S211" s="226">
        <f t="shared" si="67"/>
        <v>20937899.739999998</v>
      </c>
      <c r="T211" s="227">
        <f>N211/'2017'!N211-1</f>
        <v>6.9631181743056603E-2</v>
      </c>
      <c r="U211" s="228">
        <f>O211/'2017'!O211-1</f>
        <v>-8.7015663611222926E-4</v>
      </c>
      <c r="V211" s="228">
        <f>P211/'2017'!P211-1</f>
        <v>3.1695430405198843E-2</v>
      </c>
      <c r="W211" s="228">
        <f>Q211/'2017'!Q211-1</f>
        <v>0.10694424795607405</v>
      </c>
      <c r="X211" s="228">
        <f>R211/'2017'!R211-1</f>
        <v>0.12738353656234658</v>
      </c>
      <c r="Y211" s="244">
        <f>S211/'2017'!S211-1</f>
        <v>0.10448440609908594</v>
      </c>
      <c r="Z211" s="245"/>
      <c r="AA211" s="246">
        <f t="shared" si="66"/>
        <v>1341.5020999999999</v>
      </c>
      <c r="AB211" s="247"/>
      <c r="AC211" s="248"/>
      <c r="AD211" s="247">
        <f t="shared" si="62"/>
        <v>13770716.739999998</v>
      </c>
      <c r="AE211" s="177">
        <f t="shared" si="64"/>
        <v>132026.77000000002</v>
      </c>
      <c r="AF211" s="177">
        <f t="shared" si="65"/>
        <v>59602.069999999992</v>
      </c>
      <c r="AG211" s="248">
        <f t="shared" si="63"/>
        <v>164066.89999999834</v>
      </c>
      <c r="AH211" s="263"/>
      <c r="AI211" s="264"/>
      <c r="AJ211" s="264"/>
      <c r="AK211" s="264"/>
      <c r="AL211" s="264"/>
      <c r="AM211" s="264"/>
      <c r="AN211" s="264"/>
      <c r="AO211" s="264"/>
      <c r="AP211" s="264"/>
      <c r="AQ211" s="264"/>
      <c r="AR211" s="264"/>
      <c r="AS211" s="264"/>
      <c r="AT211" s="264"/>
      <c r="AU211" s="264"/>
      <c r="AV211" s="264"/>
      <c r="AW211" s="264"/>
      <c r="AX211" s="264"/>
      <c r="AY211" s="264"/>
      <c r="AZ211" s="264"/>
      <c r="BA211" s="264"/>
      <c r="BB211" s="264"/>
      <c r="BC211" s="264"/>
    </row>
    <row r="212" spans="1:55" s="157" customFormat="1" ht="15" customHeight="1" x14ac:dyDescent="0.15">
      <c r="A212" s="181">
        <v>42942</v>
      </c>
      <c r="B212" s="182" t="s">
        <v>37</v>
      </c>
      <c r="C212" s="183">
        <v>80091</v>
      </c>
      <c r="D212" s="184">
        <f>47964+10718</f>
        <v>58682</v>
      </c>
      <c r="E212" s="184">
        <v>140195</v>
      </c>
      <c r="F212" s="185">
        <v>7140.5</v>
      </c>
      <c r="G212" s="184">
        <v>4698.6000000000004</v>
      </c>
      <c r="H212" s="186"/>
      <c r="I212" s="186"/>
      <c r="J212" s="210">
        <f t="shared" si="60"/>
        <v>81513</v>
      </c>
      <c r="K212" s="184">
        <v>519</v>
      </c>
      <c r="L212" s="184">
        <v>0</v>
      </c>
      <c r="M212" s="211">
        <f t="shared" si="61"/>
        <v>903</v>
      </c>
      <c r="N212" s="212">
        <f t="shared" si="68"/>
        <v>1916790</v>
      </c>
      <c r="O212" s="215">
        <f t="shared" si="68"/>
        <v>1320574</v>
      </c>
      <c r="P212" s="214">
        <f t="shared" si="68"/>
        <v>3301414</v>
      </c>
      <c r="Q212" s="229">
        <f t="shared" si="67"/>
        <v>13495112</v>
      </c>
      <c r="R212" s="213">
        <f t="shared" si="67"/>
        <v>7225865</v>
      </c>
      <c r="S212" s="230">
        <f t="shared" si="67"/>
        <v>21078094.739999998</v>
      </c>
      <c r="T212" s="231">
        <f>N212/'2017'!N212-1</f>
        <v>6.0386117986273691E-2</v>
      </c>
      <c r="U212" s="232">
        <f>O212/'2017'!O212-1</f>
        <v>4.3518205851305058E-3</v>
      </c>
      <c r="V212" s="232">
        <f>P212/'2017'!P212-1</f>
        <v>2.8912204372874006E-2</v>
      </c>
      <c r="W212" s="232">
        <f>Q212/'2017'!Q212-1</f>
        <v>0.10529892146809217</v>
      </c>
      <c r="X212" s="232">
        <f>R212/'2017'!R212-1</f>
        <v>0.12741704491076211</v>
      </c>
      <c r="Y212" s="249">
        <f>S212/'2017'!S212-1</f>
        <v>0.10346608947110747</v>
      </c>
      <c r="Z212" s="250">
        <v>65.53</v>
      </c>
      <c r="AA212" s="251">
        <f t="shared" si="66"/>
        <v>1283.9811999999999</v>
      </c>
      <c r="AB212" s="252">
        <v>4283.88</v>
      </c>
      <c r="AC212" s="211">
        <f t="shared" si="69"/>
        <v>2997.2389516046201</v>
      </c>
      <c r="AD212" s="252">
        <f t="shared" si="62"/>
        <v>13852229.739999998</v>
      </c>
      <c r="AE212" s="184">
        <f t="shared" si="64"/>
        <v>132545.77000000002</v>
      </c>
      <c r="AF212" s="184">
        <f t="shared" si="65"/>
        <v>59602.069999999992</v>
      </c>
      <c r="AG212" s="211">
        <f t="shared" si="63"/>
        <v>164969.89999999834</v>
      </c>
      <c r="AH212" s="263"/>
      <c r="AI212" s="264"/>
      <c r="AJ212" s="264"/>
      <c r="AK212" s="264"/>
      <c r="AL212" s="264"/>
      <c r="AM212" s="264"/>
      <c r="AN212" s="264"/>
      <c r="AO212" s="264"/>
      <c r="AP212" s="264"/>
      <c r="AQ212" s="264"/>
      <c r="AR212" s="264"/>
      <c r="AS212" s="264"/>
      <c r="AT212" s="264"/>
      <c r="AU212" s="264"/>
      <c r="AV212" s="264"/>
      <c r="AW212" s="264"/>
      <c r="AX212" s="264"/>
      <c r="AY212" s="264"/>
      <c r="AZ212" s="264"/>
      <c r="BA212" s="264"/>
      <c r="BB212" s="264"/>
      <c r="BC212" s="264"/>
    </row>
    <row r="213" spans="1:55" ht="15" customHeight="1" x14ac:dyDescent="0.15">
      <c r="A213" s="180">
        <v>42943</v>
      </c>
      <c r="B213" s="175" t="s">
        <v>38</v>
      </c>
      <c r="C213" s="176">
        <v>76721</v>
      </c>
      <c r="D213" s="177">
        <f>10795+45569</f>
        <v>56364</v>
      </c>
      <c r="E213" s="177">
        <v>137829</v>
      </c>
      <c r="F213" s="178">
        <v>6795.2</v>
      </c>
      <c r="G213" s="177">
        <v>4375.1000000000004</v>
      </c>
      <c r="H213" s="179"/>
      <c r="I213" s="179"/>
      <c r="J213" s="204">
        <f t="shared" si="60"/>
        <v>81465</v>
      </c>
      <c r="K213" s="177">
        <v>577</v>
      </c>
      <c r="L213" s="177">
        <v>30</v>
      </c>
      <c r="M213" s="205">
        <f t="shared" si="61"/>
        <v>4137</v>
      </c>
      <c r="N213" s="206">
        <f t="shared" si="68"/>
        <v>1993511</v>
      </c>
      <c r="O213" s="209">
        <f t="shared" si="68"/>
        <v>1376938</v>
      </c>
      <c r="P213" s="208">
        <f t="shared" si="68"/>
        <v>3439243</v>
      </c>
      <c r="Q213" s="225">
        <f t="shared" si="67"/>
        <v>13571833</v>
      </c>
      <c r="R213" s="207">
        <f t="shared" si="67"/>
        <v>7282229</v>
      </c>
      <c r="S213" s="226">
        <f t="shared" si="67"/>
        <v>21215923.739999998</v>
      </c>
      <c r="T213" s="227">
        <f>N213/'2017'!N213-1</f>
        <v>5.130509301375108E-2</v>
      </c>
      <c r="U213" s="228">
        <f>O213/'2017'!O213-1</f>
        <v>9.9066252710990899E-3</v>
      </c>
      <c r="V213" s="228">
        <f>P213/'2017'!P213-1</f>
        <v>2.627024420462365E-2</v>
      </c>
      <c r="W213" s="228">
        <f>Q213/'2017'!Q213-1</f>
        <v>0.10357519120636982</v>
      </c>
      <c r="X213" s="228">
        <f>R213/'2017'!R213-1</f>
        <v>0.12766406516151019</v>
      </c>
      <c r="Y213" s="244">
        <f>S213/'2017'!S213-1</f>
        <v>0.10245372458955826</v>
      </c>
      <c r="Z213" s="245"/>
      <c r="AA213" s="246">
        <f t="shared" si="66"/>
        <v>1357.1832999999999</v>
      </c>
      <c r="AB213" s="247"/>
      <c r="AC213" s="248"/>
      <c r="AD213" s="247">
        <f t="shared" si="62"/>
        <v>13933694.739999998</v>
      </c>
      <c r="AE213" s="177">
        <f t="shared" si="64"/>
        <v>133122.77000000002</v>
      </c>
      <c r="AF213" s="177">
        <f t="shared" si="65"/>
        <v>59632.069999999992</v>
      </c>
      <c r="AG213" s="248">
        <f t="shared" si="63"/>
        <v>169106.89999999834</v>
      </c>
      <c r="AH213" s="263"/>
      <c r="AI213" s="264"/>
      <c r="AJ213" s="264"/>
      <c r="AK213" s="264"/>
      <c r="AL213" s="264"/>
      <c r="AM213" s="264"/>
      <c r="AN213" s="264"/>
      <c r="AO213" s="264"/>
      <c r="AP213" s="264"/>
      <c r="AQ213" s="264"/>
      <c r="AR213" s="264"/>
      <c r="AS213" s="264"/>
      <c r="AT213" s="264"/>
      <c r="AU213" s="264"/>
      <c r="AV213" s="264"/>
      <c r="AW213" s="264"/>
      <c r="AX213" s="264"/>
      <c r="AY213" s="264"/>
      <c r="AZ213" s="264"/>
      <c r="BA213" s="264"/>
      <c r="BB213" s="264"/>
      <c r="BC213" s="264"/>
    </row>
    <row r="214" spans="1:55" ht="15" customHeight="1" x14ac:dyDescent="0.15">
      <c r="A214" s="180">
        <v>42944</v>
      </c>
      <c r="B214" s="175" t="s">
        <v>39</v>
      </c>
      <c r="C214" s="176">
        <v>78483</v>
      </c>
      <c r="D214" s="177">
        <f>10817+44995</f>
        <v>55812</v>
      </c>
      <c r="E214" s="177">
        <v>139186</v>
      </c>
      <c r="F214" s="178">
        <v>6699.3</v>
      </c>
      <c r="G214" s="177">
        <v>4539.8999999999996</v>
      </c>
      <c r="H214" s="179"/>
      <c r="I214" s="179"/>
      <c r="J214" s="204">
        <f t="shared" si="60"/>
        <v>83374</v>
      </c>
      <c r="K214" s="177">
        <v>450</v>
      </c>
      <c r="L214" s="177">
        <v>275</v>
      </c>
      <c r="M214" s="205">
        <f t="shared" si="61"/>
        <v>4166</v>
      </c>
      <c r="N214" s="206">
        <f t="shared" si="68"/>
        <v>2071994</v>
      </c>
      <c r="O214" s="209">
        <f t="shared" si="68"/>
        <v>1432750</v>
      </c>
      <c r="P214" s="208">
        <f t="shared" si="68"/>
        <v>3578429</v>
      </c>
      <c r="Q214" s="225">
        <f t="shared" si="67"/>
        <v>13650316</v>
      </c>
      <c r="R214" s="207">
        <f t="shared" si="67"/>
        <v>7338041</v>
      </c>
      <c r="S214" s="226">
        <f t="shared" si="67"/>
        <v>21355109.739999998</v>
      </c>
      <c r="T214" s="227">
        <f>N214/'2017'!N214-1</f>
        <v>4.4825777822600887E-2</v>
      </c>
      <c r="U214" s="228">
        <f>O214/'2017'!O214-1</f>
        <v>1.316997212412474E-2</v>
      </c>
      <c r="V214" s="228">
        <f>P214/'2017'!P214-1</f>
        <v>2.4759376512398346E-2</v>
      </c>
      <c r="W214" s="228">
        <f>Q214/'2017'!Q214-1</f>
        <v>0.10217105820918548</v>
      </c>
      <c r="X214" s="228">
        <f>R214/'2017'!R214-1</f>
        <v>0.12745588649910622</v>
      </c>
      <c r="Y214" s="244">
        <f>S214/'2017'!S214-1</f>
        <v>0.1016283563624083</v>
      </c>
      <c r="Z214" s="245"/>
      <c r="AA214" s="246">
        <f t="shared" si="66"/>
        <v>1365.0316</v>
      </c>
      <c r="AB214" s="247"/>
      <c r="AC214" s="248"/>
      <c r="AD214" s="247">
        <f t="shared" si="62"/>
        <v>14017068.739999998</v>
      </c>
      <c r="AE214" s="177">
        <f t="shared" si="64"/>
        <v>133572.77000000002</v>
      </c>
      <c r="AF214" s="177">
        <f t="shared" si="65"/>
        <v>59907.069999999992</v>
      </c>
      <c r="AG214" s="248">
        <f t="shared" si="63"/>
        <v>173272.89999999834</v>
      </c>
      <c r="AH214" s="263"/>
      <c r="AI214" s="264"/>
      <c r="AJ214" s="264"/>
      <c r="AK214" s="264"/>
      <c r="AL214" s="264"/>
      <c r="AM214" s="264"/>
      <c r="AN214" s="264"/>
      <c r="AO214" s="264"/>
      <c r="AP214" s="264"/>
      <c r="AQ214" s="264"/>
      <c r="AR214" s="264"/>
      <c r="AS214" s="264"/>
      <c r="AT214" s="264"/>
      <c r="AU214" s="264"/>
      <c r="AV214" s="264"/>
      <c r="AW214" s="264"/>
      <c r="AX214" s="264"/>
      <c r="AY214" s="264"/>
      <c r="AZ214" s="264"/>
      <c r="BA214" s="264"/>
      <c r="BB214" s="264"/>
      <c r="BC214" s="264"/>
    </row>
    <row r="215" spans="1:55" ht="15" customHeight="1" x14ac:dyDescent="0.15">
      <c r="A215" s="180">
        <v>42945</v>
      </c>
      <c r="B215" s="175" t="s">
        <v>1</v>
      </c>
      <c r="C215" s="176">
        <v>74790</v>
      </c>
      <c r="D215" s="177">
        <f>10799+43605</f>
        <v>54404</v>
      </c>
      <c r="E215" s="177">
        <v>135602</v>
      </c>
      <c r="F215" s="178">
        <v>6351.7</v>
      </c>
      <c r="G215" s="177">
        <v>4626.5</v>
      </c>
      <c r="H215" s="179"/>
      <c r="I215" s="179"/>
      <c r="J215" s="204">
        <f t="shared" si="60"/>
        <v>81198</v>
      </c>
      <c r="K215" s="177">
        <v>788</v>
      </c>
      <c r="L215" s="177">
        <v>1561</v>
      </c>
      <c r="M215" s="205">
        <f t="shared" si="61"/>
        <v>4059</v>
      </c>
      <c r="N215" s="206">
        <f t="shared" si="68"/>
        <v>2146784</v>
      </c>
      <c r="O215" s="209">
        <f t="shared" si="68"/>
        <v>1487154</v>
      </c>
      <c r="P215" s="208">
        <f t="shared" si="68"/>
        <v>3714031</v>
      </c>
      <c r="Q215" s="225">
        <f t="shared" si="67"/>
        <v>13725106</v>
      </c>
      <c r="R215" s="207">
        <f t="shared" si="67"/>
        <v>7392445</v>
      </c>
      <c r="S215" s="226">
        <f t="shared" si="67"/>
        <v>21490711.739999998</v>
      </c>
      <c r="T215" s="227">
        <f>N215/'2017'!N215-1</f>
        <v>4.1746350245419839E-2</v>
      </c>
      <c r="U215" s="228">
        <f>O215/'2017'!O215-1</f>
        <v>1.4636682379284727E-2</v>
      </c>
      <c r="V215" s="228">
        <f>P215/'2017'!P215-1</f>
        <v>2.4385635772991021E-2</v>
      </c>
      <c r="W215" s="228">
        <f>Q215/'2017'!Q215-1</f>
        <v>0.10130453734599043</v>
      </c>
      <c r="X215" s="228">
        <f>R215/'2017'!R215-1</f>
        <v>0.12688507897019385</v>
      </c>
      <c r="Y215" s="244">
        <f>S215/'2017'!S215-1</f>
        <v>0.10103259774490958</v>
      </c>
      <c r="Z215" s="245"/>
      <c r="AA215" s="246">
        <f t="shared" si="66"/>
        <v>1372.5106000000001</v>
      </c>
      <c r="AB215" s="247"/>
      <c r="AC215" s="248"/>
      <c r="AD215" s="247">
        <f t="shared" si="62"/>
        <v>14098266.739999998</v>
      </c>
      <c r="AE215" s="177">
        <f t="shared" si="64"/>
        <v>134360.77000000002</v>
      </c>
      <c r="AF215" s="177">
        <f t="shared" ref="AF215:AF230" si="70">AF214+L215</f>
        <v>61468.069999999992</v>
      </c>
      <c r="AG215" s="248">
        <f t="shared" si="63"/>
        <v>177331.89999999834</v>
      </c>
      <c r="AH215" s="263"/>
      <c r="AI215" s="264"/>
      <c r="AJ215" s="264"/>
      <c r="AK215" s="264"/>
      <c r="AL215" s="264"/>
      <c r="AM215" s="264"/>
      <c r="AN215" s="264"/>
      <c r="AO215" s="264"/>
      <c r="AP215" s="264"/>
      <c r="AQ215" s="264"/>
      <c r="AR215" s="264"/>
      <c r="AS215" s="264"/>
      <c r="AT215" s="264"/>
      <c r="AU215" s="264"/>
      <c r="AV215" s="264"/>
      <c r="AW215" s="264"/>
      <c r="AX215" s="264"/>
      <c r="AY215" s="264"/>
      <c r="AZ215" s="264"/>
      <c r="BA215" s="264"/>
      <c r="BB215" s="264"/>
      <c r="BC215" s="264"/>
    </row>
    <row r="216" spans="1:55" ht="15" customHeight="1" x14ac:dyDescent="0.15">
      <c r="A216" s="180">
        <v>42946</v>
      </c>
      <c r="B216" s="175" t="s">
        <v>34</v>
      </c>
      <c r="C216" s="176">
        <v>79379</v>
      </c>
      <c r="D216" s="177">
        <f>10739+48024</f>
        <v>58763</v>
      </c>
      <c r="E216" s="177">
        <v>141867</v>
      </c>
      <c r="F216" s="178">
        <v>7083</v>
      </c>
      <c r="G216" s="177">
        <v>4586</v>
      </c>
      <c r="H216" s="179"/>
      <c r="I216" s="179"/>
      <c r="J216" s="204">
        <f t="shared" si="60"/>
        <v>83104</v>
      </c>
      <c r="K216" s="177">
        <v>639</v>
      </c>
      <c r="L216" s="177">
        <v>2201</v>
      </c>
      <c r="M216" s="205">
        <f t="shared" si="61"/>
        <v>885</v>
      </c>
      <c r="N216" s="206">
        <f t="shared" si="68"/>
        <v>2226163</v>
      </c>
      <c r="O216" s="209">
        <f t="shared" si="68"/>
        <v>1545917</v>
      </c>
      <c r="P216" s="208">
        <f t="shared" si="68"/>
        <v>3855898</v>
      </c>
      <c r="Q216" s="225">
        <f t="shared" si="67"/>
        <v>13804485</v>
      </c>
      <c r="R216" s="207">
        <f t="shared" si="67"/>
        <v>7451208</v>
      </c>
      <c r="S216" s="226">
        <f t="shared" si="67"/>
        <v>21632578.739999998</v>
      </c>
      <c r="T216" s="227">
        <f>N216/'2017'!N216-1</f>
        <v>4.9428419231512644E-2</v>
      </c>
      <c r="U216" s="228">
        <f>O216/'2017'!O216-1</f>
        <v>1.8690615747851913E-2</v>
      </c>
      <c r="V216" s="228">
        <f>P216/'2017'!P216-1</f>
        <v>3.0358708458223527E-2</v>
      </c>
      <c r="W216" s="228">
        <f>Q216/'2017'!Q216-1</f>
        <v>0.10231782151558511</v>
      </c>
      <c r="X216" s="228">
        <f>R216/'2017'!R216-1</f>
        <v>0.12693525422713692</v>
      </c>
      <c r="Y216" s="244">
        <f>S216/'2017'!S216-1</f>
        <v>0.10171558139842252</v>
      </c>
      <c r="Z216" s="245"/>
      <c r="AA216" s="246">
        <f t="shared" si="66"/>
        <v>1380.4485</v>
      </c>
      <c r="AB216" s="247"/>
      <c r="AC216" s="248"/>
      <c r="AD216" s="247">
        <f t="shared" si="62"/>
        <v>14181370.739999998</v>
      </c>
      <c r="AE216" s="177">
        <f t="shared" si="64"/>
        <v>134999.77000000002</v>
      </c>
      <c r="AF216" s="177">
        <f t="shared" si="70"/>
        <v>63669.069999999992</v>
      </c>
      <c r="AG216" s="248">
        <f t="shared" si="63"/>
        <v>178216.89999999834</v>
      </c>
      <c r="AH216" s="263"/>
      <c r="AI216" s="264"/>
      <c r="AJ216" s="264"/>
      <c r="AK216" s="264"/>
      <c r="AL216" s="264"/>
      <c r="AM216" s="264"/>
      <c r="AN216" s="264"/>
      <c r="AO216" s="264"/>
      <c r="AP216" s="264"/>
      <c r="AQ216" s="264"/>
      <c r="AR216" s="264"/>
      <c r="AS216" s="264"/>
      <c r="AT216" s="264"/>
      <c r="AU216" s="264"/>
      <c r="AV216" s="264"/>
      <c r="AW216" s="264"/>
      <c r="AX216" s="264"/>
      <c r="AY216" s="264"/>
      <c r="AZ216" s="264"/>
      <c r="BA216" s="264"/>
      <c r="BB216" s="264"/>
      <c r="BC216" s="264"/>
    </row>
    <row r="217" spans="1:55" s="157" customFormat="1" ht="15" customHeight="1" x14ac:dyDescent="0.15">
      <c r="A217" s="290">
        <v>42947</v>
      </c>
      <c r="B217" s="188" t="s">
        <v>35</v>
      </c>
      <c r="C217" s="189">
        <v>73403</v>
      </c>
      <c r="D217" s="190">
        <f>10730+48478</f>
        <v>59208</v>
      </c>
      <c r="E217" s="190">
        <v>136679</v>
      </c>
      <c r="F217" s="191">
        <v>6707</v>
      </c>
      <c r="G217" s="190">
        <v>4453</v>
      </c>
      <c r="H217" s="192"/>
      <c r="I217" s="192"/>
      <c r="J217" s="216">
        <f t="shared" si="60"/>
        <v>77471</v>
      </c>
      <c r="K217" s="190">
        <v>666</v>
      </c>
      <c r="L217" s="190">
        <v>2367</v>
      </c>
      <c r="M217" s="217">
        <f t="shared" si="61"/>
        <v>1035</v>
      </c>
      <c r="N217" s="218">
        <f>[6]表2、统调口径电量!$D$10</f>
        <v>2299564.7000000002</v>
      </c>
      <c r="O217" s="222">
        <f>[6]表2、统调口径电量!$D$14</f>
        <v>1614262</v>
      </c>
      <c r="P217" s="220">
        <f>[6]表2、统调口径电量!$D$3</f>
        <v>3992595.62</v>
      </c>
      <c r="Q217" s="233">
        <f>[6]表2、统调口径电量!$I$10</f>
        <v>13879287.720000001</v>
      </c>
      <c r="R217" s="219">
        <f>[6]表2、统调口径电量!$I$14</f>
        <v>7519553</v>
      </c>
      <c r="S217" s="234">
        <f>[6]表2、统调口径电量!$I$3</f>
        <v>21771111.719999999</v>
      </c>
      <c r="T217" s="235">
        <f>N217/'2017'!N217-1</f>
        <v>4.8419095052166572E-2</v>
      </c>
      <c r="U217" s="236">
        <f>O217/'2017'!O217-1</f>
        <v>3.2897633039169483E-2</v>
      </c>
      <c r="V217" s="236">
        <f>P217/'2017'!P217-1</f>
        <v>3.3653882199676799E-2</v>
      </c>
      <c r="W217" s="236">
        <f>Q217/'2017'!Q217-1</f>
        <v>0.1019506373600696</v>
      </c>
      <c r="X217" s="236">
        <f>R217/'2017'!R217-1</f>
        <v>0.12898810228039115</v>
      </c>
      <c r="Y217" s="254">
        <f>S217/'2017'!S217-1</f>
        <v>0.10199357400499376</v>
      </c>
      <c r="Z217" s="255">
        <f>[6]表2、统调口径电量!$I$12/10000</f>
        <v>69.430068999999989</v>
      </c>
      <c r="AA217" s="256">
        <f>[6]表2、统调口径电量!$I$11/10000</f>
        <v>1318.498703</v>
      </c>
      <c r="AB217" s="257">
        <v>4283.88</v>
      </c>
      <c r="AC217" s="258"/>
      <c r="AD217" s="303">
        <f t="shared" si="62"/>
        <v>14251558.719999999</v>
      </c>
      <c r="AE217" s="190">
        <f t="shared" si="64"/>
        <v>135665.77000000002</v>
      </c>
      <c r="AF217" s="190">
        <f t="shared" si="70"/>
        <v>66036.069999999992</v>
      </c>
      <c r="AG217" s="258">
        <f t="shared" si="63"/>
        <v>170569.15999999811</v>
      </c>
      <c r="AH217" s="263"/>
      <c r="AI217" s="264"/>
      <c r="AJ217" s="264"/>
      <c r="AK217" s="264"/>
      <c r="AL217" s="264"/>
      <c r="AM217" s="264"/>
      <c r="AN217" s="264"/>
      <c r="AO217" s="264"/>
      <c r="AP217" s="264"/>
      <c r="AQ217" s="264"/>
      <c r="AR217" s="264"/>
      <c r="AS217" s="264"/>
      <c r="AT217" s="264"/>
      <c r="AU217" s="264"/>
      <c r="AV217" s="264"/>
      <c r="AW217" s="264"/>
      <c r="AX217" s="264"/>
      <c r="AY217" s="264"/>
      <c r="AZ217" s="264"/>
      <c r="BA217" s="264"/>
      <c r="BB217" s="264"/>
      <c r="BC217" s="264"/>
    </row>
    <row r="218" spans="1:55" ht="15" customHeight="1" x14ac:dyDescent="0.15">
      <c r="A218" s="180">
        <v>42948</v>
      </c>
      <c r="B218" s="175" t="s">
        <v>36</v>
      </c>
      <c r="C218" s="176">
        <v>69999</v>
      </c>
      <c r="D218" s="177">
        <f>48854+10499</f>
        <v>59353</v>
      </c>
      <c r="E218" s="177">
        <v>132868</v>
      </c>
      <c r="F218" s="178">
        <v>6330</v>
      </c>
      <c r="G218" s="177">
        <v>4390.5</v>
      </c>
      <c r="H218" s="179"/>
      <c r="I218" s="179"/>
      <c r="J218" s="204">
        <f t="shared" si="60"/>
        <v>73515</v>
      </c>
      <c r="K218" s="177">
        <v>160</v>
      </c>
      <c r="L218" s="177">
        <v>2315</v>
      </c>
      <c r="M218" s="205">
        <f t="shared" si="61"/>
        <v>1041</v>
      </c>
      <c r="N218" s="206">
        <f>C218</f>
        <v>69999</v>
      </c>
      <c r="O218" s="209">
        <f>D218</f>
        <v>59353</v>
      </c>
      <c r="P218" s="208">
        <f>E218</f>
        <v>132868</v>
      </c>
      <c r="Q218" s="225">
        <f>Q$217+N218</f>
        <v>13949286.720000001</v>
      </c>
      <c r="R218" s="207">
        <f>R$217+O218</f>
        <v>7578906</v>
      </c>
      <c r="S218" s="226">
        <f>S$217+P218</f>
        <v>21903979.719999999</v>
      </c>
      <c r="T218" s="227">
        <f>N218/'2017'!N218-1</f>
        <v>0.10514848671434662</v>
      </c>
      <c r="U218" s="228">
        <f>O218/'2017'!O218-1</f>
        <v>0.23742312102574803</v>
      </c>
      <c r="V218" s="228">
        <f>P218/'2017'!P218-1</f>
        <v>0.16695210743112088</v>
      </c>
      <c r="W218" s="228">
        <f>Q218/'2017'!Q218-1</f>
        <v>0.1019666383056772</v>
      </c>
      <c r="X218" s="228">
        <f>R218/'2017'!R218-1</f>
        <v>0.12976341157900362</v>
      </c>
      <c r="Y218" s="244">
        <f>S218/'2017'!S218-1</f>
        <v>0.10236579963934633</v>
      </c>
      <c r="Z218" s="245"/>
      <c r="AA218" s="246">
        <f t="shared" si="66"/>
        <v>1394.928672</v>
      </c>
      <c r="AB218" s="247"/>
      <c r="AC218" s="248"/>
      <c r="AD218" s="247">
        <f t="shared" si="62"/>
        <v>14325073.719999999</v>
      </c>
      <c r="AE218" s="177">
        <f t="shared" si="64"/>
        <v>135825.77000000002</v>
      </c>
      <c r="AF218" s="177">
        <f t="shared" si="70"/>
        <v>68351.069999999992</v>
      </c>
      <c r="AG218" s="248">
        <f t="shared" si="63"/>
        <v>171610.15999999811</v>
      </c>
      <c r="AH218" s="263"/>
      <c r="AI218" s="264"/>
      <c r="AJ218" s="264"/>
      <c r="AK218" s="264"/>
      <c r="AL218" s="264"/>
      <c r="AM218" s="264"/>
      <c r="AN218" s="264"/>
      <c r="AO218" s="264"/>
      <c r="AP218" s="264"/>
      <c r="AQ218" s="264"/>
      <c r="AR218" s="264"/>
      <c r="AS218" s="264"/>
      <c r="AT218" s="264"/>
      <c r="AU218" s="264"/>
      <c r="AV218" s="264"/>
      <c r="AW218" s="264"/>
      <c r="AX218" s="264"/>
      <c r="AY218" s="264"/>
      <c r="AZ218" s="264"/>
      <c r="BA218" s="264"/>
      <c r="BB218" s="264"/>
      <c r="BC218" s="264"/>
    </row>
    <row r="219" spans="1:55" s="157" customFormat="1" ht="15" customHeight="1" x14ac:dyDescent="0.15">
      <c r="A219" s="181">
        <v>42949</v>
      </c>
      <c r="B219" s="182" t="s">
        <v>37</v>
      </c>
      <c r="C219" s="183">
        <v>70325</v>
      </c>
      <c r="D219" s="184">
        <v>59337</v>
      </c>
      <c r="E219" s="184">
        <v>133290</v>
      </c>
      <c r="F219" s="185">
        <v>6509</v>
      </c>
      <c r="G219" s="184">
        <v>4379</v>
      </c>
      <c r="H219" s="186"/>
      <c r="I219" s="186"/>
      <c r="J219" s="210">
        <f t="shared" si="60"/>
        <v>73953</v>
      </c>
      <c r="K219" s="184">
        <v>194</v>
      </c>
      <c r="L219" s="184">
        <v>2487</v>
      </c>
      <c r="M219" s="211">
        <f t="shared" si="61"/>
        <v>947</v>
      </c>
      <c r="N219" s="212">
        <f t="shared" ref="N219:P234" si="71">N218+C219</f>
        <v>140324</v>
      </c>
      <c r="O219" s="215">
        <f t="shared" si="71"/>
        <v>118690</v>
      </c>
      <c r="P219" s="214">
        <f t="shared" si="71"/>
        <v>266158</v>
      </c>
      <c r="Q219" s="229">
        <f t="shared" ref="Q219:S247" si="72">Q$217+N219</f>
        <v>14019611.720000001</v>
      </c>
      <c r="R219" s="213">
        <f t="shared" si="72"/>
        <v>7638243</v>
      </c>
      <c r="S219" s="230">
        <f t="shared" si="72"/>
        <v>22037269.719999999</v>
      </c>
      <c r="T219" s="231">
        <f>N219/'2017'!N219-1</f>
        <v>4.1465967032069839E-2</v>
      </c>
      <c r="U219" s="232">
        <f>O219/'2017'!O219-1</f>
        <v>0.25478380378475518</v>
      </c>
      <c r="V219" s="232">
        <f>P219/'2017'!P219-1</f>
        <v>0.13268845301069465</v>
      </c>
      <c r="W219" s="232">
        <f>Q219/'2017'!Q219-1</f>
        <v>0.10131045166421382</v>
      </c>
      <c r="X219" s="232">
        <f>R219/'2017'!R219-1</f>
        <v>0.1307496077735304</v>
      </c>
      <c r="Y219" s="249">
        <f>S219/'2017'!S219-1</f>
        <v>0.10235436726586489</v>
      </c>
      <c r="Z219" s="250">
        <v>70.14</v>
      </c>
      <c r="AA219" s="251">
        <f t="shared" si="66"/>
        <v>1331.8211719999999</v>
      </c>
      <c r="AB219" s="252">
        <v>4283.88</v>
      </c>
      <c r="AC219" s="211">
        <f t="shared" si="69"/>
        <v>3108.9133495802866</v>
      </c>
      <c r="AD219" s="252">
        <f t="shared" si="62"/>
        <v>14399026.719999999</v>
      </c>
      <c r="AE219" s="184">
        <f t="shared" si="64"/>
        <v>136019.77000000002</v>
      </c>
      <c r="AF219" s="184">
        <f t="shared" si="70"/>
        <v>70838.069999999992</v>
      </c>
      <c r="AG219" s="211">
        <f t="shared" si="63"/>
        <v>172557.15999999811</v>
      </c>
      <c r="AH219" s="263"/>
      <c r="AI219" s="264"/>
      <c r="AJ219" s="264"/>
      <c r="AK219" s="264"/>
      <c r="AL219" s="264"/>
      <c r="AM219" s="264"/>
      <c r="AN219" s="264"/>
      <c r="AO219" s="264"/>
      <c r="AP219" s="264"/>
      <c r="AQ219" s="264"/>
      <c r="AR219" s="264"/>
      <c r="AS219" s="264"/>
      <c r="AT219" s="264"/>
      <c r="AU219" s="264"/>
      <c r="AV219" s="264"/>
      <c r="AW219" s="264"/>
      <c r="AX219" s="264"/>
      <c r="AY219" s="264"/>
      <c r="AZ219" s="264"/>
      <c r="BA219" s="264"/>
      <c r="BB219" s="264"/>
      <c r="BC219" s="264"/>
    </row>
    <row r="220" spans="1:55" ht="15" customHeight="1" x14ac:dyDescent="0.15">
      <c r="A220" s="180">
        <v>42950</v>
      </c>
      <c r="B220" s="175" t="s">
        <v>38</v>
      </c>
      <c r="C220" s="176">
        <v>67287</v>
      </c>
      <c r="D220" s="177">
        <f>45406+10511</f>
        <v>55917</v>
      </c>
      <c r="E220" s="177">
        <v>127224</v>
      </c>
      <c r="F220" s="178">
        <v>6149.3</v>
      </c>
      <c r="G220" s="177">
        <v>4251.6000000000004</v>
      </c>
      <c r="H220" s="179"/>
      <c r="I220" s="179"/>
      <c r="J220" s="204">
        <f t="shared" si="60"/>
        <v>71307</v>
      </c>
      <c r="K220" s="177">
        <v>602</v>
      </c>
      <c r="L220" s="177">
        <v>2535</v>
      </c>
      <c r="M220" s="205">
        <f t="shared" si="61"/>
        <v>883</v>
      </c>
      <c r="N220" s="206">
        <f t="shared" si="71"/>
        <v>207611</v>
      </c>
      <c r="O220" s="209">
        <f t="shared" si="71"/>
        <v>174607</v>
      </c>
      <c r="P220" s="208">
        <f t="shared" si="71"/>
        <v>393382</v>
      </c>
      <c r="Q220" s="225">
        <f t="shared" si="72"/>
        <v>14086898.720000001</v>
      </c>
      <c r="R220" s="207">
        <f t="shared" si="72"/>
        <v>7694160</v>
      </c>
      <c r="S220" s="226">
        <f t="shared" si="72"/>
        <v>22164493.719999999</v>
      </c>
      <c r="T220" s="227">
        <f>N220/'2017'!N220-1</f>
        <v>-3.2035322311429359E-2</v>
      </c>
      <c r="U220" s="228">
        <f>O220/'2017'!O220-1</f>
        <v>0.2586737599388711</v>
      </c>
      <c r="V220" s="228">
        <f>P220/'2017'!P220-1</f>
        <v>8.0850432469858902E-2</v>
      </c>
      <c r="W220" s="228">
        <f>Q220/'2017'!Q220-1</f>
        <v>9.9707210979023575E-2</v>
      </c>
      <c r="X220" s="228">
        <f>R220/'2017'!R220-1</f>
        <v>0.13163407415534767</v>
      </c>
      <c r="Y220" s="244">
        <f>S220/'2017'!S220-1</f>
        <v>0.10161111147588775</v>
      </c>
      <c r="Z220" s="245"/>
      <c r="AA220" s="246">
        <f t="shared" si="66"/>
        <v>1408.6898720000002</v>
      </c>
      <c r="AB220" s="247"/>
      <c r="AC220" s="248"/>
      <c r="AD220" s="247">
        <f t="shared" si="62"/>
        <v>14470333.719999999</v>
      </c>
      <c r="AE220" s="177">
        <f t="shared" si="64"/>
        <v>136621.77000000002</v>
      </c>
      <c r="AF220" s="177">
        <f t="shared" si="70"/>
        <v>73373.069999999992</v>
      </c>
      <c r="AG220" s="248">
        <f t="shared" si="63"/>
        <v>173440.15999999811</v>
      </c>
      <c r="AH220" s="263"/>
      <c r="AI220" s="264"/>
      <c r="AJ220" s="264"/>
      <c r="AK220" s="264"/>
      <c r="AL220" s="264"/>
      <c r="AM220" s="264"/>
      <c r="AN220" s="264"/>
      <c r="AO220" s="264"/>
      <c r="AP220" s="264"/>
      <c r="AQ220" s="264"/>
      <c r="AR220" s="264"/>
      <c r="AS220" s="264"/>
      <c r="AT220" s="264"/>
      <c r="AU220" s="264"/>
      <c r="AV220" s="264"/>
      <c r="AW220" s="264"/>
      <c r="AX220" s="264"/>
      <c r="AY220" s="264"/>
      <c r="AZ220" s="264"/>
      <c r="BA220" s="264"/>
      <c r="BB220" s="264"/>
      <c r="BC220" s="264"/>
    </row>
    <row r="221" spans="1:55" ht="15" customHeight="1" x14ac:dyDescent="0.15">
      <c r="A221" s="180">
        <v>42951</v>
      </c>
      <c r="B221" s="175" t="s">
        <v>39</v>
      </c>
      <c r="C221" s="176">
        <v>66614</v>
      </c>
      <c r="D221" s="177">
        <f>48099+10526</f>
        <v>58625</v>
      </c>
      <c r="E221" s="177">
        <v>129177</v>
      </c>
      <c r="F221" s="178">
        <v>6310.4</v>
      </c>
      <c r="G221" s="177">
        <v>4166.3</v>
      </c>
      <c r="H221" s="179"/>
      <c r="I221" s="179"/>
      <c r="J221" s="204">
        <f t="shared" si="60"/>
        <v>70552</v>
      </c>
      <c r="K221" s="177">
        <v>685</v>
      </c>
      <c r="L221" s="177">
        <v>1960</v>
      </c>
      <c r="M221" s="205">
        <f t="shared" si="61"/>
        <v>1293</v>
      </c>
      <c r="N221" s="206">
        <f t="shared" si="71"/>
        <v>274225</v>
      </c>
      <c r="O221" s="209">
        <f t="shared" si="71"/>
        <v>233232</v>
      </c>
      <c r="P221" s="208">
        <f t="shared" si="71"/>
        <v>522559</v>
      </c>
      <c r="Q221" s="225">
        <f t="shared" si="72"/>
        <v>14153512.720000001</v>
      </c>
      <c r="R221" s="207">
        <f t="shared" si="72"/>
        <v>7752785</v>
      </c>
      <c r="S221" s="226">
        <f t="shared" si="72"/>
        <v>22293670.719999999</v>
      </c>
      <c r="T221" s="227">
        <f>N221/'2017'!N221-1</f>
        <v>-8.3564482170905285E-2</v>
      </c>
      <c r="U221" s="228">
        <f>O221/'2017'!O221-1</f>
        <v>0.27520257192533548</v>
      </c>
      <c r="V221" s="228">
        <f>P221/'2017'!P221-1</f>
        <v>4.8010509004853485E-2</v>
      </c>
      <c r="W221" s="228">
        <f>Q221/'2017'!Q221-1</f>
        <v>9.7645546485976453E-2</v>
      </c>
      <c r="X221" s="228">
        <f>R221/'2017'!R221-1</f>
        <v>0.13289589548018554</v>
      </c>
      <c r="Y221" s="244">
        <f>S221/'2017'!S221-1</f>
        <v>0.10066464840120415</v>
      </c>
      <c r="Z221" s="245"/>
      <c r="AA221" s="246">
        <f t="shared" si="66"/>
        <v>1415.3512720000001</v>
      </c>
      <c r="AB221" s="247"/>
      <c r="AC221" s="248"/>
      <c r="AD221" s="247">
        <f t="shared" si="62"/>
        <v>14540885.719999999</v>
      </c>
      <c r="AE221" s="177">
        <f t="shared" si="64"/>
        <v>137306.77000000002</v>
      </c>
      <c r="AF221" s="177">
        <f t="shared" si="70"/>
        <v>75333.069999999992</v>
      </c>
      <c r="AG221" s="248">
        <f t="shared" si="63"/>
        <v>174733.15999999811</v>
      </c>
      <c r="AH221" s="263"/>
      <c r="AI221" s="264"/>
      <c r="AJ221" s="264"/>
      <c r="AK221" s="264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264"/>
    </row>
    <row r="222" spans="1:55" ht="15" customHeight="1" x14ac:dyDescent="0.15">
      <c r="A222" s="180">
        <v>42952</v>
      </c>
      <c r="B222" s="175" t="s">
        <v>1</v>
      </c>
      <c r="C222" s="176">
        <v>65796</v>
      </c>
      <c r="D222" s="177">
        <f>48483+10515</f>
        <v>58998</v>
      </c>
      <c r="E222" s="177">
        <v>129103</v>
      </c>
      <c r="F222" s="178">
        <v>6071.9</v>
      </c>
      <c r="G222" s="177">
        <v>4328</v>
      </c>
      <c r="H222" s="179"/>
      <c r="I222" s="179"/>
      <c r="J222" s="204">
        <f t="shared" si="60"/>
        <v>70105</v>
      </c>
      <c r="K222" s="177">
        <v>378</v>
      </c>
      <c r="L222" s="177">
        <v>2697</v>
      </c>
      <c r="M222" s="205">
        <f t="shared" si="61"/>
        <v>1234</v>
      </c>
      <c r="N222" s="206">
        <f t="shared" si="71"/>
        <v>340021</v>
      </c>
      <c r="O222" s="209">
        <f t="shared" si="71"/>
        <v>292230</v>
      </c>
      <c r="P222" s="208">
        <f t="shared" si="71"/>
        <v>651662</v>
      </c>
      <c r="Q222" s="225">
        <f t="shared" si="72"/>
        <v>14219308.720000001</v>
      </c>
      <c r="R222" s="207">
        <f t="shared" si="72"/>
        <v>7811783</v>
      </c>
      <c r="S222" s="226">
        <f t="shared" si="72"/>
        <v>22422773.719999999</v>
      </c>
      <c r="T222" s="227">
        <f>N222/'2017'!N222-1</f>
        <v>-0.11360069656254723</v>
      </c>
      <c r="U222" s="228">
        <f>O222/'2017'!O222-1</f>
        <v>0.29138458275148915</v>
      </c>
      <c r="V222" s="228">
        <f>P222/'2017'!P222-1</f>
        <v>2.9706318281078614E-2</v>
      </c>
      <c r="W222" s="228">
        <f>Q222/'2017'!Q222-1</f>
        <v>9.557985741042252E-2</v>
      </c>
      <c r="X222" s="228">
        <f>R222/'2017'!R222-1</f>
        <v>0.13432431192287542</v>
      </c>
      <c r="Y222" s="244">
        <f>S222/'2017'!S222-1</f>
        <v>9.974981958079554E-2</v>
      </c>
      <c r="Z222" s="245"/>
      <c r="AA222" s="246">
        <f t="shared" si="66"/>
        <v>1421.9308720000001</v>
      </c>
      <c r="AB222" s="247"/>
      <c r="AC222" s="248"/>
      <c r="AD222" s="247">
        <f t="shared" si="62"/>
        <v>14610990.719999999</v>
      </c>
      <c r="AE222" s="177">
        <f t="shared" si="64"/>
        <v>137684.77000000002</v>
      </c>
      <c r="AF222" s="177">
        <f t="shared" si="70"/>
        <v>78030.069999999992</v>
      </c>
      <c r="AG222" s="248">
        <f t="shared" si="63"/>
        <v>175967.15999999811</v>
      </c>
      <c r="AH222" s="263"/>
      <c r="AI222" s="264"/>
      <c r="AJ222" s="264"/>
      <c r="AK222" s="264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264"/>
    </row>
    <row r="223" spans="1:55" ht="15" customHeight="1" x14ac:dyDescent="0.15">
      <c r="A223" s="180">
        <v>42953</v>
      </c>
      <c r="B223" s="175" t="s">
        <v>34</v>
      </c>
      <c r="C223" s="176">
        <v>76343</v>
      </c>
      <c r="D223" s="177">
        <f>48643+10517</f>
        <v>59160</v>
      </c>
      <c r="E223" s="177">
        <v>140053</v>
      </c>
      <c r="F223" s="178">
        <v>3968.4</v>
      </c>
      <c r="G223" s="177">
        <v>4435.6000000000004</v>
      </c>
      <c r="H223" s="179"/>
      <c r="I223" s="179"/>
      <c r="J223" s="204">
        <f t="shared" si="60"/>
        <v>80893</v>
      </c>
      <c r="K223" s="177">
        <v>364</v>
      </c>
      <c r="L223" s="177">
        <v>3059</v>
      </c>
      <c r="M223" s="205">
        <f t="shared" si="61"/>
        <v>1127</v>
      </c>
      <c r="N223" s="206">
        <f t="shared" si="71"/>
        <v>416364</v>
      </c>
      <c r="O223" s="209">
        <f t="shared" si="71"/>
        <v>351390</v>
      </c>
      <c r="P223" s="208">
        <f t="shared" si="71"/>
        <v>791715</v>
      </c>
      <c r="Q223" s="225">
        <f t="shared" si="72"/>
        <v>14295651.720000001</v>
      </c>
      <c r="R223" s="207">
        <f t="shared" si="72"/>
        <v>7870943</v>
      </c>
      <c r="S223" s="226">
        <f t="shared" si="72"/>
        <v>22562826.719999999</v>
      </c>
      <c r="T223" s="227">
        <f>N223/'2017'!N223-1</f>
        <v>-9.008579807948669E-2</v>
      </c>
      <c r="U223" s="228">
        <f>O223/'2017'!O223-1</f>
        <v>0.28259972916446152</v>
      </c>
      <c r="V223" s="228">
        <f>P223/'2017'!P223-1</f>
        <v>4.2178674245366032E-2</v>
      </c>
      <c r="W223" s="228">
        <f>Q223/'2017'!Q223-1</f>
        <v>9.5218496793550988E-2</v>
      </c>
      <c r="X223" s="228">
        <f>R223/'2017'!R223-1</f>
        <v>0.13505704816982811</v>
      </c>
      <c r="Y223" s="244">
        <f>S223/'2017'!S223-1</f>
        <v>9.9778705901449882E-2</v>
      </c>
      <c r="Z223" s="245"/>
      <c r="AA223" s="246">
        <f t="shared" si="66"/>
        <v>1429.5651720000001</v>
      </c>
      <c r="AB223" s="247"/>
      <c r="AC223" s="248"/>
      <c r="AD223" s="247">
        <f t="shared" si="62"/>
        <v>14691883.719999999</v>
      </c>
      <c r="AE223" s="177">
        <f t="shared" si="64"/>
        <v>138048.77000000002</v>
      </c>
      <c r="AF223" s="177">
        <f t="shared" si="70"/>
        <v>81089.069999999992</v>
      </c>
      <c r="AG223" s="248">
        <f t="shared" si="63"/>
        <v>177094.15999999811</v>
      </c>
      <c r="AH223" s="263"/>
      <c r="AI223" s="264"/>
      <c r="AJ223" s="264"/>
      <c r="AK223" s="264"/>
      <c r="AL223" s="264"/>
      <c r="AM223" s="264"/>
      <c r="AN223" s="264"/>
      <c r="AO223" s="264"/>
      <c r="AP223" s="264"/>
      <c r="AQ223" s="264"/>
      <c r="AR223" s="264"/>
      <c r="AS223" s="264"/>
      <c r="AT223" s="264"/>
      <c r="AU223" s="264"/>
      <c r="AV223" s="264"/>
      <c r="AW223" s="264"/>
      <c r="AX223" s="264"/>
      <c r="AY223" s="264"/>
      <c r="AZ223" s="264"/>
      <c r="BA223" s="264"/>
      <c r="BB223" s="264"/>
      <c r="BC223" s="264"/>
    </row>
    <row r="224" spans="1:55" ht="15" customHeight="1" x14ac:dyDescent="0.15">
      <c r="A224" s="180">
        <v>42954</v>
      </c>
      <c r="B224" s="175" t="s">
        <v>35</v>
      </c>
      <c r="C224" s="176">
        <v>78998</v>
      </c>
      <c r="D224" s="177">
        <f>48348+10454</f>
        <v>58802</v>
      </c>
      <c r="E224" s="177">
        <v>142108</v>
      </c>
      <c r="F224" s="178">
        <v>6916.2</v>
      </c>
      <c r="G224" s="177">
        <v>4573.7</v>
      </c>
      <c r="H224" s="179"/>
      <c r="I224" s="179"/>
      <c r="J224" s="204">
        <f t="shared" si="60"/>
        <v>83306</v>
      </c>
      <c r="K224" s="177">
        <v>305</v>
      </c>
      <c r="L224" s="177">
        <v>2833</v>
      </c>
      <c r="M224" s="205">
        <f t="shared" si="61"/>
        <v>1170</v>
      </c>
      <c r="N224" s="206">
        <f t="shared" si="71"/>
        <v>495362</v>
      </c>
      <c r="O224" s="209">
        <f t="shared" si="71"/>
        <v>410192</v>
      </c>
      <c r="P224" s="208">
        <f t="shared" si="71"/>
        <v>933823</v>
      </c>
      <c r="Q224" s="225">
        <f t="shared" si="72"/>
        <v>14374649.720000001</v>
      </c>
      <c r="R224" s="207">
        <f t="shared" si="72"/>
        <v>7929745</v>
      </c>
      <c r="S224" s="226">
        <f t="shared" si="72"/>
        <v>22704934.719999999</v>
      </c>
      <c r="T224" s="227">
        <f>N224/'2017'!N224-1</f>
        <v>-8.3413206227495262E-2</v>
      </c>
      <c r="U224" s="228">
        <f>O224/'2017'!O224-1</f>
        <v>0.2792714684464126</v>
      </c>
      <c r="V224" s="228">
        <f>P224/'2017'!P224-1</f>
        <v>4.3481418822653772E-2</v>
      </c>
      <c r="W224" s="228">
        <f>Q224/'2017'!Q224-1</f>
        <v>9.4324180052927309E-2</v>
      </c>
      <c r="X224" s="228">
        <f>R224/'2017'!R224-1</f>
        <v>0.13589070231386802</v>
      </c>
      <c r="Y224" s="244">
        <f>S224/'2017'!S224-1</f>
        <v>9.9457953187014114E-2</v>
      </c>
      <c r="Z224" s="245"/>
      <c r="AA224" s="246">
        <f t="shared" si="66"/>
        <v>1437.464972</v>
      </c>
      <c r="AB224" s="247"/>
      <c r="AC224" s="248"/>
      <c r="AD224" s="247">
        <f t="shared" si="62"/>
        <v>14775189.719999999</v>
      </c>
      <c r="AE224" s="177">
        <f t="shared" si="64"/>
        <v>138353.77000000002</v>
      </c>
      <c r="AF224" s="177">
        <f t="shared" si="70"/>
        <v>83922.069999999992</v>
      </c>
      <c r="AG224" s="248">
        <f t="shared" si="63"/>
        <v>178264.15999999811</v>
      </c>
      <c r="AH224" s="263"/>
      <c r="AI224" s="264"/>
      <c r="AJ224" s="264"/>
      <c r="AK224" s="264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264"/>
      <c r="AY224" s="264"/>
      <c r="AZ224" s="264"/>
      <c r="BA224" s="264"/>
      <c r="BB224" s="264"/>
      <c r="BC224" s="264"/>
    </row>
    <row r="225" spans="1:55" ht="15" customHeight="1" x14ac:dyDescent="0.15">
      <c r="A225" s="180">
        <v>42955</v>
      </c>
      <c r="B225" s="175" t="s">
        <v>36</v>
      </c>
      <c r="C225" s="176">
        <v>78645</v>
      </c>
      <c r="D225" s="177">
        <f>49520+10463</f>
        <v>59983</v>
      </c>
      <c r="E225" s="177">
        <v>143043</v>
      </c>
      <c r="F225" s="178">
        <v>6868.2</v>
      </c>
      <c r="G225" s="177">
        <v>4649.7</v>
      </c>
      <c r="H225" s="179"/>
      <c r="I225" s="179"/>
      <c r="J225" s="204">
        <f t="shared" si="60"/>
        <v>83060</v>
      </c>
      <c r="K225" s="177">
        <v>518</v>
      </c>
      <c r="L225" s="177">
        <v>2727</v>
      </c>
      <c r="M225" s="205">
        <f t="shared" si="61"/>
        <v>1170</v>
      </c>
      <c r="N225" s="206">
        <f t="shared" si="71"/>
        <v>574007</v>
      </c>
      <c r="O225" s="209">
        <f t="shared" si="71"/>
        <v>470175</v>
      </c>
      <c r="P225" s="208">
        <f t="shared" si="71"/>
        <v>1076866</v>
      </c>
      <c r="Q225" s="225">
        <f t="shared" si="72"/>
        <v>14453294.720000001</v>
      </c>
      <c r="R225" s="207">
        <f t="shared" si="72"/>
        <v>7989728</v>
      </c>
      <c r="S225" s="226">
        <f t="shared" si="72"/>
        <v>22847977.719999999</v>
      </c>
      <c r="T225" s="227">
        <f>N225/'2017'!N225-1</f>
        <v>-8.2758466403642039E-2</v>
      </c>
      <c r="U225" s="228">
        <f>O225/'2017'!O225-1</f>
        <v>0.27737870777389584</v>
      </c>
      <c r="V225" s="228">
        <f>P225/'2017'!P225-1</f>
        <v>4.2725094941427733E-2</v>
      </c>
      <c r="W225" s="228">
        <f>Q225/'2017'!Q225-1</f>
        <v>9.3207695316670724E-2</v>
      </c>
      <c r="X225" s="228">
        <f>R225/'2017'!R225-1</f>
        <v>0.13675920685368204</v>
      </c>
      <c r="Y225" s="244">
        <f>S225/'2017'!S225-1</f>
        <v>9.9049253989796693E-2</v>
      </c>
      <c r="Z225" s="245"/>
      <c r="AA225" s="246">
        <f t="shared" si="66"/>
        <v>1445.3294720000001</v>
      </c>
      <c r="AB225" s="247"/>
      <c r="AC225" s="248"/>
      <c r="AD225" s="247">
        <f t="shared" si="62"/>
        <v>14858249.719999999</v>
      </c>
      <c r="AE225" s="177">
        <f t="shared" si="64"/>
        <v>138871.77000000002</v>
      </c>
      <c r="AF225" s="177">
        <f t="shared" si="70"/>
        <v>86649.069999999992</v>
      </c>
      <c r="AG225" s="248">
        <f t="shared" si="63"/>
        <v>179434.15999999811</v>
      </c>
      <c r="AH225" s="263"/>
      <c r="AI225" s="264"/>
      <c r="AJ225" s="264"/>
      <c r="AK225" s="264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264"/>
      <c r="AY225" s="264"/>
      <c r="AZ225" s="264"/>
      <c r="BA225" s="264"/>
      <c r="BB225" s="264"/>
      <c r="BC225" s="264"/>
    </row>
    <row r="226" spans="1:55" s="157" customFormat="1" ht="15" customHeight="1" x14ac:dyDescent="0.15">
      <c r="A226" s="181">
        <v>42956</v>
      </c>
      <c r="B226" s="182" t="s">
        <v>37</v>
      </c>
      <c r="C226" s="183">
        <f>73059+6348</f>
        <v>79407</v>
      </c>
      <c r="D226" s="184">
        <f>46083+13603</f>
        <v>59686</v>
      </c>
      <c r="E226" s="184">
        <f>98224+46083</f>
        <v>144307</v>
      </c>
      <c r="F226" s="185">
        <v>6923</v>
      </c>
      <c r="G226" s="184">
        <v>4720</v>
      </c>
      <c r="H226" s="186"/>
      <c r="I226" s="186"/>
      <c r="J226" s="210">
        <f t="shared" si="60"/>
        <v>84621</v>
      </c>
      <c r="K226" s="184">
        <v>954</v>
      </c>
      <c r="L226" s="184">
        <v>3161</v>
      </c>
      <c r="M226" s="211">
        <f t="shared" si="61"/>
        <v>1099</v>
      </c>
      <c r="N226" s="212">
        <f t="shared" si="71"/>
        <v>653414</v>
      </c>
      <c r="O226" s="215">
        <f t="shared" si="71"/>
        <v>529861</v>
      </c>
      <c r="P226" s="214">
        <f t="shared" si="71"/>
        <v>1221173</v>
      </c>
      <c r="Q226" s="229">
        <f t="shared" si="72"/>
        <v>14532701.720000001</v>
      </c>
      <c r="R226" s="213">
        <f t="shared" si="72"/>
        <v>8049414</v>
      </c>
      <c r="S226" s="230">
        <f t="shared" si="72"/>
        <v>22992284.719999999</v>
      </c>
      <c r="T226" s="231">
        <f>N226/'2017'!N226-1</f>
        <v>-7.1981661591601132E-2</v>
      </c>
      <c r="U226" s="232">
        <f>O226/'2017'!O226-1</f>
        <v>0.26719775384085565</v>
      </c>
      <c r="V226" s="232">
        <f>P226/'2017'!P226-1</f>
        <v>4.9253812135423125E-2</v>
      </c>
      <c r="W226" s="232">
        <f>Q226/'2017'!Q226-1</f>
        <v>9.2742251902532047E-2</v>
      </c>
      <c r="X226" s="232">
        <f>R226/'2017'!R226-1</f>
        <v>0.13715223918044495</v>
      </c>
      <c r="Y226" s="249">
        <f>S226/'2017'!S226-1</f>
        <v>9.9059481036922081E-2</v>
      </c>
      <c r="Z226" s="250">
        <v>73.66</v>
      </c>
      <c r="AA226" s="251">
        <f t="shared" si="66"/>
        <v>1379.6101719999999</v>
      </c>
      <c r="AB226" s="252">
        <v>4283.88</v>
      </c>
      <c r="AC226" s="211">
        <f t="shared" si="69"/>
        <v>3220.4687619634533</v>
      </c>
      <c r="AD226" s="252">
        <f t="shared" si="62"/>
        <v>14942870.719999999</v>
      </c>
      <c r="AE226" s="184">
        <f t="shared" si="64"/>
        <v>139825.77000000002</v>
      </c>
      <c r="AF226" s="184">
        <f t="shared" si="70"/>
        <v>89810.069999999992</v>
      </c>
      <c r="AG226" s="211">
        <f t="shared" si="63"/>
        <v>180533.15999999811</v>
      </c>
      <c r="AH226" s="263"/>
      <c r="AI226" s="264"/>
      <c r="AJ226" s="264"/>
      <c r="AK226" s="264"/>
      <c r="AL226" s="264"/>
      <c r="AM226" s="264"/>
      <c r="AN226" s="264"/>
      <c r="AO226" s="264"/>
      <c r="AP226" s="264"/>
      <c r="AQ226" s="264"/>
      <c r="AR226" s="264"/>
      <c r="AS226" s="264"/>
      <c r="AT226" s="264"/>
      <c r="AU226" s="264"/>
      <c r="AV226" s="264"/>
      <c r="AW226" s="264"/>
      <c r="AX226" s="264"/>
      <c r="AY226" s="264"/>
      <c r="AZ226" s="264"/>
      <c r="BA226" s="264"/>
      <c r="BB226" s="264"/>
      <c r="BC226" s="264"/>
    </row>
    <row r="227" spans="1:55" ht="15" customHeight="1" x14ac:dyDescent="0.15">
      <c r="A227" s="180">
        <v>42957</v>
      </c>
      <c r="B227" s="175" t="s">
        <v>38</v>
      </c>
      <c r="C227" s="176">
        <v>79715</v>
      </c>
      <c r="D227" s="177">
        <f>48818+10646</f>
        <v>59464</v>
      </c>
      <c r="E227" s="177">
        <v>144458</v>
      </c>
      <c r="F227" s="178">
        <v>6964.6</v>
      </c>
      <c r="G227" s="177">
        <v>4705.5</v>
      </c>
      <c r="H227" s="179"/>
      <c r="I227" s="179"/>
      <c r="J227" s="204">
        <f t="shared" si="60"/>
        <v>84994</v>
      </c>
      <c r="K227" s="177">
        <v>771</v>
      </c>
      <c r="L227" s="177">
        <v>3394</v>
      </c>
      <c r="M227" s="205">
        <f t="shared" si="61"/>
        <v>1114</v>
      </c>
      <c r="N227" s="206">
        <f t="shared" si="71"/>
        <v>733129</v>
      </c>
      <c r="O227" s="209">
        <f t="shared" si="71"/>
        <v>589325</v>
      </c>
      <c r="P227" s="208">
        <f t="shared" si="71"/>
        <v>1365631</v>
      </c>
      <c r="Q227" s="225">
        <f t="shared" si="72"/>
        <v>14612416.720000001</v>
      </c>
      <c r="R227" s="207">
        <f t="shared" si="72"/>
        <v>8108878</v>
      </c>
      <c r="S227" s="226">
        <f t="shared" si="72"/>
        <v>23136742.719999999</v>
      </c>
      <c r="T227" s="227">
        <f>N227/'2017'!N227-1</f>
        <v>-5.9005262482351384E-2</v>
      </c>
      <c r="U227" s="228">
        <f>O227/'2017'!O227-1</f>
        <v>0.25820907631345213</v>
      </c>
      <c r="V227" s="228">
        <f>P227/'2017'!P227-1</f>
        <v>5.772674463635652E-2</v>
      </c>
      <c r="W227" s="228">
        <f>Q227/'2017'!Q227-1</f>
        <v>9.2574389658821366E-2</v>
      </c>
      <c r="X227" s="228">
        <f>R227/'2017'!R227-1</f>
        <v>0.13747829234010678</v>
      </c>
      <c r="Y227" s="244">
        <f>S227/'2017'!S227-1</f>
        <v>9.9278112432569454E-2</v>
      </c>
      <c r="Z227" s="245"/>
      <c r="AA227" s="246">
        <f t="shared" si="66"/>
        <v>1461.2416720000001</v>
      </c>
      <c r="AB227" s="247"/>
      <c r="AC227" s="248"/>
      <c r="AD227" s="247">
        <f t="shared" si="62"/>
        <v>15027864.719999999</v>
      </c>
      <c r="AE227" s="177">
        <f t="shared" si="64"/>
        <v>140596.77000000002</v>
      </c>
      <c r="AF227" s="177">
        <f t="shared" si="70"/>
        <v>93204.069999999992</v>
      </c>
      <c r="AG227" s="248">
        <f t="shared" si="63"/>
        <v>181647.15999999811</v>
      </c>
      <c r="AH227" s="263"/>
      <c r="AI227" s="264"/>
      <c r="AJ227" s="264"/>
      <c r="AK227" s="264"/>
      <c r="AL227" s="264"/>
      <c r="AM227" s="264"/>
      <c r="AN227" s="264"/>
      <c r="AO227" s="264"/>
      <c r="AP227" s="264"/>
      <c r="AQ227" s="264"/>
      <c r="AR227" s="264"/>
      <c r="AS227" s="264"/>
      <c r="AT227" s="264"/>
      <c r="AU227" s="264"/>
      <c r="AV227" s="264"/>
      <c r="AW227" s="264"/>
      <c r="AX227" s="264"/>
      <c r="AY227" s="264"/>
      <c r="AZ227" s="264"/>
      <c r="BA227" s="264"/>
      <c r="BB227" s="264"/>
      <c r="BC227" s="264"/>
    </row>
    <row r="228" spans="1:55" ht="15" customHeight="1" x14ac:dyDescent="0.15">
      <c r="A228" s="180">
        <v>42958</v>
      </c>
      <c r="B228" s="175" t="s">
        <v>39</v>
      </c>
      <c r="C228" s="176">
        <v>78226</v>
      </c>
      <c r="D228" s="177">
        <f>48669+10668</f>
        <v>59337</v>
      </c>
      <c r="E228" s="177">
        <v>142648</v>
      </c>
      <c r="F228" s="178">
        <v>6845.7</v>
      </c>
      <c r="G228" s="177">
        <v>4732.3999999999996</v>
      </c>
      <c r="H228" s="179"/>
      <c r="I228" s="179"/>
      <c r="J228" s="204">
        <f t="shared" si="60"/>
        <v>83311</v>
      </c>
      <c r="K228" s="177">
        <v>427</v>
      </c>
      <c r="L228" s="177">
        <v>3607</v>
      </c>
      <c r="M228" s="205">
        <f t="shared" si="61"/>
        <v>1051</v>
      </c>
      <c r="N228" s="206">
        <f t="shared" si="71"/>
        <v>811355</v>
      </c>
      <c r="O228" s="209">
        <f t="shared" si="71"/>
        <v>648662</v>
      </c>
      <c r="P228" s="208">
        <f t="shared" si="71"/>
        <v>1508279</v>
      </c>
      <c r="Q228" s="225">
        <f t="shared" si="72"/>
        <v>14690642.720000001</v>
      </c>
      <c r="R228" s="207">
        <f t="shared" si="72"/>
        <v>8168215</v>
      </c>
      <c r="S228" s="226">
        <f t="shared" si="72"/>
        <v>23279390.719999999</v>
      </c>
      <c r="T228" s="227">
        <f>N228/'2017'!N228-1</f>
        <v>-5.4429823590219306E-2</v>
      </c>
      <c r="U228" s="228">
        <f>O228/'2017'!O228-1</f>
        <v>0.25162950985424137</v>
      </c>
      <c r="V228" s="228">
        <f>P228/'2017'!P228-1</f>
        <v>6.0364942720654735E-2</v>
      </c>
      <c r="W228" s="228">
        <f>Q228/'2017'!Q228-1</f>
        <v>9.1976573044483256E-2</v>
      </c>
      <c r="X228" s="228">
        <f>R228/'2017'!R228-1</f>
        <v>0.13784200181370143</v>
      </c>
      <c r="Y228" s="244">
        <f>S228/'2017'!S228-1</f>
        <v>9.9197667503754028E-2</v>
      </c>
      <c r="Z228" s="245"/>
      <c r="AA228" s="246">
        <f t="shared" si="66"/>
        <v>1469.0642720000001</v>
      </c>
      <c r="AB228" s="247"/>
      <c r="AC228" s="248"/>
      <c r="AD228" s="247">
        <f t="shared" si="62"/>
        <v>15111175.719999999</v>
      </c>
      <c r="AE228" s="177">
        <f t="shared" si="64"/>
        <v>141023.77000000002</v>
      </c>
      <c r="AF228" s="177">
        <f t="shared" si="70"/>
        <v>96811.069999999992</v>
      </c>
      <c r="AG228" s="248">
        <f t="shared" si="63"/>
        <v>182698.15999999811</v>
      </c>
      <c r="AH228" s="263"/>
      <c r="AI228" s="264"/>
      <c r="AJ228" s="264"/>
      <c r="AK228" s="264"/>
      <c r="AL228" s="264"/>
      <c r="AM228" s="264"/>
      <c r="AN228" s="264"/>
      <c r="AO228" s="264"/>
      <c r="AP228" s="264"/>
      <c r="AQ228" s="264"/>
      <c r="AR228" s="264"/>
      <c r="AS228" s="264"/>
      <c r="AT228" s="264"/>
      <c r="AU228" s="264"/>
      <c r="AV228" s="264"/>
      <c r="AW228" s="264"/>
      <c r="AX228" s="264"/>
      <c r="AY228" s="264"/>
      <c r="AZ228" s="264"/>
      <c r="BA228" s="264"/>
      <c r="BB228" s="264"/>
      <c r="BC228" s="264"/>
    </row>
    <row r="229" spans="1:55" ht="15" customHeight="1" x14ac:dyDescent="0.15">
      <c r="A229" s="180">
        <v>42959</v>
      </c>
      <c r="B229" s="175" t="s">
        <v>1</v>
      </c>
      <c r="C229" s="176">
        <v>66280</v>
      </c>
      <c r="D229" s="177">
        <f>43604+10746</f>
        <v>54350</v>
      </c>
      <c r="E229" s="177">
        <v>125483</v>
      </c>
      <c r="F229" s="178">
        <v>5861.8</v>
      </c>
      <c r="G229" s="177">
        <v>4619.3999999999996</v>
      </c>
      <c r="H229" s="179"/>
      <c r="I229" s="179"/>
      <c r="J229" s="204">
        <f t="shared" si="60"/>
        <v>71133</v>
      </c>
      <c r="K229" s="177">
        <v>505</v>
      </c>
      <c r="L229" s="177">
        <v>3612</v>
      </c>
      <c r="M229" s="205">
        <f t="shared" si="61"/>
        <v>736</v>
      </c>
      <c r="N229" s="206">
        <f t="shared" si="71"/>
        <v>877635</v>
      </c>
      <c r="O229" s="209">
        <f t="shared" si="71"/>
        <v>703012</v>
      </c>
      <c r="P229" s="208">
        <f t="shared" si="71"/>
        <v>1633762</v>
      </c>
      <c r="Q229" s="225">
        <f t="shared" si="72"/>
        <v>14756922.720000001</v>
      </c>
      <c r="R229" s="207">
        <f t="shared" si="72"/>
        <v>8222565</v>
      </c>
      <c r="S229" s="226">
        <f t="shared" si="72"/>
        <v>23404873.719999999</v>
      </c>
      <c r="T229" s="227">
        <f>N229/'2017'!N229-1</f>
        <v>-5.8573972367630622E-2</v>
      </c>
      <c r="U229" s="228">
        <f>O229/'2017'!O229-1</f>
        <v>0.24205750469076293</v>
      </c>
      <c r="V229" s="228">
        <f>P229/'2017'!P229-1</f>
        <v>5.6019866924698736E-2</v>
      </c>
      <c r="W229" s="228">
        <f>Q229/'2017'!Q229-1</f>
        <v>9.088812503798116E-2</v>
      </c>
      <c r="X229" s="228">
        <f>R229/'2017'!R229-1</f>
        <v>0.13784418390128916</v>
      </c>
      <c r="Y229" s="244">
        <f>S229/'2017'!S229-1</f>
        <v>9.8654844776205008E-2</v>
      </c>
      <c r="Z229" s="245"/>
      <c r="AA229" s="246">
        <f t="shared" si="66"/>
        <v>1475.692272</v>
      </c>
      <c r="AB229" s="247"/>
      <c r="AC229" s="248"/>
      <c r="AD229" s="247">
        <f t="shared" si="62"/>
        <v>15182308.719999999</v>
      </c>
      <c r="AE229" s="177">
        <f t="shared" si="64"/>
        <v>141528.77000000002</v>
      </c>
      <c r="AF229" s="177">
        <f t="shared" si="70"/>
        <v>100423.06999999999</v>
      </c>
      <c r="AG229" s="248">
        <f t="shared" si="63"/>
        <v>183434.15999999811</v>
      </c>
      <c r="AH229" s="263"/>
      <c r="AI229" s="264"/>
      <c r="AJ229" s="264"/>
      <c r="AK229" s="264"/>
      <c r="AL229" s="264"/>
      <c r="AM229" s="264"/>
      <c r="AN229" s="264"/>
      <c r="AO229" s="264"/>
      <c r="AP229" s="264"/>
      <c r="AQ229" s="264"/>
      <c r="AR229" s="264"/>
      <c r="AS229" s="264"/>
      <c r="AT229" s="264"/>
      <c r="AU229" s="264"/>
      <c r="AV229" s="264"/>
      <c r="AW229" s="264"/>
      <c r="AX229" s="264"/>
      <c r="AY229" s="264"/>
      <c r="AZ229" s="264"/>
      <c r="BA229" s="264"/>
      <c r="BB229" s="264"/>
      <c r="BC229" s="264"/>
    </row>
    <row r="230" spans="1:55" ht="15" customHeight="1" x14ac:dyDescent="0.15">
      <c r="A230" s="180">
        <v>42960</v>
      </c>
      <c r="B230" s="175" t="s">
        <v>34</v>
      </c>
      <c r="C230" s="176">
        <v>67299</v>
      </c>
      <c r="D230" s="177">
        <f>46285+10748</f>
        <v>57033</v>
      </c>
      <c r="E230" s="177">
        <v>129660</v>
      </c>
      <c r="F230" s="178">
        <v>6521.9</v>
      </c>
      <c r="G230" s="177">
        <v>4031.3</v>
      </c>
      <c r="H230" s="179"/>
      <c r="I230" s="179"/>
      <c r="J230" s="204">
        <f t="shared" si="60"/>
        <v>72627</v>
      </c>
      <c r="K230" s="177">
        <v>382</v>
      </c>
      <c r="L230" s="177">
        <v>3615</v>
      </c>
      <c r="M230" s="205">
        <f t="shared" si="61"/>
        <v>1331</v>
      </c>
      <c r="N230" s="206">
        <f t="shared" si="71"/>
        <v>944934</v>
      </c>
      <c r="O230" s="209">
        <f t="shared" si="71"/>
        <v>760045</v>
      </c>
      <c r="P230" s="208">
        <f t="shared" si="71"/>
        <v>1763422</v>
      </c>
      <c r="Q230" s="225">
        <f t="shared" si="72"/>
        <v>14824221.720000001</v>
      </c>
      <c r="R230" s="207">
        <f t="shared" si="72"/>
        <v>8279598</v>
      </c>
      <c r="S230" s="226">
        <f t="shared" si="72"/>
        <v>23534533.719999999</v>
      </c>
      <c r="T230" s="227">
        <f>N230/'2017'!N230-1</f>
        <v>-5.6439823616813878E-2</v>
      </c>
      <c r="U230" s="228">
        <f>O230/'2017'!O230-1</f>
        <v>0.23522691075038837</v>
      </c>
      <c r="V230" s="228">
        <f>P230/'2017'!P230-1</f>
        <v>5.7258775755897107E-2</v>
      </c>
      <c r="W230" s="228">
        <f>Q230/'2017'!Q230-1</f>
        <v>9.0284453592458958E-2</v>
      </c>
      <c r="X230" s="228">
        <f>R230/'2017'!R230-1</f>
        <v>0.13797269392655931</v>
      </c>
      <c r="Y230" s="244">
        <f>S230/'2017'!S230-1</f>
        <v>9.8510848942947149E-2</v>
      </c>
      <c r="Z230" s="245"/>
      <c r="AA230" s="246">
        <f t="shared" si="66"/>
        <v>1482.422172</v>
      </c>
      <c r="AB230" s="247"/>
      <c r="AC230" s="248"/>
      <c r="AD230" s="247">
        <f t="shared" si="62"/>
        <v>15254935.719999999</v>
      </c>
      <c r="AE230" s="177">
        <f t="shared" si="64"/>
        <v>141910.77000000002</v>
      </c>
      <c r="AF230" s="177">
        <f t="shared" si="70"/>
        <v>104038.06999999999</v>
      </c>
      <c r="AG230" s="248">
        <f t="shared" si="63"/>
        <v>184765.15999999811</v>
      </c>
      <c r="AH230" s="263"/>
      <c r="AI230" s="264"/>
      <c r="AJ230" s="264"/>
      <c r="AK230" s="264"/>
      <c r="AL230" s="264"/>
      <c r="AM230" s="264"/>
      <c r="AN230" s="264"/>
      <c r="AO230" s="264"/>
      <c r="AP230" s="264"/>
      <c r="AQ230" s="264"/>
      <c r="AR230" s="264"/>
      <c r="AS230" s="264"/>
      <c r="AT230" s="264"/>
      <c r="AU230" s="264"/>
      <c r="AV230" s="264"/>
      <c r="AW230" s="264"/>
      <c r="AX230" s="264"/>
      <c r="AY230" s="264"/>
      <c r="AZ230" s="264"/>
      <c r="BA230" s="264"/>
      <c r="BB230" s="264"/>
      <c r="BC230" s="264"/>
    </row>
    <row r="231" spans="1:55" ht="15" customHeight="1" x14ac:dyDescent="0.15">
      <c r="A231" s="180">
        <v>42961</v>
      </c>
      <c r="B231" s="175" t="s">
        <v>35</v>
      </c>
      <c r="C231" s="176">
        <v>70186</v>
      </c>
      <c r="D231" s="177">
        <f>48417+10697</f>
        <v>59114</v>
      </c>
      <c r="E231" s="177">
        <v>134462</v>
      </c>
      <c r="F231" s="178">
        <v>6529.2</v>
      </c>
      <c r="G231" s="177">
        <v>4313.3999999999996</v>
      </c>
      <c r="H231" s="179"/>
      <c r="I231" s="179"/>
      <c r="J231" s="204">
        <f t="shared" si="60"/>
        <v>75348</v>
      </c>
      <c r="K231" s="177">
        <v>373</v>
      </c>
      <c r="L231" s="177">
        <v>3553</v>
      </c>
      <c r="M231" s="205">
        <f t="shared" si="61"/>
        <v>1236</v>
      </c>
      <c r="N231" s="206">
        <f t="shared" si="71"/>
        <v>1015120</v>
      </c>
      <c r="O231" s="209">
        <f t="shared" si="71"/>
        <v>819159</v>
      </c>
      <c r="P231" s="208">
        <f t="shared" si="71"/>
        <v>1897884</v>
      </c>
      <c r="Q231" s="225">
        <f t="shared" si="72"/>
        <v>14894407.720000001</v>
      </c>
      <c r="R231" s="207">
        <f t="shared" si="72"/>
        <v>8338712</v>
      </c>
      <c r="S231" s="226">
        <f t="shared" si="72"/>
        <v>23668995.719999999</v>
      </c>
      <c r="T231" s="227">
        <f>N231/'2017'!N231-1</f>
        <v>-5.8824402030102974E-2</v>
      </c>
      <c r="U231" s="228">
        <f>O231/'2017'!O231-1</f>
        <v>0.23255387050615184</v>
      </c>
      <c r="V231" s="228">
        <f>P231/'2017'!P231-1</f>
        <v>5.6126716241250207E-2</v>
      </c>
      <c r="W231" s="228">
        <f>Q231/'2017'!Q231-1</f>
        <v>8.9268944398440908E-2</v>
      </c>
      <c r="X231" s="228">
        <f>R231/'2017'!R231-1</f>
        <v>0.13838465569944414</v>
      </c>
      <c r="Y231" s="244">
        <f>S231/'2017'!S231-1</f>
        <v>9.8169360633463487E-2</v>
      </c>
      <c r="Z231" s="245"/>
      <c r="AA231" s="246">
        <f t="shared" si="66"/>
        <v>1489.4407720000002</v>
      </c>
      <c r="AB231" s="247"/>
      <c r="AC231" s="248"/>
      <c r="AD231" s="247">
        <f t="shared" si="62"/>
        <v>15330283.719999999</v>
      </c>
      <c r="AE231" s="177">
        <f t="shared" si="64"/>
        <v>142283.77000000002</v>
      </c>
      <c r="AF231" s="177">
        <f t="shared" ref="AF231:AF246" si="73">AF230+L231</f>
        <v>107591.06999999999</v>
      </c>
      <c r="AG231" s="248">
        <f t="shared" si="63"/>
        <v>186001.15999999811</v>
      </c>
      <c r="AH231" s="263"/>
      <c r="AI231" s="264"/>
      <c r="AJ231" s="264"/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4"/>
      <c r="AU231" s="264"/>
      <c r="AV231" s="264"/>
      <c r="AW231" s="264"/>
      <c r="AX231" s="264"/>
      <c r="AY231" s="264"/>
      <c r="AZ231" s="264"/>
      <c r="BA231" s="264"/>
      <c r="BB231" s="264"/>
      <c r="BC231" s="264"/>
    </row>
    <row r="232" spans="1:55" ht="15" customHeight="1" x14ac:dyDescent="0.15">
      <c r="A232" s="180">
        <v>42962</v>
      </c>
      <c r="B232" s="175" t="s">
        <v>36</v>
      </c>
      <c r="C232" s="176">
        <v>69975</v>
      </c>
      <c r="D232" s="177">
        <f>49666+10694</f>
        <v>60360</v>
      </c>
      <c r="E232" s="177">
        <v>136037</v>
      </c>
      <c r="F232" s="178">
        <v>6600.3</v>
      </c>
      <c r="G232" s="177">
        <v>4407.3999999999996</v>
      </c>
      <c r="H232" s="179"/>
      <c r="I232" s="179"/>
      <c r="J232" s="204">
        <f t="shared" si="60"/>
        <v>75677</v>
      </c>
      <c r="K232" s="177">
        <v>1019</v>
      </c>
      <c r="L232" s="177">
        <v>3570</v>
      </c>
      <c r="M232" s="205">
        <f t="shared" si="61"/>
        <v>1113</v>
      </c>
      <c r="N232" s="206">
        <f t="shared" si="71"/>
        <v>1085095</v>
      </c>
      <c r="O232" s="209">
        <f t="shared" si="71"/>
        <v>879519</v>
      </c>
      <c r="P232" s="208">
        <f t="shared" si="71"/>
        <v>2033921</v>
      </c>
      <c r="Q232" s="225">
        <f t="shared" si="72"/>
        <v>14964382.720000001</v>
      </c>
      <c r="R232" s="207">
        <f t="shared" si="72"/>
        <v>8399072</v>
      </c>
      <c r="S232" s="226">
        <f t="shared" si="72"/>
        <v>23805032.719999999</v>
      </c>
      <c r="T232" s="227">
        <f>N232/'2017'!N232-1</f>
        <v>-6.2372275609037464E-2</v>
      </c>
      <c r="U232" s="228">
        <f>O232/'2017'!O232-1</f>
        <v>0.23445594582266049</v>
      </c>
      <c r="V232" s="228">
        <f>P232/'2017'!P232-1</f>
        <v>5.6297000290830512E-2</v>
      </c>
      <c r="W232" s="228">
        <f>Q232/'2017'!Q232-1</f>
        <v>8.8122790955083907E-2</v>
      </c>
      <c r="X232" s="228">
        <f>R232/'2017'!R232-1</f>
        <v>0.13917989787208884</v>
      </c>
      <c r="Y232" s="244">
        <f>S232/'2017'!S232-1</f>
        <v>9.7935316090905333E-2</v>
      </c>
      <c r="Z232" s="245"/>
      <c r="AA232" s="246">
        <f t="shared" si="66"/>
        <v>1496.4382720000001</v>
      </c>
      <c r="AB232" s="247"/>
      <c r="AC232" s="248"/>
      <c r="AD232" s="247">
        <f t="shared" si="62"/>
        <v>15405960.719999999</v>
      </c>
      <c r="AE232" s="177">
        <f t="shared" si="64"/>
        <v>143302.77000000002</v>
      </c>
      <c r="AF232" s="177">
        <f t="shared" si="73"/>
        <v>111161.06999999999</v>
      </c>
      <c r="AG232" s="248">
        <f t="shared" si="63"/>
        <v>187114.15999999811</v>
      </c>
      <c r="AH232" s="263"/>
      <c r="AI232" s="264"/>
      <c r="AJ232" s="264"/>
      <c r="AK232" s="264"/>
      <c r="AL232" s="264"/>
      <c r="AM232" s="264"/>
      <c r="AN232" s="264"/>
      <c r="AO232" s="264"/>
      <c r="AP232" s="264"/>
      <c r="AQ232" s="264"/>
      <c r="AR232" s="264"/>
      <c r="AS232" s="264"/>
      <c r="AT232" s="264"/>
      <c r="AU232" s="264"/>
      <c r="AV232" s="264"/>
      <c r="AW232" s="264"/>
      <c r="AX232" s="264"/>
      <c r="AY232" s="264"/>
      <c r="AZ232" s="264"/>
      <c r="BA232" s="264"/>
      <c r="BB232" s="264"/>
      <c r="BC232" s="264"/>
    </row>
    <row r="233" spans="1:55" s="157" customFormat="1" ht="15" customHeight="1" x14ac:dyDescent="0.15">
      <c r="A233" s="181">
        <v>42963</v>
      </c>
      <c r="B233" s="182" t="s">
        <v>37</v>
      </c>
      <c r="C233" s="183">
        <f>63801+4318</f>
        <v>68119</v>
      </c>
      <c r="D233" s="184">
        <f>45188+13674</f>
        <v>58862</v>
      </c>
      <c r="E233" s="184">
        <f>87029+45188</f>
        <v>132217</v>
      </c>
      <c r="F233" s="185">
        <v>6464</v>
      </c>
      <c r="G233" s="184">
        <v>4404</v>
      </c>
      <c r="H233" s="186"/>
      <c r="I233" s="186"/>
      <c r="J233" s="210">
        <f t="shared" si="60"/>
        <v>73355</v>
      </c>
      <c r="K233" s="184">
        <v>661</v>
      </c>
      <c r="L233" s="184">
        <v>3291</v>
      </c>
      <c r="M233" s="211">
        <f t="shared" si="61"/>
        <v>1284</v>
      </c>
      <c r="N233" s="212">
        <f t="shared" si="71"/>
        <v>1153214</v>
      </c>
      <c r="O233" s="215">
        <f t="shared" si="71"/>
        <v>938381</v>
      </c>
      <c r="P233" s="214">
        <f t="shared" si="71"/>
        <v>2166138</v>
      </c>
      <c r="Q233" s="229">
        <f t="shared" si="72"/>
        <v>15032501.720000001</v>
      </c>
      <c r="R233" s="213">
        <f t="shared" si="72"/>
        <v>8457934</v>
      </c>
      <c r="S233" s="230">
        <f t="shared" si="72"/>
        <v>23937249.719999999</v>
      </c>
      <c r="T233" s="231">
        <f>N233/'2017'!N233-1</f>
        <v>-6.3492063492063489E-2</v>
      </c>
      <c r="U233" s="232">
        <f>O233/'2017'!O233-1</f>
        <v>0.23461599691602886</v>
      </c>
      <c r="V233" s="232">
        <f>P233/'2017'!P233-1</f>
        <v>5.6912013045152143E-2</v>
      </c>
      <c r="W233" s="232">
        <f>Q233/'2017'!Q233-1</f>
        <v>8.7216295361014717E-2</v>
      </c>
      <c r="X233" s="232">
        <f>R233/'2017'!R233-1</f>
        <v>0.13980725005542083</v>
      </c>
      <c r="Y233" s="249">
        <f>S233/'2017'!S233-1</f>
        <v>9.7756383865003738E-2</v>
      </c>
      <c r="Z233" s="250">
        <v>76.53</v>
      </c>
      <c r="AA233" s="251">
        <f t="shared" si="66"/>
        <v>1426.720172</v>
      </c>
      <c r="AB233" s="252">
        <v>4283.88</v>
      </c>
      <c r="AC233" s="211">
        <f t="shared" si="69"/>
        <v>3330.4391626282718</v>
      </c>
      <c r="AD233" s="252">
        <f t="shared" si="62"/>
        <v>15479315.719999999</v>
      </c>
      <c r="AE233" s="184">
        <f t="shared" si="64"/>
        <v>143963.77000000002</v>
      </c>
      <c r="AF233" s="184">
        <f t="shared" si="73"/>
        <v>114452.06999999999</v>
      </c>
      <c r="AG233" s="211">
        <f t="shared" si="63"/>
        <v>188398.15999999811</v>
      </c>
      <c r="AH233" s="263"/>
      <c r="AI233" s="264"/>
      <c r="AJ233" s="264"/>
      <c r="AK233" s="264"/>
      <c r="AL233" s="264"/>
      <c r="AM233" s="264"/>
      <c r="AN233" s="264"/>
      <c r="AO233" s="264"/>
      <c r="AP233" s="264"/>
      <c r="AQ233" s="264"/>
      <c r="AR233" s="264"/>
      <c r="AS233" s="264"/>
      <c r="AT233" s="264"/>
      <c r="AU233" s="264"/>
      <c r="AV233" s="264"/>
      <c r="AW233" s="264"/>
      <c r="AX233" s="264"/>
      <c r="AY233" s="264"/>
      <c r="AZ233" s="264"/>
      <c r="BA233" s="264"/>
      <c r="BB233" s="264"/>
      <c r="BC233" s="264"/>
    </row>
    <row r="234" spans="1:55" ht="15" customHeight="1" x14ac:dyDescent="0.15">
      <c r="A234" s="180">
        <v>42964</v>
      </c>
      <c r="B234" s="175" t="s">
        <v>38</v>
      </c>
      <c r="C234" s="176">
        <v>69806</v>
      </c>
      <c r="D234" s="177">
        <f>43871+10571</f>
        <v>54442</v>
      </c>
      <c r="E234" s="177">
        <v>128295</v>
      </c>
      <c r="F234" s="178">
        <v>6305.1</v>
      </c>
      <c r="G234" s="177">
        <v>4216.8</v>
      </c>
      <c r="H234" s="179"/>
      <c r="I234" s="179"/>
      <c r="J234" s="204">
        <f t="shared" si="60"/>
        <v>73853</v>
      </c>
      <c r="K234" s="177">
        <v>567</v>
      </c>
      <c r="L234" s="177">
        <v>2415</v>
      </c>
      <c r="M234" s="205">
        <f t="shared" si="61"/>
        <v>1065</v>
      </c>
      <c r="N234" s="206">
        <f t="shared" si="71"/>
        <v>1223020</v>
      </c>
      <c r="O234" s="209">
        <f t="shared" si="71"/>
        <v>992823</v>
      </c>
      <c r="P234" s="208">
        <f t="shared" si="71"/>
        <v>2294433</v>
      </c>
      <c r="Q234" s="225">
        <f t="shared" si="72"/>
        <v>15102307.720000001</v>
      </c>
      <c r="R234" s="207">
        <f t="shared" si="72"/>
        <v>8512376</v>
      </c>
      <c r="S234" s="226">
        <f t="shared" si="72"/>
        <v>24065544.719999999</v>
      </c>
      <c r="T234" s="227">
        <f>N234/'2017'!N234-1</f>
        <v>-6.18256742586204E-2</v>
      </c>
      <c r="U234" s="228">
        <f>O234/'2017'!O234-1</f>
        <v>0.22843878797177419</v>
      </c>
      <c r="V234" s="228">
        <f>P234/'2017'!P234-1</f>
        <v>5.61864319005696E-2</v>
      </c>
      <c r="W234" s="228">
        <f>Q234/'2017'!Q234-1</f>
        <v>8.6589502866824652E-2</v>
      </c>
      <c r="X234" s="228">
        <f>R234/'2017'!R234-1</f>
        <v>0.13974990075160987</v>
      </c>
      <c r="Y234" s="244">
        <f>S234/'2017'!S234-1</f>
        <v>9.745562859402046E-2</v>
      </c>
      <c r="Z234" s="245"/>
      <c r="AA234" s="246">
        <f t="shared" si="66"/>
        <v>1510.2307720000001</v>
      </c>
      <c r="AB234" s="247"/>
      <c r="AC234" s="248"/>
      <c r="AD234" s="247">
        <f t="shared" si="62"/>
        <v>15553168.719999999</v>
      </c>
      <c r="AE234" s="177">
        <f t="shared" si="64"/>
        <v>144530.77000000002</v>
      </c>
      <c r="AF234" s="177">
        <f t="shared" si="73"/>
        <v>116867.06999999999</v>
      </c>
      <c r="AG234" s="248">
        <f t="shared" si="63"/>
        <v>189463.15999999811</v>
      </c>
      <c r="AH234" s="263"/>
      <c r="AI234" s="264"/>
      <c r="AJ234" s="264"/>
      <c r="AK234" s="264"/>
      <c r="AL234" s="264"/>
      <c r="AM234" s="264"/>
      <c r="AN234" s="264"/>
      <c r="AO234" s="264"/>
      <c r="AP234" s="264"/>
      <c r="AQ234" s="264"/>
      <c r="AR234" s="264"/>
      <c r="AS234" s="264"/>
      <c r="AT234" s="264"/>
      <c r="AU234" s="264"/>
      <c r="AV234" s="264"/>
      <c r="AW234" s="264"/>
      <c r="AX234" s="264"/>
      <c r="AY234" s="264"/>
      <c r="AZ234" s="264"/>
      <c r="BA234" s="264"/>
      <c r="BB234" s="264"/>
      <c r="BC234" s="264"/>
    </row>
    <row r="235" spans="1:55" ht="15" customHeight="1" x14ac:dyDescent="0.15">
      <c r="A235" s="180">
        <v>42965</v>
      </c>
      <c r="B235" s="175" t="s">
        <v>39</v>
      </c>
      <c r="C235" s="176">
        <v>69170</v>
      </c>
      <c r="D235" s="177">
        <f>37003+10552</f>
        <v>47555</v>
      </c>
      <c r="E235" s="177">
        <v>127388</v>
      </c>
      <c r="F235" s="178">
        <v>6229.8</v>
      </c>
      <c r="G235" s="177">
        <v>4201.3</v>
      </c>
      <c r="H235" s="179"/>
      <c r="I235" s="179"/>
      <c r="J235" s="204">
        <f t="shared" si="60"/>
        <v>79833</v>
      </c>
      <c r="K235" s="177">
        <v>277</v>
      </c>
      <c r="L235" s="177">
        <v>1047</v>
      </c>
      <c r="M235" s="205">
        <f t="shared" si="61"/>
        <v>9339</v>
      </c>
      <c r="N235" s="206">
        <f t="shared" ref="N235:P247" si="74">N234+C235</f>
        <v>1292190</v>
      </c>
      <c r="O235" s="209">
        <f t="shared" si="74"/>
        <v>1040378</v>
      </c>
      <c r="P235" s="208">
        <f t="shared" si="74"/>
        <v>2421821</v>
      </c>
      <c r="Q235" s="225">
        <f t="shared" si="72"/>
        <v>15171477.720000001</v>
      </c>
      <c r="R235" s="207">
        <f t="shared" si="72"/>
        <v>8559931</v>
      </c>
      <c r="S235" s="226">
        <f t="shared" si="72"/>
        <v>24192932.719999999</v>
      </c>
      <c r="T235" s="227">
        <f>N235/'2017'!N235-1</f>
        <v>-6.0106515297208563E-2</v>
      </c>
      <c r="U235" s="228">
        <f>O235/'2017'!O235-1</f>
        <v>0.21519753217643389</v>
      </c>
      <c r="V235" s="228">
        <f>P235/'2017'!P235-1</f>
        <v>5.5811753422268628E-2</v>
      </c>
      <c r="W235" s="228">
        <f>Q235/'2017'!Q235-1</f>
        <v>8.6002177373318611E-2</v>
      </c>
      <c r="X235" s="228">
        <f>R235/'2017'!R235-1</f>
        <v>0.13880736904773783</v>
      </c>
      <c r="Y235" s="244">
        <f>S235/'2017'!S235-1</f>
        <v>9.7189389485349498E-2</v>
      </c>
      <c r="Z235" s="245"/>
      <c r="AA235" s="246">
        <f t="shared" si="66"/>
        <v>1517.147772</v>
      </c>
      <c r="AB235" s="247"/>
      <c r="AC235" s="248"/>
      <c r="AD235" s="247">
        <f t="shared" si="62"/>
        <v>15633001.719999999</v>
      </c>
      <c r="AE235" s="177">
        <f t="shared" si="64"/>
        <v>144807.77000000002</v>
      </c>
      <c r="AF235" s="177">
        <f t="shared" si="73"/>
        <v>117914.06999999999</v>
      </c>
      <c r="AG235" s="248">
        <f t="shared" si="63"/>
        <v>198802.15999999811</v>
      </c>
      <c r="AH235" s="263"/>
      <c r="AI235" s="264"/>
      <c r="AJ235" s="264"/>
      <c r="AK235" s="264"/>
      <c r="AL235" s="264"/>
      <c r="AM235" s="264"/>
      <c r="AN235" s="264"/>
      <c r="AO235" s="264"/>
      <c r="AP235" s="264"/>
      <c r="AQ235" s="264"/>
      <c r="AR235" s="264"/>
      <c r="AS235" s="264"/>
      <c r="AT235" s="264"/>
      <c r="AU235" s="264"/>
      <c r="AV235" s="264"/>
      <c r="AW235" s="264"/>
      <c r="AX235" s="264"/>
      <c r="AY235" s="264"/>
      <c r="AZ235" s="264"/>
      <c r="BA235" s="264"/>
      <c r="BB235" s="264"/>
      <c r="BC235" s="264"/>
    </row>
    <row r="236" spans="1:55" ht="15" customHeight="1" x14ac:dyDescent="0.15">
      <c r="A236" s="180">
        <v>42966</v>
      </c>
      <c r="B236" s="175" t="s">
        <v>1</v>
      </c>
      <c r="C236" s="176">
        <v>61319</v>
      </c>
      <c r="D236" s="177">
        <f>45092+10566</f>
        <v>55658</v>
      </c>
      <c r="E236" s="177">
        <v>121408</v>
      </c>
      <c r="F236" s="178">
        <v>5689.8</v>
      </c>
      <c r="G236" s="177">
        <v>4157</v>
      </c>
      <c r="H236" s="179"/>
      <c r="I236" s="179"/>
      <c r="J236" s="204">
        <f t="shared" si="60"/>
        <v>65750</v>
      </c>
      <c r="K236" s="177">
        <v>176</v>
      </c>
      <c r="L236" s="177">
        <v>2964</v>
      </c>
      <c r="M236" s="205">
        <f t="shared" si="61"/>
        <v>1291</v>
      </c>
      <c r="N236" s="206">
        <f t="shared" si="74"/>
        <v>1353509</v>
      </c>
      <c r="O236" s="209">
        <f t="shared" si="74"/>
        <v>1096036</v>
      </c>
      <c r="P236" s="208">
        <f t="shared" si="74"/>
        <v>2543229</v>
      </c>
      <c r="Q236" s="225">
        <f t="shared" si="72"/>
        <v>15232796.720000001</v>
      </c>
      <c r="R236" s="207">
        <f t="shared" si="72"/>
        <v>8615589</v>
      </c>
      <c r="S236" s="226">
        <f t="shared" si="72"/>
        <v>24314340.719999999</v>
      </c>
      <c r="T236" s="227">
        <f>N236/'2017'!N236-1</f>
        <v>-6.6501095569375335E-2</v>
      </c>
      <c r="U236" s="228">
        <f>O236/'2017'!O236-1</f>
        <v>0.2124680990872494</v>
      </c>
      <c r="V236" s="228">
        <f>P236/'2017'!P236-1</f>
        <v>5.1423324530230241E-2</v>
      </c>
      <c r="W236" s="228">
        <f>Q236/'2017'!Q236-1</f>
        <v>8.456073871594616E-2</v>
      </c>
      <c r="X236" s="228">
        <f>R236/'2017'!R236-1</f>
        <v>0.13896423077182396</v>
      </c>
      <c r="Y236" s="244">
        <f>S236/'2017'!S236-1</f>
        <v>9.6477372382822502E-2</v>
      </c>
      <c r="Z236" s="245"/>
      <c r="AA236" s="246">
        <f t="shared" si="66"/>
        <v>1523.2796720000001</v>
      </c>
      <c r="AB236" s="247"/>
      <c r="AC236" s="248"/>
      <c r="AD236" s="247">
        <f t="shared" si="62"/>
        <v>15698751.719999999</v>
      </c>
      <c r="AE236" s="177">
        <f t="shared" si="64"/>
        <v>144983.77000000002</v>
      </c>
      <c r="AF236" s="177">
        <f t="shared" si="73"/>
        <v>120878.06999999999</v>
      </c>
      <c r="AG236" s="248">
        <f t="shared" si="63"/>
        <v>200093.15999999811</v>
      </c>
      <c r="AH236" s="263"/>
      <c r="AI236" s="264"/>
      <c r="AJ236" s="264"/>
      <c r="AK236" s="264"/>
      <c r="AL236" s="264"/>
      <c r="AM236" s="264"/>
      <c r="AN236" s="264"/>
      <c r="AO236" s="264"/>
      <c r="AP236" s="264"/>
      <c r="AQ236" s="264"/>
      <c r="AR236" s="264"/>
      <c r="AS236" s="264"/>
      <c r="AT236" s="264"/>
      <c r="AU236" s="264"/>
      <c r="AV236" s="264"/>
      <c r="AW236" s="264"/>
      <c r="AX236" s="264"/>
      <c r="AY236" s="264"/>
      <c r="AZ236" s="264"/>
      <c r="BA236" s="264"/>
      <c r="BB236" s="264"/>
      <c r="BC236" s="264"/>
    </row>
    <row r="237" spans="1:55" ht="15" customHeight="1" x14ac:dyDescent="0.15">
      <c r="A237" s="180">
        <v>42967</v>
      </c>
      <c r="B237" s="175" t="s">
        <v>34</v>
      </c>
      <c r="C237" s="176">
        <v>71976</v>
      </c>
      <c r="D237" s="177">
        <f>46017+10718</f>
        <v>56735</v>
      </c>
      <c r="E237" s="177">
        <v>134190</v>
      </c>
      <c r="F237" s="178">
        <v>6678.9</v>
      </c>
      <c r="G237" s="177">
        <v>4142.7</v>
      </c>
      <c r="H237" s="179"/>
      <c r="I237" s="179"/>
      <c r="J237" s="204">
        <f t="shared" si="60"/>
        <v>77455</v>
      </c>
      <c r="K237" s="177">
        <v>592</v>
      </c>
      <c r="L237" s="177">
        <v>3708</v>
      </c>
      <c r="M237" s="205">
        <f t="shared" si="61"/>
        <v>1179</v>
      </c>
      <c r="N237" s="206">
        <f t="shared" si="74"/>
        <v>1425485</v>
      </c>
      <c r="O237" s="209">
        <f t="shared" si="74"/>
        <v>1152771</v>
      </c>
      <c r="P237" s="208">
        <f t="shared" si="74"/>
        <v>2677419</v>
      </c>
      <c r="Q237" s="225">
        <f t="shared" si="72"/>
        <v>15304772.720000001</v>
      </c>
      <c r="R237" s="207">
        <f t="shared" si="72"/>
        <v>8672324</v>
      </c>
      <c r="S237" s="226">
        <f t="shared" si="72"/>
        <v>24448530.719999999</v>
      </c>
      <c r="T237" s="227">
        <f>N237/'2017'!N237-1</f>
        <v>-5.9511046160646841E-2</v>
      </c>
      <c r="U237" s="228">
        <f>O237/'2017'!O237-1</f>
        <v>0.21223220172690649</v>
      </c>
      <c r="V237" s="228">
        <f>P237/'2017'!P237-1</f>
        <v>5.6883569552148128E-2</v>
      </c>
      <c r="W237" s="228">
        <f>Q237/'2017'!Q237-1</f>
        <v>8.4607638200054014E-2</v>
      </c>
      <c r="X237" s="228">
        <f>R237/'2017'!R237-1</f>
        <v>0.139388429306887</v>
      </c>
      <c r="Y237" s="244">
        <f>S237/'2017'!S237-1</f>
        <v>9.6866576535921345E-2</v>
      </c>
      <c r="Z237" s="245"/>
      <c r="AA237" s="246">
        <f t="shared" si="66"/>
        <v>1530.4772720000001</v>
      </c>
      <c r="AB237" s="247"/>
      <c r="AC237" s="248"/>
      <c r="AD237" s="247">
        <f t="shared" si="62"/>
        <v>15776206.719999999</v>
      </c>
      <c r="AE237" s="177">
        <f t="shared" si="64"/>
        <v>145575.77000000002</v>
      </c>
      <c r="AF237" s="177">
        <f t="shared" si="73"/>
        <v>124586.06999999999</v>
      </c>
      <c r="AG237" s="248">
        <f t="shared" si="63"/>
        <v>201272.15999999811</v>
      </c>
      <c r="AH237" s="263"/>
      <c r="AI237" s="264"/>
      <c r="AJ237" s="264"/>
      <c r="AK237" s="264"/>
      <c r="AL237" s="264"/>
      <c r="AM237" s="264"/>
      <c r="AN237" s="264"/>
      <c r="AO237" s="264"/>
      <c r="AP237" s="264"/>
      <c r="AQ237" s="264"/>
      <c r="AR237" s="264"/>
      <c r="AS237" s="264"/>
      <c r="AT237" s="264"/>
      <c r="AU237" s="264"/>
      <c r="AV237" s="264"/>
      <c r="AW237" s="264"/>
      <c r="AX237" s="264"/>
      <c r="AY237" s="264"/>
      <c r="AZ237" s="264"/>
      <c r="BA237" s="264"/>
      <c r="BB237" s="264"/>
      <c r="BC237" s="264"/>
    </row>
    <row r="238" spans="1:55" ht="15" customHeight="1" x14ac:dyDescent="0.15">
      <c r="A238" s="180">
        <v>42968</v>
      </c>
      <c r="B238" s="175" t="s">
        <v>35</v>
      </c>
      <c r="C238" s="176">
        <v>73508</v>
      </c>
      <c r="D238" s="177">
        <f>46238+10766</f>
        <v>57004</v>
      </c>
      <c r="E238" s="177">
        <v>135471</v>
      </c>
      <c r="F238" s="178">
        <v>6622.2</v>
      </c>
      <c r="G238" s="177">
        <v>4445.8</v>
      </c>
      <c r="H238" s="179"/>
      <c r="I238" s="179"/>
      <c r="J238" s="204">
        <f t="shared" si="60"/>
        <v>78467</v>
      </c>
      <c r="K238" s="177">
        <v>527</v>
      </c>
      <c r="L238" s="177">
        <v>3684</v>
      </c>
      <c r="M238" s="205">
        <f t="shared" si="61"/>
        <v>748</v>
      </c>
      <c r="N238" s="206">
        <f t="shared" si="74"/>
        <v>1498993</v>
      </c>
      <c r="O238" s="209">
        <f t="shared" si="74"/>
        <v>1209775</v>
      </c>
      <c r="P238" s="208">
        <f t="shared" si="74"/>
        <v>2812890</v>
      </c>
      <c r="Q238" s="225">
        <f t="shared" si="72"/>
        <v>15378280.720000001</v>
      </c>
      <c r="R238" s="207">
        <f t="shared" si="72"/>
        <v>8729328</v>
      </c>
      <c r="S238" s="226">
        <f t="shared" si="72"/>
        <v>24584001.719999999</v>
      </c>
      <c r="T238" s="227">
        <f>N238/'2017'!N238-1</f>
        <v>-5.460009523419096E-2</v>
      </c>
      <c r="U238" s="228">
        <f>O238/'2017'!O238-1</f>
        <v>0.21102720212699921</v>
      </c>
      <c r="V238" s="228">
        <f>P238/'2017'!P238-1</f>
        <v>6.0100994302817901E-2</v>
      </c>
      <c r="W238" s="228">
        <f>Q238/'2017'!Q238-1</f>
        <v>8.4446548026430923E-2</v>
      </c>
      <c r="X238" s="228">
        <f>R238/'2017'!R238-1</f>
        <v>0.13968792863985979</v>
      </c>
      <c r="Y238" s="244">
        <f>S238/'2017'!S238-1</f>
        <v>9.7033252503699208E-2</v>
      </c>
      <c r="Z238" s="245"/>
      <c r="AA238" s="246">
        <f t="shared" si="66"/>
        <v>1537.828072</v>
      </c>
      <c r="AB238" s="247"/>
      <c r="AC238" s="248"/>
      <c r="AD238" s="247">
        <f t="shared" si="62"/>
        <v>15854673.719999999</v>
      </c>
      <c r="AE238" s="177">
        <f t="shared" si="64"/>
        <v>146102.77000000002</v>
      </c>
      <c r="AF238" s="177">
        <f t="shared" si="73"/>
        <v>128270.06999999999</v>
      </c>
      <c r="AG238" s="248">
        <f t="shared" si="63"/>
        <v>202020.15999999811</v>
      </c>
      <c r="AH238" s="263"/>
      <c r="AI238" s="264"/>
      <c r="AJ238" s="264"/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  <c r="AW238" s="264"/>
      <c r="AX238" s="264"/>
      <c r="AY238" s="264"/>
      <c r="AZ238" s="264"/>
      <c r="BA238" s="264"/>
      <c r="BB238" s="264"/>
      <c r="BC238" s="264"/>
    </row>
    <row r="239" spans="1:55" ht="15" customHeight="1" x14ac:dyDescent="0.15">
      <c r="A239" s="180">
        <v>42969</v>
      </c>
      <c r="B239" s="175" t="s">
        <v>36</v>
      </c>
      <c r="C239" s="176">
        <v>72281</v>
      </c>
      <c r="D239" s="177">
        <f>47189+10759</f>
        <v>57948</v>
      </c>
      <c r="E239" s="177">
        <f>134699</f>
        <v>134699</v>
      </c>
      <c r="F239" s="178">
        <v>6551</v>
      </c>
      <c r="G239" s="177">
        <v>4353.3999999999996</v>
      </c>
      <c r="H239" s="179"/>
      <c r="I239" s="179"/>
      <c r="J239" s="204">
        <f t="shared" si="60"/>
        <v>76751</v>
      </c>
      <c r="K239" s="177">
        <v>223</v>
      </c>
      <c r="L239" s="177">
        <v>3214</v>
      </c>
      <c r="M239" s="205">
        <f t="shared" si="61"/>
        <v>1033</v>
      </c>
      <c r="N239" s="206">
        <f t="shared" si="74"/>
        <v>1571274</v>
      </c>
      <c r="O239" s="209">
        <f t="shared" si="74"/>
        <v>1267723</v>
      </c>
      <c r="P239" s="208">
        <f t="shared" si="74"/>
        <v>2947589</v>
      </c>
      <c r="Q239" s="225">
        <f t="shared" si="72"/>
        <v>15450561.720000001</v>
      </c>
      <c r="R239" s="207">
        <f t="shared" si="72"/>
        <v>8787276</v>
      </c>
      <c r="S239" s="226">
        <f t="shared" si="72"/>
        <v>24718700.719999999</v>
      </c>
      <c r="T239" s="227">
        <f>N239/'2017'!N239-1</f>
        <v>-5.1596010516937962E-2</v>
      </c>
      <c r="U239" s="228">
        <f>O239/'2017'!O239-1</f>
        <v>0.21081239577383815</v>
      </c>
      <c r="V239" s="228">
        <f>P239/'2017'!P239-1</f>
        <v>6.1891547310298112E-2</v>
      </c>
      <c r="W239" s="228">
        <f>Q239/'2017'!Q239-1</f>
        <v>8.4101203534941771E-2</v>
      </c>
      <c r="X239" s="228">
        <f>R239/'2017'!R239-1</f>
        <v>0.14010336508707555</v>
      </c>
      <c r="Y239" s="244">
        <f>S239/'2017'!S239-1</f>
        <v>9.705325315340696E-2</v>
      </c>
      <c r="Z239" s="245"/>
      <c r="AA239" s="246">
        <f t="shared" si="66"/>
        <v>1545.0561720000001</v>
      </c>
      <c r="AB239" s="247"/>
      <c r="AC239" s="248"/>
      <c r="AD239" s="247">
        <f t="shared" si="62"/>
        <v>15931424.719999999</v>
      </c>
      <c r="AE239" s="177">
        <f t="shared" si="64"/>
        <v>146325.77000000002</v>
      </c>
      <c r="AF239" s="177">
        <f t="shared" si="73"/>
        <v>131484.07</v>
      </c>
      <c r="AG239" s="248">
        <f t="shared" si="63"/>
        <v>203053.15999999811</v>
      </c>
      <c r="AH239" s="263"/>
      <c r="AI239" s="264"/>
      <c r="AJ239" s="264"/>
      <c r="AK239" s="264"/>
      <c r="AL239" s="264"/>
      <c r="AM239" s="264"/>
      <c r="AN239" s="264"/>
      <c r="AO239" s="264"/>
      <c r="AP239" s="264"/>
      <c r="AQ239" s="264"/>
      <c r="AR239" s="264"/>
      <c r="AS239" s="264"/>
      <c r="AT239" s="264"/>
      <c r="AU239" s="264"/>
      <c r="AV239" s="264"/>
      <c r="AW239" s="264"/>
      <c r="AX239" s="264"/>
      <c r="AY239" s="264"/>
      <c r="AZ239" s="264"/>
      <c r="BA239" s="264"/>
      <c r="BB239" s="264"/>
      <c r="BC239" s="264"/>
    </row>
    <row r="240" spans="1:55" s="157" customFormat="1" ht="15" customHeight="1" x14ac:dyDescent="0.15">
      <c r="A240" s="181">
        <v>42970</v>
      </c>
      <c r="B240" s="182" t="s">
        <v>37</v>
      </c>
      <c r="C240" s="183">
        <v>68477</v>
      </c>
      <c r="D240" s="184">
        <v>59040</v>
      </c>
      <c r="E240" s="184">
        <v>131620</v>
      </c>
      <c r="F240" s="185">
        <v>6392</v>
      </c>
      <c r="G240" s="184">
        <v>4361</v>
      </c>
      <c r="H240" s="186"/>
      <c r="I240" s="186"/>
      <c r="J240" s="210">
        <f t="shared" si="60"/>
        <v>72580</v>
      </c>
      <c r="K240" s="184">
        <v>545</v>
      </c>
      <c r="L240" s="184">
        <v>2372</v>
      </c>
      <c r="M240" s="211">
        <f t="shared" si="61"/>
        <v>1186</v>
      </c>
      <c r="N240" s="212">
        <f t="shared" si="74"/>
        <v>1639751</v>
      </c>
      <c r="O240" s="215">
        <f t="shared" si="74"/>
        <v>1326763</v>
      </c>
      <c r="P240" s="214">
        <f t="shared" si="74"/>
        <v>3079209</v>
      </c>
      <c r="Q240" s="229">
        <f t="shared" si="72"/>
        <v>15519038.720000001</v>
      </c>
      <c r="R240" s="213">
        <f t="shared" si="72"/>
        <v>8846316</v>
      </c>
      <c r="S240" s="230">
        <f t="shared" si="72"/>
        <v>24850320.719999999</v>
      </c>
      <c r="T240" s="231">
        <f>N240/'2017'!N240-1</f>
        <v>-5.028518938103943E-2</v>
      </c>
      <c r="U240" s="232">
        <f>O240/'2017'!O240-1</f>
        <v>0.21044305385381046</v>
      </c>
      <c r="V240" s="232">
        <f>P240/'2017'!P240-1</f>
        <v>6.2732510884589754E-2</v>
      </c>
      <c r="W240" s="232">
        <f>Q240/'2017'!Q240-1</f>
        <v>8.3597731614080351E-2</v>
      </c>
      <c r="X240" s="232">
        <f>R240/'2017'!R240-1</f>
        <v>0.14049872539702979</v>
      </c>
      <c r="Y240" s="249">
        <f>S240/'2017'!S240-1</f>
        <v>9.6971989260961289E-2</v>
      </c>
      <c r="Z240" s="250">
        <v>79.53</v>
      </c>
      <c r="AA240" s="251">
        <f t="shared" si="66"/>
        <v>1472.3738720000001</v>
      </c>
      <c r="AB240" s="252">
        <v>4283.88</v>
      </c>
      <c r="AC240" s="211">
        <f t="shared" si="69"/>
        <v>3437.0100749787575</v>
      </c>
      <c r="AD240" s="252">
        <f t="shared" si="62"/>
        <v>16004004.719999999</v>
      </c>
      <c r="AE240" s="184">
        <f t="shared" si="64"/>
        <v>146870.77000000002</v>
      </c>
      <c r="AF240" s="184">
        <f t="shared" si="73"/>
        <v>133856.07</v>
      </c>
      <c r="AG240" s="211">
        <f t="shared" si="63"/>
        <v>204239.15999999811</v>
      </c>
      <c r="AH240" s="263"/>
      <c r="AI240" s="264"/>
      <c r="AJ240" s="264"/>
      <c r="AK240" s="264"/>
      <c r="AL240" s="264"/>
      <c r="AM240" s="264"/>
      <c r="AN240" s="264"/>
      <c r="AO240" s="264"/>
      <c r="AP240" s="264"/>
      <c r="AQ240" s="264"/>
      <c r="AR240" s="264"/>
      <c r="AS240" s="264"/>
      <c r="AT240" s="264"/>
      <c r="AU240" s="264"/>
      <c r="AV240" s="264"/>
      <c r="AW240" s="264"/>
      <c r="AX240" s="264"/>
      <c r="AY240" s="264"/>
      <c r="AZ240" s="264"/>
      <c r="BA240" s="264"/>
      <c r="BB240" s="264"/>
      <c r="BC240" s="264"/>
    </row>
    <row r="241" spans="1:55" ht="15" customHeight="1" x14ac:dyDescent="0.15">
      <c r="A241" s="180">
        <v>42971</v>
      </c>
      <c r="B241" s="175" t="s">
        <v>38</v>
      </c>
      <c r="C241" s="176">
        <v>61621</v>
      </c>
      <c r="D241" s="177">
        <f>46906+10717</f>
        <v>57623</v>
      </c>
      <c r="E241" s="177">
        <v>123840</v>
      </c>
      <c r="F241" s="178">
        <v>6024.6</v>
      </c>
      <c r="G241" s="177">
        <v>4223.1000000000004</v>
      </c>
      <c r="H241" s="179"/>
      <c r="I241" s="179"/>
      <c r="J241" s="204">
        <f t="shared" si="60"/>
        <v>66217</v>
      </c>
      <c r="K241" s="177">
        <v>297</v>
      </c>
      <c r="L241" s="177">
        <v>3321</v>
      </c>
      <c r="M241" s="205">
        <f t="shared" si="61"/>
        <v>978</v>
      </c>
      <c r="N241" s="206">
        <f t="shared" si="74"/>
        <v>1701372</v>
      </c>
      <c r="O241" s="209">
        <f t="shared" si="74"/>
        <v>1384386</v>
      </c>
      <c r="P241" s="208">
        <f t="shared" si="74"/>
        <v>3203049</v>
      </c>
      <c r="Q241" s="225">
        <f t="shared" si="72"/>
        <v>15580659.720000001</v>
      </c>
      <c r="R241" s="207">
        <f t="shared" si="72"/>
        <v>8903939</v>
      </c>
      <c r="S241" s="226">
        <f t="shared" si="72"/>
        <v>24974160.719999999</v>
      </c>
      <c r="T241" s="227">
        <f>N241/'2017'!N241-1</f>
        <v>-5.4998608635568602E-2</v>
      </c>
      <c r="U241" s="228">
        <f>O241/'2017'!O241-1</f>
        <v>0.21018263067901688</v>
      </c>
      <c r="V241" s="228">
        <f>P241/'2017'!P241-1</f>
        <v>5.9881214380941961E-2</v>
      </c>
      <c r="W241" s="228">
        <f>Q241/'2017'!Q241-1</f>
        <v>8.2321708834091512E-2</v>
      </c>
      <c r="X241" s="228">
        <f>R241/'2017'!R241-1</f>
        <v>0.14088940267418937</v>
      </c>
      <c r="Y241" s="244">
        <f>S241/'2017'!S241-1</f>
        <v>9.6406343338183653E-2</v>
      </c>
      <c r="Z241" s="245"/>
      <c r="AA241" s="246">
        <f t="shared" si="66"/>
        <v>1558.0659720000001</v>
      </c>
      <c r="AB241" s="247"/>
      <c r="AC241" s="248"/>
      <c r="AD241" s="247">
        <f t="shared" si="62"/>
        <v>16070221.719999999</v>
      </c>
      <c r="AE241" s="177">
        <f t="shared" si="64"/>
        <v>147167.77000000002</v>
      </c>
      <c r="AF241" s="177">
        <f t="shared" si="73"/>
        <v>137177.07</v>
      </c>
      <c r="AG241" s="248">
        <f t="shared" si="63"/>
        <v>205217.15999999811</v>
      </c>
      <c r="AH241" s="263"/>
      <c r="AI241" s="264"/>
      <c r="AJ241" s="264"/>
      <c r="AK241" s="264"/>
      <c r="AL241" s="264"/>
      <c r="AM241" s="264"/>
      <c r="AN241" s="264"/>
      <c r="AO241" s="264"/>
      <c r="AP241" s="264"/>
      <c r="AQ241" s="264"/>
      <c r="AR241" s="264"/>
      <c r="AS241" s="264"/>
      <c r="AT241" s="264"/>
      <c r="AU241" s="264"/>
      <c r="AV241" s="264"/>
      <c r="AW241" s="264"/>
      <c r="AX241" s="264"/>
      <c r="AY241" s="264"/>
      <c r="AZ241" s="264"/>
      <c r="BA241" s="264"/>
      <c r="BB241" s="264"/>
      <c r="BC241" s="264"/>
    </row>
    <row r="242" spans="1:55" ht="15" customHeight="1" x14ac:dyDescent="0.15">
      <c r="A242" s="180">
        <v>42972</v>
      </c>
      <c r="B242" s="175" t="s">
        <v>39</v>
      </c>
      <c r="C242" s="176">
        <v>55635</v>
      </c>
      <c r="D242" s="177">
        <f>45629+10747</f>
        <v>56376</v>
      </c>
      <c r="E242" s="177">
        <v>116306</v>
      </c>
      <c r="F242" s="178">
        <v>5695.3</v>
      </c>
      <c r="G242" s="177">
        <v>4024.3</v>
      </c>
      <c r="H242" s="179"/>
      <c r="I242" s="179"/>
      <c r="J242" s="204">
        <f t="shared" si="60"/>
        <v>59930</v>
      </c>
      <c r="K242" s="177">
        <v>228</v>
      </c>
      <c r="L242" s="177">
        <v>3355</v>
      </c>
      <c r="M242" s="205">
        <f t="shared" si="61"/>
        <v>712</v>
      </c>
      <c r="N242" s="206">
        <f t="shared" si="74"/>
        <v>1757007</v>
      </c>
      <c r="O242" s="209">
        <f t="shared" si="74"/>
        <v>1440762</v>
      </c>
      <c r="P242" s="208">
        <f t="shared" si="74"/>
        <v>3319355</v>
      </c>
      <c r="Q242" s="225">
        <f t="shared" si="72"/>
        <v>15636294.720000001</v>
      </c>
      <c r="R242" s="207">
        <f t="shared" si="72"/>
        <v>8960315</v>
      </c>
      <c r="S242" s="226">
        <f t="shared" si="72"/>
        <v>25090466.719999999</v>
      </c>
      <c r="T242" s="227">
        <f>N242/'2017'!N242-1</f>
        <v>-6.3684145736422559E-2</v>
      </c>
      <c r="U242" s="228">
        <f>O242/'2017'!O242-1</f>
        <v>0.21042634040526154</v>
      </c>
      <c r="V242" s="228">
        <f>P242/'2017'!P242-1</f>
        <v>5.4656434511378471E-2</v>
      </c>
      <c r="W242" s="228">
        <f>Q242/'2017'!Q242-1</f>
        <v>8.0473183109235569E-2</v>
      </c>
      <c r="X242" s="228">
        <f>R242/'2017'!R242-1</f>
        <v>0.14133540974347736</v>
      </c>
      <c r="Y242" s="244">
        <f>S242/'2017'!S242-1</f>
        <v>9.54886258595391E-2</v>
      </c>
      <c r="Z242" s="245"/>
      <c r="AA242" s="246">
        <f t="shared" si="66"/>
        <v>1563.6294720000001</v>
      </c>
      <c r="AB242" s="247"/>
      <c r="AC242" s="248"/>
      <c r="AD242" s="247">
        <f t="shared" si="62"/>
        <v>16130151.719999999</v>
      </c>
      <c r="AE242" s="177">
        <f t="shared" si="64"/>
        <v>147395.77000000002</v>
      </c>
      <c r="AF242" s="177">
        <f t="shared" si="73"/>
        <v>140532.07</v>
      </c>
      <c r="AG242" s="248">
        <f t="shared" si="63"/>
        <v>205929.15999999811</v>
      </c>
      <c r="AH242" s="263"/>
      <c r="AI242" s="264"/>
      <c r="AJ242" s="264"/>
      <c r="AK242" s="264"/>
      <c r="AL242" s="264"/>
      <c r="AM242" s="264"/>
      <c r="AN242" s="264"/>
      <c r="AO242" s="264"/>
      <c r="AP242" s="264"/>
      <c r="AQ242" s="264"/>
      <c r="AR242" s="264"/>
      <c r="AS242" s="264"/>
      <c r="AT242" s="264"/>
      <c r="AU242" s="264"/>
      <c r="AV242" s="264"/>
      <c r="AW242" s="264"/>
      <c r="AX242" s="264"/>
      <c r="AY242" s="264"/>
      <c r="AZ242" s="264"/>
      <c r="BA242" s="264"/>
      <c r="BB242" s="264"/>
      <c r="BC242" s="264"/>
    </row>
    <row r="243" spans="1:55" ht="15" customHeight="1" x14ac:dyDescent="0.15">
      <c r="A243" s="180">
        <v>42973</v>
      </c>
      <c r="B243" s="175" t="s">
        <v>1</v>
      </c>
      <c r="C243" s="176">
        <v>51989</v>
      </c>
      <c r="D243" s="177">
        <f>43918+10791</f>
        <v>54709</v>
      </c>
      <c r="E243" s="177">
        <v>111677</v>
      </c>
      <c r="F243" s="178">
        <v>5316.2</v>
      </c>
      <c r="G243" s="177">
        <v>3836.8</v>
      </c>
      <c r="H243" s="179"/>
      <c r="I243" s="179"/>
      <c r="J243" s="204">
        <f t="shared" si="60"/>
        <v>56968</v>
      </c>
      <c r="K243" s="177">
        <v>435</v>
      </c>
      <c r="L243" s="177">
        <v>3879</v>
      </c>
      <c r="M243" s="205">
        <f t="shared" si="61"/>
        <v>665</v>
      </c>
      <c r="N243" s="206">
        <f t="shared" si="74"/>
        <v>1808996</v>
      </c>
      <c r="O243" s="209">
        <f t="shared" si="74"/>
        <v>1495471</v>
      </c>
      <c r="P243" s="208">
        <f t="shared" si="74"/>
        <v>3431032</v>
      </c>
      <c r="Q243" s="225">
        <f t="shared" si="72"/>
        <v>15688283.720000001</v>
      </c>
      <c r="R243" s="207">
        <f t="shared" si="72"/>
        <v>9015024</v>
      </c>
      <c r="S243" s="226">
        <f t="shared" si="72"/>
        <v>25202143.719999999</v>
      </c>
      <c r="T243" s="227">
        <f>N243/'2017'!N243-1</f>
        <v>-6.7377365523406563E-2</v>
      </c>
      <c r="U243" s="228">
        <f>O243/'2017'!O243-1</f>
        <v>0.20758317183462527</v>
      </c>
      <c r="V243" s="228">
        <f>P243/'2017'!P243-1</f>
        <v>5.2267552554615682E-2</v>
      </c>
      <c r="W243" s="228">
        <f>Q243/'2017'!Q243-1</f>
        <v>7.9353740296998376E-2</v>
      </c>
      <c r="X243" s="228">
        <f>R243/'2017'!R243-1</f>
        <v>0.14131044118399227</v>
      </c>
      <c r="Y243" s="244">
        <f>S243/'2017'!S243-1</f>
        <v>9.4949258282222004E-2</v>
      </c>
      <c r="Z243" s="245"/>
      <c r="AA243" s="246">
        <f t="shared" si="66"/>
        <v>1568.8283720000002</v>
      </c>
      <c r="AB243" s="247"/>
      <c r="AC243" s="248"/>
      <c r="AD243" s="247">
        <f t="shared" si="62"/>
        <v>16187119.719999999</v>
      </c>
      <c r="AE243" s="177">
        <f t="shared" si="64"/>
        <v>147830.77000000002</v>
      </c>
      <c r="AF243" s="177">
        <f t="shared" si="73"/>
        <v>144411.07</v>
      </c>
      <c r="AG243" s="248">
        <f t="shared" si="63"/>
        <v>206594.15999999811</v>
      </c>
      <c r="AH243" s="263"/>
      <c r="AI243" s="264"/>
      <c r="AJ243" s="264"/>
      <c r="AK243" s="264"/>
      <c r="AL243" s="264"/>
      <c r="AM243" s="264"/>
      <c r="AN243" s="264"/>
      <c r="AO243" s="264"/>
      <c r="AP243" s="264"/>
      <c r="AQ243" s="264"/>
      <c r="AR243" s="264"/>
      <c r="AS243" s="264"/>
      <c r="AT243" s="264"/>
      <c r="AU243" s="264"/>
      <c r="AV243" s="264"/>
      <c r="AW243" s="264"/>
      <c r="AX243" s="264"/>
      <c r="AY243" s="264"/>
      <c r="AZ243" s="264"/>
      <c r="BA243" s="264"/>
      <c r="BB243" s="264"/>
      <c r="BC243" s="264"/>
    </row>
    <row r="244" spans="1:55" ht="15" customHeight="1" x14ac:dyDescent="0.15">
      <c r="A244" s="180">
        <v>42974</v>
      </c>
      <c r="B244" s="175" t="s">
        <v>34</v>
      </c>
      <c r="C244" s="176">
        <v>61880</v>
      </c>
      <c r="D244" s="177">
        <f>44074+10770</f>
        <v>54844</v>
      </c>
      <c r="E244" s="177">
        <v>122300</v>
      </c>
      <c r="F244" s="178">
        <v>6121.9</v>
      </c>
      <c r="G244" s="177">
        <v>3768.2</v>
      </c>
      <c r="H244" s="179"/>
      <c r="I244" s="179"/>
      <c r="J244" s="204">
        <f t="shared" si="60"/>
        <v>67456</v>
      </c>
      <c r="K244" s="177">
        <v>480</v>
      </c>
      <c r="L244" s="177">
        <v>3785</v>
      </c>
      <c r="M244" s="205">
        <f t="shared" si="61"/>
        <v>1311</v>
      </c>
      <c r="N244" s="206">
        <f t="shared" si="74"/>
        <v>1870876</v>
      </c>
      <c r="O244" s="209">
        <f t="shared" si="74"/>
        <v>1550315</v>
      </c>
      <c r="P244" s="208">
        <f t="shared" si="74"/>
        <v>3553332</v>
      </c>
      <c r="Q244" s="225">
        <f t="shared" si="72"/>
        <v>15750163.720000001</v>
      </c>
      <c r="R244" s="207">
        <f t="shared" si="72"/>
        <v>9069868</v>
      </c>
      <c r="S244" s="226">
        <f t="shared" si="72"/>
        <v>25324443.719999999</v>
      </c>
      <c r="T244" s="227">
        <f>N244/'2017'!N244-1</f>
        <v>-6.3610628398452773E-2</v>
      </c>
      <c r="U244" s="228">
        <f>O244/'2017'!O244-1</f>
        <v>0.2038672784693647</v>
      </c>
      <c r="V244" s="228">
        <f>P244/'2017'!P244-1</f>
        <v>5.4173773194922115E-2</v>
      </c>
      <c r="W244" s="228">
        <f>Q244/'2017'!Q244-1</f>
        <v>7.9283446074475572E-2</v>
      </c>
      <c r="X244" s="228">
        <f>R244/'2017'!R244-1</f>
        <v>0.14112011313231965</v>
      </c>
      <c r="Y244" s="244">
        <f>S244/'2017'!S244-1</f>
        <v>9.5023859156440071E-2</v>
      </c>
      <c r="Z244" s="245"/>
      <c r="AA244" s="246">
        <f t="shared" si="66"/>
        <v>1575.016372</v>
      </c>
      <c r="AB244" s="247"/>
      <c r="AC244" s="248"/>
      <c r="AD244" s="247">
        <f t="shared" si="62"/>
        <v>16254575.719999999</v>
      </c>
      <c r="AE244" s="177">
        <f t="shared" si="64"/>
        <v>148310.77000000002</v>
      </c>
      <c r="AF244" s="177">
        <f t="shared" si="73"/>
        <v>148196.07</v>
      </c>
      <c r="AG244" s="248">
        <f t="shared" si="63"/>
        <v>207905.15999999811</v>
      </c>
      <c r="AH244" s="263"/>
      <c r="AI244" s="264"/>
      <c r="AJ244" s="264"/>
      <c r="AK244" s="264"/>
      <c r="AL244" s="264"/>
      <c r="AM244" s="264"/>
      <c r="AN244" s="264"/>
      <c r="AO244" s="264"/>
      <c r="AP244" s="264"/>
      <c r="AQ244" s="264"/>
      <c r="AR244" s="264"/>
      <c r="AS244" s="264"/>
      <c r="AT244" s="264"/>
      <c r="AU244" s="264"/>
      <c r="AV244" s="264"/>
      <c r="AW244" s="264"/>
      <c r="AX244" s="264"/>
      <c r="AY244" s="264"/>
      <c r="AZ244" s="264"/>
      <c r="BA244" s="264"/>
      <c r="BB244" s="264"/>
      <c r="BC244" s="264"/>
    </row>
    <row r="245" spans="1:55" ht="15" customHeight="1" x14ac:dyDescent="0.15">
      <c r="A245" s="180">
        <v>42975</v>
      </c>
      <c r="B245" s="175" t="s">
        <v>35</v>
      </c>
      <c r="C245" s="176">
        <v>63995</v>
      </c>
      <c r="D245" s="177">
        <f>44908+10817</f>
        <v>55725</v>
      </c>
      <c r="E245" s="177">
        <v>125159</v>
      </c>
      <c r="F245" s="178">
        <v>6164.1</v>
      </c>
      <c r="G245" s="177">
        <v>4047.7</v>
      </c>
      <c r="H245" s="179"/>
      <c r="I245" s="179"/>
      <c r="J245" s="204">
        <f t="shared" si="60"/>
        <v>69434</v>
      </c>
      <c r="K245" s="177">
        <v>338</v>
      </c>
      <c r="L245" s="177">
        <v>3675</v>
      </c>
      <c r="M245" s="205">
        <f t="shared" si="61"/>
        <v>1426</v>
      </c>
      <c r="N245" s="206">
        <f t="shared" si="74"/>
        <v>1934871</v>
      </c>
      <c r="O245" s="209">
        <f t="shared" si="74"/>
        <v>1606040</v>
      </c>
      <c r="P245" s="208">
        <f t="shared" si="74"/>
        <v>3678491</v>
      </c>
      <c r="Q245" s="225">
        <f t="shared" si="72"/>
        <v>15814158.720000001</v>
      </c>
      <c r="R245" s="207">
        <f t="shared" si="72"/>
        <v>9125593</v>
      </c>
      <c r="S245" s="226">
        <f t="shared" si="72"/>
        <v>25449602.719999999</v>
      </c>
      <c r="T245" s="227">
        <f>N245/'2017'!N245-1</f>
        <v>-6.5205649143217137E-2</v>
      </c>
      <c r="U245" s="228">
        <f>O245/'2017'!O245-1</f>
        <v>0.20348687774871133</v>
      </c>
      <c r="V245" s="228">
        <f>P245/'2017'!P245-1</f>
        <v>5.3271592406805235E-2</v>
      </c>
      <c r="W245" s="228">
        <f>Q245/'2017'!Q245-1</f>
        <v>7.8358051585275534E-2</v>
      </c>
      <c r="X245" s="228">
        <f>R245/'2017'!R245-1</f>
        <v>0.14142321535223901</v>
      </c>
      <c r="Y245" s="244">
        <f>S245/'2017'!S245-1</f>
        <v>9.4674464408634362E-2</v>
      </c>
      <c r="Z245" s="245"/>
      <c r="AA245" s="246">
        <f t="shared" si="66"/>
        <v>1581.415872</v>
      </c>
      <c r="AB245" s="247"/>
      <c r="AC245" s="248"/>
      <c r="AD245" s="247">
        <f t="shared" si="62"/>
        <v>16324009.719999999</v>
      </c>
      <c r="AE245" s="177">
        <f t="shared" si="64"/>
        <v>148648.77000000002</v>
      </c>
      <c r="AF245" s="177">
        <f t="shared" si="73"/>
        <v>151871.07</v>
      </c>
      <c r="AG245" s="248">
        <f t="shared" si="63"/>
        <v>209331.15999999811</v>
      </c>
      <c r="AH245" s="263"/>
      <c r="AI245" s="264"/>
      <c r="AJ245" s="264"/>
      <c r="AK245" s="264"/>
      <c r="AL245" s="264"/>
      <c r="AM245" s="264"/>
      <c r="AN245" s="264"/>
      <c r="AO245" s="264"/>
      <c r="AP245" s="264"/>
      <c r="AQ245" s="264"/>
      <c r="AR245" s="264"/>
      <c r="AS245" s="264"/>
      <c r="AT245" s="264"/>
      <c r="AU245" s="264"/>
      <c r="AV245" s="264"/>
      <c r="AW245" s="264"/>
      <c r="AX245" s="264"/>
      <c r="AY245" s="264"/>
      <c r="AZ245" s="264"/>
      <c r="BA245" s="264"/>
      <c r="BB245" s="264"/>
      <c r="BC245" s="264"/>
    </row>
    <row r="246" spans="1:55" ht="15" customHeight="1" x14ac:dyDescent="0.15">
      <c r="A246" s="180">
        <v>42976</v>
      </c>
      <c r="B246" s="175" t="s">
        <v>36</v>
      </c>
      <c r="C246" s="176">
        <v>66371</v>
      </c>
      <c r="D246" s="177">
        <f>43938+10766</f>
        <v>54704</v>
      </c>
      <c r="E246" s="177">
        <v>126477</v>
      </c>
      <c r="F246" s="178">
        <v>6253.8</v>
      </c>
      <c r="G246" s="177">
        <v>4081.5</v>
      </c>
      <c r="H246" s="179"/>
      <c r="I246" s="179"/>
      <c r="J246" s="204">
        <f t="shared" si="60"/>
        <v>71773</v>
      </c>
      <c r="K246" s="177">
        <v>434</v>
      </c>
      <c r="L246" s="177">
        <v>3681</v>
      </c>
      <c r="M246" s="205">
        <f t="shared" si="61"/>
        <v>1287</v>
      </c>
      <c r="N246" s="206">
        <f t="shared" si="74"/>
        <v>2001242</v>
      </c>
      <c r="O246" s="209">
        <f t="shared" si="74"/>
        <v>1660744</v>
      </c>
      <c r="P246" s="208">
        <f t="shared" si="74"/>
        <v>3804968</v>
      </c>
      <c r="Q246" s="225">
        <f t="shared" si="72"/>
        <v>15880529.720000001</v>
      </c>
      <c r="R246" s="207">
        <f t="shared" si="72"/>
        <v>9180297</v>
      </c>
      <c r="S246" s="226">
        <f t="shared" si="72"/>
        <v>25576079.719999999</v>
      </c>
      <c r="T246" s="227">
        <f>N246/'2017'!N246-1</f>
        <v>-6.6694151011238878E-2</v>
      </c>
      <c r="U246" s="228">
        <f>O246/'2017'!O246-1</f>
        <v>0.20370633445725561</v>
      </c>
      <c r="V246" s="228">
        <f>P246/'2017'!P246-1</f>
        <v>5.2491992833589629E-2</v>
      </c>
      <c r="W246" s="228">
        <f>Q246/'2017'!Q246-1</f>
        <v>7.7416699345068007E-2</v>
      </c>
      <c r="X246" s="228">
        <f>R246/'2017'!R246-1</f>
        <v>0.14180980700804757</v>
      </c>
      <c r="Y246" s="244">
        <f>S246/'2017'!S246-1</f>
        <v>9.4336406455601596E-2</v>
      </c>
      <c r="Z246" s="245"/>
      <c r="AA246" s="246">
        <f t="shared" si="66"/>
        <v>1588.052972</v>
      </c>
      <c r="AB246" s="247"/>
      <c r="AC246" s="248"/>
      <c r="AD246" s="247">
        <f t="shared" si="62"/>
        <v>16395782.719999999</v>
      </c>
      <c r="AE246" s="177">
        <f t="shared" si="64"/>
        <v>149082.77000000002</v>
      </c>
      <c r="AF246" s="177">
        <f t="shared" si="73"/>
        <v>155552.07</v>
      </c>
      <c r="AG246" s="248">
        <f t="shared" si="63"/>
        <v>210618.15999999811</v>
      </c>
      <c r="AH246" s="263"/>
      <c r="AI246" s="264"/>
      <c r="AJ246" s="264"/>
      <c r="AK246" s="264"/>
      <c r="AL246" s="264"/>
      <c r="AM246" s="264"/>
      <c r="AN246" s="264"/>
      <c r="AO246" s="264"/>
      <c r="AP246" s="264"/>
      <c r="AQ246" s="264"/>
      <c r="AR246" s="264"/>
      <c r="AS246" s="264"/>
      <c r="AT246" s="264"/>
      <c r="AU246" s="264"/>
      <c r="AV246" s="264"/>
      <c r="AW246" s="264"/>
      <c r="AX246" s="264"/>
      <c r="AY246" s="264"/>
      <c r="AZ246" s="264"/>
      <c r="BA246" s="264"/>
      <c r="BB246" s="264"/>
      <c r="BC246" s="264"/>
    </row>
    <row r="247" spans="1:55" s="157" customFormat="1" ht="15" customHeight="1" x14ac:dyDescent="0.15">
      <c r="A247" s="181">
        <v>42977</v>
      </c>
      <c r="B247" s="182" t="s">
        <v>37</v>
      </c>
      <c r="C247" s="183">
        <f>64593+5302</f>
        <v>69895</v>
      </c>
      <c r="D247" s="184">
        <f>38175+13713</f>
        <v>51888</v>
      </c>
      <c r="E247" s="184">
        <f>89526+38175</f>
        <v>127701</v>
      </c>
      <c r="F247" s="185">
        <v>6248</v>
      </c>
      <c r="G247" s="184">
        <v>4145</v>
      </c>
      <c r="H247" s="186"/>
      <c r="I247" s="186"/>
      <c r="J247" s="210">
        <f t="shared" si="60"/>
        <v>75813</v>
      </c>
      <c r="K247" s="184">
        <v>737</v>
      </c>
      <c r="L247" s="184">
        <v>3833</v>
      </c>
      <c r="M247" s="211">
        <f t="shared" si="61"/>
        <v>1348</v>
      </c>
      <c r="N247" s="212">
        <f t="shared" si="74"/>
        <v>2071137</v>
      </c>
      <c r="O247" s="215">
        <f t="shared" si="74"/>
        <v>1712632</v>
      </c>
      <c r="P247" s="214">
        <f t="shared" si="74"/>
        <v>3932669</v>
      </c>
      <c r="Q247" s="229">
        <f>Q$217+N247</f>
        <v>15950424.720000001</v>
      </c>
      <c r="R247" s="213">
        <f t="shared" si="72"/>
        <v>9232185</v>
      </c>
      <c r="S247" s="230">
        <f t="shared" si="72"/>
        <v>25703780.719999999</v>
      </c>
      <c r="T247" s="231">
        <f>N247/'2017'!N247-1</f>
        <v>-6.3804022076671685E-2</v>
      </c>
      <c r="U247" s="232">
        <f>O247/'2017'!O247-1</f>
        <v>0.20508086260955705</v>
      </c>
      <c r="V247" s="232">
        <f>P247/'2017'!P247-1</f>
        <v>5.5198531130171702E-2</v>
      </c>
      <c r="W247" s="232">
        <f>Q247/'2017'!Q247-1</f>
        <v>7.7186318976425694E-2</v>
      </c>
      <c r="X247" s="232">
        <f>R247/'2017'!R247-1</f>
        <v>0.14236924514564664</v>
      </c>
      <c r="Y247" s="249">
        <f>S247/'2017'!S247-1</f>
        <v>9.4566831911335747E-2</v>
      </c>
      <c r="Z247" s="250">
        <v>82.63</v>
      </c>
      <c r="AA247" s="251">
        <f t="shared" si="66"/>
        <v>1512.412472</v>
      </c>
      <c r="AB247" s="252">
        <v>4283.88</v>
      </c>
      <c r="AC247" s="211">
        <f t="shared" si="69"/>
        <v>3530.4734773149576</v>
      </c>
      <c r="AD247" s="252">
        <f>S247-R247</f>
        <v>16471595.719999999</v>
      </c>
      <c r="AE247" s="184">
        <f t="shared" si="64"/>
        <v>149819.77000000002</v>
      </c>
      <c r="AF247" s="184">
        <f t="shared" ref="AF247:AF262" si="75">AF246+L247</f>
        <v>159385.07</v>
      </c>
      <c r="AG247" s="211">
        <f t="shared" si="63"/>
        <v>211966.15999999811</v>
      </c>
      <c r="AH247" s="263"/>
      <c r="AI247" s="264"/>
      <c r="AJ247" s="264"/>
      <c r="AK247" s="264"/>
      <c r="AL247" s="264"/>
      <c r="AM247" s="264"/>
      <c r="AN247" s="264"/>
      <c r="AO247" s="264"/>
      <c r="AP247" s="264"/>
      <c r="AQ247" s="264"/>
      <c r="AR247" s="264"/>
      <c r="AS247" s="264"/>
      <c r="AT247" s="264"/>
      <c r="AU247" s="264"/>
      <c r="AV247" s="264"/>
      <c r="AW247" s="264"/>
      <c r="AX247" s="264"/>
      <c r="AY247" s="264"/>
      <c r="AZ247" s="264"/>
      <c r="BA247" s="264"/>
      <c r="BB247" s="264"/>
      <c r="BC247" s="264"/>
    </row>
    <row r="248" spans="1:55" s="157" customFormat="1" ht="15" customHeight="1" x14ac:dyDescent="0.15">
      <c r="A248" s="290">
        <v>42978</v>
      </c>
      <c r="B248" s="291" t="s">
        <v>38</v>
      </c>
      <c r="C248" s="292">
        <v>71732</v>
      </c>
      <c r="D248" s="293">
        <f>41157+10766</f>
        <v>51923</v>
      </c>
      <c r="E248" s="293">
        <v>127412</v>
      </c>
      <c r="F248" s="294">
        <v>6239.4</v>
      </c>
      <c r="G248" s="293">
        <v>4156</v>
      </c>
      <c r="H248" s="295"/>
      <c r="I248" s="295"/>
      <c r="J248" s="296">
        <f t="shared" si="60"/>
        <v>75489</v>
      </c>
      <c r="K248" s="293">
        <v>1174</v>
      </c>
      <c r="L248" s="293">
        <v>1335</v>
      </c>
      <c r="M248" s="217">
        <f t="shared" si="61"/>
        <v>1248</v>
      </c>
      <c r="N248" s="297">
        <f>[7]表2、统调口径电量!$D$10</f>
        <v>2142873.35</v>
      </c>
      <c r="O248" s="341">
        <f>[7]表2、统调口径电量!$D$14</f>
        <v>1772476.8</v>
      </c>
      <c r="P248" s="340">
        <f>[7]表2、统调口径电量!$D$3</f>
        <v>4060084.02</v>
      </c>
      <c r="Q248" s="299">
        <f>[7]表2、统调口径电量!$I$10</f>
        <v>16022161.07</v>
      </c>
      <c r="R248" s="300">
        <f>[7]表2、统调口径电量!$I$14</f>
        <v>9292029.8000000007</v>
      </c>
      <c r="S248" s="301">
        <f>[7]表2、统调口径电量!$I$3</f>
        <v>25831195.739999998</v>
      </c>
      <c r="T248" s="235">
        <f>N248/'2017'!N248-1</f>
        <v>-5.5683858819257415E-2</v>
      </c>
      <c r="U248" s="236">
        <f>O248/'2017'!O248-1</f>
        <v>0.21150428081840666</v>
      </c>
      <c r="V248" s="236">
        <f>P248/'2017'!P248-1</f>
        <v>6.0833081630200292E-2</v>
      </c>
      <c r="W248" s="236">
        <f>Q248/'2017'!Q248-1</f>
        <v>7.7885835363155298E-2</v>
      </c>
      <c r="X248" s="236">
        <f>R248/'2017'!R248-1</f>
        <v>0.14180642240705588</v>
      </c>
      <c r="Y248" s="254">
        <f>S248/'2017'!S248-1</f>
        <v>9.5313761646948603E-2</v>
      </c>
      <c r="Z248" s="255">
        <f>[7]表2、统调口径电量!$I$12/10000</f>
        <v>83.221086999999997</v>
      </c>
      <c r="AA248" s="256">
        <f t="shared" si="66"/>
        <v>1518.9950200000001</v>
      </c>
      <c r="AB248" s="257">
        <v>4283.88</v>
      </c>
      <c r="AC248" s="258">
        <f t="shared" si="69"/>
        <v>3545.8393325676725</v>
      </c>
      <c r="AD248" s="257">
        <f>[7]表2、统调口径电量!$I$4</f>
        <v>16539165.939999999</v>
      </c>
      <c r="AE248" s="190">
        <f>[7]表2、统调口径电量!$I$13</f>
        <v>151020.45000000001</v>
      </c>
      <c r="AF248" s="190">
        <f>[7]表2、统调口径电量!$I$17</f>
        <v>160719.97</v>
      </c>
      <c r="AG248" s="258">
        <f t="shared" si="63"/>
        <v>205264.44999999917</v>
      </c>
      <c r="AH248" s="265">
        <f>AG248/'2017'!AG248-1</f>
        <v>0.63826400201292999</v>
      </c>
      <c r="AI248" s="264"/>
      <c r="AJ248" s="264"/>
      <c r="AK248" s="264"/>
      <c r="AL248" s="264"/>
      <c r="AM248" s="264"/>
      <c r="AN248" s="264"/>
      <c r="AO248" s="264"/>
      <c r="AP248" s="264"/>
      <c r="AQ248" s="264"/>
      <c r="AR248" s="264"/>
      <c r="AS248" s="264"/>
      <c r="AT248" s="264"/>
      <c r="AU248" s="264"/>
      <c r="AV248" s="264"/>
      <c r="AW248" s="264"/>
      <c r="AX248" s="264"/>
      <c r="AY248" s="264"/>
      <c r="AZ248" s="264"/>
      <c r="BA248" s="264"/>
      <c r="BB248" s="264"/>
      <c r="BC248" s="264"/>
    </row>
    <row r="249" spans="1:55" ht="15" customHeight="1" x14ac:dyDescent="0.15">
      <c r="A249" s="180">
        <v>42979</v>
      </c>
      <c r="B249" s="175" t="s">
        <v>39</v>
      </c>
      <c r="C249" s="176">
        <v>64920</v>
      </c>
      <c r="D249" s="177">
        <f>42897+10781</f>
        <v>53678</v>
      </c>
      <c r="E249" s="177">
        <v>121606</v>
      </c>
      <c r="F249" s="178">
        <v>5795.4</v>
      </c>
      <c r="G249" s="177">
        <v>4083.7</v>
      </c>
      <c r="H249" s="179"/>
      <c r="I249" s="179"/>
      <c r="J249" s="204">
        <f t="shared" si="60"/>
        <v>67928</v>
      </c>
      <c r="K249" s="177">
        <v>528</v>
      </c>
      <c r="L249" s="177">
        <v>1603</v>
      </c>
      <c r="M249" s="205">
        <f t="shared" si="61"/>
        <v>877</v>
      </c>
      <c r="N249" s="206">
        <f>C249</f>
        <v>64920</v>
      </c>
      <c r="O249" s="209">
        <f>D249</f>
        <v>53678</v>
      </c>
      <c r="P249" s="208">
        <f>E249</f>
        <v>121606</v>
      </c>
      <c r="Q249" s="225">
        <f>Q$248+N249</f>
        <v>16087081.07</v>
      </c>
      <c r="R249" s="207">
        <f t="shared" ref="Q249:S264" si="76">R$248+O249</f>
        <v>9345707.8000000007</v>
      </c>
      <c r="S249" s="226">
        <f t="shared" si="76"/>
        <v>25952801.739999998</v>
      </c>
      <c r="T249" s="227">
        <f>N249/'2017'!N249-1</f>
        <v>0.22980166322529305</v>
      </c>
      <c r="U249" s="228">
        <f>O249/'2017'!O249-1</f>
        <v>0.29160951899708842</v>
      </c>
      <c r="V249" s="228">
        <f>P249/'2017'!P249-1</f>
        <v>0.2653451953592425</v>
      </c>
      <c r="W249" s="228">
        <f>Q249/'2017'!Q249-1</f>
        <v>7.8423434454449215E-2</v>
      </c>
      <c r="X249" s="228">
        <f>R249/'2017'!R249-1</f>
        <v>0.14256754666842397</v>
      </c>
      <c r="Y249" s="244">
        <f>S249/'2017'!S249-1</f>
        <v>9.6003847349267923E-2</v>
      </c>
      <c r="Z249" s="245"/>
      <c r="AA249" s="246">
        <f t="shared" si="66"/>
        <v>1608.7081069999999</v>
      </c>
      <c r="AB249" s="247"/>
      <c r="AC249" s="248"/>
      <c r="AD249" s="247">
        <f t="shared" si="62"/>
        <v>16607093.939999998</v>
      </c>
      <c r="AE249" s="177">
        <f t="shared" si="64"/>
        <v>151548.45000000001</v>
      </c>
      <c r="AF249" s="177">
        <f t="shared" si="75"/>
        <v>162322.97</v>
      </c>
      <c r="AG249" s="248">
        <f t="shared" si="63"/>
        <v>206141.4499999973</v>
      </c>
      <c r="AH249" s="263"/>
      <c r="AI249" s="264"/>
      <c r="AJ249" s="264"/>
      <c r="AK249" s="264"/>
      <c r="AL249" s="264"/>
      <c r="AM249" s="264"/>
      <c r="AN249" s="264"/>
      <c r="AO249" s="264"/>
      <c r="AP249" s="264"/>
      <c r="AQ249" s="264"/>
      <c r="AR249" s="264"/>
      <c r="AS249" s="264"/>
      <c r="AT249" s="264"/>
      <c r="AU249" s="264"/>
      <c r="AV249" s="264"/>
      <c r="AW249" s="264"/>
      <c r="AX249" s="264"/>
      <c r="AY249" s="264"/>
      <c r="AZ249" s="264"/>
      <c r="BA249" s="264"/>
      <c r="BB249" s="264"/>
      <c r="BC249" s="264"/>
    </row>
    <row r="250" spans="1:55" ht="15" customHeight="1" x14ac:dyDescent="0.15">
      <c r="A250" s="180">
        <v>42980</v>
      </c>
      <c r="B250" s="175" t="s">
        <v>1</v>
      </c>
      <c r="C250" s="176">
        <v>65391</v>
      </c>
      <c r="D250" s="177">
        <f>42123+10748</f>
        <v>52871</v>
      </c>
      <c r="E250" s="177">
        <v>121486</v>
      </c>
      <c r="F250" s="178">
        <v>5761.9</v>
      </c>
      <c r="G250" s="177">
        <v>4018.1</v>
      </c>
      <c r="H250" s="179"/>
      <c r="I250" s="179"/>
      <c r="J250" s="204">
        <f t="shared" si="60"/>
        <v>68615</v>
      </c>
      <c r="K250" s="177">
        <v>669</v>
      </c>
      <c r="L250" s="177">
        <v>1588</v>
      </c>
      <c r="M250" s="205">
        <f t="shared" si="61"/>
        <v>967</v>
      </c>
      <c r="N250" s="206">
        <f t="shared" ref="N250:P265" si="77">C250+N249</f>
        <v>130311</v>
      </c>
      <c r="O250" s="209">
        <f t="shared" si="77"/>
        <v>106549</v>
      </c>
      <c r="P250" s="208">
        <f t="shared" si="77"/>
        <v>243092</v>
      </c>
      <c r="Q250" s="225">
        <f>Q$248+N250</f>
        <v>16152472.07</v>
      </c>
      <c r="R250" s="207">
        <f t="shared" si="76"/>
        <v>9398578.8000000007</v>
      </c>
      <c r="S250" s="226">
        <f t="shared" si="76"/>
        <v>26074287.739999998</v>
      </c>
      <c r="T250" s="227">
        <f>N250/'2017'!N250-1</f>
        <v>0.21871405190554127</v>
      </c>
      <c r="U250" s="228">
        <f>O250/'2017'!O250-1</f>
        <v>0.28185416441091893</v>
      </c>
      <c r="V250" s="228">
        <f>P250/'2017'!P250-1</f>
        <v>0.25325180827864235</v>
      </c>
      <c r="W250" s="228">
        <f>Q250/'2017'!Q250-1</f>
        <v>7.8891626402125548E-2</v>
      </c>
      <c r="X250" s="228">
        <f>R250/'2017'!R250-1</f>
        <v>0.14322239682651872</v>
      </c>
      <c r="Y250" s="244">
        <f>S250/'2017'!S250-1</f>
        <v>9.6602176547813334E-2</v>
      </c>
      <c r="Z250" s="245"/>
      <c r="AA250" s="246">
        <f t="shared" si="66"/>
        <v>1615.2472070000001</v>
      </c>
      <c r="AB250" s="247"/>
      <c r="AC250" s="248"/>
      <c r="AD250" s="247">
        <f t="shared" si="62"/>
        <v>16675708.939999998</v>
      </c>
      <c r="AE250" s="177">
        <f t="shared" si="64"/>
        <v>152217.45000000001</v>
      </c>
      <c r="AF250" s="177">
        <f t="shared" si="75"/>
        <v>163910.97</v>
      </c>
      <c r="AG250" s="248">
        <f t="shared" si="63"/>
        <v>207108.4499999973</v>
      </c>
      <c r="AH250" s="263"/>
      <c r="AI250" s="264"/>
      <c r="AJ250" s="264"/>
      <c r="AK250" s="264"/>
      <c r="AL250" s="264"/>
      <c r="AM250" s="264"/>
      <c r="AN250" s="264"/>
      <c r="AO250" s="264"/>
      <c r="AP250" s="264"/>
      <c r="AQ250" s="264"/>
      <c r="AR250" s="264"/>
      <c r="AS250" s="264"/>
      <c r="AT250" s="264"/>
      <c r="AU250" s="264"/>
      <c r="AV250" s="264"/>
      <c r="AW250" s="264"/>
      <c r="AX250" s="264"/>
      <c r="AY250" s="264"/>
      <c r="AZ250" s="264"/>
      <c r="BA250" s="264"/>
      <c r="BB250" s="264"/>
      <c r="BC250" s="264"/>
    </row>
    <row r="251" spans="1:55" ht="15" customHeight="1" x14ac:dyDescent="0.15">
      <c r="A251" s="180">
        <v>42981</v>
      </c>
      <c r="B251" s="175" t="s">
        <v>34</v>
      </c>
      <c r="C251" s="176">
        <v>71503</v>
      </c>
      <c r="D251" s="177">
        <f>10752+46648</f>
        <v>57400</v>
      </c>
      <c r="E251" s="177">
        <v>132500</v>
      </c>
      <c r="F251" s="178">
        <v>6505</v>
      </c>
      <c r="G251" s="177">
        <v>4164</v>
      </c>
      <c r="H251" s="179"/>
      <c r="I251" s="179"/>
      <c r="J251" s="204">
        <f t="shared" si="60"/>
        <v>75100</v>
      </c>
      <c r="K251" s="177">
        <v>651</v>
      </c>
      <c r="L251" s="177">
        <v>2046</v>
      </c>
      <c r="M251" s="205">
        <f t="shared" si="61"/>
        <v>900</v>
      </c>
      <c r="N251" s="206">
        <f t="shared" si="77"/>
        <v>201814</v>
      </c>
      <c r="O251" s="209">
        <f t="shared" si="77"/>
        <v>163949</v>
      </c>
      <c r="P251" s="208">
        <f t="shared" si="77"/>
        <v>375592</v>
      </c>
      <c r="Q251" s="225">
        <f t="shared" si="76"/>
        <v>16223975.07</v>
      </c>
      <c r="R251" s="207">
        <f t="shared" si="76"/>
        <v>9455978.8000000007</v>
      </c>
      <c r="S251" s="226">
        <f t="shared" si="76"/>
        <v>26206787.739999998</v>
      </c>
      <c r="T251" s="227">
        <f>N251/'2017'!N251-1</f>
        <v>0.25822339709219677</v>
      </c>
      <c r="U251" s="228">
        <f>O251/'2017'!O251-1</f>
        <v>0.3201784405775161</v>
      </c>
      <c r="V251" s="228">
        <f>P251/'2017'!P251-1</f>
        <v>0.29210615036362753</v>
      </c>
      <c r="W251" s="228">
        <f>Q251/'2017'!Q251-1</f>
        <v>7.9811010339969179E-2</v>
      </c>
      <c r="X251" s="228">
        <f>R251/'2017'!R251-1</f>
        <v>0.14448748788911425</v>
      </c>
      <c r="Y251" s="244">
        <f>S251/'2017'!S251-1</f>
        <v>9.7709835507362675E-2</v>
      </c>
      <c r="Z251" s="245"/>
      <c r="AA251" s="246">
        <f t="shared" si="66"/>
        <v>1622.3975070000001</v>
      </c>
      <c r="AB251" s="247"/>
      <c r="AC251" s="248"/>
      <c r="AD251" s="247">
        <f t="shared" si="62"/>
        <v>16750808.939999998</v>
      </c>
      <c r="AE251" s="177">
        <f t="shared" si="64"/>
        <v>152868.45000000001</v>
      </c>
      <c r="AF251" s="177">
        <f t="shared" si="75"/>
        <v>165956.97</v>
      </c>
      <c r="AG251" s="248">
        <f t="shared" si="63"/>
        <v>208008.4499999973</v>
      </c>
      <c r="AH251" s="263"/>
      <c r="AI251" s="264"/>
      <c r="AJ251" s="264"/>
      <c r="AK251" s="264"/>
      <c r="AL251" s="264"/>
      <c r="AM251" s="264"/>
      <c r="AN251" s="264"/>
      <c r="AO251" s="264"/>
      <c r="AP251" s="264"/>
      <c r="AQ251" s="264"/>
      <c r="AR251" s="264"/>
      <c r="AS251" s="264"/>
      <c r="AT251" s="264"/>
      <c r="AU251" s="264"/>
      <c r="AV251" s="264"/>
      <c r="AW251" s="264"/>
      <c r="AX251" s="264"/>
      <c r="AY251" s="264"/>
      <c r="AZ251" s="264"/>
      <c r="BA251" s="264"/>
      <c r="BB251" s="264"/>
      <c r="BC251" s="264"/>
    </row>
    <row r="252" spans="1:55" ht="15" customHeight="1" x14ac:dyDescent="0.15">
      <c r="A252" s="180">
        <v>42982</v>
      </c>
      <c r="B252" s="175" t="s">
        <v>35</v>
      </c>
      <c r="C252" s="176">
        <v>66999</v>
      </c>
      <c r="D252" s="177">
        <f>10790+49734</f>
        <v>60524</v>
      </c>
      <c r="E252" s="177">
        <v>131334</v>
      </c>
      <c r="F252" s="178">
        <v>6319</v>
      </c>
      <c r="G252" s="177">
        <v>4381</v>
      </c>
      <c r="H252" s="179"/>
      <c r="I252" s="179"/>
      <c r="J252" s="204">
        <f t="shared" si="60"/>
        <v>70810</v>
      </c>
      <c r="K252" s="177">
        <v>686</v>
      </c>
      <c r="L252" s="177">
        <v>2050</v>
      </c>
      <c r="M252" s="205">
        <f t="shared" si="61"/>
        <v>1075</v>
      </c>
      <c r="N252" s="206">
        <f t="shared" si="77"/>
        <v>268813</v>
      </c>
      <c r="O252" s="209">
        <f t="shared" si="77"/>
        <v>224473</v>
      </c>
      <c r="P252" s="208">
        <f t="shared" si="77"/>
        <v>506926</v>
      </c>
      <c r="Q252" s="225">
        <f t="shared" si="76"/>
        <v>16290974.07</v>
      </c>
      <c r="R252" s="207">
        <f t="shared" si="76"/>
        <v>9516502.8000000007</v>
      </c>
      <c r="S252" s="226">
        <f t="shared" si="76"/>
        <v>26338121.739999998</v>
      </c>
      <c r="T252" s="227">
        <f>N252/'2017'!N252-1</f>
        <v>0.19813246568015686</v>
      </c>
      <c r="U252" s="228">
        <f>O252/'2017'!O252-1</f>
        <v>0.36002205378943475</v>
      </c>
      <c r="V252" s="228">
        <f>P252/'2017'!P252-1</f>
        <v>0.27270810057619155</v>
      </c>
      <c r="W252" s="228">
        <f>Q252/'2017'!Q252-1</f>
        <v>7.9673820337035739E-2</v>
      </c>
      <c r="X252" s="228">
        <f>R252/'2017'!R252-1</f>
        <v>0.14614418613669988</v>
      </c>
      <c r="Y252" s="244">
        <f>S252/'2017'!S252-1</f>
        <v>9.826005442837582E-2</v>
      </c>
      <c r="Z252" s="245"/>
      <c r="AA252" s="246">
        <f t="shared" si="66"/>
        <v>1629.097407</v>
      </c>
      <c r="AB252" s="247"/>
      <c r="AC252" s="248"/>
      <c r="AD252" s="247">
        <f t="shared" si="62"/>
        <v>16821618.939999998</v>
      </c>
      <c r="AE252" s="177">
        <f t="shared" si="64"/>
        <v>153554.45000000001</v>
      </c>
      <c r="AF252" s="177">
        <f t="shared" si="75"/>
        <v>168006.97</v>
      </c>
      <c r="AG252" s="248">
        <f t="shared" si="63"/>
        <v>209083.4499999973</v>
      </c>
      <c r="AH252" s="263"/>
      <c r="AI252" s="264"/>
      <c r="AJ252" s="264"/>
      <c r="AK252" s="264"/>
      <c r="AL252" s="264"/>
      <c r="AM252" s="264"/>
      <c r="AN252" s="264"/>
      <c r="AO252" s="264"/>
      <c r="AP252" s="264"/>
      <c r="AQ252" s="264"/>
      <c r="AR252" s="264"/>
      <c r="AS252" s="264"/>
      <c r="AT252" s="264"/>
      <c r="AU252" s="264"/>
      <c r="AV252" s="264"/>
      <c r="AW252" s="264"/>
      <c r="AX252" s="264"/>
      <c r="AY252" s="264"/>
      <c r="AZ252" s="264"/>
      <c r="BA252" s="264"/>
      <c r="BB252" s="264"/>
      <c r="BC252" s="264"/>
    </row>
    <row r="253" spans="1:55" ht="15" customHeight="1" x14ac:dyDescent="0.15">
      <c r="A253" s="180">
        <v>42983</v>
      </c>
      <c r="B253" s="175" t="s">
        <v>36</v>
      </c>
      <c r="C253" s="176">
        <v>62697</v>
      </c>
      <c r="D253" s="177">
        <f>10727+49935</f>
        <v>60662</v>
      </c>
      <c r="E253" s="177">
        <v>127723</v>
      </c>
      <c r="F253" s="178">
        <v>6221</v>
      </c>
      <c r="G253" s="177">
        <v>4195</v>
      </c>
      <c r="H253" s="179"/>
      <c r="I253" s="179"/>
      <c r="J253" s="204">
        <f t="shared" si="60"/>
        <v>67061</v>
      </c>
      <c r="K253" s="177">
        <v>1256</v>
      </c>
      <c r="L253" s="177">
        <v>2050</v>
      </c>
      <c r="M253" s="205">
        <f t="shared" si="61"/>
        <v>1058</v>
      </c>
      <c r="N253" s="206">
        <f t="shared" si="77"/>
        <v>331510</v>
      </c>
      <c r="O253" s="209">
        <f t="shared" si="77"/>
        <v>285135</v>
      </c>
      <c r="P253" s="208">
        <f t="shared" si="77"/>
        <v>634649</v>
      </c>
      <c r="Q253" s="225">
        <f t="shared" si="76"/>
        <v>16353671.07</v>
      </c>
      <c r="R253" s="207">
        <f t="shared" si="76"/>
        <v>9577164.8000000007</v>
      </c>
      <c r="S253" s="226">
        <f t="shared" si="76"/>
        <v>26465844.739999998</v>
      </c>
      <c r="T253" s="227">
        <f>N253/'2017'!N253-1</f>
        <v>0.11674049620184945</v>
      </c>
      <c r="U253" s="228">
        <f>O253/'2017'!O253-1</f>
        <v>0.38459409325317817</v>
      </c>
      <c r="V253" s="228">
        <f>P253/'2017'!P253-1</f>
        <v>0.23153423424122699</v>
      </c>
      <c r="W253" s="228">
        <f>Q253/'2017'!Q253-1</f>
        <v>7.8646601918435755E-2</v>
      </c>
      <c r="X253" s="228">
        <f>R253/'2017'!R253-1</f>
        <v>0.14779858249254385</v>
      </c>
      <c r="Y253" s="244">
        <f>S253/'2017'!S253-1</f>
        <v>9.8226729844917315E-2</v>
      </c>
      <c r="Z253" s="245"/>
      <c r="AA253" s="246">
        <f t="shared" si="66"/>
        <v>1635.367107</v>
      </c>
      <c r="AB253" s="247"/>
      <c r="AC253" s="248"/>
      <c r="AD253" s="247">
        <f t="shared" si="62"/>
        <v>16888679.939999998</v>
      </c>
      <c r="AE253" s="177">
        <f t="shared" si="64"/>
        <v>154810.45000000001</v>
      </c>
      <c r="AF253" s="177">
        <f t="shared" si="75"/>
        <v>170056.97</v>
      </c>
      <c r="AG253" s="248">
        <f t="shared" si="63"/>
        <v>210141.4499999973</v>
      </c>
      <c r="AH253" s="263"/>
      <c r="AI253" s="264"/>
      <c r="AJ253" s="264"/>
      <c r="AK253" s="264"/>
      <c r="AL253" s="264"/>
      <c r="AM253" s="264"/>
      <c r="AN253" s="264"/>
      <c r="AO253" s="264"/>
      <c r="AP253" s="264"/>
      <c r="AQ253" s="264"/>
      <c r="AR253" s="264"/>
      <c r="AS253" s="264"/>
      <c r="AT253" s="264"/>
      <c r="AU253" s="264"/>
      <c r="AV253" s="264"/>
      <c r="AW253" s="264"/>
      <c r="AX253" s="264"/>
      <c r="AY253" s="264"/>
      <c r="AZ253" s="264"/>
      <c r="BA253" s="264"/>
      <c r="BB253" s="264"/>
      <c r="BC253" s="264"/>
    </row>
    <row r="254" spans="1:55" s="157" customFormat="1" ht="15" customHeight="1" x14ac:dyDescent="0.15">
      <c r="A254" s="181">
        <v>42984</v>
      </c>
      <c r="B254" s="182" t="s">
        <v>37</v>
      </c>
      <c r="C254" s="183">
        <f>68958+3029</f>
        <v>71987</v>
      </c>
      <c r="D254" s="184">
        <f>42749+13672</f>
        <v>56421</v>
      </c>
      <c r="E254" s="184">
        <f>89917+42749</f>
        <v>132666</v>
      </c>
      <c r="F254" s="185">
        <v>6478</v>
      </c>
      <c r="G254" s="184">
        <v>4258</v>
      </c>
      <c r="H254" s="186"/>
      <c r="I254" s="186"/>
      <c r="J254" s="210">
        <f t="shared" si="60"/>
        <v>76245</v>
      </c>
      <c r="K254" s="184">
        <v>1137</v>
      </c>
      <c r="L254" s="184">
        <v>2095</v>
      </c>
      <c r="M254" s="211">
        <f t="shared" si="61"/>
        <v>1026</v>
      </c>
      <c r="N254" s="212">
        <f t="shared" si="77"/>
        <v>403497</v>
      </c>
      <c r="O254" s="215">
        <f t="shared" si="77"/>
        <v>341556</v>
      </c>
      <c r="P254" s="214">
        <f t="shared" si="77"/>
        <v>767315</v>
      </c>
      <c r="Q254" s="229">
        <f t="shared" si="76"/>
        <v>16425658.07</v>
      </c>
      <c r="R254" s="213">
        <f t="shared" si="76"/>
        <v>9633585.8000000007</v>
      </c>
      <c r="S254" s="230">
        <f t="shared" si="76"/>
        <v>26598510.739999998</v>
      </c>
      <c r="T254" s="231">
        <f>N254/'2017'!N254-1</f>
        <v>8.1625103539232358E-2</v>
      </c>
      <c r="U254" s="232">
        <f>O254/'2017'!O254-1</f>
        <v>0.38334426866904825</v>
      </c>
      <c r="V254" s="232">
        <f>P254/'2017'!P254-1</f>
        <v>0.20686292551191987</v>
      </c>
      <c r="W254" s="232">
        <f>Q254/'2017'!Q254-1</f>
        <v>7.7977380870398072E-2</v>
      </c>
      <c r="X254" s="232">
        <f>R254/'2017'!R254-1</f>
        <v>0.14891885593579146</v>
      </c>
      <c r="Y254" s="249">
        <f>S254/'2017'!S254-1</f>
        <v>9.8242110632908775E-2</v>
      </c>
      <c r="Z254" s="250">
        <v>84.95</v>
      </c>
      <c r="AA254" s="251">
        <f t="shared" si="66"/>
        <v>1557.6158069999999</v>
      </c>
      <c r="AB254" s="252">
        <v>4283.88</v>
      </c>
      <c r="AC254" s="211">
        <f t="shared" si="69"/>
        <v>3635.9930880416814</v>
      </c>
      <c r="AD254" s="252">
        <f t="shared" si="62"/>
        <v>16964924.939999998</v>
      </c>
      <c r="AE254" s="184">
        <f t="shared" si="64"/>
        <v>155947.45000000001</v>
      </c>
      <c r="AF254" s="184">
        <f t="shared" si="75"/>
        <v>172151.97</v>
      </c>
      <c r="AG254" s="211">
        <f t="shared" si="63"/>
        <v>211167.4499999973</v>
      </c>
      <c r="AH254" s="263"/>
      <c r="AI254" s="264"/>
      <c r="AJ254" s="264"/>
      <c r="AK254" s="264"/>
      <c r="AL254" s="264"/>
      <c r="AM254" s="264"/>
      <c r="AN254" s="264"/>
      <c r="AO254" s="264"/>
      <c r="AP254" s="264"/>
      <c r="AQ254" s="264"/>
      <c r="AR254" s="264"/>
      <c r="AS254" s="264"/>
      <c r="AT254" s="264"/>
      <c r="AU254" s="264"/>
      <c r="AV254" s="264"/>
      <c r="AW254" s="264"/>
      <c r="AX254" s="264"/>
      <c r="AY254" s="264"/>
      <c r="AZ254" s="264"/>
      <c r="BA254" s="264"/>
      <c r="BB254" s="264"/>
      <c r="BC254" s="264"/>
    </row>
    <row r="255" spans="1:55" ht="15" customHeight="1" x14ac:dyDescent="0.15">
      <c r="A255" s="180">
        <v>42985</v>
      </c>
      <c r="B255" s="175" t="s">
        <v>38</v>
      </c>
      <c r="C255" s="176">
        <v>61745</v>
      </c>
      <c r="D255" s="177">
        <f>43137+10696</f>
        <v>53833</v>
      </c>
      <c r="E255" s="177">
        <v>119092</v>
      </c>
      <c r="F255" s="178">
        <v>6020.6</v>
      </c>
      <c r="G255" s="177">
        <v>4080.5</v>
      </c>
      <c r="H255" s="179"/>
      <c r="I255" s="179"/>
      <c r="J255" s="204">
        <f t="shared" si="60"/>
        <v>65259</v>
      </c>
      <c r="K255" s="177">
        <v>954</v>
      </c>
      <c r="L255" s="177">
        <v>2142</v>
      </c>
      <c r="M255" s="205">
        <f t="shared" si="61"/>
        <v>418</v>
      </c>
      <c r="N255" s="206">
        <f t="shared" si="77"/>
        <v>465242</v>
      </c>
      <c r="O255" s="209">
        <f t="shared" si="77"/>
        <v>395389</v>
      </c>
      <c r="P255" s="208">
        <f t="shared" si="77"/>
        <v>886407</v>
      </c>
      <c r="Q255" s="225">
        <f t="shared" si="76"/>
        <v>16487403.07</v>
      </c>
      <c r="R255" s="207">
        <f t="shared" si="76"/>
        <v>9687418.8000000007</v>
      </c>
      <c r="S255" s="226">
        <f t="shared" si="76"/>
        <v>26717602.739999998</v>
      </c>
      <c r="T255" s="227">
        <f>N255/'2017'!N255-1</f>
        <v>6.1781815775119764E-2</v>
      </c>
      <c r="U255" s="228">
        <f>O255/'2017'!O255-1</f>
        <v>0.35897259638353374</v>
      </c>
      <c r="V255" s="228">
        <f>P255/'2017'!P255-1</f>
        <v>0.18780234181744104</v>
      </c>
      <c r="W255" s="228">
        <f>Q255/'2017'!Q255-1</f>
        <v>7.7424716806388849E-2</v>
      </c>
      <c r="X255" s="228">
        <f>R255/'2017'!R255-1</f>
        <v>0.14930246987912499</v>
      </c>
      <c r="Y255" s="244">
        <f>S255/'2017'!S255-1</f>
        <v>9.8150645434703865E-2</v>
      </c>
      <c r="Z255" s="245"/>
      <c r="AA255" s="246">
        <f t="shared" si="66"/>
        <v>1648.740307</v>
      </c>
      <c r="AB255" s="247"/>
      <c r="AC255" s="248"/>
      <c r="AD255" s="247">
        <f t="shared" si="62"/>
        <v>17030183.939999998</v>
      </c>
      <c r="AE255" s="177">
        <f t="shared" si="64"/>
        <v>156901.45000000001</v>
      </c>
      <c r="AF255" s="177">
        <f t="shared" si="75"/>
        <v>174293.97</v>
      </c>
      <c r="AG255" s="248">
        <f t="shared" si="63"/>
        <v>211585.4499999973</v>
      </c>
      <c r="AH255" s="263"/>
      <c r="AI255" s="264"/>
      <c r="AJ255" s="264"/>
      <c r="AK255" s="264"/>
      <c r="AL255" s="264"/>
      <c r="AM255" s="264"/>
      <c r="AN255" s="264"/>
      <c r="AO255" s="264"/>
      <c r="AP255" s="264"/>
      <c r="AQ255" s="264"/>
      <c r="AR255" s="264"/>
      <c r="AS255" s="264"/>
      <c r="AT255" s="264"/>
      <c r="AU255" s="264"/>
      <c r="AV255" s="264"/>
      <c r="AW255" s="264"/>
      <c r="AX255" s="264"/>
      <c r="AY255" s="264"/>
      <c r="AZ255" s="264"/>
      <c r="BA255" s="264"/>
      <c r="BB255" s="264"/>
      <c r="BC255" s="264"/>
    </row>
    <row r="256" spans="1:55" ht="15" customHeight="1" x14ac:dyDescent="0.15">
      <c r="A256" s="180">
        <v>42986</v>
      </c>
      <c r="B256" s="175" t="s">
        <v>39</v>
      </c>
      <c r="C256" s="176">
        <v>48124</v>
      </c>
      <c r="D256" s="177">
        <f>42598+10607</f>
        <v>53205</v>
      </c>
      <c r="E256" s="177">
        <v>104682</v>
      </c>
      <c r="F256" s="178">
        <v>5300.9</v>
      </c>
      <c r="G256" s="177">
        <v>3662.4</v>
      </c>
      <c r="H256" s="179"/>
      <c r="I256" s="179"/>
      <c r="J256" s="204">
        <f t="shared" si="60"/>
        <v>51477</v>
      </c>
      <c r="K256" s="177">
        <v>835</v>
      </c>
      <c r="L256" s="177">
        <v>2060</v>
      </c>
      <c r="M256" s="205">
        <f t="shared" si="61"/>
        <v>458</v>
      </c>
      <c r="N256" s="206">
        <f t="shared" si="77"/>
        <v>513366</v>
      </c>
      <c r="O256" s="209">
        <f t="shared" si="77"/>
        <v>448594</v>
      </c>
      <c r="P256" s="208">
        <f t="shared" si="77"/>
        <v>991089</v>
      </c>
      <c r="Q256" s="225">
        <f t="shared" si="76"/>
        <v>16535527.07</v>
      </c>
      <c r="R256" s="207">
        <f t="shared" si="76"/>
        <v>9740623.8000000007</v>
      </c>
      <c r="S256" s="226">
        <f t="shared" si="76"/>
        <v>26822284.739999998</v>
      </c>
      <c r="T256" s="227">
        <f>N256/'2017'!N256-1</f>
        <v>3.4096837677942249E-2</v>
      </c>
      <c r="U256" s="228">
        <f>O256/'2017'!O256-1</f>
        <v>0.33657699424066445</v>
      </c>
      <c r="V256" s="228">
        <f>P256/'2017'!P256-1</f>
        <v>0.16472367620063877</v>
      </c>
      <c r="W256" s="228">
        <f>Q256/'2017'!Q256-1</f>
        <v>7.6470644405514543E-2</v>
      </c>
      <c r="X256" s="228">
        <f>R256/'2017'!R256-1</f>
        <v>0.14952101441211152</v>
      </c>
      <c r="Y256" s="244">
        <f>S256/'2017'!S256-1</f>
        <v>9.7730955073218162E-2</v>
      </c>
      <c r="Z256" s="245"/>
      <c r="AA256" s="246">
        <f t="shared" si="66"/>
        <v>1653.5527070000001</v>
      </c>
      <c r="AB256" s="247"/>
      <c r="AC256" s="248"/>
      <c r="AD256" s="247">
        <f t="shared" si="62"/>
        <v>17081660.939999998</v>
      </c>
      <c r="AE256" s="177">
        <f t="shared" si="64"/>
        <v>157736.45000000001</v>
      </c>
      <c r="AF256" s="177">
        <f t="shared" si="75"/>
        <v>176353.97</v>
      </c>
      <c r="AG256" s="248">
        <f t="shared" si="63"/>
        <v>212043.4499999973</v>
      </c>
      <c r="AH256" s="263"/>
      <c r="AI256" s="264"/>
      <c r="AJ256" s="264"/>
      <c r="AK256" s="264"/>
      <c r="AL256" s="264"/>
      <c r="AM256" s="264"/>
      <c r="AN256" s="264"/>
      <c r="AO256" s="264"/>
      <c r="AP256" s="264"/>
      <c r="AQ256" s="264"/>
      <c r="AR256" s="264"/>
      <c r="AS256" s="264"/>
      <c r="AT256" s="264"/>
      <c r="AU256" s="264"/>
      <c r="AV256" s="264"/>
      <c r="AW256" s="264"/>
      <c r="AX256" s="264"/>
      <c r="AY256" s="264"/>
      <c r="AZ256" s="264"/>
      <c r="BA256" s="264"/>
      <c r="BB256" s="264"/>
      <c r="BC256" s="264"/>
    </row>
    <row r="257" spans="1:55" ht="15" customHeight="1" x14ac:dyDescent="0.15">
      <c r="A257" s="180">
        <v>42987</v>
      </c>
      <c r="B257" s="175" t="s">
        <v>1</v>
      </c>
      <c r="C257" s="176">
        <v>41741</v>
      </c>
      <c r="D257" s="177">
        <f>41231+10805</f>
        <v>52036</v>
      </c>
      <c r="E257" s="177">
        <v>96195</v>
      </c>
      <c r="F257" s="178">
        <v>4594.1000000000004</v>
      </c>
      <c r="G257" s="177">
        <v>3415.5</v>
      </c>
      <c r="H257" s="179"/>
      <c r="I257" s="179"/>
      <c r="J257" s="204">
        <f t="shared" si="60"/>
        <v>44159</v>
      </c>
      <c r="K257" s="177">
        <v>195</v>
      </c>
      <c r="L257" s="177">
        <v>1016</v>
      </c>
      <c r="M257" s="205">
        <f t="shared" si="61"/>
        <v>1207</v>
      </c>
      <c r="N257" s="206">
        <f t="shared" si="77"/>
        <v>555107</v>
      </c>
      <c r="O257" s="209">
        <f t="shared" si="77"/>
        <v>500630</v>
      </c>
      <c r="P257" s="208">
        <f t="shared" si="77"/>
        <v>1087284</v>
      </c>
      <c r="Q257" s="225">
        <f t="shared" si="76"/>
        <v>16577268.07</v>
      </c>
      <c r="R257" s="207">
        <f t="shared" si="76"/>
        <v>9792659.8000000007</v>
      </c>
      <c r="S257" s="226">
        <f t="shared" si="76"/>
        <v>26918479.739999998</v>
      </c>
      <c r="T257" s="227">
        <f>N257/'2017'!N257-1</f>
        <v>2.3962584419805477E-3</v>
      </c>
      <c r="U257" s="228">
        <f>O257/'2017'!O257-1</f>
        <v>0.31560897798076892</v>
      </c>
      <c r="V257" s="228">
        <f>P257/'2017'!P257-1</f>
        <v>0.13884879577510523</v>
      </c>
      <c r="W257" s="228">
        <f>Q257/'2017'!Q257-1</f>
        <v>7.5174456314434313E-2</v>
      </c>
      <c r="X257" s="228">
        <f>R257/'2017'!R257-1</f>
        <v>0.14957034298956673</v>
      </c>
      <c r="Y257" s="244">
        <f>S257/'2017'!S257-1</f>
        <v>9.7007611581294562E-2</v>
      </c>
      <c r="Z257" s="245"/>
      <c r="AA257" s="246">
        <f t="shared" si="66"/>
        <v>1657.726807</v>
      </c>
      <c r="AB257" s="247"/>
      <c r="AC257" s="248"/>
      <c r="AD257" s="247">
        <f t="shared" si="62"/>
        <v>17125819.939999998</v>
      </c>
      <c r="AE257" s="177">
        <f t="shared" si="64"/>
        <v>157931.45000000001</v>
      </c>
      <c r="AF257" s="177">
        <f t="shared" si="75"/>
        <v>177369.97</v>
      </c>
      <c r="AG257" s="248">
        <f t="shared" si="63"/>
        <v>213250.4499999973</v>
      </c>
      <c r="AH257" s="263"/>
      <c r="AI257" s="264"/>
      <c r="AJ257" s="264"/>
      <c r="AK257" s="264"/>
      <c r="AL257" s="264"/>
      <c r="AM257" s="264"/>
      <c r="AN257" s="264"/>
      <c r="AO257" s="264"/>
      <c r="AP257" s="264"/>
      <c r="AQ257" s="264"/>
      <c r="AR257" s="264"/>
      <c r="AS257" s="264"/>
      <c r="AT257" s="264"/>
      <c r="AU257" s="264"/>
      <c r="AV257" s="264"/>
      <c r="AW257" s="264"/>
      <c r="AX257" s="264"/>
      <c r="AY257" s="264"/>
      <c r="AZ257" s="264"/>
      <c r="BA257" s="264"/>
      <c r="BB257" s="264"/>
      <c r="BC257" s="264"/>
    </row>
    <row r="258" spans="1:55" ht="15" customHeight="1" x14ac:dyDescent="0.15">
      <c r="A258" s="180">
        <v>42988</v>
      </c>
      <c r="B258" s="175" t="s">
        <v>34</v>
      </c>
      <c r="C258" s="176">
        <v>47844</v>
      </c>
      <c r="D258" s="177">
        <f>42691+10883</f>
        <v>53574</v>
      </c>
      <c r="E258" s="177">
        <v>103734</v>
      </c>
      <c r="F258" s="178">
        <v>5168.6000000000004</v>
      </c>
      <c r="G258" s="177">
        <v>3324.4</v>
      </c>
      <c r="H258" s="179"/>
      <c r="I258" s="179"/>
      <c r="J258" s="204">
        <f t="shared" si="60"/>
        <v>50160</v>
      </c>
      <c r="K258" s="177">
        <v>511</v>
      </c>
      <c r="L258" s="177">
        <v>791</v>
      </c>
      <c r="M258" s="205">
        <f t="shared" si="61"/>
        <v>1014</v>
      </c>
      <c r="N258" s="206">
        <f t="shared" si="77"/>
        <v>602951</v>
      </c>
      <c r="O258" s="209">
        <f t="shared" si="77"/>
        <v>554204</v>
      </c>
      <c r="P258" s="208">
        <f t="shared" si="77"/>
        <v>1191018</v>
      </c>
      <c r="Q258" s="225">
        <f t="shared" si="76"/>
        <v>16625112.07</v>
      </c>
      <c r="R258" s="207">
        <f t="shared" si="76"/>
        <v>9846233.8000000007</v>
      </c>
      <c r="S258" s="226">
        <f t="shared" si="76"/>
        <v>27022213.739999998</v>
      </c>
      <c r="T258" s="227">
        <f>N258/'2017'!N258-1</f>
        <v>-1.2994177338272572E-2</v>
      </c>
      <c r="U258" s="228">
        <f>O258/'2017'!O258-1</f>
        <v>0.29964566033576667</v>
      </c>
      <c r="V258" s="228">
        <f>P258/'2017'!P258-1</f>
        <v>0.12356796775946388</v>
      </c>
      <c r="W258" s="228">
        <f>Q258/'2017'!Q258-1</f>
        <v>7.4298342809080653E-2</v>
      </c>
      <c r="X258" s="228">
        <f>R258/'2017'!R258-1</f>
        <v>0.14966530775235043</v>
      </c>
      <c r="Y258" s="244">
        <f>S258/'2017'!S258-1</f>
        <v>9.6529111537345891E-2</v>
      </c>
      <c r="Z258" s="245"/>
      <c r="AA258" s="246">
        <f t="shared" si="66"/>
        <v>1662.511207</v>
      </c>
      <c r="AB258" s="247"/>
      <c r="AC258" s="248"/>
      <c r="AD258" s="247">
        <f t="shared" si="62"/>
        <v>17175979.939999998</v>
      </c>
      <c r="AE258" s="177">
        <f t="shared" si="64"/>
        <v>158442.45000000001</v>
      </c>
      <c r="AF258" s="177">
        <f t="shared" si="75"/>
        <v>178160.97</v>
      </c>
      <c r="AG258" s="248">
        <f t="shared" si="63"/>
        <v>214264.4499999973</v>
      </c>
      <c r="AH258" s="263"/>
      <c r="AI258" s="264"/>
      <c r="AJ258" s="264"/>
      <c r="AK258" s="264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264"/>
    </row>
    <row r="259" spans="1:55" ht="15" customHeight="1" x14ac:dyDescent="0.15">
      <c r="A259" s="180">
        <v>42989</v>
      </c>
      <c r="B259" s="175" t="s">
        <v>35</v>
      </c>
      <c r="C259" s="176">
        <v>50160</v>
      </c>
      <c r="D259" s="177">
        <f>43327+10772</f>
        <v>54099</v>
      </c>
      <c r="E259" s="177">
        <v>106112</v>
      </c>
      <c r="F259" s="178">
        <v>5345.4</v>
      </c>
      <c r="G259" s="177">
        <v>3519.3</v>
      </c>
      <c r="H259" s="179"/>
      <c r="I259" s="179"/>
      <c r="J259" s="204">
        <f t="shared" si="60"/>
        <v>52013</v>
      </c>
      <c r="K259" s="177">
        <v>525</v>
      </c>
      <c r="L259" s="177">
        <v>792</v>
      </c>
      <c r="M259" s="205">
        <f t="shared" si="61"/>
        <v>536</v>
      </c>
      <c r="N259" s="206">
        <f t="shared" si="77"/>
        <v>653111</v>
      </c>
      <c r="O259" s="209">
        <f t="shared" si="77"/>
        <v>608303</v>
      </c>
      <c r="P259" s="208">
        <f t="shared" si="77"/>
        <v>1297130</v>
      </c>
      <c r="Q259" s="225">
        <f t="shared" si="76"/>
        <v>16675272.07</v>
      </c>
      <c r="R259" s="207">
        <f t="shared" si="76"/>
        <v>9900332.8000000007</v>
      </c>
      <c r="S259" s="226">
        <f t="shared" si="76"/>
        <v>27128325.739999998</v>
      </c>
      <c r="T259" s="227">
        <f>N259/'2017'!N259-1</f>
        <v>-2.7479097332350544E-2</v>
      </c>
      <c r="U259" s="228">
        <f>O259/'2017'!O259-1</f>
        <v>0.28787984646295284</v>
      </c>
      <c r="V259" s="228">
        <f>P259/'2017'!P259-1</f>
        <v>0.10962548546596174</v>
      </c>
      <c r="W259" s="228">
        <f>Q259/'2017'!Q259-1</f>
        <v>7.3331290233086488E-2</v>
      </c>
      <c r="X259" s="228">
        <f>R259/'2017'!R259-1</f>
        <v>0.14981943215463001</v>
      </c>
      <c r="Y259" s="244">
        <f>S259/'2017'!S259-1</f>
        <v>9.5989661720561559E-2</v>
      </c>
      <c r="Z259" s="245"/>
      <c r="AA259" s="246">
        <f t="shared" si="66"/>
        <v>1667.5272070000001</v>
      </c>
      <c r="AB259" s="247"/>
      <c r="AC259" s="248"/>
      <c r="AD259" s="247">
        <f t="shared" si="62"/>
        <v>17227992.939999998</v>
      </c>
      <c r="AE259" s="177">
        <f t="shared" si="64"/>
        <v>158967.45000000001</v>
      </c>
      <c r="AF259" s="177">
        <f t="shared" si="75"/>
        <v>178952.97</v>
      </c>
      <c r="AG259" s="248">
        <f t="shared" si="63"/>
        <v>214800.4499999973</v>
      </c>
      <c r="AH259" s="263"/>
      <c r="AI259" s="264"/>
      <c r="AJ259" s="264"/>
      <c r="AK259" s="264"/>
      <c r="AL259" s="264"/>
      <c r="AM259" s="264"/>
      <c r="AN259" s="264"/>
      <c r="AO259" s="264"/>
      <c r="AP259" s="264"/>
      <c r="AQ259" s="264"/>
      <c r="AR259" s="264"/>
      <c r="AS259" s="264"/>
      <c r="AT259" s="264"/>
      <c r="AU259" s="264"/>
      <c r="AV259" s="264"/>
      <c r="AW259" s="264"/>
      <c r="AX259" s="264"/>
      <c r="AY259" s="264"/>
      <c r="AZ259" s="264"/>
      <c r="BA259" s="264"/>
      <c r="BB259" s="264"/>
      <c r="BC259" s="264"/>
    </row>
    <row r="260" spans="1:55" ht="15" customHeight="1" x14ac:dyDescent="0.15">
      <c r="A260" s="180">
        <v>42990</v>
      </c>
      <c r="B260" s="175" t="s">
        <v>36</v>
      </c>
      <c r="C260" s="176">
        <v>48796</v>
      </c>
      <c r="D260" s="177">
        <f>44694+10850</f>
        <v>55544</v>
      </c>
      <c r="E260" s="177">
        <v>106632</v>
      </c>
      <c r="F260" s="178">
        <v>5290.7</v>
      </c>
      <c r="G260" s="177">
        <v>3501.8</v>
      </c>
      <c r="H260" s="179"/>
      <c r="I260" s="179"/>
      <c r="J260" s="204">
        <f t="shared" si="60"/>
        <v>51088</v>
      </c>
      <c r="K260" s="177">
        <v>940</v>
      </c>
      <c r="L260" s="177">
        <v>834</v>
      </c>
      <c r="M260" s="205">
        <f t="shared" si="61"/>
        <v>518</v>
      </c>
      <c r="N260" s="206">
        <f t="shared" si="77"/>
        <v>701907</v>
      </c>
      <c r="O260" s="209">
        <f t="shared" si="77"/>
        <v>663847</v>
      </c>
      <c r="P260" s="208">
        <f t="shared" si="77"/>
        <v>1403762</v>
      </c>
      <c r="Q260" s="225">
        <f t="shared" si="76"/>
        <v>16724068.07</v>
      </c>
      <c r="R260" s="207">
        <f t="shared" si="76"/>
        <v>9955876.8000000007</v>
      </c>
      <c r="S260" s="226">
        <f t="shared" si="76"/>
        <v>27234957.739999998</v>
      </c>
      <c r="T260" s="227">
        <f>N260/'2017'!N260-1</f>
        <v>-3.1120074207815041E-2</v>
      </c>
      <c r="U260" s="228">
        <f>O260/'2017'!O260-1</f>
        <v>0.2815801818950523</v>
      </c>
      <c r="V260" s="228">
        <f>P260/'2017'!P260-1</f>
        <v>0.10491289464632469</v>
      </c>
      <c r="W260" s="228">
        <f>Q260/'2017'!Q260-1</f>
        <v>7.2820075204945711E-2</v>
      </c>
      <c r="X260" s="228">
        <f>R260/'2017'!R260-1</f>
        <v>0.15017074285706378</v>
      </c>
      <c r="Y260" s="244">
        <f>S260/'2017'!S260-1</f>
        <v>9.5804447799444858E-2</v>
      </c>
      <c r="Z260" s="245"/>
      <c r="AA260" s="246">
        <f t="shared" si="66"/>
        <v>1672.4068070000001</v>
      </c>
      <c r="AB260" s="247"/>
      <c r="AC260" s="248"/>
      <c r="AD260" s="247">
        <f t="shared" si="62"/>
        <v>17279080.939999998</v>
      </c>
      <c r="AE260" s="177">
        <f t="shared" si="64"/>
        <v>159907.45000000001</v>
      </c>
      <c r="AF260" s="177">
        <f t="shared" si="75"/>
        <v>179786.97</v>
      </c>
      <c r="AG260" s="248">
        <f t="shared" si="63"/>
        <v>215318.4499999973</v>
      </c>
      <c r="AH260" s="263"/>
      <c r="AI260" s="264"/>
      <c r="AJ260" s="264"/>
      <c r="AK260" s="264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264"/>
    </row>
    <row r="261" spans="1:55" s="157" customFormat="1" ht="15" customHeight="1" x14ac:dyDescent="0.15">
      <c r="A261" s="181">
        <v>42991</v>
      </c>
      <c r="B261" s="182" t="s">
        <v>37</v>
      </c>
      <c r="C261" s="183">
        <f>45262+5069</f>
        <v>50331</v>
      </c>
      <c r="D261" s="184">
        <f>13830+42018</f>
        <v>55848</v>
      </c>
      <c r="E261" s="184">
        <f>69370+42018</f>
        <v>111388</v>
      </c>
      <c r="F261" s="185">
        <v>5491</v>
      </c>
      <c r="G261" s="184">
        <v>3595</v>
      </c>
      <c r="H261" s="186"/>
      <c r="I261" s="186"/>
      <c r="J261" s="210">
        <f t="shared" ref="J261:J324" si="78">E261-D261</f>
        <v>55540</v>
      </c>
      <c r="K261" s="184">
        <v>1273</v>
      </c>
      <c r="L261" s="184">
        <v>3259</v>
      </c>
      <c r="M261" s="211">
        <f t="shared" si="61"/>
        <v>677</v>
      </c>
      <c r="N261" s="212">
        <f t="shared" si="77"/>
        <v>752238</v>
      </c>
      <c r="O261" s="215">
        <f t="shared" si="77"/>
        <v>719695</v>
      </c>
      <c r="P261" s="214">
        <f t="shared" si="77"/>
        <v>1515150</v>
      </c>
      <c r="Q261" s="229">
        <f t="shared" si="76"/>
        <v>16774399.07</v>
      </c>
      <c r="R261" s="213">
        <f t="shared" si="76"/>
        <v>10011724.800000001</v>
      </c>
      <c r="S261" s="230">
        <f t="shared" si="76"/>
        <v>27346345.739999998</v>
      </c>
      <c r="T261" s="231">
        <f>N261/'2017'!N261-1</f>
        <v>-2.8482794604619444E-2</v>
      </c>
      <c r="U261" s="232">
        <f>O261/'2017'!O261-1</f>
        <v>0.27557097129812447</v>
      </c>
      <c r="V261" s="232">
        <f>P261/'2017'!P261-1</f>
        <v>0.10600380164854895</v>
      </c>
      <c r="W261" s="232">
        <f>Q261/'2017'!Q261-1</f>
        <v>7.2619396909198386E-2</v>
      </c>
      <c r="X261" s="232">
        <f>R261/'2017'!R261-1</f>
        <v>0.15047913050253148</v>
      </c>
      <c r="Y261" s="249">
        <f>S261/'2017'!S261-1</f>
        <v>9.5900642880018649E-2</v>
      </c>
      <c r="Z261" s="250">
        <v>87.69</v>
      </c>
      <c r="AA261" s="251">
        <f t="shared" si="66"/>
        <v>1589.7499069999999</v>
      </c>
      <c r="AB261" s="252">
        <v>4283.88</v>
      </c>
      <c r="AC261" s="211">
        <f t="shared" si="69"/>
        <v>3711.0047597038192</v>
      </c>
      <c r="AD261" s="252">
        <f t="shared" si="62"/>
        <v>17334620.939999998</v>
      </c>
      <c r="AE261" s="184">
        <f t="shared" si="64"/>
        <v>161180.45000000001</v>
      </c>
      <c r="AF261" s="184">
        <f t="shared" si="75"/>
        <v>183045.97</v>
      </c>
      <c r="AG261" s="211">
        <f t="shared" si="63"/>
        <v>215995.4499999973</v>
      </c>
      <c r="AH261" s="263"/>
      <c r="AI261" s="264"/>
      <c r="AJ261" s="264"/>
      <c r="AK261" s="2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264"/>
    </row>
    <row r="262" spans="1:55" ht="15" customHeight="1" x14ac:dyDescent="0.15">
      <c r="A262" s="180">
        <v>42992</v>
      </c>
      <c r="B262" s="175" t="s">
        <v>38</v>
      </c>
      <c r="C262" s="176">
        <v>53821</v>
      </c>
      <c r="D262" s="177">
        <f>44372+10864</f>
        <v>55236</v>
      </c>
      <c r="E262" s="177">
        <v>116853</v>
      </c>
      <c r="F262" s="178">
        <v>5839.3</v>
      </c>
      <c r="G262" s="177">
        <v>3727.1</v>
      </c>
      <c r="H262" s="179"/>
      <c r="I262" s="179"/>
      <c r="J262" s="204">
        <f t="shared" si="78"/>
        <v>61617</v>
      </c>
      <c r="K262" s="177">
        <v>1294</v>
      </c>
      <c r="L262" s="177">
        <v>5549</v>
      </c>
      <c r="M262" s="205">
        <f t="shared" ref="M262:M325" si="79">J262-K262-L262-C262</f>
        <v>953</v>
      </c>
      <c r="N262" s="206">
        <f t="shared" si="77"/>
        <v>806059</v>
      </c>
      <c r="O262" s="209">
        <f t="shared" si="77"/>
        <v>774931</v>
      </c>
      <c r="P262" s="208">
        <f t="shared" si="77"/>
        <v>1632003</v>
      </c>
      <c r="Q262" s="225">
        <f t="shared" si="76"/>
        <v>16828220.07</v>
      </c>
      <c r="R262" s="207">
        <f t="shared" si="76"/>
        <v>10066960.800000001</v>
      </c>
      <c r="S262" s="226">
        <f t="shared" si="76"/>
        <v>27463198.739999998</v>
      </c>
      <c r="T262" s="227">
        <f>N262/'2017'!N262-1</f>
        <v>-1.9971184884830739E-2</v>
      </c>
      <c r="U262" s="228">
        <f>O262/'2017'!O262-1</f>
        <v>0.26856941738831508</v>
      </c>
      <c r="V262" s="228">
        <f>P262/'2017'!P262-1</f>
        <v>0.11183378660460752</v>
      </c>
      <c r="W262" s="228">
        <f>Q262/'2017'!Q262-1</f>
        <v>7.2755067503912807E-2</v>
      </c>
      <c r="X262" s="228">
        <f>R262/'2017'!R262-1</f>
        <v>0.1506573528628472</v>
      </c>
      <c r="Y262" s="244">
        <f>S262/'2017'!S262-1</f>
        <v>9.6281733753632581E-2</v>
      </c>
      <c r="Z262" s="245"/>
      <c r="AA262" s="246">
        <f t="shared" si="66"/>
        <v>1682.822007</v>
      </c>
      <c r="AB262" s="247"/>
      <c r="AC262" s="248"/>
      <c r="AD262" s="247">
        <f t="shared" ref="AD262:AD325" si="80">S262-R262</f>
        <v>17396237.939999998</v>
      </c>
      <c r="AE262" s="177">
        <f t="shared" si="64"/>
        <v>162474.45000000001</v>
      </c>
      <c r="AF262" s="177">
        <f t="shared" si="75"/>
        <v>188594.97</v>
      </c>
      <c r="AG262" s="248">
        <f t="shared" ref="AG262:AG325" si="81">AD262-Q262-AE262-AF262</f>
        <v>216948.4499999973</v>
      </c>
      <c r="AH262" s="263"/>
      <c r="AI262" s="264"/>
      <c r="AJ262" s="264"/>
      <c r="AK262" s="264"/>
      <c r="AL262" s="264"/>
      <c r="AM262" s="264"/>
      <c r="AN262" s="264"/>
      <c r="AO262" s="264"/>
      <c r="AP262" s="264"/>
      <c r="AQ262" s="264"/>
      <c r="AR262" s="264"/>
      <c r="AS262" s="264"/>
      <c r="AT262" s="264"/>
      <c r="AU262" s="264"/>
      <c r="AV262" s="264"/>
      <c r="AW262" s="264"/>
      <c r="AX262" s="264"/>
      <c r="AY262" s="264"/>
      <c r="AZ262" s="264"/>
      <c r="BA262" s="264"/>
      <c r="BB262" s="264"/>
      <c r="BC262" s="264"/>
    </row>
    <row r="263" spans="1:55" ht="15" customHeight="1" x14ac:dyDescent="0.15">
      <c r="A263" s="180">
        <v>42993</v>
      </c>
      <c r="B263" s="175" t="s">
        <v>39</v>
      </c>
      <c r="C263" s="176">
        <v>53101</v>
      </c>
      <c r="D263" s="177">
        <f>45845+10818</f>
        <v>56663</v>
      </c>
      <c r="E263" s="177">
        <v>117965</v>
      </c>
      <c r="F263" s="178">
        <v>5817.9</v>
      </c>
      <c r="G263" s="177">
        <v>3876.5</v>
      </c>
      <c r="H263" s="179"/>
      <c r="I263" s="179"/>
      <c r="J263" s="204">
        <f t="shared" si="78"/>
        <v>61302</v>
      </c>
      <c r="K263" s="177">
        <v>1360</v>
      </c>
      <c r="L263" s="177">
        <v>5773</v>
      </c>
      <c r="M263" s="205">
        <f t="shared" si="79"/>
        <v>1068</v>
      </c>
      <c r="N263" s="206">
        <f t="shared" si="77"/>
        <v>859160</v>
      </c>
      <c r="O263" s="209">
        <f t="shared" si="77"/>
        <v>831594</v>
      </c>
      <c r="P263" s="208">
        <f t="shared" si="77"/>
        <v>1749968</v>
      </c>
      <c r="Q263" s="225">
        <f t="shared" si="76"/>
        <v>16881321.07</v>
      </c>
      <c r="R263" s="207">
        <f t="shared" si="76"/>
        <v>10123623.800000001</v>
      </c>
      <c r="S263" s="226">
        <f t="shared" si="76"/>
        <v>27581163.739999998</v>
      </c>
      <c r="T263" s="227">
        <f>N263/'2017'!N263-1</f>
        <v>-2.4218498007913869E-2</v>
      </c>
      <c r="U263" s="228">
        <f>O263/'2017'!O263-1</f>
        <v>0.28009420674686547</v>
      </c>
      <c r="V263" s="228">
        <f>P263/'2017'!P263-1</f>
        <v>0.11635146704023658</v>
      </c>
      <c r="W263" s="228">
        <f>Q263/'2017'!Q263-1</f>
        <v>7.21759776590849E-2</v>
      </c>
      <c r="X263" s="228">
        <f>R263/'2017'!R263-1</f>
        <v>0.15202948048754372</v>
      </c>
      <c r="Y263" s="244">
        <f>S263/'2017'!S263-1</f>
        <v>9.6624974127799801E-2</v>
      </c>
      <c r="Z263" s="245"/>
      <c r="AA263" s="246">
        <f t="shared" si="66"/>
        <v>1688.1321070000001</v>
      </c>
      <c r="AB263" s="247"/>
      <c r="AC263" s="248"/>
      <c r="AD263" s="247">
        <f t="shared" si="80"/>
        <v>17457539.939999998</v>
      </c>
      <c r="AE263" s="177">
        <f t="shared" ref="AE263:AE326" si="82">AE262+K263</f>
        <v>163834.45000000001</v>
      </c>
      <c r="AF263" s="177">
        <f t="shared" ref="AF263:AF278" si="83">AF262+L263</f>
        <v>194367.97</v>
      </c>
      <c r="AG263" s="248">
        <f t="shared" si="81"/>
        <v>218016.4499999973</v>
      </c>
      <c r="AH263" s="263"/>
      <c r="AI263" s="264"/>
      <c r="AJ263" s="264"/>
      <c r="AK263" s="264"/>
      <c r="AL263" s="264"/>
      <c r="AM263" s="264"/>
      <c r="AN263" s="264"/>
      <c r="AO263" s="264"/>
      <c r="AP263" s="264"/>
      <c r="AQ263" s="264"/>
      <c r="AR263" s="264"/>
      <c r="AS263" s="264"/>
      <c r="AT263" s="264"/>
      <c r="AU263" s="264"/>
      <c r="AV263" s="264"/>
      <c r="AW263" s="264"/>
      <c r="AX263" s="264"/>
      <c r="AY263" s="264"/>
      <c r="AZ263" s="264"/>
      <c r="BA263" s="264"/>
      <c r="BB263" s="264"/>
      <c r="BC263" s="264"/>
    </row>
    <row r="264" spans="1:55" ht="15" customHeight="1" x14ac:dyDescent="0.15">
      <c r="A264" s="180">
        <v>42994</v>
      </c>
      <c r="B264" s="175" t="s">
        <v>1</v>
      </c>
      <c r="C264" s="176">
        <v>50635</v>
      </c>
      <c r="D264" s="177">
        <f>43732+10769</f>
        <v>54501</v>
      </c>
      <c r="E264" s="177">
        <v>113574</v>
      </c>
      <c r="F264" s="178">
        <v>5425.2</v>
      </c>
      <c r="G264" s="177">
        <v>3887.2</v>
      </c>
      <c r="H264" s="179"/>
      <c r="I264" s="179"/>
      <c r="J264" s="204">
        <f t="shared" si="78"/>
        <v>59073</v>
      </c>
      <c r="K264" s="177">
        <v>1736</v>
      </c>
      <c r="L264" s="177">
        <v>5723</v>
      </c>
      <c r="M264" s="205">
        <f t="shared" si="79"/>
        <v>979</v>
      </c>
      <c r="N264" s="206">
        <f t="shared" si="77"/>
        <v>909795</v>
      </c>
      <c r="O264" s="209">
        <f t="shared" si="77"/>
        <v>886095</v>
      </c>
      <c r="P264" s="208">
        <f t="shared" si="77"/>
        <v>1863542</v>
      </c>
      <c r="Q264" s="225">
        <f t="shared" si="76"/>
        <v>16931956.07</v>
      </c>
      <c r="R264" s="207">
        <f t="shared" si="76"/>
        <v>10178124.800000001</v>
      </c>
      <c r="S264" s="226">
        <f t="shared" si="76"/>
        <v>27694737.739999998</v>
      </c>
      <c r="T264" s="227">
        <f>N264/'2017'!N264-1</f>
        <v>-2.4430128096523784E-2</v>
      </c>
      <c r="U264" s="228">
        <f>O264/'2017'!O264-1</f>
        <v>0.27913842085205154</v>
      </c>
      <c r="V264" s="228">
        <f>P264/'2017'!P264-1</f>
        <v>0.11886141080831192</v>
      </c>
      <c r="W264" s="228">
        <f>Q264/'2017'!Q264-1</f>
        <v>7.1845602780051143E-2</v>
      </c>
      <c r="X264" s="228">
        <f>R264/'2017'!R264-1</f>
        <v>0.15257944524669309</v>
      </c>
      <c r="Y264" s="244">
        <f>S264/'2017'!S264-1</f>
        <v>9.6867104062823506E-2</v>
      </c>
      <c r="Z264" s="245"/>
      <c r="AA264" s="246">
        <f t="shared" si="66"/>
        <v>1693.1956070000001</v>
      </c>
      <c r="AB264" s="247"/>
      <c r="AC264" s="248"/>
      <c r="AD264" s="247">
        <f t="shared" si="80"/>
        <v>17516612.939999998</v>
      </c>
      <c r="AE264" s="177">
        <f t="shared" si="82"/>
        <v>165570.45000000001</v>
      </c>
      <c r="AF264" s="177">
        <f t="shared" si="83"/>
        <v>200090.97</v>
      </c>
      <c r="AG264" s="248">
        <f t="shared" si="81"/>
        <v>218995.4499999973</v>
      </c>
      <c r="AH264" s="263"/>
      <c r="AI264" s="264"/>
      <c r="AJ264" s="264"/>
      <c r="AK264" s="264"/>
      <c r="AL264" s="264"/>
      <c r="AM264" s="264"/>
      <c r="AN264" s="264"/>
      <c r="AO264" s="264"/>
      <c r="AP264" s="264"/>
      <c r="AQ264" s="264"/>
      <c r="AR264" s="264"/>
      <c r="AS264" s="264"/>
      <c r="AT264" s="264"/>
      <c r="AU264" s="264"/>
      <c r="AV264" s="264"/>
      <c r="AW264" s="264"/>
      <c r="AX264" s="264"/>
      <c r="AY264" s="264"/>
      <c r="AZ264" s="264"/>
      <c r="BA264" s="264"/>
      <c r="BB264" s="264"/>
      <c r="BC264" s="264"/>
    </row>
    <row r="265" spans="1:55" ht="15" customHeight="1" x14ac:dyDescent="0.15">
      <c r="A265" s="180">
        <v>42995</v>
      </c>
      <c r="B265" s="175" t="s">
        <v>34</v>
      </c>
      <c r="C265" s="176">
        <v>51298</v>
      </c>
      <c r="D265" s="177">
        <f>44348+10890</f>
        <v>55238</v>
      </c>
      <c r="E265" s="177">
        <v>114557</v>
      </c>
      <c r="F265" s="178">
        <v>5885</v>
      </c>
      <c r="G265" s="177">
        <v>3726.9</v>
      </c>
      <c r="H265" s="179"/>
      <c r="I265" s="179"/>
      <c r="J265" s="204">
        <f t="shared" si="78"/>
        <v>59319</v>
      </c>
      <c r="K265" s="177">
        <v>1683</v>
      </c>
      <c r="L265" s="177">
        <v>5751</v>
      </c>
      <c r="M265" s="205">
        <f t="shared" si="79"/>
        <v>587</v>
      </c>
      <c r="N265" s="206">
        <f t="shared" si="77"/>
        <v>961093</v>
      </c>
      <c r="O265" s="209">
        <f t="shared" si="77"/>
        <v>941333</v>
      </c>
      <c r="P265" s="208">
        <f t="shared" si="77"/>
        <v>1978099</v>
      </c>
      <c r="Q265" s="225">
        <f t="shared" ref="Q265:S277" si="84">Q$248+N265</f>
        <v>16983254.07</v>
      </c>
      <c r="R265" s="207">
        <f t="shared" si="84"/>
        <v>10233362.800000001</v>
      </c>
      <c r="S265" s="226">
        <f t="shared" si="84"/>
        <v>27809294.739999998</v>
      </c>
      <c r="T265" s="227">
        <f>N265/'2017'!N265-1</f>
        <v>-2.2522522522522515E-2</v>
      </c>
      <c r="U265" s="228">
        <f>O265/'2017'!O265-1</f>
        <v>0.28099531193653093</v>
      </c>
      <c r="V265" s="228">
        <f>P265/'2017'!P265-1</f>
        <v>0.12352920461748518</v>
      </c>
      <c r="W265" s="228">
        <f>Q265/'2017'!Q265-1</f>
        <v>7.1656193348100583E-2</v>
      </c>
      <c r="X265" s="228">
        <f>R265/'2017'!R265-1</f>
        <v>0.15333397273684124</v>
      </c>
      <c r="Y265" s="244">
        <f>S265/'2017'!S265-1</f>
        <v>9.7273849713735983E-2</v>
      </c>
      <c r="Z265" s="245">
        <v>89.24</v>
      </c>
      <c r="AA265" s="246">
        <f t="shared" ref="AA265:AA328" si="85">Q265/10000-Z265</f>
        <v>1609.085407</v>
      </c>
      <c r="AB265" s="247"/>
      <c r="AC265" s="248"/>
      <c r="AD265" s="247">
        <f t="shared" si="80"/>
        <v>17575931.939999998</v>
      </c>
      <c r="AE265" s="177">
        <f t="shared" si="82"/>
        <v>167253.45000000001</v>
      </c>
      <c r="AF265" s="177">
        <f t="shared" si="83"/>
        <v>205841.97</v>
      </c>
      <c r="AG265" s="248">
        <f t="shared" si="81"/>
        <v>219582.4499999973</v>
      </c>
      <c r="AH265" s="263"/>
      <c r="AI265" s="264"/>
      <c r="AJ265" s="264"/>
      <c r="AK265" s="264"/>
      <c r="AL265" s="264"/>
      <c r="AM265" s="264"/>
      <c r="AN265" s="264"/>
      <c r="AO265" s="264"/>
      <c r="AP265" s="264"/>
      <c r="AQ265" s="264"/>
      <c r="AR265" s="264"/>
      <c r="AS265" s="264"/>
      <c r="AT265" s="264"/>
      <c r="AU265" s="264"/>
      <c r="AV265" s="264"/>
      <c r="AW265" s="264"/>
      <c r="AX265" s="264"/>
      <c r="AY265" s="264"/>
      <c r="AZ265" s="264"/>
      <c r="BA265" s="264"/>
      <c r="BB265" s="264"/>
      <c r="BC265" s="264"/>
    </row>
    <row r="266" spans="1:55" ht="15" customHeight="1" x14ac:dyDescent="0.15">
      <c r="A266" s="180">
        <v>42996</v>
      </c>
      <c r="B266" s="175" t="s">
        <v>35</v>
      </c>
      <c r="C266" s="176">
        <v>54276</v>
      </c>
      <c r="D266" s="177">
        <f>10907+46503</f>
        <v>57410</v>
      </c>
      <c r="E266" s="177">
        <v>119542</v>
      </c>
      <c r="F266" s="178">
        <v>6007</v>
      </c>
      <c r="G266" s="177">
        <v>3732</v>
      </c>
      <c r="H266" s="179"/>
      <c r="I266" s="179"/>
      <c r="J266" s="204">
        <f t="shared" si="78"/>
        <v>62132</v>
      </c>
      <c r="K266" s="177">
        <v>1020</v>
      </c>
      <c r="L266" s="177">
        <v>5834</v>
      </c>
      <c r="M266" s="205">
        <f t="shared" si="79"/>
        <v>1002</v>
      </c>
      <c r="N266" s="206">
        <f t="shared" ref="N266:P277" si="86">C266+N265</f>
        <v>1015369</v>
      </c>
      <c r="O266" s="209">
        <f t="shared" si="86"/>
        <v>998743</v>
      </c>
      <c r="P266" s="208">
        <f t="shared" si="86"/>
        <v>2097641</v>
      </c>
      <c r="Q266" s="225">
        <f t="shared" si="84"/>
        <v>17037530.07</v>
      </c>
      <c r="R266" s="207">
        <f t="shared" si="84"/>
        <v>10290772.800000001</v>
      </c>
      <c r="S266" s="226">
        <f t="shared" si="84"/>
        <v>27928836.739999998</v>
      </c>
      <c r="T266" s="227">
        <f>N266/'2017'!N266-1</f>
        <v>-2.7912235621201598E-2</v>
      </c>
      <c r="U266" s="228">
        <f>O266/'2017'!O266-1</f>
        <v>0.28874388043985988</v>
      </c>
      <c r="V266" s="228">
        <f>P266/'2017'!P266-1</f>
        <v>0.12538735401796641</v>
      </c>
      <c r="W266" s="228">
        <f>Q266/'2017'!Q266-1</f>
        <v>7.0939520222481178E-2</v>
      </c>
      <c r="X266" s="228">
        <f>R266/'2017'!R266-1</f>
        <v>0.15458247307130213</v>
      </c>
      <c r="Y266" s="244">
        <f>S266/'2017'!S266-1</f>
        <v>9.7516549492949745E-2</v>
      </c>
      <c r="Z266" s="245"/>
      <c r="AA266" s="246">
        <f t="shared" si="85"/>
        <v>1703.753007</v>
      </c>
      <c r="AB266" s="247"/>
      <c r="AC266" s="248"/>
      <c r="AD266" s="247">
        <f t="shared" si="80"/>
        <v>17638063.939999998</v>
      </c>
      <c r="AE266" s="177">
        <f t="shared" si="82"/>
        <v>168273.45</v>
      </c>
      <c r="AF266" s="177">
        <f t="shared" si="83"/>
        <v>211675.97</v>
      </c>
      <c r="AG266" s="248">
        <f t="shared" si="81"/>
        <v>220584.4499999973</v>
      </c>
      <c r="AH266" s="263"/>
      <c r="AI266" s="264"/>
      <c r="AJ266" s="264"/>
      <c r="AK266" s="264"/>
      <c r="AL266" s="264"/>
      <c r="AM266" s="264"/>
      <c r="AN266" s="264"/>
      <c r="AO266" s="264"/>
      <c r="AP266" s="264"/>
      <c r="AQ266" s="264"/>
      <c r="AR266" s="264"/>
      <c r="AS266" s="264"/>
      <c r="AT266" s="264"/>
      <c r="AU266" s="264"/>
      <c r="AV266" s="264"/>
      <c r="AW266" s="264"/>
      <c r="AX266" s="264"/>
      <c r="AY266" s="264"/>
      <c r="AZ266" s="264"/>
      <c r="BA266" s="264"/>
      <c r="BB266" s="264"/>
      <c r="BC266" s="264"/>
    </row>
    <row r="267" spans="1:55" ht="15" customHeight="1" x14ac:dyDescent="0.15">
      <c r="A267" s="180">
        <v>42997</v>
      </c>
      <c r="B267" s="175" t="s">
        <v>36</v>
      </c>
      <c r="C267" s="176">
        <v>62856</v>
      </c>
      <c r="D267" s="177">
        <f>44893+10884</f>
        <v>55777</v>
      </c>
      <c r="E267" s="177">
        <v>125452</v>
      </c>
      <c r="F267" s="178">
        <v>6194.2</v>
      </c>
      <c r="G267" s="177">
        <v>3987.8</v>
      </c>
      <c r="H267" s="179"/>
      <c r="I267" s="179"/>
      <c r="J267" s="204">
        <f t="shared" si="78"/>
        <v>69675</v>
      </c>
      <c r="K267" s="177">
        <v>1307</v>
      </c>
      <c r="L267" s="177">
        <v>4382</v>
      </c>
      <c r="M267" s="205">
        <f t="shared" si="79"/>
        <v>1130</v>
      </c>
      <c r="N267" s="206">
        <f t="shared" si="86"/>
        <v>1078225</v>
      </c>
      <c r="O267" s="209">
        <f t="shared" si="86"/>
        <v>1054520</v>
      </c>
      <c r="P267" s="208">
        <f t="shared" si="86"/>
        <v>2223093</v>
      </c>
      <c r="Q267" s="225">
        <f t="shared" si="84"/>
        <v>17100386.07</v>
      </c>
      <c r="R267" s="207">
        <f t="shared" si="84"/>
        <v>10346549.800000001</v>
      </c>
      <c r="S267" s="226">
        <f t="shared" si="84"/>
        <v>28054288.739999998</v>
      </c>
      <c r="T267" s="227">
        <f>N267/'2017'!N267-1</f>
        <v>-2.7930790132761674E-2</v>
      </c>
      <c r="U267" s="228">
        <f>O267/'2017'!O267-1</f>
        <v>0.29233876403530479</v>
      </c>
      <c r="V267" s="228">
        <f>P267/'2017'!P267-1</f>
        <v>0.12748004803888557</v>
      </c>
      <c r="W267" s="228">
        <f>Q267/'2017'!Q267-1</f>
        <v>7.0537951718769198E-2</v>
      </c>
      <c r="X267" s="228">
        <f>R267/'2017'!R267-1</f>
        <v>0.15552445581219376</v>
      </c>
      <c r="Y267" s="244">
        <f>S267/'2017'!S267-1</f>
        <v>9.7795590961034629E-2</v>
      </c>
      <c r="Z267" s="245"/>
      <c r="AA267" s="246">
        <f t="shared" si="85"/>
        <v>1710.038607</v>
      </c>
      <c r="AB267" s="247"/>
      <c r="AC267" s="248"/>
      <c r="AD267" s="247">
        <f t="shared" si="80"/>
        <v>17707738.939999998</v>
      </c>
      <c r="AE267" s="177">
        <f t="shared" si="82"/>
        <v>169580.45</v>
      </c>
      <c r="AF267" s="177">
        <f t="shared" si="83"/>
        <v>216057.97</v>
      </c>
      <c r="AG267" s="248">
        <f t="shared" si="81"/>
        <v>221714.4499999973</v>
      </c>
      <c r="AH267" s="263"/>
      <c r="AI267" s="264"/>
      <c r="AJ267" s="264"/>
      <c r="AK267" s="264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264"/>
    </row>
    <row r="268" spans="1:55" s="157" customFormat="1" ht="15" customHeight="1" x14ac:dyDescent="0.15">
      <c r="A268" s="181">
        <v>42998</v>
      </c>
      <c r="B268" s="182" t="s">
        <v>37</v>
      </c>
      <c r="C268" s="183">
        <f>56627+5742</f>
        <v>62369</v>
      </c>
      <c r="D268" s="184">
        <f>43506+13925</f>
        <v>57431</v>
      </c>
      <c r="E268" s="184">
        <f>83144+43506</f>
        <v>126650</v>
      </c>
      <c r="F268" s="185">
        <v>6326</v>
      </c>
      <c r="G268" s="184">
        <v>4127</v>
      </c>
      <c r="H268" s="186"/>
      <c r="I268" s="186"/>
      <c r="J268" s="210">
        <f t="shared" si="78"/>
        <v>69219</v>
      </c>
      <c r="K268" s="184">
        <v>1197</v>
      </c>
      <c r="L268" s="184">
        <v>4679</v>
      </c>
      <c r="M268" s="211">
        <f t="shared" si="79"/>
        <v>974</v>
      </c>
      <c r="N268" s="212">
        <f t="shared" si="86"/>
        <v>1140594</v>
      </c>
      <c r="O268" s="215">
        <f t="shared" si="86"/>
        <v>1111951</v>
      </c>
      <c r="P268" s="214">
        <f t="shared" si="86"/>
        <v>2349743</v>
      </c>
      <c r="Q268" s="229">
        <f t="shared" si="84"/>
        <v>17162755.07</v>
      </c>
      <c r="R268" s="213">
        <f t="shared" si="84"/>
        <v>10403980.800000001</v>
      </c>
      <c r="S268" s="230">
        <f t="shared" si="84"/>
        <v>28180938.739999998</v>
      </c>
      <c r="T268" s="231">
        <f>N268/'2017'!N268-1</f>
        <v>-2.7462436114535915E-2</v>
      </c>
      <c r="U268" s="232">
        <f>O268/'2017'!O268-1</f>
        <v>0.29712310614014203</v>
      </c>
      <c r="V268" s="232">
        <f>P268/'2017'!P268-1</f>
        <v>0.13063267019687186</v>
      </c>
      <c r="W268" s="232">
        <f>Q268/'2017'!Q268-1</f>
        <v>7.0181722492682619E-2</v>
      </c>
      <c r="X268" s="232">
        <f>R268/'2017'!R268-1</f>
        <v>0.15660804166464715</v>
      </c>
      <c r="Y268" s="249">
        <f>S268/'2017'!S268-1</f>
        <v>9.8174129317878167E-2</v>
      </c>
      <c r="Z268" s="250">
        <v>90.65</v>
      </c>
      <c r="AA268" s="251">
        <f t="shared" si="85"/>
        <v>1625.625507</v>
      </c>
      <c r="AB268" s="252">
        <v>4283.88</v>
      </c>
      <c r="AC268" s="211">
        <f t="shared" ref="AC268:AC324" si="87">AA268*10000/AB268</f>
        <v>3794.7503361438694</v>
      </c>
      <c r="AD268" s="252">
        <f t="shared" si="80"/>
        <v>17776957.939999998</v>
      </c>
      <c r="AE268" s="184">
        <f t="shared" si="82"/>
        <v>170777.45</v>
      </c>
      <c r="AF268" s="184">
        <f t="shared" si="83"/>
        <v>220736.97</v>
      </c>
      <c r="AG268" s="211">
        <f t="shared" si="81"/>
        <v>222688.4499999973</v>
      </c>
      <c r="AH268" s="263"/>
      <c r="AI268" s="264"/>
      <c r="AJ268" s="264"/>
      <c r="AK268" s="26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264"/>
    </row>
    <row r="269" spans="1:55" ht="15" customHeight="1" x14ac:dyDescent="0.15">
      <c r="A269" s="180">
        <v>42999</v>
      </c>
      <c r="B269" s="175" t="s">
        <v>38</v>
      </c>
      <c r="C269" s="176">
        <f>50420+3759</f>
        <v>54179</v>
      </c>
      <c r="D269" s="177">
        <f>43089+13955</f>
        <v>57044</v>
      </c>
      <c r="E269" s="177">
        <f>75946+43089</f>
        <v>119035</v>
      </c>
      <c r="F269" s="178">
        <v>5992</v>
      </c>
      <c r="G269" s="177">
        <v>4064</v>
      </c>
      <c r="H269" s="179"/>
      <c r="I269" s="179"/>
      <c r="J269" s="204">
        <f t="shared" si="78"/>
        <v>61991</v>
      </c>
      <c r="K269" s="177">
        <v>1115</v>
      </c>
      <c r="L269" s="177">
        <v>6204</v>
      </c>
      <c r="M269" s="205">
        <f t="shared" si="79"/>
        <v>493</v>
      </c>
      <c r="N269" s="206">
        <f t="shared" si="86"/>
        <v>1194773</v>
      </c>
      <c r="O269" s="209">
        <f t="shared" si="86"/>
        <v>1168995</v>
      </c>
      <c r="P269" s="208">
        <f t="shared" si="86"/>
        <v>2468778</v>
      </c>
      <c r="Q269" s="225">
        <f t="shared" si="84"/>
        <v>17216934.07</v>
      </c>
      <c r="R269" s="207">
        <f t="shared" si="84"/>
        <v>10461024.800000001</v>
      </c>
      <c r="S269" s="226">
        <f t="shared" si="84"/>
        <v>28299973.739999998</v>
      </c>
      <c r="T269" s="227">
        <f>N269/'2017'!N269-1</f>
        <v>-3.2830120558976605E-2</v>
      </c>
      <c r="U269" s="228">
        <f>O269/'2017'!O269-1</f>
        <v>0.30190375003341074</v>
      </c>
      <c r="V269" s="228">
        <f>P269/'2017'!P269-1</f>
        <v>0.13093502242146293</v>
      </c>
      <c r="W269" s="228">
        <f>Q269/'2017'!Q269-1</f>
        <v>6.9390639178257496E-2</v>
      </c>
      <c r="X269" s="228">
        <f>R269/'2017'!R269-1</f>
        <v>0.15771551762299807</v>
      </c>
      <c r="Y269" s="244">
        <f>S269/'2017'!S269-1</f>
        <v>9.8331635848442511E-2</v>
      </c>
      <c r="Z269" s="245"/>
      <c r="AA269" s="246">
        <f t="shared" si="85"/>
        <v>1721.693407</v>
      </c>
      <c r="AB269" s="247"/>
      <c r="AC269" s="248"/>
      <c r="AD269" s="247">
        <f t="shared" si="80"/>
        <v>17838948.939999998</v>
      </c>
      <c r="AE269" s="177">
        <f t="shared" si="82"/>
        <v>171892.45</v>
      </c>
      <c r="AF269" s="177">
        <f t="shared" si="83"/>
        <v>226940.97</v>
      </c>
      <c r="AG269" s="248">
        <f t="shared" si="81"/>
        <v>223181.4499999973</v>
      </c>
      <c r="AH269" s="263"/>
      <c r="AI269" s="264"/>
      <c r="AJ269" s="264"/>
      <c r="AK269" s="264"/>
      <c r="AL269" s="264"/>
      <c r="AM269" s="264"/>
      <c r="AN269" s="264"/>
      <c r="AO269" s="264"/>
      <c r="AP269" s="264"/>
      <c r="AQ269" s="264"/>
      <c r="AR269" s="264"/>
      <c r="AS269" s="264"/>
      <c r="AT269" s="264"/>
      <c r="AU269" s="264"/>
      <c r="AV269" s="264"/>
      <c r="AW269" s="264"/>
      <c r="AX269" s="264"/>
      <c r="AY269" s="264"/>
      <c r="AZ269" s="264"/>
      <c r="BA269" s="264"/>
      <c r="BB269" s="264"/>
      <c r="BC269" s="264"/>
    </row>
    <row r="270" spans="1:55" ht="15" customHeight="1" x14ac:dyDescent="0.15">
      <c r="A270" s="180">
        <v>43000</v>
      </c>
      <c r="B270" s="175" t="s">
        <v>39</v>
      </c>
      <c r="C270" s="176">
        <f>50082+3354</f>
        <v>53436</v>
      </c>
      <c r="D270" s="177">
        <f>36245+13849</f>
        <v>50094</v>
      </c>
      <c r="E270" s="177">
        <f>74974+36245</f>
        <v>111219</v>
      </c>
      <c r="F270" s="178">
        <v>5572</v>
      </c>
      <c r="G270" s="177">
        <v>3772</v>
      </c>
      <c r="H270" s="179"/>
      <c r="I270" s="179"/>
      <c r="J270" s="204">
        <f t="shared" si="78"/>
        <v>61125</v>
      </c>
      <c r="K270" s="177">
        <v>1092</v>
      </c>
      <c r="L270" s="177">
        <v>6237</v>
      </c>
      <c r="M270" s="205">
        <f t="shared" si="79"/>
        <v>360</v>
      </c>
      <c r="N270" s="206">
        <f t="shared" si="86"/>
        <v>1248209</v>
      </c>
      <c r="O270" s="209">
        <f t="shared" si="86"/>
        <v>1219089</v>
      </c>
      <c r="P270" s="208">
        <f t="shared" si="86"/>
        <v>2579997</v>
      </c>
      <c r="Q270" s="225">
        <f t="shared" si="84"/>
        <v>17270370.07</v>
      </c>
      <c r="R270" s="207">
        <f t="shared" si="84"/>
        <v>10511118.800000001</v>
      </c>
      <c r="S270" s="226">
        <f t="shared" si="84"/>
        <v>28411192.739999998</v>
      </c>
      <c r="T270" s="227">
        <f>N270/'2017'!N270-1</f>
        <v>-3.9183658388454279E-2</v>
      </c>
      <c r="U270" s="228">
        <f>O270/'2017'!O270-1</f>
        <v>0.29872555213112872</v>
      </c>
      <c r="V270" s="228">
        <f>P270/'2017'!P270-1</f>
        <v>0.12715749335609794</v>
      </c>
      <c r="W270" s="228">
        <f>Q270/'2017'!Q270-1</f>
        <v>6.8476606259205708E-2</v>
      </c>
      <c r="X270" s="228">
        <f>R270/'2017'!R270-1</f>
        <v>0.15803447710943952</v>
      </c>
      <c r="Y270" s="244">
        <f>S270/'2017'!S270-1</f>
        <v>9.8130997710040635E-2</v>
      </c>
      <c r="Z270" s="245"/>
      <c r="AA270" s="246">
        <f t="shared" si="85"/>
        <v>1727.0370070000001</v>
      </c>
      <c r="AB270" s="247"/>
      <c r="AC270" s="248"/>
      <c r="AD270" s="247">
        <f t="shared" si="80"/>
        <v>17900073.939999998</v>
      </c>
      <c r="AE270" s="177">
        <f t="shared" si="82"/>
        <v>172984.45</v>
      </c>
      <c r="AF270" s="177">
        <f t="shared" si="83"/>
        <v>233177.97</v>
      </c>
      <c r="AG270" s="248">
        <f t="shared" si="81"/>
        <v>223541.4499999973</v>
      </c>
      <c r="AH270" s="263"/>
      <c r="AI270" s="264"/>
      <c r="AJ270" s="264"/>
      <c r="AK270" s="264"/>
      <c r="AL270" s="264"/>
      <c r="AM270" s="264"/>
      <c r="AN270" s="264"/>
      <c r="AO270" s="264"/>
      <c r="AP270" s="264"/>
      <c r="AQ270" s="264"/>
      <c r="AR270" s="264"/>
      <c r="AS270" s="264"/>
      <c r="AT270" s="264"/>
      <c r="AU270" s="264"/>
      <c r="AV270" s="264"/>
      <c r="AW270" s="264"/>
      <c r="AX270" s="264"/>
      <c r="AY270" s="264"/>
      <c r="AZ270" s="264"/>
      <c r="BA270" s="264"/>
      <c r="BB270" s="264"/>
      <c r="BC270" s="264"/>
    </row>
    <row r="271" spans="1:55" ht="15" customHeight="1" x14ac:dyDescent="0.15">
      <c r="A271" s="180">
        <v>43001</v>
      </c>
      <c r="B271" s="175" t="s">
        <v>1</v>
      </c>
      <c r="C271" s="176">
        <f>42331+3171</f>
        <v>45502</v>
      </c>
      <c r="D271" s="177">
        <f>33993+13928</f>
        <v>47921</v>
      </c>
      <c r="E271" s="177">
        <f>66590+33993</f>
        <v>100583</v>
      </c>
      <c r="F271" s="178">
        <v>4965</v>
      </c>
      <c r="G271" s="177">
        <v>3560</v>
      </c>
      <c r="H271" s="179"/>
      <c r="I271" s="179"/>
      <c r="J271" s="204">
        <f t="shared" si="78"/>
        <v>52662</v>
      </c>
      <c r="K271" s="177">
        <v>348</v>
      </c>
      <c r="L271" s="177">
        <v>6254</v>
      </c>
      <c r="M271" s="205">
        <f t="shared" si="79"/>
        <v>558</v>
      </c>
      <c r="N271" s="206">
        <f t="shared" si="86"/>
        <v>1293711</v>
      </c>
      <c r="O271" s="209">
        <f t="shared" si="86"/>
        <v>1267010</v>
      </c>
      <c r="P271" s="208">
        <f t="shared" si="86"/>
        <v>2680580</v>
      </c>
      <c r="Q271" s="225">
        <f t="shared" si="84"/>
        <v>17315872.07</v>
      </c>
      <c r="R271" s="207">
        <f t="shared" si="84"/>
        <v>10559039.800000001</v>
      </c>
      <c r="S271" s="226">
        <f t="shared" si="84"/>
        <v>28511775.739999998</v>
      </c>
      <c r="T271" s="227">
        <f>N271/'2017'!N271-1</f>
        <v>-4.7720311716760833E-2</v>
      </c>
      <c r="U271" s="228">
        <f>O271/'2017'!O271-1</f>
        <v>0.29149019667803211</v>
      </c>
      <c r="V271" s="228">
        <f>P271/'2017'!P271-1</f>
        <v>0.12041429640249279</v>
      </c>
      <c r="W271" s="228">
        <f>Q271/'2017'!Q271-1</f>
        <v>6.7367350429240247E-2</v>
      </c>
      <c r="X271" s="228">
        <f>R271/'2017'!R271-1</f>
        <v>0.15790968645538084</v>
      </c>
      <c r="Y271" s="244">
        <f>S271/'2017'!S271-1</f>
        <v>9.7625629883977938E-2</v>
      </c>
      <c r="Z271" s="245"/>
      <c r="AA271" s="246">
        <f t="shared" si="85"/>
        <v>1731.587207</v>
      </c>
      <c r="AB271" s="247"/>
      <c r="AC271" s="248"/>
      <c r="AD271" s="247">
        <f t="shared" si="80"/>
        <v>17952735.939999998</v>
      </c>
      <c r="AE271" s="177">
        <f t="shared" si="82"/>
        <v>173332.45</v>
      </c>
      <c r="AF271" s="177">
        <f t="shared" si="83"/>
        <v>239431.97</v>
      </c>
      <c r="AG271" s="248">
        <f t="shared" si="81"/>
        <v>224099.4499999973</v>
      </c>
      <c r="AH271" s="263"/>
      <c r="AI271" s="264"/>
      <c r="AJ271" s="264"/>
      <c r="AK271" s="264"/>
      <c r="AL271" s="264"/>
      <c r="AM271" s="264"/>
      <c r="AN271" s="264"/>
      <c r="AO271" s="264"/>
      <c r="AP271" s="264"/>
      <c r="AQ271" s="264"/>
      <c r="AR271" s="264"/>
      <c r="AS271" s="264"/>
      <c r="AT271" s="264"/>
      <c r="AU271" s="264"/>
      <c r="AV271" s="264"/>
      <c r="AW271" s="264"/>
      <c r="AX271" s="264"/>
      <c r="AY271" s="264"/>
      <c r="AZ271" s="264"/>
      <c r="BA271" s="264"/>
      <c r="BB271" s="264"/>
      <c r="BC271" s="264"/>
    </row>
    <row r="272" spans="1:55" ht="15" customHeight="1" x14ac:dyDescent="0.15">
      <c r="A272" s="180">
        <v>43002</v>
      </c>
      <c r="B272" s="175" t="s">
        <v>34</v>
      </c>
      <c r="C272" s="176">
        <f>24701</f>
        <v>24701</v>
      </c>
      <c r="D272" s="177">
        <f>29040+13861</f>
        <v>42901</v>
      </c>
      <c r="E272" s="177">
        <f>46516+29040</f>
        <v>75556</v>
      </c>
      <c r="F272" s="178">
        <v>3481</v>
      </c>
      <c r="G272" s="177">
        <v>2917</v>
      </c>
      <c r="H272" s="179"/>
      <c r="I272" s="179"/>
      <c r="J272" s="204">
        <f t="shared" si="78"/>
        <v>32655</v>
      </c>
      <c r="K272" s="177">
        <v>1155</v>
      </c>
      <c r="L272" s="177">
        <v>5479</v>
      </c>
      <c r="M272" s="205">
        <f t="shared" si="79"/>
        <v>1320</v>
      </c>
      <c r="N272" s="206">
        <f t="shared" si="86"/>
        <v>1318412</v>
      </c>
      <c r="O272" s="209">
        <f t="shared" si="86"/>
        <v>1309911</v>
      </c>
      <c r="P272" s="208">
        <f t="shared" si="86"/>
        <v>2756136</v>
      </c>
      <c r="Q272" s="225">
        <f t="shared" si="84"/>
        <v>17340573.07</v>
      </c>
      <c r="R272" s="207">
        <f t="shared" si="84"/>
        <v>10601940.800000001</v>
      </c>
      <c r="S272" s="226">
        <f t="shared" si="84"/>
        <v>28587331.739999998</v>
      </c>
      <c r="T272" s="227">
        <f>N272/'2017'!N272-1</f>
        <v>-6.9152763039261989E-2</v>
      </c>
      <c r="U272" s="228">
        <f>O272/'2017'!O272-1</f>
        <v>0.28075837780441582</v>
      </c>
      <c r="V272" s="228">
        <f>P272/'2017'!P272-1</f>
        <v>0.1050534857985983</v>
      </c>
      <c r="W272" s="228">
        <f>Q272/'2017'!Q272-1</f>
        <v>6.509412460710573E-2</v>
      </c>
      <c r="X272" s="228">
        <f>R272/'2017'!R272-1</f>
        <v>0.15731983228484081</v>
      </c>
      <c r="Y272" s="244">
        <f>S272/'2017'!S272-1</f>
        <v>9.6245294385346014E-2</v>
      </c>
      <c r="Z272" s="245"/>
      <c r="AA272" s="246">
        <f t="shared" si="85"/>
        <v>1734.057307</v>
      </c>
      <c r="AB272" s="247"/>
      <c r="AC272" s="248"/>
      <c r="AD272" s="247">
        <f t="shared" si="80"/>
        <v>17985390.939999998</v>
      </c>
      <c r="AE272" s="177">
        <f t="shared" si="82"/>
        <v>174487.45</v>
      </c>
      <c r="AF272" s="177">
        <f t="shared" si="83"/>
        <v>244910.97</v>
      </c>
      <c r="AG272" s="248">
        <f t="shared" si="81"/>
        <v>225419.4499999973</v>
      </c>
      <c r="AH272" s="263"/>
      <c r="AI272" s="264"/>
      <c r="AJ272" s="264"/>
      <c r="AK272" s="264"/>
      <c r="AL272" s="264"/>
      <c r="AM272" s="264"/>
      <c r="AN272" s="264"/>
      <c r="AO272" s="264"/>
      <c r="AP272" s="264"/>
      <c r="AQ272" s="264"/>
      <c r="AR272" s="264"/>
      <c r="AS272" s="264"/>
      <c r="AT272" s="264"/>
      <c r="AU272" s="264"/>
      <c r="AV272" s="264"/>
      <c r="AW272" s="264"/>
      <c r="AX272" s="264"/>
      <c r="AY272" s="264"/>
      <c r="AZ272" s="264"/>
      <c r="BA272" s="264"/>
      <c r="BB272" s="264"/>
      <c r="BC272" s="264"/>
    </row>
    <row r="273" spans="1:55" ht="15" customHeight="1" x14ac:dyDescent="0.15">
      <c r="A273" s="180">
        <v>43003</v>
      </c>
      <c r="B273" s="175" t="s">
        <v>35</v>
      </c>
      <c r="C273" s="176">
        <v>33553</v>
      </c>
      <c r="D273" s="177">
        <f>10864+40232</f>
        <v>51096</v>
      </c>
      <c r="E273" s="177">
        <v>92665</v>
      </c>
      <c r="F273" s="178">
        <v>4815</v>
      </c>
      <c r="G273" s="177">
        <v>2638</v>
      </c>
      <c r="H273" s="179"/>
      <c r="I273" s="179"/>
      <c r="J273" s="204">
        <f t="shared" si="78"/>
        <v>41569</v>
      </c>
      <c r="K273" s="177">
        <v>723</v>
      </c>
      <c r="L273" s="177">
        <v>6034</v>
      </c>
      <c r="M273" s="205">
        <f t="shared" si="79"/>
        <v>1259</v>
      </c>
      <c r="N273" s="206">
        <f t="shared" si="86"/>
        <v>1351965</v>
      </c>
      <c r="O273" s="209">
        <f t="shared" si="86"/>
        <v>1361007</v>
      </c>
      <c r="P273" s="208">
        <f t="shared" si="86"/>
        <v>2848801</v>
      </c>
      <c r="Q273" s="225">
        <f t="shared" si="84"/>
        <v>17374126.07</v>
      </c>
      <c r="R273" s="207">
        <f t="shared" si="84"/>
        <v>10653036.800000001</v>
      </c>
      <c r="S273" s="226">
        <f t="shared" si="84"/>
        <v>28679996.739999998</v>
      </c>
      <c r="T273" s="227">
        <f>N273/'2017'!N273-1</f>
        <v>-8.6805689239766282E-2</v>
      </c>
      <c r="U273" s="228">
        <f>O273/'2017'!O273-1</f>
        <v>0.275356601365496</v>
      </c>
      <c r="V273" s="228">
        <f>P273/'2017'!P273-1</f>
        <v>9.3429293669795799E-2</v>
      </c>
      <c r="W273" s="228">
        <f>Q273/'2017'!Q273-1</f>
        <v>6.2968511030173646E-2</v>
      </c>
      <c r="X273" s="228">
        <f>R273/'2017'!R273-1</f>
        <v>0.15728893971059299</v>
      </c>
      <c r="Y273" s="244">
        <f>S273/'2017'!S273-1</f>
        <v>9.5126285820890333E-2</v>
      </c>
      <c r="Z273" s="245"/>
      <c r="AA273" s="246">
        <f t="shared" si="85"/>
        <v>1737.412607</v>
      </c>
      <c r="AB273" s="247"/>
      <c r="AC273" s="248"/>
      <c r="AD273" s="247">
        <f t="shared" si="80"/>
        <v>18026959.939999998</v>
      </c>
      <c r="AE273" s="177">
        <f t="shared" si="82"/>
        <v>175210.45</v>
      </c>
      <c r="AF273" s="177">
        <f t="shared" si="83"/>
        <v>250944.97</v>
      </c>
      <c r="AG273" s="248">
        <f t="shared" si="81"/>
        <v>226678.4499999973</v>
      </c>
      <c r="AH273" s="263"/>
      <c r="AI273" s="264"/>
      <c r="AJ273" s="264"/>
      <c r="AK273" s="264"/>
      <c r="AL273" s="264"/>
      <c r="AM273" s="264"/>
      <c r="AN273" s="264"/>
      <c r="AO273" s="264"/>
      <c r="AP273" s="264"/>
      <c r="AQ273" s="264"/>
      <c r="AR273" s="264"/>
      <c r="AS273" s="264"/>
      <c r="AT273" s="264"/>
      <c r="AU273" s="264"/>
      <c r="AV273" s="264"/>
      <c r="AW273" s="264"/>
      <c r="AX273" s="264"/>
      <c r="AY273" s="264"/>
      <c r="AZ273" s="264"/>
      <c r="BA273" s="264"/>
      <c r="BB273" s="264"/>
      <c r="BC273" s="264"/>
    </row>
    <row r="274" spans="1:55" ht="15" customHeight="1" x14ac:dyDescent="0.15">
      <c r="A274" s="180">
        <v>43004</v>
      </c>
      <c r="B274" s="175" t="s">
        <v>36</v>
      </c>
      <c r="C274" s="176">
        <f>36135+2913</f>
        <v>39048</v>
      </c>
      <c r="D274" s="177">
        <f>38859+13722</f>
        <v>52581</v>
      </c>
      <c r="E274" s="177">
        <f>61064+38859</f>
        <v>99923</v>
      </c>
      <c r="F274" s="178">
        <v>4915</v>
      </c>
      <c r="G274" s="177">
        <v>3309</v>
      </c>
      <c r="H274" s="179"/>
      <c r="I274" s="179"/>
      <c r="J274" s="204">
        <f t="shared" si="78"/>
        <v>47342</v>
      </c>
      <c r="K274" s="177">
        <v>805</v>
      </c>
      <c r="L274" s="177">
        <v>6347</v>
      </c>
      <c r="M274" s="205">
        <f t="shared" si="79"/>
        <v>1142</v>
      </c>
      <c r="N274" s="206">
        <f t="shared" si="86"/>
        <v>1391013</v>
      </c>
      <c r="O274" s="209">
        <f t="shared" si="86"/>
        <v>1413588</v>
      </c>
      <c r="P274" s="208">
        <f t="shared" si="86"/>
        <v>2948724</v>
      </c>
      <c r="Q274" s="225">
        <f t="shared" si="84"/>
        <v>17413174.07</v>
      </c>
      <c r="R274" s="207">
        <f t="shared" si="84"/>
        <v>10705617.800000001</v>
      </c>
      <c r="S274" s="226">
        <f t="shared" si="84"/>
        <v>28779919.739999998</v>
      </c>
      <c r="T274" s="227">
        <f>N274/'2017'!N274-1</f>
        <v>-0.10361842211251515</v>
      </c>
      <c r="U274" s="228">
        <f>O274/'2017'!O274-1</f>
        <v>0.27147292790248367</v>
      </c>
      <c r="V274" s="228">
        <f>P274/'2017'!P274-1</f>
        <v>8.2402034181263684E-2</v>
      </c>
      <c r="W274" s="228">
        <f>Q274/'2017'!Q274-1</f>
        <v>6.0728440168022146E-2</v>
      </c>
      <c r="X274" s="228">
        <f>R274/'2017'!R274-1</f>
        <v>0.15739161363837861</v>
      </c>
      <c r="Y274" s="244">
        <f>S274/'2017'!S274-1</f>
        <v>9.3976709416004445E-2</v>
      </c>
      <c r="Z274" s="245">
        <v>92.16</v>
      </c>
      <c r="AA274" s="246">
        <f t="shared" si="85"/>
        <v>1649.1574069999999</v>
      </c>
      <c r="AB274" s="247">
        <v>4283.88</v>
      </c>
      <c r="AC274" s="248">
        <f t="shared" si="87"/>
        <v>3849.6816133972002</v>
      </c>
      <c r="AD274" s="247">
        <f t="shared" si="80"/>
        <v>18074301.939999998</v>
      </c>
      <c r="AE274" s="177">
        <f t="shared" si="82"/>
        <v>176015.45</v>
      </c>
      <c r="AF274" s="177">
        <f t="shared" si="83"/>
        <v>257291.97</v>
      </c>
      <c r="AG274" s="248">
        <f t="shared" si="81"/>
        <v>227820.4499999973</v>
      </c>
      <c r="AH274" s="263"/>
      <c r="AI274" s="264"/>
      <c r="AJ274" s="264"/>
      <c r="AK274" s="264"/>
      <c r="AL274" s="264"/>
      <c r="AM274" s="264"/>
      <c r="AN274" s="264"/>
      <c r="AO274" s="264"/>
      <c r="AP274" s="264"/>
      <c r="AQ274" s="264"/>
      <c r="AR274" s="264"/>
      <c r="AS274" s="264"/>
      <c r="AT274" s="264"/>
      <c r="AU274" s="264"/>
      <c r="AV274" s="264"/>
      <c r="AW274" s="264"/>
      <c r="AX274" s="264"/>
      <c r="AY274" s="264"/>
      <c r="AZ274" s="264"/>
      <c r="BA274" s="264"/>
      <c r="BB274" s="264"/>
      <c r="BC274" s="264"/>
    </row>
    <row r="275" spans="1:55" s="157" customFormat="1" ht="15" customHeight="1" x14ac:dyDescent="0.15">
      <c r="A275" s="181">
        <v>43005</v>
      </c>
      <c r="B275" s="182" t="s">
        <v>37</v>
      </c>
      <c r="C275" s="183">
        <f>35926+2910</f>
        <v>38836</v>
      </c>
      <c r="D275" s="184">
        <f>13927+40881</f>
        <v>54808</v>
      </c>
      <c r="E275" s="184">
        <f>60959+40881</f>
        <v>101840</v>
      </c>
      <c r="F275" s="185">
        <v>5008</v>
      </c>
      <c r="G275" s="184">
        <v>3400</v>
      </c>
      <c r="H275" s="186"/>
      <c r="I275" s="186"/>
      <c r="J275" s="184">
        <f>E275-D275</f>
        <v>47032</v>
      </c>
      <c r="K275" s="184">
        <v>693</v>
      </c>
      <c r="L275" s="184">
        <v>6351</v>
      </c>
      <c r="M275" s="211">
        <f>J275-K275-L275-C275</f>
        <v>1152</v>
      </c>
      <c r="N275" s="212">
        <f t="shared" si="86"/>
        <v>1429849</v>
      </c>
      <c r="O275" s="215">
        <f t="shared" si="86"/>
        <v>1468396</v>
      </c>
      <c r="P275" s="214">
        <f t="shared" si="86"/>
        <v>3050564</v>
      </c>
      <c r="Q275" s="229">
        <f t="shared" si="84"/>
        <v>17452010.07</v>
      </c>
      <c r="R275" s="213">
        <f t="shared" si="84"/>
        <v>10760425.800000001</v>
      </c>
      <c r="S275" s="230">
        <f t="shared" si="84"/>
        <v>28881759.739999998</v>
      </c>
      <c r="T275" s="231">
        <f>N275/'2017'!N275-1</f>
        <v>-0.11821594396934765</v>
      </c>
      <c r="U275" s="232">
        <f>O275/'2017'!O275-1</f>
        <v>0.27008383925490054</v>
      </c>
      <c r="V275" s="232">
        <f>P275/'2017'!P275-1</f>
        <v>7.3890418655343515E-2</v>
      </c>
      <c r="W275" s="232">
        <f>Q275/'2017'!Q275-1</f>
        <v>5.8597494371539494E-2</v>
      </c>
      <c r="X275" s="232">
        <f>R275/'2017'!R275-1</f>
        <v>0.15776342729172943</v>
      </c>
      <c r="Y275" s="249">
        <f>S275/'2017'!S275-1</f>
        <v>9.30106861683484E-2</v>
      </c>
      <c r="Z275" s="250">
        <v>92.5</v>
      </c>
      <c r="AA275" s="251">
        <f t="shared" si="85"/>
        <v>1652.7010070000001</v>
      </c>
      <c r="AB275" s="252">
        <v>4283.88</v>
      </c>
      <c r="AC275" s="211">
        <f t="shared" si="87"/>
        <v>3857.9535537876877</v>
      </c>
      <c r="AD275" s="252">
        <f t="shared" si="80"/>
        <v>18121333.939999998</v>
      </c>
      <c r="AE275" s="184">
        <f t="shared" si="82"/>
        <v>176708.45</v>
      </c>
      <c r="AF275" s="184">
        <f t="shared" si="83"/>
        <v>263642.96999999997</v>
      </c>
      <c r="AG275" s="211">
        <f t="shared" si="81"/>
        <v>228972.44999999733</v>
      </c>
      <c r="AH275" s="263"/>
      <c r="AI275" s="264"/>
      <c r="AJ275" s="264"/>
      <c r="AK275" s="264"/>
      <c r="AL275" s="264"/>
      <c r="AM275" s="264"/>
      <c r="AN275" s="264"/>
      <c r="AO275" s="264"/>
      <c r="AP275" s="264"/>
      <c r="AQ275" s="264"/>
      <c r="AR275" s="264"/>
      <c r="AS275" s="264"/>
      <c r="AT275" s="264"/>
      <c r="AU275" s="264"/>
      <c r="AV275" s="264"/>
      <c r="AW275" s="264"/>
      <c r="AX275" s="264"/>
      <c r="AY275" s="264"/>
      <c r="AZ275" s="264"/>
      <c r="BA275" s="264"/>
      <c r="BB275" s="264"/>
      <c r="BC275" s="264"/>
    </row>
    <row r="276" spans="1:55" ht="15" customHeight="1" x14ac:dyDescent="0.15">
      <c r="A276" s="180">
        <v>43006</v>
      </c>
      <c r="B276" s="175" t="s">
        <v>38</v>
      </c>
      <c r="C276" s="176">
        <v>39755</v>
      </c>
      <c r="D276" s="177">
        <f>11019+42495</f>
        <v>53514</v>
      </c>
      <c r="E276" s="177">
        <v>101753</v>
      </c>
      <c r="F276" s="178">
        <v>5026</v>
      </c>
      <c r="G276" s="177">
        <v>3418</v>
      </c>
      <c r="H276" s="179"/>
      <c r="I276" s="179"/>
      <c r="J276" s="204">
        <f t="shared" si="78"/>
        <v>48239</v>
      </c>
      <c r="K276" s="177">
        <v>658</v>
      </c>
      <c r="L276" s="177">
        <v>6407</v>
      </c>
      <c r="M276" s="205">
        <f t="shared" si="79"/>
        <v>1419</v>
      </c>
      <c r="N276" s="206">
        <f t="shared" si="86"/>
        <v>1469604</v>
      </c>
      <c r="O276" s="209">
        <f t="shared" si="86"/>
        <v>1521910</v>
      </c>
      <c r="P276" s="208">
        <f t="shared" si="86"/>
        <v>3152317</v>
      </c>
      <c r="Q276" s="225">
        <f t="shared" si="84"/>
        <v>17491765.07</v>
      </c>
      <c r="R276" s="207">
        <f t="shared" si="84"/>
        <v>10813939.800000001</v>
      </c>
      <c r="S276" s="226">
        <f t="shared" si="84"/>
        <v>28983512.739999998</v>
      </c>
      <c r="T276" s="227">
        <f>N276/'2017'!N276-1</f>
        <v>-0.1272850360314618</v>
      </c>
      <c r="U276" s="228">
        <f>O276/'2017'!O276-1</f>
        <v>0.27100900866291466</v>
      </c>
      <c r="V276" s="228">
        <f>P276/'2017'!P276-1</f>
        <v>7.0189858119045212E-2</v>
      </c>
      <c r="W276" s="228">
        <f>Q276/'2017'!Q276-1</f>
        <v>5.7007869147368551E-2</v>
      </c>
      <c r="X276" s="228">
        <f>R276/'2017'!R276-1</f>
        <v>0.15837854380487371</v>
      </c>
      <c r="Y276" s="244">
        <f>S276/'2017'!S276-1</f>
        <v>9.2524198382035294E-2</v>
      </c>
      <c r="Z276" s="245"/>
      <c r="AA276" s="246">
        <f t="shared" si="85"/>
        <v>1749.1765070000001</v>
      </c>
      <c r="AB276" s="247"/>
      <c r="AC276" s="248"/>
      <c r="AD276" s="247">
        <f t="shared" si="80"/>
        <v>18169572.939999998</v>
      </c>
      <c r="AE276" s="177">
        <f t="shared" si="82"/>
        <v>177366.45</v>
      </c>
      <c r="AF276" s="177">
        <f t="shared" si="83"/>
        <v>270049.96999999997</v>
      </c>
      <c r="AG276" s="248">
        <f t="shared" si="81"/>
        <v>230391.44999999733</v>
      </c>
      <c r="AH276" s="263"/>
      <c r="AI276" s="264"/>
      <c r="AJ276" s="264"/>
      <c r="AK276" s="264"/>
      <c r="AL276" s="264"/>
      <c r="AM276" s="264"/>
      <c r="AN276" s="264"/>
      <c r="AO276" s="264"/>
      <c r="AP276" s="264"/>
      <c r="AQ276" s="264"/>
      <c r="AR276" s="264"/>
      <c r="AS276" s="264"/>
      <c r="AT276" s="264"/>
      <c r="AU276" s="264"/>
      <c r="AV276" s="264"/>
      <c r="AW276" s="264"/>
      <c r="AX276" s="264"/>
      <c r="AY276" s="264"/>
      <c r="AZ276" s="264"/>
      <c r="BA276" s="264"/>
      <c r="BB276" s="264"/>
      <c r="BC276" s="264"/>
    </row>
    <row r="277" spans="1:55" ht="15" customHeight="1" x14ac:dyDescent="0.15">
      <c r="A277" s="180">
        <v>43007</v>
      </c>
      <c r="B277" s="175" t="s">
        <v>39</v>
      </c>
      <c r="C277" s="176">
        <f>36998+3960</f>
        <v>40958</v>
      </c>
      <c r="D277" s="177">
        <f>13949+34694</f>
        <v>48643</v>
      </c>
      <c r="E277" s="177">
        <f>63719+34649</f>
        <v>98368</v>
      </c>
      <c r="F277" s="178">
        <v>4868</v>
      </c>
      <c r="G277" s="177">
        <v>3394</v>
      </c>
      <c r="H277" s="179"/>
      <c r="I277" s="179"/>
      <c r="J277" s="204">
        <f t="shared" si="78"/>
        <v>49725</v>
      </c>
      <c r="K277" s="177">
        <v>524</v>
      </c>
      <c r="L277" s="177">
        <v>6638</v>
      </c>
      <c r="M277" s="205">
        <f t="shared" si="79"/>
        <v>1605</v>
      </c>
      <c r="N277" s="206">
        <f t="shared" si="86"/>
        <v>1510562</v>
      </c>
      <c r="O277" s="209">
        <f t="shared" si="86"/>
        <v>1570553</v>
      </c>
      <c r="P277" s="208">
        <f t="shared" si="86"/>
        <v>3250685</v>
      </c>
      <c r="Q277" s="225">
        <f t="shared" si="84"/>
        <v>17532723.07</v>
      </c>
      <c r="R277" s="207">
        <f t="shared" si="84"/>
        <v>10862582.800000001</v>
      </c>
      <c r="S277" s="226">
        <f t="shared" si="84"/>
        <v>29081880.739999998</v>
      </c>
      <c r="T277" s="227">
        <f>N277/'2017'!N277-1</f>
        <v>-0.13428095255561467</v>
      </c>
      <c r="U277" s="228">
        <f>O277/'2017'!O277-1</f>
        <v>0.27014472125287603</v>
      </c>
      <c r="V277" s="228">
        <f>P277/'2017'!P277-1</f>
        <v>6.6871878621471925E-2</v>
      </c>
      <c r="W277" s="228">
        <f>Q277/'2017'!Q277-1</f>
        <v>5.5596980817069319E-2</v>
      </c>
      <c r="X277" s="228">
        <f>R277/'2017'!R277-1</f>
        <v>0.15873445507574102</v>
      </c>
      <c r="Y277" s="244">
        <f>S277/'2017'!S277-1</f>
        <v>9.2059557454343244E-2</v>
      </c>
      <c r="Z277" s="245">
        <v>93.09</v>
      </c>
      <c r="AA277" s="246">
        <f t="shared" si="85"/>
        <v>1660.182307</v>
      </c>
      <c r="AB277" s="247"/>
      <c r="AC277" s="248"/>
      <c r="AD277" s="247">
        <f t="shared" si="80"/>
        <v>18219297.939999998</v>
      </c>
      <c r="AE277" s="177">
        <f t="shared" si="82"/>
        <v>177890.45</v>
      </c>
      <c r="AF277" s="177">
        <f t="shared" si="83"/>
        <v>276687.96999999997</v>
      </c>
      <c r="AG277" s="248">
        <f t="shared" si="81"/>
        <v>231996.44999999733</v>
      </c>
      <c r="AH277" s="263"/>
      <c r="AI277" s="264"/>
      <c r="AJ277" s="264"/>
      <c r="AK277" s="264"/>
      <c r="AL277" s="264"/>
      <c r="AM277" s="264"/>
      <c r="AN277" s="264"/>
      <c r="AO277" s="264"/>
      <c r="AP277" s="264"/>
      <c r="AQ277" s="264"/>
      <c r="AR277" s="264"/>
      <c r="AS277" s="264"/>
      <c r="AT277" s="264"/>
      <c r="AU277" s="264"/>
      <c r="AV277" s="264"/>
      <c r="AW277" s="264"/>
      <c r="AX277" s="264"/>
      <c r="AY277" s="264"/>
      <c r="AZ277" s="264"/>
      <c r="BA277" s="264"/>
      <c r="BB277" s="264"/>
      <c r="BC277" s="264"/>
    </row>
    <row r="278" spans="1:55" ht="15" customHeight="1" x14ac:dyDescent="0.15">
      <c r="A278" s="342">
        <v>43008</v>
      </c>
      <c r="B278" s="188" t="s">
        <v>1</v>
      </c>
      <c r="C278" s="189">
        <f>33193+2717</f>
        <v>35910</v>
      </c>
      <c r="D278" s="190">
        <f>36188+13870</f>
        <v>50058</v>
      </c>
      <c r="E278" s="190">
        <f>58776+36188</f>
        <v>94964</v>
      </c>
      <c r="F278" s="191">
        <v>4588</v>
      </c>
      <c r="G278" s="190">
        <v>3338</v>
      </c>
      <c r="H278" s="192"/>
      <c r="I278" s="192"/>
      <c r="J278" s="216">
        <f t="shared" si="78"/>
        <v>44906</v>
      </c>
      <c r="K278" s="190">
        <v>813</v>
      </c>
      <c r="L278" s="190">
        <v>6705</v>
      </c>
      <c r="M278" s="217">
        <f t="shared" si="79"/>
        <v>1478</v>
      </c>
      <c r="N278" s="218">
        <f>[8]表2、统调口径电量!$D$10</f>
        <v>1546472.23</v>
      </c>
      <c r="O278" s="222">
        <f>[8]表2、统调口径电量!$D$14</f>
        <v>1622410</v>
      </c>
      <c r="P278" s="268">
        <f>[8]表2、统调口径电量!$D$3</f>
        <v>3347475.69</v>
      </c>
      <c r="Q278" s="233">
        <f>[8]表2、统调口径电量!$I$10</f>
        <v>17568633.300000001</v>
      </c>
      <c r="R278" s="219">
        <f>[8]表2、统调口径电量!$I$14</f>
        <v>10914439.800000001</v>
      </c>
      <c r="S278" s="234">
        <f>[8]表2、统调口径电量!$I$3</f>
        <v>29178671.43</v>
      </c>
      <c r="T278" s="235">
        <f>N278/'2017'!N278-1</f>
        <v>-0.14327282306230205</v>
      </c>
      <c r="U278" s="236">
        <f>O278/'2017'!O278-1</f>
        <v>0.27413530693246591</v>
      </c>
      <c r="V278" s="236">
        <f>P278/'2017'!P278-1</f>
        <v>6.418968241933154E-2</v>
      </c>
      <c r="W278" s="236">
        <f>Q278/'2017'!Q278-1</f>
        <v>5.3937226265376115E-2</v>
      </c>
      <c r="X278" s="236">
        <f>R278/'2017'!R278-1</f>
        <v>0.15971032848634903</v>
      </c>
      <c r="Y278" s="270">
        <f>S278/'2017'!S278-1</f>
        <v>9.1650961794341068E-2</v>
      </c>
      <c r="Z278" s="255">
        <f>[8]表2、统调口径电量!$I$12/10000</f>
        <v>93.607532999999989</v>
      </c>
      <c r="AA278" s="256">
        <f t="shared" si="85"/>
        <v>1663.2557970000003</v>
      </c>
      <c r="AB278" s="257">
        <v>4283.88</v>
      </c>
      <c r="AC278" s="258">
        <f t="shared" si="87"/>
        <v>3882.5919423513269</v>
      </c>
      <c r="AD278" s="257">
        <f t="shared" si="80"/>
        <v>18264231.629999999</v>
      </c>
      <c r="AE278" s="190">
        <f t="shared" si="82"/>
        <v>178703.45</v>
      </c>
      <c r="AF278" s="190">
        <f t="shared" si="83"/>
        <v>283392.96999999997</v>
      </c>
      <c r="AG278" s="258">
        <f t="shared" si="81"/>
        <v>233501.90999999823</v>
      </c>
      <c r="AH278" s="263"/>
      <c r="AI278" s="264"/>
      <c r="AJ278" s="264"/>
      <c r="AK278" s="264"/>
      <c r="AL278" s="264"/>
      <c r="AM278" s="264"/>
      <c r="AN278" s="264"/>
      <c r="AO278" s="264"/>
      <c r="AP278" s="264"/>
      <c r="AQ278" s="264"/>
      <c r="AR278" s="264"/>
      <c r="AS278" s="264"/>
      <c r="AT278" s="264"/>
      <c r="AU278" s="264"/>
      <c r="AV278" s="264"/>
      <c r="AW278" s="264"/>
      <c r="AX278" s="264"/>
      <c r="AY278" s="264"/>
      <c r="AZ278" s="264"/>
      <c r="BA278" s="264"/>
      <c r="BB278" s="264"/>
      <c r="BC278" s="264"/>
    </row>
    <row r="279" spans="1:55" ht="15" customHeight="1" x14ac:dyDescent="0.15">
      <c r="A279" s="342">
        <v>43009</v>
      </c>
      <c r="B279" s="175" t="s">
        <v>34</v>
      </c>
      <c r="C279" s="176">
        <f>28934+359</f>
        <v>29293</v>
      </c>
      <c r="D279" s="177">
        <f>19061+9730</f>
        <v>28791</v>
      </c>
      <c r="E279" s="177">
        <f>46429+19061</f>
        <v>65490</v>
      </c>
      <c r="F279" s="178">
        <v>3385</v>
      </c>
      <c r="G279" s="177">
        <v>2266</v>
      </c>
      <c r="H279" s="179"/>
      <c r="I279" s="179"/>
      <c r="J279" s="204">
        <f t="shared" si="78"/>
        <v>36699</v>
      </c>
      <c r="K279" s="177">
        <v>746</v>
      </c>
      <c r="L279" s="177">
        <v>5341</v>
      </c>
      <c r="M279" s="205">
        <f t="shared" si="79"/>
        <v>1319</v>
      </c>
      <c r="N279" s="206">
        <f>C279</f>
        <v>29293</v>
      </c>
      <c r="O279" s="209">
        <f>D279</f>
        <v>28791</v>
      </c>
      <c r="P279" s="208">
        <f>E279</f>
        <v>65490</v>
      </c>
      <c r="Q279" s="225">
        <f>Q$278+N279</f>
        <v>17597926.300000001</v>
      </c>
      <c r="R279" s="207">
        <f>R$278+O279</f>
        <v>10943230.800000001</v>
      </c>
      <c r="S279" s="226">
        <f>S$278+P279</f>
        <v>29244161.43</v>
      </c>
      <c r="T279" s="227">
        <f>N279/'2017'!N279-1</f>
        <v>-0.45218058049072407</v>
      </c>
      <c r="U279" s="228">
        <f>O279/'2017'!O279-1</f>
        <v>0.30199430199430188</v>
      </c>
      <c r="V279" s="228">
        <f>P279/'2017'!P279-1</f>
        <v>-0.15289095847885137</v>
      </c>
      <c r="W279" s="228">
        <f>Q279/'2017'!Q279-1</f>
        <v>5.2318908040919432E-2</v>
      </c>
      <c r="X279" s="228">
        <f>R279/'2017'!R279-1</f>
        <v>0.1600438566409812</v>
      </c>
      <c r="Y279" s="244">
        <f>S279/'2017'!S279-1</f>
        <v>9.0945695787026493E-2</v>
      </c>
      <c r="Z279" s="245"/>
      <c r="AA279" s="246">
        <f t="shared" si="85"/>
        <v>1759.7926300000001</v>
      </c>
      <c r="AB279" s="247"/>
      <c r="AC279" s="248"/>
      <c r="AD279" s="247">
        <f t="shared" si="80"/>
        <v>18300930.629999999</v>
      </c>
      <c r="AE279" s="177">
        <f t="shared" si="82"/>
        <v>179449.45</v>
      </c>
      <c r="AF279" s="177">
        <f t="shared" ref="AF279:AF294" si="88">AF278+L279</f>
        <v>288733.96999999997</v>
      </c>
      <c r="AG279" s="248">
        <f t="shared" si="81"/>
        <v>234820.90999999823</v>
      </c>
      <c r="AH279" s="263"/>
      <c r="AI279" s="264"/>
      <c r="AJ279" s="264"/>
      <c r="AK279" s="264"/>
      <c r="AL279" s="264"/>
      <c r="AM279" s="264"/>
      <c r="AN279" s="264"/>
      <c r="AO279" s="264"/>
      <c r="AP279" s="264"/>
      <c r="AQ279" s="264"/>
      <c r="AR279" s="264"/>
      <c r="AS279" s="264"/>
      <c r="AT279" s="264"/>
      <c r="AU279" s="264"/>
      <c r="AV279" s="264"/>
      <c r="AW279" s="264"/>
      <c r="AX279" s="264"/>
      <c r="AY279" s="264"/>
      <c r="AZ279" s="264"/>
      <c r="BA279" s="264"/>
      <c r="BB279" s="264"/>
      <c r="BC279" s="264"/>
    </row>
    <row r="280" spans="1:55" ht="15" customHeight="1" x14ac:dyDescent="0.15">
      <c r="A280" s="342">
        <v>43010</v>
      </c>
      <c r="B280" s="175" t="s">
        <v>35</v>
      </c>
      <c r="C280" s="176">
        <f>30035+1243</f>
        <v>31278</v>
      </c>
      <c r="D280" s="177">
        <f>18805+9451</f>
        <v>28256</v>
      </c>
      <c r="E280" s="177">
        <f>47980+18805</f>
        <v>66785</v>
      </c>
      <c r="F280" s="178">
        <v>3229</v>
      </c>
      <c r="G280" s="177">
        <v>2248</v>
      </c>
      <c r="H280" s="179"/>
      <c r="I280" s="179"/>
      <c r="J280" s="204">
        <f t="shared" si="78"/>
        <v>38529</v>
      </c>
      <c r="K280" s="177">
        <v>842</v>
      </c>
      <c r="L280" s="177">
        <v>5257</v>
      </c>
      <c r="M280" s="205">
        <f t="shared" si="79"/>
        <v>1152</v>
      </c>
      <c r="N280" s="206">
        <f t="shared" ref="N280:P295" si="89">C280+N279</f>
        <v>60571</v>
      </c>
      <c r="O280" s="209">
        <f t="shared" si="89"/>
        <v>57047</v>
      </c>
      <c r="P280" s="208">
        <f t="shared" si="89"/>
        <v>132275</v>
      </c>
      <c r="Q280" s="225">
        <f t="shared" ref="Q280:S308" si="90">Q$278+N280</f>
        <v>17629204.300000001</v>
      </c>
      <c r="R280" s="207">
        <f t="shared" si="90"/>
        <v>10971486.800000001</v>
      </c>
      <c r="S280" s="226">
        <f t="shared" si="90"/>
        <v>29310946.43</v>
      </c>
      <c r="T280" s="227">
        <f>N280/'2017'!N280-1</f>
        <v>-0.44791913520608129</v>
      </c>
      <c r="U280" s="228">
        <f>O280/'2017'!O280-1</f>
        <v>0.23004441761179861</v>
      </c>
      <c r="V280" s="228">
        <f>P280/'2017'!P280-1</f>
        <v>-0.16972664218686251</v>
      </c>
      <c r="W280" s="228">
        <f>Q280/'2017'!Q280-1</f>
        <v>5.0655750405429245E-2</v>
      </c>
      <c r="X280" s="228">
        <f>R280/'2017'!R280-1</f>
        <v>0.16005522679442685</v>
      </c>
      <c r="Y280" s="244">
        <f>S280/'2017'!S280-1</f>
        <v>9.0102279096676119E-2</v>
      </c>
      <c r="Z280" s="245"/>
      <c r="AA280" s="246">
        <f t="shared" si="85"/>
        <v>1762.9204300000001</v>
      </c>
      <c r="AB280" s="247"/>
      <c r="AC280" s="248"/>
      <c r="AD280" s="247">
        <f t="shared" si="80"/>
        <v>18339459.629999999</v>
      </c>
      <c r="AE280" s="177">
        <f t="shared" si="82"/>
        <v>180291.45</v>
      </c>
      <c r="AF280" s="177">
        <f t="shared" si="88"/>
        <v>293990.96999999997</v>
      </c>
      <c r="AG280" s="248">
        <f t="shared" si="81"/>
        <v>235972.90999999829</v>
      </c>
      <c r="AH280" s="263"/>
      <c r="AI280" s="264"/>
      <c r="AJ280" s="264"/>
      <c r="AK280" s="264"/>
      <c r="AL280" s="264"/>
      <c r="AM280" s="264"/>
      <c r="AN280" s="264"/>
      <c r="AO280" s="264"/>
      <c r="AP280" s="264"/>
      <c r="AQ280" s="264"/>
      <c r="AR280" s="264"/>
      <c r="AS280" s="264"/>
      <c r="AT280" s="264"/>
      <c r="AU280" s="264"/>
      <c r="AV280" s="264"/>
      <c r="AW280" s="264"/>
      <c r="AX280" s="264"/>
      <c r="AY280" s="264"/>
      <c r="AZ280" s="264"/>
      <c r="BA280" s="264"/>
      <c r="BB280" s="264"/>
      <c r="BC280" s="264"/>
    </row>
    <row r="281" spans="1:55" ht="15" customHeight="1" x14ac:dyDescent="0.15">
      <c r="A281" s="342">
        <v>43011</v>
      </c>
      <c r="B281" s="175" t="s">
        <v>36</v>
      </c>
      <c r="C281" s="176">
        <f>37672+3790</f>
        <v>41462</v>
      </c>
      <c r="D281" s="177">
        <f>19032+9804</f>
        <v>28836</v>
      </c>
      <c r="E281" s="177">
        <f>58694+19032</f>
        <v>77726</v>
      </c>
      <c r="F281" s="178">
        <v>3866</v>
      </c>
      <c r="G281" s="177">
        <v>2500</v>
      </c>
      <c r="H281" s="179"/>
      <c r="I281" s="179"/>
      <c r="J281" s="204">
        <f t="shared" si="78"/>
        <v>48890</v>
      </c>
      <c r="K281" s="177">
        <v>942</v>
      </c>
      <c r="L281" s="177">
        <v>5269</v>
      </c>
      <c r="M281" s="205">
        <f t="shared" si="79"/>
        <v>1217</v>
      </c>
      <c r="N281" s="206">
        <f t="shared" si="89"/>
        <v>102033</v>
      </c>
      <c r="O281" s="209">
        <f t="shared" si="89"/>
        <v>85883</v>
      </c>
      <c r="P281" s="208">
        <f t="shared" si="89"/>
        <v>210001</v>
      </c>
      <c r="Q281" s="225">
        <f t="shared" si="90"/>
        <v>17670666.300000001</v>
      </c>
      <c r="R281" s="207">
        <f t="shared" si="90"/>
        <v>11000322.800000001</v>
      </c>
      <c r="S281" s="226">
        <f t="shared" si="90"/>
        <v>29388672.43</v>
      </c>
      <c r="T281" s="227">
        <f>N281/'2017'!N281-1</f>
        <v>-0.36987883354124729</v>
      </c>
      <c r="U281" s="228">
        <f>O281/'2017'!O281-1</f>
        <v>0.18416843614703682</v>
      </c>
      <c r="V281" s="228">
        <f>P281/'2017'!P281-1</f>
        <v>-0.12106994575771779</v>
      </c>
      <c r="W281" s="228">
        <f>Q281/'2017'!Q281-1</f>
        <v>4.9859928478395821E-2</v>
      </c>
      <c r="X281" s="228">
        <f>R281/'2017'!R281-1</f>
        <v>0.15989736685717948</v>
      </c>
      <c r="Y281" s="244">
        <f>S281/'2017'!S281-1</f>
        <v>8.9766312113784386E-2</v>
      </c>
      <c r="Z281" s="245"/>
      <c r="AA281" s="246">
        <f t="shared" si="85"/>
        <v>1767.06663</v>
      </c>
      <c r="AB281" s="247"/>
      <c r="AC281" s="248"/>
      <c r="AD281" s="247">
        <f t="shared" si="80"/>
        <v>18388349.629999999</v>
      </c>
      <c r="AE281" s="177">
        <f t="shared" si="82"/>
        <v>181233.45</v>
      </c>
      <c r="AF281" s="177">
        <f t="shared" si="88"/>
        <v>299259.96999999997</v>
      </c>
      <c r="AG281" s="248">
        <f t="shared" si="81"/>
        <v>237189.90999999829</v>
      </c>
      <c r="AH281" s="263"/>
      <c r="AI281" s="264"/>
      <c r="AJ281" s="264"/>
      <c r="AK281" s="264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264"/>
    </row>
    <row r="282" spans="1:55" s="157" customFormat="1" ht="15" customHeight="1" x14ac:dyDescent="0.15">
      <c r="A282" s="343">
        <v>43012</v>
      </c>
      <c r="B282" s="182" t="s">
        <v>37</v>
      </c>
      <c r="C282" s="183">
        <f>43430+3931</f>
        <v>47361</v>
      </c>
      <c r="D282" s="184">
        <f>21375+11033</f>
        <v>32408</v>
      </c>
      <c r="E282" s="184">
        <f>66255+21375</f>
        <v>87630</v>
      </c>
      <c r="F282" s="185">
        <v>4348</v>
      </c>
      <c r="G282" s="184">
        <v>2813</v>
      </c>
      <c r="H282" s="186"/>
      <c r="I282" s="186"/>
      <c r="J282" s="210">
        <f t="shared" si="78"/>
        <v>55222</v>
      </c>
      <c r="K282" s="184">
        <v>890</v>
      </c>
      <c r="L282" s="184">
        <v>5495</v>
      </c>
      <c r="M282" s="211">
        <f t="shared" si="79"/>
        <v>1476</v>
      </c>
      <c r="N282" s="212">
        <f t="shared" si="89"/>
        <v>149394</v>
      </c>
      <c r="O282" s="215">
        <f t="shared" si="89"/>
        <v>118291</v>
      </c>
      <c r="P282" s="214">
        <f t="shared" si="89"/>
        <v>297631</v>
      </c>
      <c r="Q282" s="229">
        <f t="shared" si="90"/>
        <v>17718027.300000001</v>
      </c>
      <c r="R282" s="213">
        <f t="shared" si="90"/>
        <v>11032730.800000001</v>
      </c>
      <c r="S282" s="230">
        <f t="shared" si="90"/>
        <v>29476302.43</v>
      </c>
      <c r="T282" s="231">
        <f>N282/'2017'!N282-1</f>
        <v>-0.26992752737881731</v>
      </c>
      <c r="U282" s="232">
        <f>O282/'2017'!O282-1</f>
        <v>0.18225975713357645</v>
      </c>
      <c r="V282" s="232">
        <f>P282/'2017'!P282-1</f>
        <v>-4.1504706636308897E-2</v>
      </c>
      <c r="W282" s="232">
        <f>Q282/'2017'!Q282-1</f>
        <v>5.0009792668519681E-2</v>
      </c>
      <c r="X282" s="232">
        <f>R282/'2017'!R282-1</f>
        <v>0.15994753666782158</v>
      </c>
      <c r="Y282" s="249">
        <f>S282/'2017'!S282-1</f>
        <v>9.0121812587365069E-2</v>
      </c>
      <c r="Z282" s="250">
        <f>Z278+(Z284-Z278)/7*4</f>
        <v>94.791799857142863</v>
      </c>
      <c r="AA282" s="251">
        <f t="shared" si="85"/>
        <v>1677.0109301428572</v>
      </c>
      <c r="AB282" s="252">
        <v>4283.88</v>
      </c>
      <c r="AC282" s="211">
        <f t="shared" si="87"/>
        <v>3914.7009956928232</v>
      </c>
      <c r="AD282" s="252">
        <f t="shared" si="80"/>
        <v>18443571.629999999</v>
      </c>
      <c r="AE282" s="184">
        <f t="shared" si="82"/>
        <v>182123.45</v>
      </c>
      <c r="AF282" s="184">
        <f t="shared" si="88"/>
        <v>304754.96999999997</v>
      </c>
      <c r="AG282" s="211">
        <f t="shared" si="81"/>
        <v>238665.90999999829</v>
      </c>
      <c r="AH282" s="263"/>
      <c r="AI282" s="264"/>
      <c r="AJ282" s="264"/>
      <c r="AK282" s="2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264"/>
    </row>
    <row r="283" spans="1:55" ht="15" customHeight="1" x14ac:dyDescent="0.15">
      <c r="A283" s="342">
        <v>43013</v>
      </c>
      <c r="B283" s="175" t="s">
        <v>38</v>
      </c>
      <c r="C283" s="176">
        <f>45282+4312</f>
        <v>49594</v>
      </c>
      <c r="D283" s="177">
        <v>35057</v>
      </c>
      <c r="E283" s="177">
        <f>69492+23502</f>
        <v>92994</v>
      </c>
      <c r="F283" s="178">
        <v>4648</v>
      </c>
      <c r="G283" s="177">
        <v>3035</v>
      </c>
      <c r="H283" s="179"/>
      <c r="I283" s="179"/>
      <c r="J283" s="204">
        <f t="shared" si="78"/>
        <v>57937</v>
      </c>
      <c r="K283" s="177">
        <v>667</v>
      </c>
      <c r="L283" s="344">
        <v>6289</v>
      </c>
      <c r="M283" s="205">
        <f t="shared" si="79"/>
        <v>1387</v>
      </c>
      <c r="N283" s="206">
        <f t="shared" si="89"/>
        <v>198988</v>
      </c>
      <c r="O283" s="209">
        <f t="shared" si="89"/>
        <v>153348</v>
      </c>
      <c r="P283" s="208">
        <f t="shared" si="89"/>
        <v>390625</v>
      </c>
      <c r="Q283" s="225">
        <f t="shared" si="90"/>
        <v>17767621.300000001</v>
      </c>
      <c r="R283" s="207">
        <f t="shared" si="90"/>
        <v>11067787.800000001</v>
      </c>
      <c r="S283" s="226">
        <f t="shared" si="90"/>
        <v>29569296.43</v>
      </c>
      <c r="T283" s="227">
        <f>N283/'2017'!N283-1</f>
        <v>-0.2341961653620277</v>
      </c>
      <c r="U283" s="228">
        <f>O283/'2017'!O283-1</f>
        <v>0.1731207637815757</v>
      </c>
      <c r="V283" s="228">
        <f>P283/'2017'!P283-1</f>
        <v>-2.6326874998442107E-2</v>
      </c>
      <c r="W283" s="228">
        <f>Q283/'2017'!Q283-1</f>
        <v>4.9514783580802302E-2</v>
      </c>
      <c r="X283" s="228">
        <f>R283/'2017'!R283-1</f>
        <v>0.15989403974065164</v>
      </c>
      <c r="Y283" s="244">
        <f>S283/'2017'!S283-1</f>
        <v>8.9906363362777242E-2</v>
      </c>
      <c r="Z283" s="245"/>
      <c r="AA283" s="246">
        <f t="shared" si="85"/>
        <v>1776.7621300000001</v>
      </c>
      <c r="AB283" s="247"/>
      <c r="AC283" s="248"/>
      <c r="AD283" s="247">
        <f t="shared" si="80"/>
        <v>18501508.629999999</v>
      </c>
      <c r="AE283" s="177">
        <f t="shared" si="82"/>
        <v>182790.45</v>
      </c>
      <c r="AF283" s="177">
        <f t="shared" si="88"/>
        <v>311043.96999999997</v>
      </c>
      <c r="AG283" s="248">
        <f t="shared" si="81"/>
        <v>240052.90999999829</v>
      </c>
      <c r="AH283" s="263"/>
      <c r="AI283" s="264"/>
      <c r="AJ283" s="264"/>
      <c r="AK283" s="264"/>
      <c r="AL283" s="264"/>
      <c r="AM283" s="264"/>
      <c r="AN283" s="264"/>
      <c r="AO283" s="264"/>
      <c r="AP283" s="264"/>
      <c r="AQ283" s="264"/>
      <c r="AR283" s="264"/>
      <c r="AS283" s="264"/>
      <c r="AT283" s="264"/>
      <c r="AU283" s="264"/>
      <c r="AV283" s="264"/>
      <c r="AW283" s="264"/>
      <c r="AX283" s="264"/>
      <c r="AY283" s="264"/>
      <c r="AZ283" s="264"/>
      <c r="BA283" s="264"/>
      <c r="BB283" s="264"/>
      <c r="BC283" s="264"/>
    </row>
    <row r="284" spans="1:55" ht="15" customHeight="1" x14ac:dyDescent="0.15">
      <c r="A284" s="342">
        <v>43014</v>
      </c>
      <c r="B284" s="175" t="s">
        <v>39</v>
      </c>
      <c r="C284" s="176">
        <f>44383+4283</f>
        <v>48666</v>
      </c>
      <c r="D284" s="177">
        <f>24438+13369</f>
        <v>37807</v>
      </c>
      <c r="E284" s="177">
        <f>70768+24438</f>
        <v>95206</v>
      </c>
      <c r="F284" s="178">
        <v>4699</v>
      </c>
      <c r="G284" s="177">
        <v>3143</v>
      </c>
      <c r="H284" s="179"/>
      <c r="I284" s="179"/>
      <c r="J284" s="204">
        <f t="shared" si="78"/>
        <v>57399</v>
      </c>
      <c r="K284" s="177">
        <v>455</v>
      </c>
      <c r="L284" s="344">
        <v>6780</v>
      </c>
      <c r="M284" s="205">
        <f t="shared" si="79"/>
        <v>1498</v>
      </c>
      <c r="N284" s="206">
        <f t="shared" si="89"/>
        <v>247654</v>
      </c>
      <c r="O284" s="209">
        <f t="shared" si="89"/>
        <v>191155</v>
      </c>
      <c r="P284" s="208">
        <f t="shared" si="89"/>
        <v>485831</v>
      </c>
      <c r="Q284" s="225">
        <f t="shared" si="90"/>
        <v>17816287.300000001</v>
      </c>
      <c r="R284" s="207">
        <f t="shared" si="90"/>
        <v>11105594.800000001</v>
      </c>
      <c r="S284" s="226">
        <f t="shared" si="90"/>
        <v>29664502.43</v>
      </c>
      <c r="T284" s="227">
        <f>N284/'2017'!N284-1</f>
        <v>-0.22221908162720505</v>
      </c>
      <c r="U284" s="228">
        <f>O284/'2017'!O284-1</f>
        <v>0.15762413172891176</v>
      </c>
      <c r="V284" s="228">
        <f>P284/'2017'!P284-1</f>
        <v>-1.9786618459440186E-2</v>
      </c>
      <c r="W284" s="228">
        <f>Q284/'2017'!Q284-1</f>
        <v>4.8761129275576298E-2</v>
      </c>
      <c r="X284" s="228">
        <f>R284/'2017'!R284-1</f>
        <v>0.15967435623768544</v>
      </c>
      <c r="Y284" s="244">
        <f>S284/'2017'!S284-1</f>
        <v>8.9622180946800745E-2</v>
      </c>
      <c r="Z284" s="245">
        <v>95.68</v>
      </c>
      <c r="AA284" s="246">
        <f t="shared" si="85"/>
        <v>1685.9487300000001</v>
      </c>
      <c r="AB284" s="247">
        <v>4283.88</v>
      </c>
      <c r="AC284" s="248">
        <f t="shared" si="87"/>
        <v>3935.5647917308611</v>
      </c>
      <c r="AD284" s="247">
        <f t="shared" si="80"/>
        <v>18558907.629999999</v>
      </c>
      <c r="AE284" s="177">
        <f t="shared" si="82"/>
        <v>183245.45</v>
      </c>
      <c r="AF284" s="177">
        <f t="shared" si="88"/>
        <v>317823.96999999997</v>
      </c>
      <c r="AG284" s="248">
        <f t="shared" si="81"/>
        <v>241550.90999999829</v>
      </c>
      <c r="AH284" s="263"/>
      <c r="AI284" s="264"/>
      <c r="AJ284" s="264"/>
      <c r="AK284" s="264"/>
      <c r="AL284" s="264"/>
      <c r="AM284" s="264"/>
      <c r="AN284" s="264"/>
      <c r="AO284" s="264"/>
      <c r="AP284" s="264"/>
      <c r="AQ284" s="264"/>
      <c r="AR284" s="264"/>
      <c r="AS284" s="264"/>
      <c r="AT284" s="264"/>
      <c r="AU284" s="264"/>
      <c r="AV284" s="264"/>
      <c r="AW284" s="264"/>
      <c r="AX284" s="264"/>
      <c r="AY284" s="264"/>
      <c r="AZ284" s="264"/>
      <c r="BA284" s="264"/>
      <c r="BB284" s="264"/>
      <c r="BC284" s="264"/>
    </row>
    <row r="285" spans="1:55" ht="15" customHeight="1" x14ac:dyDescent="0.15">
      <c r="A285" s="180">
        <v>43015</v>
      </c>
      <c r="B285" s="175" t="s">
        <v>1</v>
      </c>
      <c r="C285" s="176">
        <v>48706</v>
      </c>
      <c r="D285" s="177">
        <f>28325+11128</f>
        <v>39453</v>
      </c>
      <c r="E285" s="177">
        <v>96198</v>
      </c>
      <c r="F285" s="178">
        <v>4682.5</v>
      </c>
      <c r="G285" s="177">
        <v>3287.9</v>
      </c>
      <c r="H285" s="179"/>
      <c r="I285" s="179"/>
      <c r="J285" s="204">
        <f t="shared" si="78"/>
        <v>56745</v>
      </c>
      <c r="K285" s="177">
        <v>185</v>
      </c>
      <c r="L285" s="344">
        <v>6783</v>
      </c>
      <c r="M285" s="205">
        <f t="shared" si="79"/>
        <v>1071</v>
      </c>
      <c r="N285" s="206">
        <f t="shared" si="89"/>
        <v>296360</v>
      </c>
      <c r="O285" s="209">
        <f t="shared" si="89"/>
        <v>230608</v>
      </c>
      <c r="P285" s="208">
        <f t="shared" si="89"/>
        <v>582029</v>
      </c>
      <c r="Q285" s="225">
        <f t="shared" si="90"/>
        <v>17864993.300000001</v>
      </c>
      <c r="R285" s="207">
        <f t="shared" si="90"/>
        <v>11145047.800000001</v>
      </c>
      <c r="S285" s="226">
        <f t="shared" si="90"/>
        <v>29760700.43</v>
      </c>
      <c r="T285" s="227">
        <f>N285/'2017'!N285-1</f>
        <v>-0.20297124231169539</v>
      </c>
      <c r="U285" s="228">
        <f>O285/'2017'!O285-1</f>
        <v>0.11352113492163141</v>
      </c>
      <c r="V285" s="228">
        <f>P285/'2017'!P285-1</f>
        <v>-1.8085226630496165E-2</v>
      </c>
      <c r="W285" s="228">
        <f>Q285/'2017'!Q285-1</f>
        <v>4.8331655272458196E-2</v>
      </c>
      <c r="X285" s="228">
        <f>R285/'2017'!R285-1</f>
        <v>0.15871581361150988</v>
      </c>
      <c r="Y285" s="244">
        <f>S285/'2017'!S285-1</f>
        <v>8.92702151463316E-2</v>
      </c>
      <c r="Z285" s="245"/>
      <c r="AA285" s="246">
        <f t="shared" si="85"/>
        <v>1786.4993300000001</v>
      </c>
      <c r="AB285" s="247"/>
      <c r="AC285" s="248"/>
      <c r="AD285" s="247">
        <f t="shared" si="80"/>
        <v>18615652.629999999</v>
      </c>
      <c r="AE285" s="177">
        <f t="shared" si="82"/>
        <v>183430.45</v>
      </c>
      <c r="AF285" s="177">
        <f t="shared" si="88"/>
        <v>324606.96999999997</v>
      </c>
      <c r="AG285" s="248">
        <f t="shared" si="81"/>
        <v>242621.90999999829</v>
      </c>
      <c r="AH285" s="263"/>
      <c r="AI285" s="264"/>
      <c r="AJ285" s="264"/>
      <c r="AK285" s="264"/>
      <c r="AL285" s="264"/>
      <c r="AM285" s="264"/>
      <c r="AN285" s="264"/>
      <c r="AO285" s="264"/>
      <c r="AP285" s="264"/>
      <c r="AQ285" s="264"/>
      <c r="AR285" s="264"/>
      <c r="AS285" s="264"/>
      <c r="AT285" s="264"/>
      <c r="AU285" s="264"/>
      <c r="AV285" s="264"/>
      <c r="AW285" s="264"/>
      <c r="AX285" s="264"/>
      <c r="AY285" s="264"/>
      <c r="AZ285" s="264"/>
      <c r="BA285" s="264"/>
      <c r="BB285" s="264"/>
      <c r="BC285" s="264"/>
    </row>
    <row r="286" spans="1:55" ht="15" customHeight="1" x14ac:dyDescent="0.15">
      <c r="A286" s="180">
        <v>43016</v>
      </c>
      <c r="B286" s="175" t="s">
        <v>34</v>
      </c>
      <c r="C286" s="176">
        <v>49747</v>
      </c>
      <c r="D286" s="177">
        <f>32052+11097</f>
        <v>43149</v>
      </c>
      <c r="E286" s="177">
        <v>100671</v>
      </c>
      <c r="F286" s="178">
        <v>4971.6000000000004</v>
      </c>
      <c r="G286" s="177">
        <v>3277.6</v>
      </c>
      <c r="H286" s="179"/>
      <c r="I286" s="179"/>
      <c r="J286" s="204">
        <f t="shared" si="78"/>
        <v>57522</v>
      </c>
      <c r="K286" s="177">
        <v>238</v>
      </c>
      <c r="L286" s="344">
        <v>6612</v>
      </c>
      <c r="M286" s="205">
        <f t="shared" si="79"/>
        <v>925</v>
      </c>
      <c r="N286" s="206">
        <f t="shared" si="89"/>
        <v>346107</v>
      </c>
      <c r="O286" s="209">
        <f t="shared" si="89"/>
        <v>273757</v>
      </c>
      <c r="P286" s="208">
        <f t="shared" si="89"/>
        <v>682700</v>
      </c>
      <c r="Q286" s="225">
        <f t="shared" si="90"/>
        <v>17914740.300000001</v>
      </c>
      <c r="R286" s="207">
        <f t="shared" si="90"/>
        <v>11188196.800000001</v>
      </c>
      <c r="S286" s="226">
        <f t="shared" si="90"/>
        <v>29861371.43</v>
      </c>
      <c r="T286" s="227">
        <f>N286/'2017'!N286-1</f>
        <v>-0.181596339603457</v>
      </c>
      <c r="U286" s="228">
        <f>O286/'2017'!O286-1</f>
        <v>9.1739680083588127E-2</v>
      </c>
      <c r="V286" s="228">
        <f>P286/'2017'!P286-1</f>
        <v>-1.0231139372271714E-2</v>
      </c>
      <c r="W286" s="228">
        <f>Q286/'2017'!Q286-1</f>
        <v>4.8109598438767165E-2</v>
      </c>
      <c r="X286" s="228">
        <f>R286/'2017'!R286-1</f>
        <v>0.15794633942527847</v>
      </c>
      <c r="Y286" s="244">
        <f>S286/'2017'!S286-1</f>
        <v>8.9087969968786318E-2</v>
      </c>
      <c r="Z286" s="245"/>
      <c r="AA286" s="246">
        <f t="shared" si="85"/>
        <v>1791.4740300000001</v>
      </c>
      <c r="AB286" s="247"/>
      <c r="AC286" s="248"/>
      <c r="AD286" s="247">
        <f t="shared" si="80"/>
        <v>18673174.629999999</v>
      </c>
      <c r="AE286" s="177">
        <f t="shared" si="82"/>
        <v>183668.45</v>
      </c>
      <c r="AF286" s="177">
        <f t="shared" si="88"/>
        <v>331218.96999999997</v>
      </c>
      <c r="AG286" s="248">
        <f t="shared" si="81"/>
        <v>243546.90999999829</v>
      </c>
      <c r="AH286" s="263"/>
      <c r="AI286" s="264"/>
      <c r="AJ286" s="264"/>
      <c r="AK286" s="264"/>
      <c r="AL286" s="264"/>
      <c r="AM286" s="264"/>
      <c r="AN286" s="264"/>
      <c r="AO286" s="264"/>
      <c r="AP286" s="264"/>
      <c r="AQ286" s="264"/>
      <c r="AR286" s="264"/>
      <c r="AS286" s="264"/>
      <c r="AT286" s="264"/>
      <c r="AU286" s="264"/>
      <c r="AV286" s="264"/>
      <c r="AW286" s="264"/>
      <c r="AX286" s="264"/>
      <c r="AY286" s="264"/>
      <c r="AZ286" s="264"/>
      <c r="BA286" s="264"/>
      <c r="BB286" s="264"/>
      <c r="BC286" s="264"/>
    </row>
    <row r="287" spans="1:55" ht="15" customHeight="1" x14ac:dyDescent="0.15">
      <c r="A287" s="180">
        <v>43017</v>
      </c>
      <c r="B287" s="175" t="s">
        <v>35</v>
      </c>
      <c r="C287" s="176">
        <v>54427</v>
      </c>
      <c r="D287" s="177">
        <f>32823+11082</f>
        <v>43905</v>
      </c>
      <c r="E287" s="177">
        <v>103628</v>
      </c>
      <c r="F287" s="178">
        <v>5136.8999999999996</v>
      </c>
      <c r="G287" s="177">
        <v>3438.4</v>
      </c>
      <c r="H287" s="179"/>
      <c r="I287" s="179"/>
      <c r="J287" s="204">
        <f t="shared" si="78"/>
        <v>59723</v>
      </c>
      <c r="K287" s="177">
        <v>709</v>
      </c>
      <c r="L287" s="344">
        <v>3996</v>
      </c>
      <c r="M287" s="205">
        <f t="shared" si="79"/>
        <v>591</v>
      </c>
      <c r="N287" s="206">
        <f t="shared" si="89"/>
        <v>400534</v>
      </c>
      <c r="O287" s="209">
        <f t="shared" si="89"/>
        <v>317662</v>
      </c>
      <c r="P287" s="208">
        <f t="shared" si="89"/>
        <v>786328</v>
      </c>
      <c r="Q287" s="225">
        <f t="shared" si="90"/>
        <v>17969167.300000001</v>
      </c>
      <c r="R287" s="207">
        <f t="shared" si="90"/>
        <v>11232101.800000001</v>
      </c>
      <c r="S287" s="226">
        <f t="shared" si="90"/>
        <v>29964999.43</v>
      </c>
      <c r="T287" s="227">
        <f>N287/'2017'!N287-1</f>
        <v>-0.1657227601922111</v>
      </c>
      <c r="U287" s="228">
        <f>O287/'2017'!O287-1</f>
        <v>7.8256796342245805E-2</v>
      </c>
      <c r="V287" s="228">
        <f>P287/'2017'!P287-1</f>
        <v>-8.2185146132152109E-3</v>
      </c>
      <c r="W287" s="228">
        <f>Q287/'2017'!Q287-1</f>
        <v>4.7787930471709705E-2</v>
      </c>
      <c r="X287" s="228">
        <f>R287/'2017'!R287-1</f>
        <v>0.15723795190932743</v>
      </c>
      <c r="Y287" s="244">
        <f>S287/'2017'!S287-1</f>
        <v>8.8773934656659836E-2</v>
      </c>
      <c r="Z287" s="245"/>
      <c r="AA287" s="246">
        <f t="shared" si="85"/>
        <v>1796.9167300000001</v>
      </c>
      <c r="AB287" s="247"/>
      <c r="AC287" s="248"/>
      <c r="AD287" s="247">
        <f t="shared" si="80"/>
        <v>18732897.629999999</v>
      </c>
      <c r="AE287" s="177">
        <f t="shared" si="82"/>
        <v>184377.45</v>
      </c>
      <c r="AF287" s="177">
        <f t="shared" si="88"/>
        <v>335214.96999999997</v>
      </c>
      <c r="AG287" s="248">
        <f t="shared" si="81"/>
        <v>244137.90999999829</v>
      </c>
      <c r="AH287" s="263"/>
      <c r="AI287" s="264"/>
      <c r="AJ287" s="264"/>
      <c r="AK287" s="264"/>
      <c r="AL287" s="264"/>
      <c r="AM287" s="264"/>
      <c r="AN287" s="264"/>
      <c r="AO287" s="264"/>
      <c r="AP287" s="264"/>
      <c r="AQ287" s="264"/>
      <c r="AR287" s="264"/>
      <c r="AS287" s="264"/>
      <c r="AT287" s="264"/>
      <c r="AU287" s="264"/>
      <c r="AV287" s="264"/>
      <c r="AW287" s="264"/>
      <c r="AX287" s="264"/>
      <c r="AY287" s="264"/>
      <c r="AZ287" s="264"/>
      <c r="BA287" s="264"/>
      <c r="BB287" s="264"/>
      <c r="BC287" s="264"/>
    </row>
    <row r="288" spans="1:55" ht="15" customHeight="1" x14ac:dyDescent="0.15">
      <c r="A288" s="180">
        <v>43018</v>
      </c>
      <c r="B288" s="175" t="s">
        <v>36</v>
      </c>
      <c r="C288" s="176">
        <v>52161</v>
      </c>
      <c r="D288" s="177">
        <f>34139+11013</f>
        <v>45152</v>
      </c>
      <c r="E288" s="177">
        <v>102847</v>
      </c>
      <c r="F288" s="178">
        <v>5211.8999999999996</v>
      </c>
      <c r="G288" s="177">
        <v>3381</v>
      </c>
      <c r="H288" s="179"/>
      <c r="I288" s="179"/>
      <c r="J288" s="204">
        <f t="shared" si="78"/>
        <v>57695</v>
      </c>
      <c r="K288" s="177">
        <v>577</v>
      </c>
      <c r="L288" s="344">
        <v>4388</v>
      </c>
      <c r="M288" s="205">
        <f t="shared" si="79"/>
        <v>569</v>
      </c>
      <c r="N288" s="206">
        <f t="shared" si="89"/>
        <v>452695</v>
      </c>
      <c r="O288" s="209">
        <f t="shared" si="89"/>
        <v>362814</v>
      </c>
      <c r="P288" s="208">
        <f t="shared" si="89"/>
        <v>889175</v>
      </c>
      <c r="Q288" s="225">
        <f t="shared" si="90"/>
        <v>18021328.300000001</v>
      </c>
      <c r="R288" s="207">
        <f t="shared" si="90"/>
        <v>11277253.800000001</v>
      </c>
      <c r="S288" s="226">
        <f t="shared" si="90"/>
        <v>30067846.43</v>
      </c>
      <c r="T288" s="227">
        <f>N288/'2017'!N288-1</f>
        <v>-0.16946297950879075</v>
      </c>
      <c r="U288" s="228">
        <f>O288/'2017'!O288-1</f>
        <v>7.6254494108712878E-2</v>
      </c>
      <c r="V288" s="228">
        <f>P288/'2017'!P288-1</f>
        <v>-1.4932631994097445E-2</v>
      </c>
      <c r="W288" s="228">
        <f>Q288/'2017'!Q288-1</f>
        <v>4.686373813107414E-2</v>
      </c>
      <c r="X288" s="228">
        <f>R288/'2017'!R288-1</f>
        <v>0.15682437160830975</v>
      </c>
      <c r="Y288" s="244">
        <f>S288/'2017'!S288-1</f>
        <v>8.8169146287701228E-2</v>
      </c>
      <c r="Z288" s="245"/>
      <c r="AA288" s="246">
        <f t="shared" si="85"/>
        <v>1802.13283</v>
      </c>
      <c r="AB288" s="247"/>
      <c r="AC288" s="248"/>
      <c r="AD288" s="247">
        <f t="shared" si="80"/>
        <v>18790592.629999999</v>
      </c>
      <c r="AE288" s="177">
        <f t="shared" si="82"/>
        <v>184954.45</v>
      </c>
      <c r="AF288" s="177">
        <f t="shared" si="88"/>
        <v>339602.97</v>
      </c>
      <c r="AG288" s="248">
        <f t="shared" si="81"/>
        <v>244706.90999999829</v>
      </c>
      <c r="AH288" s="263"/>
      <c r="AI288" s="264"/>
      <c r="AJ288" s="264"/>
      <c r="AK288" s="264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264"/>
    </row>
    <row r="289" spans="1:55" s="157" customFormat="1" x14ac:dyDescent="0.15">
      <c r="A289" s="181">
        <v>43019</v>
      </c>
      <c r="B289" s="182" t="s">
        <v>37</v>
      </c>
      <c r="C289" s="183">
        <f>41101+4003</f>
        <v>45104</v>
      </c>
      <c r="D289" s="184">
        <f>32513+14229</f>
        <v>46742</v>
      </c>
      <c r="E289" s="184">
        <f>67232+32513</f>
        <v>99745</v>
      </c>
      <c r="F289" s="185">
        <v>4855</v>
      </c>
      <c r="G289" s="184">
        <v>3340</v>
      </c>
      <c r="H289" s="186"/>
      <c r="I289" s="186"/>
      <c r="J289" s="210">
        <f t="shared" si="78"/>
        <v>53003</v>
      </c>
      <c r="K289" s="184">
        <v>411</v>
      </c>
      <c r="L289" s="345">
        <v>6289</v>
      </c>
      <c r="M289" s="211">
        <f t="shared" si="79"/>
        <v>1199</v>
      </c>
      <c r="N289" s="212">
        <f t="shared" si="89"/>
        <v>497799</v>
      </c>
      <c r="O289" s="215">
        <f t="shared" si="89"/>
        <v>409556</v>
      </c>
      <c r="P289" s="214">
        <f t="shared" si="89"/>
        <v>988920</v>
      </c>
      <c r="Q289" s="229">
        <f t="shared" si="90"/>
        <v>18066432.300000001</v>
      </c>
      <c r="R289" s="213">
        <f t="shared" si="90"/>
        <v>11323995.800000001</v>
      </c>
      <c r="S289" s="230">
        <f t="shared" si="90"/>
        <v>30167591.43</v>
      </c>
      <c r="T289" s="231">
        <f>N289/'2017'!N289-1</f>
        <v>-0.1735855634504283</v>
      </c>
      <c r="U289" s="232">
        <f>O289/'2017'!O289-1</f>
        <v>6.8605810124666711E-2</v>
      </c>
      <c r="V289" s="232">
        <f>P289/'2017'!P289-1</f>
        <v>-1.8965554869955326E-2</v>
      </c>
      <c r="W289" s="232">
        <f>Q289/'2017'!Q289-1</f>
        <v>4.6002329471230841E-2</v>
      </c>
      <c r="X289" s="232">
        <f>R289/'2017'!R289-1</f>
        <v>0.15614541954290795</v>
      </c>
      <c r="Y289" s="249">
        <f>S289/'2017'!S289-1</f>
        <v>8.7630853395248343E-2</v>
      </c>
      <c r="Z289" s="250">
        <v>97.3</v>
      </c>
      <c r="AA289" s="251">
        <f t="shared" si="85"/>
        <v>1709.3432300000002</v>
      </c>
      <c r="AB289" s="252">
        <v>4283.88</v>
      </c>
      <c r="AC289" s="211">
        <f t="shared" si="87"/>
        <v>3990.1753317086382</v>
      </c>
      <c r="AD289" s="252">
        <f t="shared" si="80"/>
        <v>18843595.629999999</v>
      </c>
      <c r="AE289" s="184">
        <f t="shared" si="82"/>
        <v>185365.45</v>
      </c>
      <c r="AF289" s="184">
        <f t="shared" si="88"/>
        <v>345891.97</v>
      </c>
      <c r="AG289" s="211">
        <f t="shared" si="81"/>
        <v>245905.90999999829</v>
      </c>
      <c r="AH289" s="263"/>
      <c r="AI289" s="264"/>
      <c r="AJ289" s="264"/>
      <c r="AK289" s="264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264"/>
    </row>
    <row r="290" spans="1:55" ht="15" customHeight="1" x14ac:dyDescent="0.15">
      <c r="A290" s="180">
        <v>43020</v>
      </c>
      <c r="B290" s="175" t="s">
        <v>38</v>
      </c>
      <c r="C290" s="176">
        <v>43465</v>
      </c>
      <c r="D290" s="177">
        <f>38447+11046</f>
        <v>49493</v>
      </c>
      <c r="E290" s="177">
        <v>101113</v>
      </c>
      <c r="F290" s="178">
        <v>4917.1000000000004</v>
      </c>
      <c r="G290" s="177">
        <v>3391</v>
      </c>
      <c r="H290" s="179"/>
      <c r="I290" s="179"/>
      <c r="J290" s="204">
        <f t="shared" si="78"/>
        <v>51620</v>
      </c>
      <c r="K290" s="177">
        <v>655</v>
      </c>
      <c r="L290" s="344">
        <v>6450</v>
      </c>
      <c r="M290" s="205">
        <f t="shared" si="79"/>
        <v>1050</v>
      </c>
      <c r="N290" s="206">
        <f t="shared" si="89"/>
        <v>541264</v>
      </c>
      <c r="O290" s="209">
        <f t="shared" si="89"/>
        <v>459049</v>
      </c>
      <c r="P290" s="208">
        <f t="shared" si="89"/>
        <v>1090033</v>
      </c>
      <c r="Q290" s="225">
        <f t="shared" si="90"/>
        <v>18109897.300000001</v>
      </c>
      <c r="R290" s="207">
        <f t="shared" si="90"/>
        <v>11373488.800000001</v>
      </c>
      <c r="S290" s="226">
        <f t="shared" si="90"/>
        <v>30268704.43</v>
      </c>
      <c r="T290" s="227">
        <f>N290/'2017'!N290-1</f>
        <v>-0.17721901901201953</v>
      </c>
      <c r="U290" s="228">
        <f>O290/'2017'!O290-1</f>
        <v>7.1555456996463596E-2</v>
      </c>
      <c r="V290" s="228">
        <f>P290/'2017'!P290-1</f>
        <v>-1.8162542323569619E-2</v>
      </c>
      <c r="W290" s="228">
        <f>Q290/'2017'!Q290-1</f>
        <v>4.5161201862878642E-2</v>
      </c>
      <c r="X290" s="228">
        <f>R290/'2017'!R290-1</f>
        <v>0.15587231173165583</v>
      </c>
      <c r="Y290" s="244">
        <f>S290/'2017'!S290-1</f>
        <v>8.7271708609695242E-2</v>
      </c>
      <c r="Z290" s="245"/>
      <c r="AA290" s="246">
        <f t="shared" si="85"/>
        <v>1810.98973</v>
      </c>
      <c r="AB290" s="247"/>
      <c r="AC290" s="248"/>
      <c r="AD290" s="247">
        <f t="shared" si="80"/>
        <v>18895215.629999999</v>
      </c>
      <c r="AE290" s="177">
        <f t="shared" si="82"/>
        <v>186020.45</v>
      </c>
      <c r="AF290" s="177">
        <f t="shared" si="88"/>
        <v>352341.97</v>
      </c>
      <c r="AG290" s="248">
        <f t="shared" si="81"/>
        <v>246955.90999999829</v>
      </c>
      <c r="AH290" s="263"/>
      <c r="AI290" s="264"/>
      <c r="AJ290" s="264"/>
      <c r="AK290" s="264"/>
      <c r="AL290" s="264"/>
      <c r="AM290" s="264"/>
      <c r="AN290" s="264"/>
      <c r="AO290" s="264"/>
      <c r="AP290" s="264"/>
      <c r="AQ290" s="264"/>
      <c r="AR290" s="264"/>
      <c r="AS290" s="264"/>
      <c r="AT290" s="264"/>
      <c r="AU290" s="264"/>
      <c r="AV290" s="264"/>
      <c r="AW290" s="264"/>
      <c r="AX290" s="264"/>
      <c r="AY290" s="264"/>
      <c r="AZ290" s="264"/>
      <c r="BA290" s="264"/>
      <c r="BB290" s="264"/>
      <c r="BC290" s="264"/>
    </row>
    <row r="291" spans="1:55" ht="15" customHeight="1" x14ac:dyDescent="0.15">
      <c r="A291" s="180">
        <v>43021</v>
      </c>
      <c r="B291" s="175" t="s">
        <v>39</v>
      </c>
      <c r="C291" s="176">
        <v>38987</v>
      </c>
      <c r="D291" s="177">
        <f>43347+11210</f>
        <v>54557</v>
      </c>
      <c r="E291" s="177">
        <v>100732</v>
      </c>
      <c r="F291" s="178">
        <v>4886.3</v>
      </c>
      <c r="G291" s="177">
        <v>3405.1</v>
      </c>
      <c r="H291" s="179"/>
      <c r="I291" s="179"/>
      <c r="J291" s="204">
        <f t="shared" si="78"/>
        <v>46175</v>
      </c>
      <c r="K291" s="177">
        <v>706</v>
      </c>
      <c r="L291" s="344">
        <v>5447</v>
      </c>
      <c r="M291" s="205">
        <f t="shared" si="79"/>
        <v>1035</v>
      </c>
      <c r="N291" s="206">
        <f t="shared" si="89"/>
        <v>580251</v>
      </c>
      <c r="O291" s="209">
        <f t="shared" si="89"/>
        <v>513606</v>
      </c>
      <c r="P291" s="208">
        <f t="shared" si="89"/>
        <v>1190765</v>
      </c>
      <c r="Q291" s="225">
        <f t="shared" si="90"/>
        <v>18148884.300000001</v>
      </c>
      <c r="R291" s="207">
        <f t="shared" si="90"/>
        <v>11428045.800000001</v>
      </c>
      <c r="S291" s="226">
        <f t="shared" si="90"/>
        <v>30369436.43</v>
      </c>
      <c r="T291" s="227">
        <f>N291/'2017'!N291-1</f>
        <v>-0.18263685614715186</v>
      </c>
      <c r="U291" s="228">
        <f>O291/'2017'!O291-1</f>
        <v>8.3040575590541232E-2</v>
      </c>
      <c r="V291" s="228">
        <f>P291/'2017'!P291-1</f>
        <v>-1.5793393190855598E-2</v>
      </c>
      <c r="W291" s="228">
        <f>Q291/'2017'!Q291-1</f>
        <v>4.4273770812572666E-2</v>
      </c>
      <c r="X291" s="228">
        <f>R291/'2017'!R291-1</f>
        <v>0.15603236473018889</v>
      </c>
      <c r="Y291" s="244">
        <f>S291/'2017'!S291-1</f>
        <v>8.699815027221236E-2</v>
      </c>
      <c r="Z291" s="245"/>
      <c r="AA291" s="246">
        <f t="shared" si="85"/>
        <v>1814.88843</v>
      </c>
      <c r="AB291" s="247"/>
      <c r="AC291" s="248"/>
      <c r="AD291" s="247">
        <f t="shared" si="80"/>
        <v>18941390.629999999</v>
      </c>
      <c r="AE291" s="177">
        <f t="shared" si="82"/>
        <v>186726.45</v>
      </c>
      <c r="AF291" s="177">
        <f t="shared" si="88"/>
        <v>357788.97</v>
      </c>
      <c r="AG291" s="248">
        <f t="shared" si="81"/>
        <v>247990.90999999829</v>
      </c>
      <c r="AH291" s="263"/>
      <c r="AI291" s="264"/>
      <c r="AJ291" s="264"/>
      <c r="AK291" s="264"/>
      <c r="AL291" s="264"/>
      <c r="AM291" s="264"/>
      <c r="AN291" s="264"/>
      <c r="AO291" s="264"/>
      <c r="AP291" s="264"/>
      <c r="AQ291" s="264"/>
      <c r="AR291" s="264"/>
      <c r="AS291" s="264"/>
      <c r="AT291" s="264"/>
      <c r="AU291" s="264"/>
      <c r="AV291" s="264"/>
      <c r="AW291" s="264"/>
      <c r="AX291" s="264"/>
      <c r="AY291" s="264"/>
      <c r="AZ291" s="264"/>
      <c r="BA291" s="264"/>
      <c r="BB291" s="264"/>
      <c r="BC291" s="264"/>
    </row>
    <row r="292" spans="1:55" ht="15" customHeight="1" x14ac:dyDescent="0.15">
      <c r="A292" s="180">
        <v>43022</v>
      </c>
      <c r="B292" s="175" t="s">
        <v>1</v>
      </c>
      <c r="C292" s="176">
        <v>35028</v>
      </c>
      <c r="D292" s="177">
        <f>45338+10900</f>
        <v>56238</v>
      </c>
      <c r="E292" s="177">
        <v>97314</v>
      </c>
      <c r="F292" s="178">
        <v>4770.8</v>
      </c>
      <c r="G292" s="177">
        <v>3359.1</v>
      </c>
      <c r="H292" s="179"/>
      <c r="I292" s="179"/>
      <c r="J292" s="204">
        <f t="shared" si="78"/>
        <v>41076</v>
      </c>
      <c r="K292" s="177">
        <v>802</v>
      </c>
      <c r="L292" s="344">
        <v>4900</v>
      </c>
      <c r="M292" s="205">
        <f t="shared" si="79"/>
        <v>346</v>
      </c>
      <c r="N292" s="206">
        <f t="shared" si="89"/>
        <v>615279</v>
      </c>
      <c r="O292" s="209">
        <f t="shared" si="89"/>
        <v>569844</v>
      </c>
      <c r="P292" s="208">
        <f t="shared" si="89"/>
        <v>1288079</v>
      </c>
      <c r="Q292" s="225">
        <f t="shared" si="90"/>
        <v>18183912.300000001</v>
      </c>
      <c r="R292" s="207">
        <f t="shared" si="90"/>
        <v>11484283.800000001</v>
      </c>
      <c r="S292" s="226">
        <f t="shared" si="90"/>
        <v>30466750.43</v>
      </c>
      <c r="T292" s="227">
        <f>N292/'2017'!N292-1</f>
        <v>-0.19090250390886465</v>
      </c>
      <c r="U292" s="228">
        <f>O292/'2017'!O292-1</f>
        <v>9.6045654143321224E-2</v>
      </c>
      <c r="V292" s="228">
        <f>P292/'2017'!P292-1</f>
        <v>-1.4936410703497272E-2</v>
      </c>
      <c r="W292" s="228">
        <f>Q292/'2017'!Q292-1</f>
        <v>4.3255133873578266E-2</v>
      </c>
      <c r="X292" s="228">
        <f>R292/'2017'!R292-1</f>
        <v>0.15637743411988358</v>
      </c>
      <c r="Y292" s="244">
        <f>S292/'2017'!S292-1</f>
        <v>8.6679782331500643E-2</v>
      </c>
      <c r="Z292" s="245"/>
      <c r="AA292" s="246">
        <f t="shared" si="85"/>
        <v>1818.3912300000002</v>
      </c>
      <c r="AB292" s="247"/>
      <c r="AC292" s="248"/>
      <c r="AD292" s="247">
        <f t="shared" si="80"/>
        <v>18982466.629999999</v>
      </c>
      <c r="AE292" s="177">
        <f t="shared" si="82"/>
        <v>187528.45</v>
      </c>
      <c r="AF292" s="177">
        <f t="shared" si="88"/>
        <v>362688.97</v>
      </c>
      <c r="AG292" s="248">
        <f t="shared" si="81"/>
        <v>248336.90999999829</v>
      </c>
      <c r="AH292" s="263"/>
      <c r="AI292" s="264"/>
      <c r="AJ292" s="264"/>
      <c r="AK292" s="264"/>
      <c r="AL292" s="264"/>
      <c r="AM292" s="264"/>
      <c r="AN292" s="264"/>
      <c r="AO292" s="264"/>
      <c r="AP292" s="264"/>
      <c r="AQ292" s="264"/>
      <c r="AR292" s="264"/>
      <c r="AS292" s="264"/>
      <c r="AT292" s="264"/>
      <c r="AU292" s="264"/>
      <c r="AV292" s="264"/>
      <c r="AW292" s="264"/>
      <c r="AX292" s="264"/>
      <c r="AY292" s="264"/>
      <c r="AZ292" s="264"/>
      <c r="BA292" s="264"/>
      <c r="BB292" s="264"/>
      <c r="BC292" s="264"/>
    </row>
    <row r="293" spans="1:55" ht="15" customHeight="1" x14ac:dyDescent="0.15">
      <c r="A293" s="180">
        <v>43023</v>
      </c>
      <c r="B293" s="175" t="s">
        <v>34</v>
      </c>
      <c r="C293" s="176">
        <v>42141</v>
      </c>
      <c r="D293" s="177">
        <f>44066+10920</f>
        <v>54986</v>
      </c>
      <c r="E293" s="177">
        <v>102064</v>
      </c>
      <c r="F293" s="178">
        <v>5157.8999999999996</v>
      </c>
      <c r="G293" s="177">
        <v>3231.3</v>
      </c>
      <c r="H293" s="179"/>
      <c r="I293" s="179"/>
      <c r="J293" s="204">
        <f t="shared" si="78"/>
        <v>47078</v>
      </c>
      <c r="K293" s="177">
        <v>791</v>
      </c>
      <c r="L293" s="344">
        <v>3775</v>
      </c>
      <c r="M293" s="205">
        <f t="shared" si="79"/>
        <v>371</v>
      </c>
      <c r="N293" s="206">
        <f t="shared" si="89"/>
        <v>657420</v>
      </c>
      <c r="O293" s="209">
        <f t="shared" si="89"/>
        <v>624830</v>
      </c>
      <c r="P293" s="208">
        <f t="shared" si="89"/>
        <v>1390143</v>
      </c>
      <c r="Q293" s="225">
        <f t="shared" si="90"/>
        <v>18226053.300000001</v>
      </c>
      <c r="R293" s="207">
        <f t="shared" si="90"/>
        <v>11539269.800000001</v>
      </c>
      <c r="S293" s="226">
        <f t="shared" si="90"/>
        <v>30568814.43</v>
      </c>
      <c r="T293" s="227">
        <f>N293/'2017'!N293-1</f>
        <v>-0.18281553373921988</v>
      </c>
      <c r="U293" s="228">
        <f>O293/'2017'!O293-1</f>
        <v>0.10299088946436541</v>
      </c>
      <c r="V293" s="228">
        <f>P293/'2017'!P293-1</f>
        <v>-6.9109033537955167E-3</v>
      </c>
      <c r="W293" s="228">
        <f>Q293/'2017'!Q293-1</f>
        <v>4.3037262656480557E-2</v>
      </c>
      <c r="X293" s="228">
        <f>R293/'2017'!R293-1</f>
        <v>0.15649010902864036</v>
      </c>
      <c r="Y293" s="244">
        <f>S293/'2017'!S293-1</f>
        <v>8.6746067429326112E-2</v>
      </c>
      <c r="Z293" s="245"/>
      <c r="AA293" s="246">
        <f t="shared" si="85"/>
        <v>1822.6053300000001</v>
      </c>
      <c r="AB293" s="247"/>
      <c r="AC293" s="248"/>
      <c r="AD293" s="247">
        <f t="shared" si="80"/>
        <v>19029544.629999999</v>
      </c>
      <c r="AE293" s="177">
        <f t="shared" si="82"/>
        <v>188319.45</v>
      </c>
      <c r="AF293" s="177">
        <f t="shared" si="88"/>
        <v>366463.97</v>
      </c>
      <c r="AG293" s="248">
        <f t="shared" si="81"/>
        <v>248707.90999999829</v>
      </c>
      <c r="AH293" s="263"/>
      <c r="AI293" s="264"/>
      <c r="AJ293" s="264"/>
      <c r="AK293" s="264"/>
      <c r="AL293" s="264"/>
      <c r="AM293" s="264"/>
      <c r="AN293" s="264"/>
      <c r="AO293" s="264"/>
      <c r="AP293" s="264"/>
      <c r="AQ293" s="264"/>
      <c r="AR293" s="264"/>
      <c r="AS293" s="264"/>
      <c r="AT293" s="264"/>
      <c r="AU293" s="264"/>
      <c r="AV293" s="264"/>
      <c r="AW293" s="264"/>
      <c r="AX293" s="264"/>
      <c r="AY293" s="264"/>
      <c r="AZ293" s="264"/>
      <c r="BA293" s="264"/>
      <c r="BB293" s="264"/>
      <c r="BC293" s="264"/>
    </row>
    <row r="294" spans="1:55" ht="15" customHeight="1" x14ac:dyDescent="0.15">
      <c r="A294" s="180">
        <v>43024</v>
      </c>
      <c r="B294" s="175" t="s">
        <v>35</v>
      </c>
      <c r="C294" s="176">
        <v>42212</v>
      </c>
      <c r="D294" s="177">
        <f>45192+10824</f>
        <v>56016</v>
      </c>
      <c r="E294" s="177">
        <v>102898</v>
      </c>
      <c r="F294" s="178">
        <v>5162.8</v>
      </c>
      <c r="G294" s="177">
        <v>3359.8</v>
      </c>
      <c r="H294" s="179"/>
      <c r="I294" s="179"/>
      <c r="J294" s="204">
        <f t="shared" si="78"/>
        <v>46882</v>
      </c>
      <c r="K294" s="177">
        <v>435</v>
      </c>
      <c r="L294" s="344">
        <v>3779</v>
      </c>
      <c r="M294" s="205">
        <f t="shared" si="79"/>
        <v>456</v>
      </c>
      <c r="N294" s="206">
        <f t="shared" si="89"/>
        <v>699632</v>
      </c>
      <c r="O294" s="209">
        <f t="shared" si="89"/>
        <v>680846</v>
      </c>
      <c r="P294" s="208">
        <f t="shared" si="89"/>
        <v>1493041</v>
      </c>
      <c r="Q294" s="225">
        <f t="shared" si="90"/>
        <v>18268265.300000001</v>
      </c>
      <c r="R294" s="207">
        <f t="shared" si="90"/>
        <v>11595285.800000001</v>
      </c>
      <c r="S294" s="226">
        <f t="shared" si="90"/>
        <v>30671712.43</v>
      </c>
      <c r="T294" s="227">
        <f>N294/'2017'!N294-1</f>
        <v>-0.17950883019682207</v>
      </c>
      <c r="U294" s="228">
        <f>O294/'2017'!O294-1</f>
        <v>0.11177952719903717</v>
      </c>
      <c r="V294" s="228">
        <f>P294/'2017'!P294-1</f>
        <v>-1.7076815581757998E-3</v>
      </c>
      <c r="W294" s="228">
        <f>Q294/'2017'!Q294-1</f>
        <v>4.2576841017662792E-2</v>
      </c>
      <c r="X294" s="228">
        <f>R294/'2017'!R294-1</f>
        <v>0.15678203242042432</v>
      </c>
      <c r="Y294" s="244">
        <f>S294/'2017'!S294-1</f>
        <v>8.6703963461658873E-2</v>
      </c>
      <c r="Z294" s="245"/>
      <c r="AA294" s="246">
        <f t="shared" si="85"/>
        <v>1826.82653</v>
      </c>
      <c r="AB294" s="247"/>
      <c r="AC294" s="248"/>
      <c r="AD294" s="247">
        <f t="shared" si="80"/>
        <v>19076426.629999999</v>
      </c>
      <c r="AE294" s="177">
        <f t="shared" si="82"/>
        <v>188754.45</v>
      </c>
      <c r="AF294" s="177">
        <f t="shared" si="88"/>
        <v>370242.97</v>
      </c>
      <c r="AG294" s="248">
        <f t="shared" si="81"/>
        <v>249163.90999999829</v>
      </c>
      <c r="AH294" s="263"/>
      <c r="AI294" s="264"/>
      <c r="AJ294" s="264"/>
      <c r="AK294" s="264"/>
      <c r="AL294" s="264"/>
      <c r="AM294" s="264"/>
      <c r="AN294" s="264"/>
      <c r="AO294" s="264"/>
      <c r="AP294" s="264"/>
      <c r="AQ294" s="264"/>
      <c r="AR294" s="264"/>
      <c r="AS294" s="264"/>
      <c r="AT294" s="264"/>
      <c r="AU294" s="264"/>
      <c r="AV294" s="264"/>
      <c r="AW294" s="264"/>
      <c r="AX294" s="264"/>
      <c r="AY294" s="264"/>
      <c r="AZ294" s="264"/>
      <c r="BA294" s="264"/>
      <c r="BB294" s="264"/>
      <c r="BC294" s="264"/>
    </row>
    <row r="295" spans="1:55" ht="15" customHeight="1" x14ac:dyDescent="0.15">
      <c r="A295" s="180">
        <v>43025</v>
      </c>
      <c r="B295" s="175" t="s">
        <v>36</v>
      </c>
      <c r="C295" s="176">
        <v>38957</v>
      </c>
      <c r="D295" s="177">
        <f>46219+10868</f>
        <v>57087</v>
      </c>
      <c r="E295" s="177">
        <v>101253</v>
      </c>
      <c r="F295" s="178">
        <v>4956.2</v>
      </c>
      <c r="G295" s="177">
        <v>3387.3</v>
      </c>
      <c r="H295" s="179"/>
      <c r="I295" s="179"/>
      <c r="J295" s="204">
        <f t="shared" si="78"/>
        <v>44166</v>
      </c>
      <c r="K295" s="177">
        <v>575</v>
      </c>
      <c r="L295" s="344">
        <v>3761</v>
      </c>
      <c r="M295" s="205">
        <f t="shared" si="79"/>
        <v>873</v>
      </c>
      <c r="N295" s="206">
        <f t="shared" si="89"/>
        <v>738589</v>
      </c>
      <c r="O295" s="209">
        <f t="shared" si="89"/>
        <v>737933</v>
      </c>
      <c r="P295" s="208">
        <f t="shared" si="89"/>
        <v>1594294</v>
      </c>
      <c r="Q295" s="225">
        <f t="shared" si="90"/>
        <v>18307222.300000001</v>
      </c>
      <c r="R295" s="207">
        <f t="shared" si="90"/>
        <v>11652372.800000001</v>
      </c>
      <c r="S295" s="226">
        <f t="shared" si="90"/>
        <v>30772965.43</v>
      </c>
      <c r="T295" s="227">
        <f>N295/'2017'!N295-1</f>
        <v>-0.18399316780205188</v>
      </c>
      <c r="U295" s="228">
        <f>O295/'2017'!O295-1</f>
        <v>0.12504364132547652</v>
      </c>
      <c r="V295" s="228">
        <f>P295/'2017'!P295-1</f>
        <v>6.8541214485051682E-4</v>
      </c>
      <c r="W295" s="228">
        <f>Q295/'2017'!Q295-1</f>
        <v>4.1683385111183746E-2</v>
      </c>
      <c r="X295" s="228">
        <f>R295/'2017'!R295-1</f>
        <v>0.15745168126596454</v>
      </c>
      <c r="Y295" s="244">
        <f>S295/'2017'!S295-1</f>
        <v>8.6533887553722488E-2</v>
      </c>
      <c r="Z295" s="245"/>
      <c r="AA295" s="246">
        <f t="shared" si="85"/>
        <v>1830.7222300000001</v>
      </c>
      <c r="AB295" s="247"/>
      <c r="AC295" s="248"/>
      <c r="AD295" s="247">
        <f t="shared" si="80"/>
        <v>19120592.629999999</v>
      </c>
      <c r="AE295" s="177">
        <f t="shared" si="82"/>
        <v>189329.45</v>
      </c>
      <c r="AF295" s="177">
        <f t="shared" ref="AF295:AF310" si="91">AF294+L295</f>
        <v>374003.97</v>
      </c>
      <c r="AG295" s="248">
        <f t="shared" si="81"/>
        <v>250036.90999999829</v>
      </c>
      <c r="AH295" s="263"/>
      <c r="AI295" s="264"/>
      <c r="AJ295" s="264"/>
      <c r="AK295" s="26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264"/>
    </row>
    <row r="296" spans="1:55" s="157" customFormat="1" ht="15" customHeight="1" x14ac:dyDescent="0.15">
      <c r="A296" s="181">
        <v>43026</v>
      </c>
      <c r="B296" s="182" t="s">
        <v>37</v>
      </c>
      <c r="C296" s="183">
        <f>34424+6464</f>
        <v>40888</v>
      </c>
      <c r="D296" s="184">
        <f>41871+13644</f>
        <v>55515</v>
      </c>
      <c r="E296" s="184">
        <f>59875+41871</f>
        <v>101746</v>
      </c>
      <c r="F296" s="185">
        <v>4945</v>
      </c>
      <c r="G296" s="184">
        <v>3406</v>
      </c>
      <c r="H296" s="186"/>
      <c r="I296" s="186"/>
      <c r="J296" s="210">
        <f t="shared" si="78"/>
        <v>46231</v>
      </c>
      <c r="K296" s="184">
        <v>578</v>
      </c>
      <c r="L296" s="345">
        <v>3776</v>
      </c>
      <c r="M296" s="211">
        <f t="shared" si="79"/>
        <v>989</v>
      </c>
      <c r="N296" s="212">
        <f t="shared" ref="N296:P308" si="92">C296+N295</f>
        <v>779477</v>
      </c>
      <c r="O296" s="215">
        <f t="shared" si="92"/>
        <v>793448</v>
      </c>
      <c r="P296" s="214">
        <f t="shared" si="92"/>
        <v>1696040</v>
      </c>
      <c r="Q296" s="229">
        <f t="shared" si="90"/>
        <v>18348110.300000001</v>
      </c>
      <c r="R296" s="213">
        <f t="shared" si="90"/>
        <v>11707887.800000001</v>
      </c>
      <c r="S296" s="230">
        <f t="shared" si="90"/>
        <v>30874711.43</v>
      </c>
      <c r="T296" s="231">
        <f>N296/'2017'!N296-1</f>
        <v>-0.18637261789072745</v>
      </c>
      <c r="U296" s="232">
        <f>O296/'2017'!O296-1</f>
        <v>0.13342589894349488</v>
      </c>
      <c r="V296" s="232">
        <f>P296/'2017'!P296-1</f>
        <v>2.4250311920597234E-3</v>
      </c>
      <c r="W296" s="232">
        <f>Q296/'2017'!Q296-1</f>
        <v>4.0876801617257374E-2</v>
      </c>
      <c r="X296" s="232">
        <f>R296/'2017'!R296-1</f>
        <v>0.15789057374284887</v>
      </c>
      <c r="Y296" s="249">
        <f>S296/'2017'!S296-1</f>
        <v>8.6339209406455009E-2</v>
      </c>
      <c r="Z296" s="250">
        <v>100.81</v>
      </c>
      <c r="AA296" s="251">
        <f t="shared" si="85"/>
        <v>1734.0010300000001</v>
      </c>
      <c r="AB296" s="252">
        <v>4283.88</v>
      </c>
      <c r="AC296" s="211">
        <f t="shared" si="87"/>
        <v>4047.734833842218</v>
      </c>
      <c r="AD296" s="252">
        <f t="shared" si="80"/>
        <v>19166823.629999999</v>
      </c>
      <c r="AE296" s="184">
        <f t="shared" si="82"/>
        <v>189907.45</v>
      </c>
      <c r="AF296" s="184">
        <f t="shared" si="91"/>
        <v>377779.97</v>
      </c>
      <c r="AG296" s="211">
        <f t="shared" si="81"/>
        <v>251025.90999999829</v>
      </c>
      <c r="AH296" s="263"/>
      <c r="AI296" s="264"/>
      <c r="AJ296" s="264"/>
      <c r="AK296" s="264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264"/>
    </row>
    <row r="297" spans="1:55" ht="15" customHeight="1" x14ac:dyDescent="0.15">
      <c r="A297" s="180">
        <v>43027</v>
      </c>
      <c r="B297" s="175" t="s">
        <v>38</v>
      </c>
      <c r="C297" s="176">
        <v>41028</v>
      </c>
      <c r="D297" s="177">
        <f>45139+10981</f>
        <v>56120</v>
      </c>
      <c r="E297" s="177">
        <v>102357</v>
      </c>
      <c r="F297" s="178">
        <v>4974.3999999999996</v>
      </c>
      <c r="G297" s="177">
        <v>3423.3</v>
      </c>
      <c r="H297" s="179"/>
      <c r="I297" s="179"/>
      <c r="J297" s="204">
        <f t="shared" si="78"/>
        <v>46237</v>
      </c>
      <c r="K297" s="177">
        <v>467</v>
      </c>
      <c r="L297" s="344">
        <v>3804</v>
      </c>
      <c r="M297" s="205">
        <f t="shared" si="79"/>
        <v>938</v>
      </c>
      <c r="N297" s="206">
        <f t="shared" si="92"/>
        <v>820505</v>
      </c>
      <c r="O297" s="209">
        <f t="shared" si="92"/>
        <v>849568</v>
      </c>
      <c r="P297" s="208">
        <f t="shared" si="92"/>
        <v>1798397</v>
      </c>
      <c r="Q297" s="225">
        <f t="shared" si="90"/>
        <v>18389138.300000001</v>
      </c>
      <c r="R297" s="207">
        <f t="shared" si="90"/>
        <v>11764007.800000001</v>
      </c>
      <c r="S297" s="226">
        <f t="shared" si="90"/>
        <v>30977068.43</v>
      </c>
      <c r="T297" s="227">
        <f>N297/'2017'!N297-1</f>
        <v>-0.18867353628401884</v>
      </c>
      <c r="U297" s="228">
        <f>O297/'2017'!O297-1</f>
        <v>0.14204290350073001</v>
      </c>
      <c r="V297" s="228">
        <f>P297/'2017'!P297-1</f>
        <v>4.3140228919644752E-3</v>
      </c>
      <c r="W297" s="228">
        <f>Q297/'2017'!Q297-1</f>
        <v>4.0060315375294531E-2</v>
      </c>
      <c r="X297" s="228">
        <f>R297/'2017'!R297-1</f>
        <v>0.15841613777777264</v>
      </c>
      <c r="Y297" s="244">
        <f>S297/'2017'!S297-1</f>
        <v>8.6167303067153034E-2</v>
      </c>
      <c r="Z297" s="245"/>
      <c r="AA297" s="246">
        <f t="shared" si="85"/>
        <v>1838.91383</v>
      </c>
      <c r="AB297" s="247"/>
      <c r="AC297" s="248"/>
      <c r="AD297" s="247">
        <f t="shared" si="80"/>
        <v>19213060.629999999</v>
      </c>
      <c r="AE297" s="177">
        <f t="shared" si="82"/>
        <v>190374.45</v>
      </c>
      <c r="AF297" s="177">
        <f t="shared" si="91"/>
        <v>381583.97</v>
      </c>
      <c r="AG297" s="248">
        <f t="shared" si="81"/>
        <v>251963.90999999829</v>
      </c>
      <c r="AH297" s="263"/>
      <c r="AI297" s="264"/>
      <c r="AJ297" s="264"/>
      <c r="AK297" s="264"/>
      <c r="AL297" s="264"/>
      <c r="AM297" s="264"/>
      <c r="AN297" s="264"/>
      <c r="AO297" s="264"/>
      <c r="AP297" s="264"/>
      <c r="AQ297" s="264"/>
      <c r="AR297" s="264"/>
      <c r="AS297" s="264"/>
      <c r="AT297" s="264"/>
      <c r="AU297" s="264"/>
      <c r="AV297" s="264"/>
      <c r="AW297" s="264"/>
      <c r="AX297" s="264"/>
      <c r="AY297" s="264"/>
      <c r="AZ297" s="264"/>
      <c r="BA297" s="264"/>
      <c r="BB297" s="264"/>
      <c r="BC297" s="264"/>
    </row>
    <row r="298" spans="1:55" ht="15" customHeight="1" x14ac:dyDescent="0.15">
      <c r="A298" s="180">
        <v>43028</v>
      </c>
      <c r="B298" s="175" t="s">
        <v>39</v>
      </c>
      <c r="C298" s="176">
        <v>42985</v>
      </c>
      <c r="D298" s="177">
        <f>43787+10998</f>
        <v>54785</v>
      </c>
      <c r="E298" s="177">
        <v>102592</v>
      </c>
      <c r="F298" s="178">
        <v>5140.2</v>
      </c>
      <c r="G298" s="177">
        <v>3423.5</v>
      </c>
      <c r="H298" s="179"/>
      <c r="I298" s="179"/>
      <c r="J298" s="204">
        <f t="shared" si="78"/>
        <v>47807</v>
      </c>
      <c r="K298" s="177">
        <v>544</v>
      </c>
      <c r="L298" s="344">
        <v>3804</v>
      </c>
      <c r="M298" s="205">
        <f t="shared" si="79"/>
        <v>474</v>
      </c>
      <c r="N298" s="206">
        <f t="shared" si="92"/>
        <v>863490</v>
      </c>
      <c r="O298" s="209">
        <f t="shared" si="92"/>
        <v>904353</v>
      </c>
      <c r="P298" s="208">
        <f t="shared" si="92"/>
        <v>1900989</v>
      </c>
      <c r="Q298" s="225">
        <f t="shared" si="90"/>
        <v>18432123.300000001</v>
      </c>
      <c r="R298" s="207">
        <f t="shared" si="90"/>
        <v>11818792.800000001</v>
      </c>
      <c r="S298" s="226">
        <f t="shared" si="90"/>
        <v>31079660.43</v>
      </c>
      <c r="T298" s="227">
        <f>N298/'2017'!N298-1</f>
        <v>-0.18826462409683409</v>
      </c>
      <c r="U298" s="228">
        <f>O298/'2017'!O298-1</f>
        <v>0.14673346571413348</v>
      </c>
      <c r="V298" s="228">
        <f>P298/'2017'!P298-1</f>
        <v>6.1289006244809041E-3</v>
      </c>
      <c r="W298" s="228">
        <f>Q298/'2017'!Q298-1</f>
        <v>3.9408379520089465E-2</v>
      </c>
      <c r="X298" s="228">
        <f>R298/'2017'!R298-1</f>
        <v>0.15870699405018684</v>
      </c>
      <c r="Y298" s="244">
        <f>S298/'2017'!S298-1</f>
        <v>8.6004718522338264E-2</v>
      </c>
      <c r="Z298" s="245"/>
      <c r="AA298" s="246">
        <f t="shared" si="85"/>
        <v>1843.2123300000001</v>
      </c>
      <c r="AB298" s="247"/>
      <c r="AC298" s="248"/>
      <c r="AD298" s="247">
        <f t="shared" si="80"/>
        <v>19260867.629999999</v>
      </c>
      <c r="AE298" s="177">
        <f t="shared" si="82"/>
        <v>190918.45</v>
      </c>
      <c r="AF298" s="177">
        <f t="shared" si="91"/>
        <v>385387.97</v>
      </c>
      <c r="AG298" s="248">
        <f t="shared" si="81"/>
        <v>252437.90999999829</v>
      </c>
      <c r="AH298" s="263"/>
      <c r="AI298" s="264"/>
      <c r="AJ298" s="264"/>
      <c r="AK298" s="264"/>
      <c r="AL298" s="264"/>
      <c r="AM298" s="264"/>
      <c r="AN298" s="264"/>
      <c r="AO298" s="264"/>
      <c r="AP298" s="264"/>
      <c r="AQ298" s="264"/>
      <c r="AR298" s="264"/>
      <c r="AS298" s="264"/>
      <c r="AT298" s="264"/>
      <c r="AU298" s="264"/>
      <c r="AV298" s="264"/>
      <c r="AW298" s="264"/>
      <c r="AX298" s="264"/>
      <c r="AY298" s="264"/>
      <c r="AZ298" s="264"/>
      <c r="BA298" s="264"/>
      <c r="BB298" s="264"/>
      <c r="BC298" s="264"/>
    </row>
    <row r="299" spans="1:55" ht="15" customHeight="1" x14ac:dyDescent="0.15">
      <c r="A299" s="180">
        <v>43029</v>
      </c>
      <c r="B299" s="175" t="s">
        <v>1</v>
      </c>
      <c r="C299" s="176">
        <v>41216</v>
      </c>
      <c r="D299" s="177">
        <f>41168+11167</f>
        <v>52335</v>
      </c>
      <c r="E299" s="177">
        <v>98149</v>
      </c>
      <c r="F299" s="178">
        <v>4792</v>
      </c>
      <c r="G299" s="177">
        <v>3372.5</v>
      </c>
      <c r="H299" s="179"/>
      <c r="I299" s="179"/>
      <c r="J299" s="204">
        <f t="shared" si="78"/>
        <v>45814</v>
      </c>
      <c r="K299" s="177">
        <v>370</v>
      </c>
      <c r="L299" s="344">
        <v>3827</v>
      </c>
      <c r="M299" s="205">
        <f t="shared" si="79"/>
        <v>401</v>
      </c>
      <c r="N299" s="206">
        <f t="shared" si="92"/>
        <v>904706</v>
      </c>
      <c r="O299" s="209">
        <f t="shared" si="92"/>
        <v>956688</v>
      </c>
      <c r="P299" s="208">
        <f t="shared" si="92"/>
        <v>1999138</v>
      </c>
      <c r="Q299" s="225">
        <f t="shared" si="90"/>
        <v>18473339.300000001</v>
      </c>
      <c r="R299" s="207">
        <f t="shared" si="90"/>
        <v>11871127.800000001</v>
      </c>
      <c r="S299" s="226">
        <f t="shared" si="90"/>
        <v>31177809.43</v>
      </c>
      <c r="T299" s="227">
        <f>N299/'2017'!N299-1</f>
        <v>-0.18522554522071799</v>
      </c>
      <c r="U299" s="228">
        <f>O299/'2017'!O299-1</f>
        <v>0.14503751011360744</v>
      </c>
      <c r="V299" s="228">
        <f>P299/'2017'!P299-1</f>
        <v>7.1279991979804613E-3</v>
      </c>
      <c r="W299" s="228">
        <f>Q299/'2017'!Q299-1</f>
        <v>3.900122653886462E-2</v>
      </c>
      <c r="X299" s="228">
        <f>R299/'2017'!R299-1</f>
        <v>0.15851393666234093</v>
      </c>
      <c r="Y299" s="244">
        <f>S299/'2017'!S299-1</f>
        <v>8.5807903544840247E-2</v>
      </c>
      <c r="Z299" s="245"/>
      <c r="AA299" s="246">
        <f t="shared" si="85"/>
        <v>1847.33393</v>
      </c>
      <c r="AB299" s="247"/>
      <c r="AC299" s="248"/>
      <c r="AD299" s="247">
        <f t="shared" si="80"/>
        <v>19306681.629999999</v>
      </c>
      <c r="AE299" s="177">
        <f t="shared" si="82"/>
        <v>191288.45</v>
      </c>
      <c r="AF299" s="177">
        <f t="shared" si="91"/>
        <v>389214.97</v>
      </c>
      <c r="AG299" s="248">
        <f t="shared" si="81"/>
        <v>252838.90999999829</v>
      </c>
      <c r="AH299" s="263"/>
      <c r="AI299" s="264"/>
      <c r="AJ299" s="264"/>
      <c r="AK299" s="264"/>
      <c r="AL299" s="264"/>
      <c r="AM299" s="264"/>
      <c r="AN299" s="264"/>
      <c r="AO299" s="264"/>
      <c r="AP299" s="264"/>
      <c r="AQ299" s="264"/>
      <c r="AR299" s="264"/>
      <c r="AS299" s="264"/>
      <c r="AT299" s="264"/>
      <c r="AU299" s="264"/>
      <c r="AV299" s="264"/>
      <c r="AW299" s="264"/>
      <c r="AX299" s="264"/>
      <c r="AY299" s="264"/>
      <c r="AZ299" s="264"/>
      <c r="BA299" s="264"/>
      <c r="BB299" s="264"/>
      <c r="BC299" s="264"/>
    </row>
    <row r="300" spans="1:55" ht="15" customHeight="1" x14ac:dyDescent="0.15">
      <c r="A300" s="180">
        <v>43030</v>
      </c>
      <c r="B300" s="175" t="s">
        <v>34</v>
      </c>
      <c r="C300" s="176">
        <v>43161</v>
      </c>
      <c r="D300" s="177">
        <f>44820+11250</f>
        <v>56070</v>
      </c>
      <c r="E300" s="177">
        <v>103524</v>
      </c>
      <c r="F300" s="178">
        <v>5314.8</v>
      </c>
      <c r="G300" s="177">
        <v>3245.1</v>
      </c>
      <c r="H300" s="179"/>
      <c r="I300" s="179"/>
      <c r="J300" s="204">
        <f t="shared" si="78"/>
        <v>47454</v>
      </c>
      <c r="K300" s="177">
        <v>223</v>
      </c>
      <c r="L300" s="344">
        <v>3831</v>
      </c>
      <c r="M300" s="205">
        <f t="shared" si="79"/>
        <v>239</v>
      </c>
      <c r="N300" s="206">
        <f t="shared" si="92"/>
        <v>947867</v>
      </c>
      <c r="O300" s="209">
        <f t="shared" si="92"/>
        <v>1012758</v>
      </c>
      <c r="P300" s="208">
        <f t="shared" si="92"/>
        <v>2102662</v>
      </c>
      <c r="Q300" s="225">
        <f t="shared" si="90"/>
        <v>18516500.300000001</v>
      </c>
      <c r="R300" s="207">
        <f t="shared" si="90"/>
        <v>11927197.800000001</v>
      </c>
      <c r="S300" s="226">
        <f t="shared" si="90"/>
        <v>31281333.43</v>
      </c>
      <c r="T300" s="227">
        <f>N300/'2017'!N300-1</f>
        <v>-0.17723092413924801</v>
      </c>
      <c r="U300" s="228">
        <f>O300/'2017'!O300-1</f>
        <v>0.14735281089305308</v>
      </c>
      <c r="V300" s="228">
        <f>P300/'2017'!P300-1</f>
        <v>1.2840527840732641E-2</v>
      </c>
      <c r="W300" s="228">
        <f>Q300/'2017'!Q300-1</f>
        <v>3.899375569841057E-2</v>
      </c>
      <c r="X300" s="228">
        <f>R300/'2017'!R300-1</f>
        <v>0.15865069898206174</v>
      </c>
      <c r="Y300" s="244">
        <f>S300/'2017'!S300-1</f>
        <v>8.5971004293489806E-2</v>
      </c>
      <c r="Z300" s="245">
        <v>103.24</v>
      </c>
      <c r="AA300" s="246">
        <f t="shared" si="85"/>
        <v>1748.41003</v>
      </c>
      <c r="AB300" s="247"/>
      <c r="AC300" s="248"/>
      <c r="AD300" s="247">
        <f t="shared" si="80"/>
        <v>19354135.629999999</v>
      </c>
      <c r="AE300" s="177">
        <f t="shared" si="82"/>
        <v>191511.45</v>
      </c>
      <c r="AF300" s="177">
        <f t="shared" si="91"/>
        <v>393045.97</v>
      </c>
      <c r="AG300" s="248">
        <f t="shared" si="81"/>
        <v>253077.90999999829</v>
      </c>
      <c r="AH300" s="263"/>
      <c r="AI300" s="264"/>
      <c r="AJ300" s="264"/>
      <c r="AK300" s="264"/>
      <c r="AL300" s="264"/>
      <c r="AM300" s="264"/>
      <c r="AN300" s="264"/>
      <c r="AO300" s="264"/>
      <c r="AP300" s="264"/>
      <c r="AQ300" s="264"/>
      <c r="AR300" s="264"/>
      <c r="AS300" s="264"/>
      <c r="AT300" s="264"/>
      <c r="AU300" s="264"/>
      <c r="AV300" s="264"/>
      <c r="AW300" s="264"/>
      <c r="AX300" s="264"/>
      <c r="AY300" s="264"/>
      <c r="AZ300" s="264"/>
      <c r="BA300" s="264"/>
      <c r="BB300" s="264"/>
      <c r="BC300" s="264"/>
    </row>
    <row r="301" spans="1:55" ht="15" customHeight="1" x14ac:dyDescent="0.15">
      <c r="A301" s="180">
        <v>43031</v>
      </c>
      <c r="B301" s="175" t="s">
        <v>35</v>
      </c>
      <c r="C301" s="176">
        <v>42996</v>
      </c>
      <c r="D301" s="177">
        <f>44119+11195</f>
        <v>55314</v>
      </c>
      <c r="E301" s="177">
        <v>103328</v>
      </c>
      <c r="F301" s="178">
        <v>5129.1000000000004</v>
      </c>
      <c r="G301" s="177">
        <v>3405.3</v>
      </c>
      <c r="H301" s="179"/>
      <c r="I301" s="179"/>
      <c r="J301" s="204">
        <f t="shared" si="78"/>
        <v>48014</v>
      </c>
      <c r="K301" s="177">
        <v>516</v>
      </c>
      <c r="L301" s="344">
        <v>3830</v>
      </c>
      <c r="M301" s="205">
        <f t="shared" si="79"/>
        <v>672</v>
      </c>
      <c r="N301" s="206">
        <f t="shared" si="92"/>
        <v>990863</v>
      </c>
      <c r="O301" s="209">
        <f t="shared" si="92"/>
        <v>1068072</v>
      </c>
      <c r="P301" s="208">
        <f t="shared" si="92"/>
        <v>2205990</v>
      </c>
      <c r="Q301" s="225">
        <f t="shared" si="90"/>
        <v>18559496.300000001</v>
      </c>
      <c r="R301" s="207">
        <f t="shared" si="90"/>
        <v>11982511.800000001</v>
      </c>
      <c r="S301" s="226">
        <f t="shared" si="90"/>
        <v>31384661.43</v>
      </c>
      <c r="T301" s="227">
        <f>N301/'2017'!N301-1</f>
        <v>-0.17352874449082001</v>
      </c>
      <c r="U301" s="228">
        <f>O301/'2017'!O301-1</f>
        <v>0.14765622061881145</v>
      </c>
      <c r="V301" s="228">
        <f>P301/'2017'!P301-1</f>
        <v>1.5333632503710781E-2</v>
      </c>
      <c r="W301" s="228">
        <f>Q301/'2017'!Q301-1</f>
        <v>3.8675072786207743E-2</v>
      </c>
      <c r="X301" s="228">
        <f>R301/'2017'!R301-1</f>
        <v>0.15862560499632328</v>
      </c>
      <c r="Y301" s="244">
        <f>S301/'2017'!S301-1</f>
        <v>8.5913816587184222E-2</v>
      </c>
      <c r="Z301" s="245">
        <v>103.99</v>
      </c>
      <c r="AA301" s="246">
        <f t="shared" si="85"/>
        <v>1751.9596300000001</v>
      </c>
      <c r="AB301" s="247"/>
      <c r="AC301" s="248"/>
      <c r="AD301" s="247">
        <f t="shared" si="80"/>
        <v>19402149.629999999</v>
      </c>
      <c r="AE301" s="177">
        <f t="shared" si="82"/>
        <v>192027.45</v>
      </c>
      <c r="AF301" s="177">
        <f t="shared" si="91"/>
        <v>396875.97</v>
      </c>
      <c r="AG301" s="248">
        <f t="shared" si="81"/>
        <v>253749.90999999829</v>
      </c>
      <c r="AH301" s="263"/>
      <c r="AI301" s="264"/>
      <c r="AJ301" s="264"/>
      <c r="AK301" s="264"/>
      <c r="AL301" s="264"/>
      <c r="AM301" s="264"/>
      <c r="AN301" s="264"/>
      <c r="AO301" s="264"/>
      <c r="AP301" s="264"/>
      <c r="AQ301" s="264"/>
      <c r="AR301" s="264"/>
      <c r="AS301" s="264"/>
      <c r="AT301" s="264"/>
      <c r="AU301" s="264"/>
      <c r="AV301" s="264"/>
      <c r="AW301" s="264"/>
      <c r="AX301" s="264"/>
      <c r="AY301" s="264"/>
      <c r="AZ301" s="264"/>
      <c r="BA301" s="264"/>
      <c r="BB301" s="264"/>
      <c r="BC301" s="264"/>
    </row>
    <row r="302" spans="1:55" ht="15" customHeight="1" x14ac:dyDescent="0.15">
      <c r="A302" s="180">
        <v>43032</v>
      </c>
      <c r="B302" s="175" t="s">
        <v>36</v>
      </c>
      <c r="C302" s="176">
        <v>42365</v>
      </c>
      <c r="D302" s="177">
        <v>55258</v>
      </c>
      <c r="E302" s="177">
        <v>102859</v>
      </c>
      <c r="F302" s="178">
        <v>4998</v>
      </c>
      <c r="G302" s="177">
        <v>3423</v>
      </c>
      <c r="H302" s="179"/>
      <c r="I302" s="179"/>
      <c r="J302" s="204">
        <f t="shared" si="78"/>
        <v>47601</v>
      </c>
      <c r="K302" s="177">
        <v>593</v>
      </c>
      <c r="L302" s="344">
        <v>3818</v>
      </c>
      <c r="M302" s="205">
        <f t="shared" si="79"/>
        <v>825</v>
      </c>
      <c r="N302" s="206">
        <f t="shared" si="92"/>
        <v>1033228</v>
      </c>
      <c r="O302" s="209">
        <f t="shared" si="92"/>
        <v>1123330</v>
      </c>
      <c r="P302" s="208">
        <f t="shared" si="92"/>
        <v>2308849</v>
      </c>
      <c r="Q302" s="225">
        <f t="shared" si="90"/>
        <v>18601861.300000001</v>
      </c>
      <c r="R302" s="207">
        <f t="shared" si="90"/>
        <v>12037769.800000001</v>
      </c>
      <c r="S302" s="226">
        <f t="shared" si="90"/>
        <v>31487520.43</v>
      </c>
      <c r="T302" s="227">
        <f>N302/'2017'!N302-1</f>
        <v>-0.17302395940467663</v>
      </c>
      <c r="U302" s="228">
        <f>O302/'2017'!O302-1</f>
        <v>0.15178484458548436</v>
      </c>
      <c r="V302" s="228">
        <f>P302/'2017'!P302-1</f>
        <v>1.7170108486150193E-2</v>
      </c>
      <c r="W302" s="228">
        <f>Q302/'2017'!Q302-1</f>
        <v>3.8112261560362848E-2</v>
      </c>
      <c r="X302" s="228">
        <f>R302/'2017'!R302-1</f>
        <v>0.1589661339152344</v>
      </c>
      <c r="Y302" s="244">
        <f>S302/'2017'!S302-1</f>
        <v>8.5820991307572925E-2</v>
      </c>
      <c r="Z302" s="245"/>
      <c r="AA302" s="246">
        <f t="shared" si="85"/>
        <v>1860.18613</v>
      </c>
      <c r="AB302" s="247"/>
      <c r="AC302" s="248"/>
      <c r="AD302" s="247">
        <f t="shared" si="80"/>
        <v>19449750.629999999</v>
      </c>
      <c r="AE302" s="177">
        <f t="shared" si="82"/>
        <v>192620.45</v>
      </c>
      <c r="AF302" s="177">
        <f t="shared" si="91"/>
        <v>400693.97</v>
      </c>
      <c r="AG302" s="248">
        <f t="shared" si="81"/>
        <v>254574.90999999829</v>
      </c>
      <c r="AH302" s="263"/>
      <c r="AI302" s="264"/>
      <c r="AJ302" s="264"/>
      <c r="AK302" s="264"/>
      <c r="AL302" s="264"/>
      <c r="AM302" s="264"/>
      <c r="AN302" s="264"/>
      <c r="AO302" s="264"/>
      <c r="AP302" s="264"/>
      <c r="AQ302" s="264"/>
      <c r="AR302" s="264"/>
      <c r="AS302" s="264"/>
      <c r="AT302" s="264"/>
      <c r="AU302" s="264"/>
      <c r="AV302" s="264"/>
      <c r="AW302" s="264"/>
      <c r="AX302" s="264"/>
      <c r="AY302" s="264"/>
      <c r="AZ302" s="264"/>
      <c r="BA302" s="264"/>
      <c r="BB302" s="264"/>
      <c r="BC302" s="264"/>
    </row>
    <row r="303" spans="1:55" s="157" customFormat="1" ht="15" customHeight="1" x14ac:dyDescent="0.15">
      <c r="A303" s="181">
        <v>43033</v>
      </c>
      <c r="B303" s="182" t="s">
        <v>37</v>
      </c>
      <c r="C303" s="183">
        <v>44377</v>
      </c>
      <c r="D303" s="184">
        <v>54645</v>
      </c>
      <c r="E303" s="184">
        <v>103930</v>
      </c>
      <c r="F303" s="185">
        <v>5114</v>
      </c>
      <c r="G303" s="184">
        <v>3426.1</v>
      </c>
      <c r="H303" s="186"/>
      <c r="I303" s="186"/>
      <c r="J303" s="210">
        <f t="shared" si="78"/>
        <v>49285</v>
      </c>
      <c r="K303" s="184">
        <v>466</v>
      </c>
      <c r="L303" s="345">
        <v>3805</v>
      </c>
      <c r="M303" s="211">
        <f t="shared" si="79"/>
        <v>637</v>
      </c>
      <c r="N303" s="212">
        <f t="shared" si="92"/>
        <v>1077605</v>
      </c>
      <c r="O303" s="215">
        <f t="shared" si="92"/>
        <v>1177975</v>
      </c>
      <c r="P303" s="214">
        <f t="shared" si="92"/>
        <v>2412779</v>
      </c>
      <c r="Q303" s="229">
        <f t="shared" si="90"/>
        <v>18646238.300000001</v>
      </c>
      <c r="R303" s="213">
        <f t="shared" si="90"/>
        <v>12092414.800000001</v>
      </c>
      <c r="S303" s="230">
        <f t="shared" si="90"/>
        <v>31591450.43</v>
      </c>
      <c r="T303" s="231">
        <f>N303/'2017'!N303-1</f>
        <v>-0.1713860380425547</v>
      </c>
      <c r="U303" s="232">
        <f>O303/'2017'!O303-1</f>
        <v>0.15433197253846709</v>
      </c>
      <c r="V303" s="232">
        <f>P303/'2017'!P303-1</f>
        <v>1.883819848853574E-2</v>
      </c>
      <c r="W303" s="232">
        <f>Q303/'2017'!Q303-1</f>
        <v>3.7630570123343698E-2</v>
      </c>
      <c r="X303" s="232">
        <f>R303/'2017'!R303-1</f>
        <v>0.15918419698476738</v>
      </c>
      <c r="Y303" s="249">
        <f>S303/'2017'!S303-1</f>
        <v>8.5724847143788807E-2</v>
      </c>
      <c r="Z303" s="250">
        <v>105.47</v>
      </c>
      <c r="AA303" s="251">
        <f t="shared" si="85"/>
        <v>1759.15383</v>
      </c>
      <c r="AB303" s="252">
        <v>4283.88</v>
      </c>
      <c r="AC303" s="211">
        <f t="shared" si="87"/>
        <v>4106.4498305274656</v>
      </c>
      <c r="AD303" s="252">
        <f t="shared" si="80"/>
        <v>19499035.629999999</v>
      </c>
      <c r="AE303" s="184">
        <f t="shared" si="82"/>
        <v>193086.45</v>
      </c>
      <c r="AF303" s="184">
        <f t="shared" si="91"/>
        <v>404498.97</v>
      </c>
      <c r="AG303" s="211">
        <f t="shared" si="81"/>
        <v>255211.90999999829</v>
      </c>
      <c r="AH303" s="263"/>
      <c r="AI303" s="264"/>
      <c r="AJ303" s="264"/>
      <c r="AK303" s="264"/>
      <c r="AL303" s="264"/>
      <c r="AM303" s="264"/>
      <c r="AN303" s="264"/>
      <c r="AO303" s="264"/>
      <c r="AP303" s="264"/>
      <c r="AQ303" s="264"/>
      <c r="AR303" s="264"/>
      <c r="AS303" s="264"/>
      <c r="AT303" s="264"/>
      <c r="AU303" s="264"/>
      <c r="AV303" s="264"/>
      <c r="AW303" s="264"/>
      <c r="AX303" s="264"/>
      <c r="AY303" s="264"/>
      <c r="AZ303" s="264"/>
      <c r="BA303" s="264"/>
      <c r="BB303" s="264"/>
      <c r="BC303" s="264"/>
    </row>
    <row r="304" spans="1:55" ht="15" customHeight="1" x14ac:dyDescent="0.15">
      <c r="A304" s="180">
        <v>43034</v>
      </c>
      <c r="B304" s="175" t="s">
        <v>38</v>
      </c>
      <c r="C304" s="176">
        <v>44038</v>
      </c>
      <c r="D304" s="177">
        <f>43123+11266</f>
        <v>54389</v>
      </c>
      <c r="E304" s="177">
        <v>103408</v>
      </c>
      <c r="F304" s="178">
        <v>5196.6000000000004</v>
      </c>
      <c r="G304" s="177">
        <v>3434.7</v>
      </c>
      <c r="H304" s="179"/>
      <c r="I304" s="179"/>
      <c r="J304" s="204">
        <f t="shared" si="78"/>
        <v>49019</v>
      </c>
      <c r="K304" s="177">
        <v>233</v>
      </c>
      <c r="L304" s="177">
        <v>3816</v>
      </c>
      <c r="M304" s="205">
        <f t="shared" si="79"/>
        <v>932</v>
      </c>
      <c r="N304" s="206">
        <f t="shared" si="92"/>
        <v>1121643</v>
      </c>
      <c r="O304" s="209">
        <f t="shared" si="92"/>
        <v>1232364</v>
      </c>
      <c r="P304" s="208">
        <f t="shared" si="92"/>
        <v>2516187</v>
      </c>
      <c r="Q304" s="225">
        <f t="shared" si="90"/>
        <v>18690276.300000001</v>
      </c>
      <c r="R304" s="207">
        <f t="shared" si="90"/>
        <v>12146803.800000001</v>
      </c>
      <c r="S304" s="226">
        <f t="shared" si="90"/>
        <v>31694858.43</v>
      </c>
      <c r="T304" s="227">
        <f>N304/'2017'!N304-1</f>
        <v>-0.16970255971420389</v>
      </c>
      <c r="U304" s="228">
        <f>O304/'2017'!O304-1</f>
        <v>0.15454533530947101</v>
      </c>
      <c r="V304" s="228">
        <f>P304/'2017'!P304-1</f>
        <v>1.9862328817927155E-2</v>
      </c>
      <c r="W304" s="228">
        <f>Q304/'2017'!Q304-1</f>
        <v>3.7172164783384254E-2</v>
      </c>
      <c r="X304" s="228">
        <f>R304/'2017'!R304-1</f>
        <v>0.15918420437853675</v>
      </c>
      <c r="Y304" s="244">
        <f>S304/'2017'!S304-1</f>
        <v>8.5584550033994233E-2</v>
      </c>
      <c r="Z304" s="245"/>
      <c r="AA304" s="246">
        <f t="shared" si="85"/>
        <v>1869.02763</v>
      </c>
      <c r="AB304" s="247"/>
      <c r="AC304" s="248"/>
      <c r="AD304" s="247">
        <f t="shared" si="80"/>
        <v>19548054.629999999</v>
      </c>
      <c r="AE304" s="177">
        <f t="shared" si="82"/>
        <v>193319.45</v>
      </c>
      <c r="AF304" s="177">
        <f t="shared" si="91"/>
        <v>408314.97</v>
      </c>
      <c r="AG304" s="248">
        <f t="shared" si="81"/>
        <v>256143.90999999829</v>
      </c>
      <c r="AH304" s="263"/>
      <c r="AI304" s="264"/>
      <c r="AJ304" s="264"/>
      <c r="AK304" s="264"/>
      <c r="AL304" s="264"/>
      <c r="AM304" s="264"/>
      <c r="AN304" s="264"/>
      <c r="AO304" s="264"/>
      <c r="AP304" s="264"/>
      <c r="AQ304" s="264"/>
      <c r="AR304" s="264"/>
      <c r="AS304" s="264"/>
      <c r="AT304" s="264"/>
      <c r="AU304" s="264"/>
      <c r="AV304" s="264"/>
      <c r="AW304" s="264"/>
      <c r="AX304" s="264"/>
      <c r="AY304" s="264"/>
      <c r="AZ304" s="264"/>
      <c r="BA304" s="264"/>
      <c r="BB304" s="264"/>
      <c r="BC304" s="264"/>
    </row>
    <row r="305" spans="1:55" ht="15" customHeight="1" x14ac:dyDescent="0.15">
      <c r="A305" s="180">
        <v>43035</v>
      </c>
      <c r="B305" s="175" t="s">
        <v>39</v>
      </c>
      <c r="C305" s="176">
        <v>41504</v>
      </c>
      <c r="D305" s="177">
        <f>41504+11066</f>
        <v>52570</v>
      </c>
      <c r="E305" s="177">
        <v>99679</v>
      </c>
      <c r="F305" s="178">
        <v>4881</v>
      </c>
      <c r="G305" s="177">
        <v>3363.4</v>
      </c>
      <c r="H305" s="179"/>
      <c r="I305" s="179"/>
      <c r="J305" s="204">
        <f t="shared" si="78"/>
        <v>47109</v>
      </c>
      <c r="K305" s="177">
        <v>276</v>
      </c>
      <c r="L305" s="177">
        <v>3958</v>
      </c>
      <c r="M305" s="205">
        <f t="shared" si="79"/>
        <v>1371</v>
      </c>
      <c r="N305" s="206">
        <f t="shared" si="92"/>
        <v>1163147</v>
      </c>
      <c r="O305" s="209">
        <f t="shared" si="92"/>
        <v>1284934</v>
      </c>
      <c r="P305" s="208">
        <f t="shared" si="92"/>
        <v>2615866</v>
      </c>
      <c r="Q305" s="225">
        <f t="shared" si="90"/>
        <v>18731780.300000001</v>
      </c>
      <c r="R305" s="207">
        <f t="shared" si="90"/>
        <v>12199373.800000001</v>
      </c>
      <c r="S305" s="226">
        <f t="shared" si="90"/>
        <v>31794537.43</v>
      </c>
      <c r="T305" s="227">
        <f>N305/'2017'!N305-1</f>
        <v>-0.16770874775674693</v>
      </c>
      <c r="U305" s="228">
        <f>O305/'2017'!O305-1</f>
        <v>0.1498414300645734</v>
      </c>
      <c r="V305" s="228">
        <f>P305/'2017'!P305-1</f>
        <v>1.9548584992068463E-2</v>
      </c>
      <c r="W305" s="228">
        <f>Q305/'2017'!Q305-1</f>
        <v>3.6792447260787897E-2</v>
      </c>
      <c r="X305" s="228">
        <f>R305/'2017'!R305-1</f>
        <v>0.15866288378641591</v>
      </c>
      <c r="Y305" s="244">
        <f>S305/'2017'!S305-1</f>
        <v>8.5336027203648079E-2</v>
      </c>
      <c r="Z305" s="245"/>
      <c r="AA305" s="246">
        <f t="shared" si="85"/>
        <v>1873.17803</v>
      </c>
      <c r="AB305" s="247"/>
      <c r="AC305" s="248"/>
      <c r="AD305" s="247">
        <f t="shared" si="80"/>
        <v>19595163.629999999</v>
      </c>
      <c r="AE305" s="177">
        <f t="shared" si="82"/>
        <v>193595.45</v>
      </c>
      <c r="AF305" s="177">
        <f t="shared" si="91"/>
        <v>412272.97</v>
      </c>
      <c r="AG305" s="248">
        <f t="shared" si="81"/>
        <v>257514.90999999829</v>
      </c>
      <c r="AH305" s="263"/>
      <c r="AI305" s="264"/>
      <c r="AJ305" s="264"/>
      <c r="AK305" s="26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264"/>
    </row>
    <row r="306" spans="1:55" ht="15" customHeight="1" x14ac:dyDescent="0.15">
      <c r="A306" s="180">
        <v>43036</v>
      </c>
      <c r="B306" s="175" t="s">
        <v>1</v>
      </c>
      <c r="C306" s="176">
        <v>36772</v>
      </c>
      <c r="D306" s="177">
        <f>40336+10697</f>
        <v>51033</v>
      </c>
      <c r="E306" s="177">
        <v>94334</v>
      </c>
      <c r="F306" s="178">
        <v>4510.3999999999996</v>
      </c>
      <c r="G306" s="177">
        <v>3318</v>
      </c>
      <c r="H306" s="179"/>
      <c r="I306" s="179"/>
      <c r="J306" s="204">
        <f t="shared" si="78"/>
        <v>43301</v>
      </c>
      <c r="K306" s="177">
        <v>242</v>
      </c>
      <c r="L306" s="177">
        <v>4978</v>
      </c>
      <c r="M306" s="205">
        <f t="shared" si="79"/>
        <v>1309</v>
      </c>
      <c r="N306" s="206">
        <f t="shared" si="92"/>
        <v>1199919</v>
      </c>
      <c r="O306" s="209">
        <f t="shared" si="92"/>
        <v>1335967</v>
      </c>
      <c r="P306" s="208">
        <f t="shared" si="92"/>
        <v>2710200</v>
      </c>
      <c r="Q306" s="225">
        <f t="shared" si="90"/>
        <v>18768552.300000001</v>
      </c>
      <c r="R306" s="207">
        <f t="shared" si="90"/>
        <v>12250406.800000001</v>
      </c>
      <c r="S306" s="226">
        <f t="shared" si="90"/>
        <v>31888871.43</v>
      </c>
      <c r="T306" s="227">
        <f>N306/'2017'!N306-1</f>
        <v>-0.16854922139772155</v>
      </c>
      <c r="U306" s="228">
        <f>O306/'2017'!O306-1</f>
        <v>0.14578993275179064</v>
      </c>
      <c r="V306" s="228">
        <f>P306/'2017'!P306-1</f>
        <v>1.8165971346941756E-2</v>
      </c>
      <c r="W306" s="228">
        <f>Q306/'2017'!Q306-1</f>
        <v>3.6210194074371316E-2</v>
      </c>
      <c r="X306" s="228">
        <f>R306/'2017'!R306-1</f>
        <v>0.15817583059012352</v>
      </c>
      <c r="Y306" s="244">
        <f>S306/'2017'!S306-1</f>
        <v>8.4995621886705841E-2</v>
      </c>
      <c r="Z306" s="245"/>
      <c r="AA306" s="246">
        <f t="shared" si="85"/>
        <v>1876.8552300000001</v>
      </c>
      <c r="AB306" s="247"/>
      <c r="AC306" s="248"/>
      <c r="AD306" s="247">
        <f t="shared" si="80"/>
        <v>19638464.629999999</v>
      </c>
      <c r="AE306" s="177">
        <f t="shared" si="82"/>
        <v>193837.45</v>
      </c>
      <c r="AF306" s="177">
        <f t="shared" si="91"/>
        <v>417250.97</v>
      </c>
      <c r="AG306" s="248">
        <f t="shared" si="81"/>
        <v>258823.90999999829</v>
      </c>
      <c r="AH306" s="263"/>
      <c r="AI306" s="264"/>
      <c r="AJ306" s="264"/>
      <c r="AK306" s="264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264"/>
    </row>
    <row r="307" spans="1:55" ht="15" customHeight="1" x14ac:dyDescent="0.15">
      <c r="A307" s="180">
        <v>43037</v>
      </c>
      <c r="B307" s="175" t="s">
        <v>34</v>
      </c>
      <c r="C307" s="176">
        <v>38243</v>
      </c>
      <c r="D307" s="177">
        <f>43038+10755</f>
        <v>53793</v>
      </c>
      <c r="E307" s="177">
        <v>99261</v>
      </c>
      <c r="F307" s="178">
        <v>4940.5</v>
      </c>
      <c r="G307" s="177">
        <v>3188.1</v>
      </c>
      <c r="H307" s="179"/>
      <c r="I307" s="179"/>
      <c r="J307" s="204">
        <f t="shared" si="78"/>
        <v>45468</v>
      </c>
      <c r="K307" s="177">
        <v>215</v>
      </c>
      <c r="L307" s="177">
        <v>5771</v>
      </c>
      <c r="M307" s="205">
        <f t="shared" si="79"/>
        <v>1239</v>
      </c>
      <c r="N307" s="206">
        <f t="shared" si="92"/>
        <v>1238162</v>
      </c>
      <c r="O307" s="209">
        <f t="shared" si="92"/>
        <v>1389760</v>
      </c>
      <c r="P307" s="208">
        <f t="shared" si="92"/>
        <v>2809461</v>
      </c>
      <c r="Q307" s="225">
        <f t="shared" si="90"/>
        <v>18806795.300000001</v>
      </c>
      <c r="R307" s="207">
        <f t="shared" si="90"/>
        <v>12304199.800000001</v>
      </c>
      <c r="S307" s="226">
        <f t="shared" si="90"/>
        <v>31988132.43</v>
      </c>
      <c r="T307" s="227">
        <f>N307/'2017'!N307-1</f>
        <v>-0.16596083492698399</v>
      </c>
      <c r="U307" s="228">
        <f>O307/'2017'!O307-1</f>
        <v>0.1442883972996718</v>
      </c>
      <c r="V307" s="228">
        <f>P307/'2017'!P307-1</f>
        <v>2.0236515133082777E-2</v>
      </c>
      <c r="W307" s="228">
        <f>Q307/'2017'!Q307-1</f>
        <v>3.5955200977898727E-2</v>
      </c>
      <c r="X307" s="228">
        <f>R307/'2017'!R307-1</f>
        <v>0.15794762762462078</v>
      </c>
      <c r="Y307" s="244">
        <f>S307/'2017'!S307-1</f>
        <v>8.4980723383859758E-2</v>
      </c>
      <c r="Z307" s="245"/>
      <c r="AA307" s="246">
        <f t="shared" si="85"/>
        <v>1880.6795300000001</v>
      </c>
      <c r="AB307" s="247"/>
      <c r="AC307" s="248"/>
      <c r="AD307" s="247">
        <f t="shared" si="80"/>
        <v>19683932.629999999</v>
      </c>
      <c r="AE307" s="177">
        <f t="shared" si="82"/>
        <v>194052.45</v>
      </c>
      <c r="AF307" s="177">
        <f t="shared" si="91"/>
        <v>423021.97</v>
      </c>
      <c r="AG307" s="248">
        <f t="shared" si="81"/>
        <v>260062.90999999829</v>
      </c>
      <c r="AH307" s="263"/>
      <c r="AI307" s="264"/>
      <c r="AJ307" s="264"/>
      <c r="AK307" s="264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264"/>
    </row>
    <row r="308" spans="1:55" ht="15" customHeight="1" x14ac:dyDescent="0.15">
      <c r="A308" s="180">
        <v>43038</v>
      </c>
      <c r="B308" s="175" t="s">
        <v>35</v>
      </c>
      <c r="C308" s="176">
        <f>31979+7454</f>
        <v>39433</v>
      </c>
      <c r="D308" s="177">
        <f>39607+13771</f>
        <v>53378</v>
      </c>
      <c r="E308" s="177">
        <f>61255+39607</f>
        <v>100862</v>
      </c>
      <c r="F308" s="178">
        <v>4938</v>
      </c>
      <c r="G308" s="177">
        <v>3347</v>
      </c>
      <c r="H308" s="179"/>
      <c r="I308" s="179"/>
      <c r="J308" s="204">
        <f t="shared" si="78"/>
        <v>47484</v>
      </c>
      <c r="K308" s="177">
        <v>224</v>
      </c>
      <c r="L308" s="177">
        <v>6805</v>
      </c>
      <c r="M308" s="205">
        <f t="shared" si="79"/>
        <v>1022</v>
      </c>
      <c r="N308" s="206">
        <f t="shared" si="92"/>
        <v>1277595</v>
      </c>
      <c r="O308" s="209">
        <f t="shared" si="92"/>
        <v>1443138</v>
      </c>
      <c r="P308" s="208">
        <f t="shared" si="92"/>
        <v>2910323</v>
      </c>
      <c r="Q308" s="225">
        <f>Q$278+N308</f>
        <v>18846228.300000001</v>
      </c>
      <c r="R308" s="207">
        <f t="shared" si="90"/>
        <v>12357577.800000001</v>
      </c>
      <c r="S308" s="226">
        <f t="shared" si="90"/>
        <v>32088994.43</v>
      </c>
      <c r="T308" s="227">
        <f>N308/'2017'!N308-1</f>
        <v>-0.16474130153375433</v>
      </c>
      <c r="U308" s="228">
        <f>O308/'2017'!O308-1</f>
        <v>0.14291393801928121</v>
      </c>
      <c r="V308" s="228">
        <f>P308/'2017'!P308-1</f>
        <v>2.1467028878687122E-2</v>
      </c>
      <c r="W308" s="228">
        <f>Q308/'2017'!Q308-1</f>
        <v>3.5557954520856638E-2</v>
      </c>
      <c r="X308" s="228">
        <f>R308/'2017'!R308-1</f>
        <v>0.15772340220420911</v>
      </c>
      <c r="Y308" s="244">
        <f>S308/'2017'!S308-1</f>
        <v>8.4890376618391272E-2</v>
      </c>
      <c r="Z308" s="245"/>
      <c r="AA308" s="246">
        <f t="shared" si="85"/>
        <v>1884.62283</v>
      </c>
      <c r="AB308" s="247"/>
      <c r="AC308" s="248"/>
      <c r="AD308" s="247">
        <f t="shared" si="80"/>
        <v>19731416.629999999</v>
      </c>
      <c r="AE308" s="177">
        <f t="shared" si="82"/>
        <v>194276.45</v>
      </c>
      <c r="AF308" s="177">
        <f t="shared" si="91"/>
        <v>429826.97</v>
      </c>
      <c r="AG308" s="248">
        <f t="shared" si="81"/>
        <v>261084.90999999829</v>
      </c>
      <c r="AH308" s="263"/>
      <c r="AI308" s="264"/>
      <c r="AJ308" s="264"/>
      <c r="AK308" s="264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264"/>
    </row>
    <row r="309" spans="1:55" ht="15" customHeight="1" x14ac:dyDescent="0.15">
      <c r="A309" s="195">
        <v>43039</v>
      </c>
      <c r="B309" s="188" t="s">
        <v>36</v>
      </c>
      <c r="C309" s="189">
        <f>31431+7415</f>
        <v>38846</v>
      </c>
      <c r="D309" s="190">
        <f>39719+13814</f>
        <v>53533</v>
      </c>
      <c r="E309" s="190">
        <f>60618+39719</f>
        <v>100337</v>
      </c>
      <c r="F309" s="191">
        <v>4938</v>
      </c>
      <c r="G309" s="190">
        <v>3348</v>
      </c>
      <c r="H309" s="192"/>
      <c r="I309" s="192"/>
      <c r="J309" s="216">
        <f t="shared" si="78"/>
        <v>46804</v>
      </c>
      <c r="K309" s="190">
        <v>245</v>
      </c>
      <c r="L309" s="190">
        <v>6814</v>
      </c>
      <c r="M309" s="217">
        <f t="shared" si="79"/>
        <v>899</v>
      </c>
      <c r="N309" s="218">
        <f>[9]表2、统调口径电量!$D$10</f>
        <v>1316440.92</v>
      </c>
      <c r="O309" s="222">
        <f>[9]表2、统调口径电量!$D$14</f>
        <v>1496671</v>
      </c>
      <c r="P309" s="220">
        <f>[9]表2、统调口径电量!$D$3</f>
        <v>3010714.77</v>
      </c>
      <c r="Q309" s="233">
        <f>[9]表2、统调口径电量!$I$10</f>
        <v>18885074.219999999</v>
      </c>
      <c r="R309" s="219">
        <f>[9]表2、统调口径电量!$I$14</f>
        <v>12411110.800000001</v>
      </c>
      <c r="S309" s="234">
        <f>[9]表2、统调口径电量!$I$3</f>
        <v>32189402.91</v>
      </c>
      <c r="T309" s="346">
        <f>N309/'2017'!N309-1</f>
        <v>-0.16341289475941878</v>
      </c>
      <c r="U309" s="269">
        <f>O309/'2017'!O309-1</f>
        <v>0.13972072607868924</v>
      </c>
      <c r="V309" s="269">
        <f>P309/'2017'!P309-1</f>
        <v>2.2109591664010164E-2</v>
      </c>
      <c r="W309" s="269">
        <f>Q309/'2017'!Q309-1</f>
        <v>3.518884338113315E-2</v>
      </c>
      <c r="X309" s="269">
        <f>R309/'2017'!R309-1</f>
        <v>0.15726276371760473</v>
      </c>
      <c r="Y309" s="270">
        <f>S309/'2017'!S309-1</f>
        <v>8.4748552925311582E-2</v>
      </c>
      <c r="Z309" s="255">
        <f>[9]表2、统调口径电量!$I$12/10000</f>
        <v>109.67420800000001</v>
      </c>
      <c r="AA309" s="256">
        <f>[9]表2、统调口径电量!$I$11/10000</f>
        <v>1778.833214</v>
      </c>
      <c r="AB309" s="257">
        <v>4283.88</v>
      </c>
      <c r="AC309" s="258">
        <f t="shared" si="87"/>
        <v>4152.3880547541012</v>
      </c>
      <c r="AD309" s="257">
        <f>[9]表2、统调口径电量!$I$4</f>
        <v>19778292.109999999</v>
      </c>
      <c r="AE309" s="190">
        <f>[9]表2、统调口径电量!$I$13</f>
        <v>194521.13</v>
      </c>
      <c r="AF309" s="190">
        <f>[9]表2、统调口径电量!$I$17</f>
        <v>436642.62</v>
      </c>
      <c r="AG309" s="258">
        <f t="shared" si="81"/>
        <v>262054.1400000006</v>
      </c>
      <c r="AH309" s="263"/>
      <c r="AI309" s="264"/>
      <c r="AJ309" s="264"/>
      <c r="AK309" s="264"/>
      <c r="AL309" s="264"/>
      <c r="AM309" s="264"/>
      <c r="AN309" s="264"/>
      <c r="AO309" s="264"/>
      <c r="AP309" s="264"/>
      <c r="AQ309" s="264"/>
      <c r="AR309" s="264"/>
      <c r="AS309" s="264"/>
      <c r="AT309" s="264"/>
      <c r="AU309" s="264"/>
      <c r="AV309" s="264"/>
      <c r="AW309" s="264"/>
      <c r="AX309" s="264"/>
      <c r="AY309" s="264"/>
      <c r="AZ309" s="264"/>
      <c r="BA309" s="264"/>
      <c r="BB309" s="264"/>
      <c r="BC309" s="264"/>
    </row>
    <row r="310" spans="1:55" s="157" customFormat="1" ht="15" customHeight="1" x14ac:dyDescent="0.15">
      <c r="A310" s="181">
        <v>43040</v>
      </c>
      <c r="B310" s="182" t="s">
        <v>37</v>
      </c>
      <c r="C310" s="183">
        <f>31794+4189</f>
        <v>35983</v>
      </c>
      <c r="D310" s="184">
        <f>39002+13980</f>
        <v>52982</v>
      </c>
      <c r="E310" s="184">
        <f>58248+39002</f>
        <v>97250</v>
      </c>
      <c r="F310" s="185">
        <v>4684</v>
      </c>
      <c r="G310" s="184">
        <v>3278</v>
      </c>
      <c r="H310" s="186"/>
      <c r="I310" s="186"/>
      <c r="J310" s="210">
        <f t="shared" si="78"/>
        <v>44268</v>
      </c>
      <c r="K310" s="184">
        <v>495</v>
      </c>
      <c r="L310" s="184">
        <v>6821</v>
      </c>
      <c r="M310" s="211">
        <f t="shared" si="79"/>
        <v>969</v>
      </c>
      <c r="N310" s="212">
        <f>C310</f>
        <v>35983</v>
      </c>
      <c r="O310" s="215">
        <f>D310</f>
        <v>52982</v>
      </c>
      <c r="P310" s="214">
        <f>E310</f>
        <v>97250</v>
      </c>
      <c r="Q310" s="229">
        <f>Q$309+N310</f>
        <v>18921057.219999999</v>
      </c>
      <c r="R310" s="213">
        <f>R$309+O310</f>
        <v>12464092.800000001</v>
      </c>
      <c r="S310" s="230">
        <f>S$309+P310</f>
        <v>32286652.91</v>
      </c>
      <c r="T310" s="231">
        <f>N310/'2017'!N310-1</f>
        <v>-0.20428561951305813</v>
      </c>
      <c r="U310" s="232">
        <f>O310/'2017'!O310-1</f>
        <v>0.11096665967708108</v>
      </c>
      <c r="V310" s="232">
        <f>P310/'2017'!P310-1</f>
        <v>2.4784505469029883E-2</v>
      </c>
      <c r="W310" s="232">
        <f>Q310/'2017'!Q310-1</f>
        <v>3.4596702479561703E-2</v>
      </c>
      <c r="X310" s="232">
        <f>R310/'2017'!R310-1</f>
        <v>0.15705780511556111</v>
      </c>
      <c r="Y310" s="249">
        <f>S310/'2017'!S310-1</f>
        <v>8.4557401510669372E-2</v>
      </c>
      <c r="Z310" s="250">
        <v>109.78</v>
      </c>
      <c r="AA310" s="251">
        <f t="shared" si="85"/>
        <v>1782.3257219999998</v>
      </c>
      <c r="AB310" s="252">
        <v>4286.88</v>
      </c>
      <c r="AC310" s="211">
        <f t="shared" si="87"/>
        <v>4157.6291428731383</v>
      </c>
      <c r="AD310" s="252">
        <f t="shared" si="80"/>
        <v>19822560.109999999</v>
      </c>
      <c r="AE310" s="184">
        <f t="shared" si="82"/>
        <v>195016.13</v>
      </c>
      <c r="AF310" s="184">
        <f t="shared" si="91"/>
        <v>443463.62</v>
      </c>
      <c r="AG310" s="211">
        <f t="shared" si="81"/>
        <v>263023.1400000006</v>
      </c>
      <c r="AH310" s="263"/>
      <c r="AI310" s="264"/>
      <c r="AJ310" s="264"/>
      <c r="AK310" s="264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264"/>
      <c r="AZ310" s="264"/>
      <c r="BA310" s="264"/>
      <c r="BB310" s="264"/>
      <c r="BC310" s="264"/>
    </row>
    <row r="311" spans="1:55" ht="15" customHeight="1" x14ac:dyDescent="0.15">
      <c r="A311" s="180">
        <v>43041</v>
      </c>
      <c r="B311" s="175" t="s">
        <v>38</v>
      </c>
      <c r="C311" s="176">
        <v>40130</v>
      </c>
      <c r="D311" s="177">
        <f>42976+10948</f>
        <v>53924</v>
      </c>
      <c r="E311" s="177">
        <v>101874</v>
      </c>
      <c r="F311" s="178">
        <v>5068</v>
      </c>
      <c r="G311" s="177">
        <v>3245.9</v>
      </c>
      <c r="H311" s="179"/>
      <c r="I311" s="179"/>
      <c r="J311" s="204">
        <f t="shared" si="78"/>
        <v>47950</v>
      </c>
      <c r="K311" s="177">
        <v>375</v>
      </c>
      <c r="L311" s="177">
        <v>6824</v>
      </c>
      <c r="M311" s="205">
        <f t="shared" si="79"/>
        <v>621</v>
      </c>
      <c r="N311" s="206">
        <f t="shared" ref="N311:P326" si="93">C311+N310</f>
        <v>76113</v>
      </c>
      <c r="O311" s="209">
        <f t="shared" si="93"/>
        <v>106906</v>
      </c>
      <c r="P311" s="208">
        <f t="shared" si="93"/>
        <v>199124</v>
      </c>
      <c r="Q311" s="225">
        <f t="shared" ref="Q311:S338" si="94">Q$309+N311</f>
        <v>18961187.219999999</v>
      </c>
      <c r="R311" s="207">
        <f t="shared" si="94"/>
        <v>12518016.800000001</v>
      </c>
      <c r="S311" s="226">
        <f t="shared" si="94"/>
        <v>32388526.91</v>
      </c>
      <c r="T311" s="227">
        <f>N311/'2017'!N311-1</f>
        <v>-0.1893558556639543</v>
      </c>
      <c r="U311" s="228">
        <f>O311/'2017'!O311-1</f>
        <v>0.12436764442948633</v>
      </c>
      <c r="V311" s="228">
        <f>P311/'2017'!P311-1</f>
        <v>3.1335135751059173E-2</v>
      </c>
      <c r="W311" s="228">
        <f>Q311/'2017'!Q311-1</f>
        <v>3.4039094939935399E-2</v>
      </c>
      <c r="X311" s="228">
        <f>R311/'2017'!R311-1</f>
        <v>0.15697368697110559</v>
      </c>
      <c r="Y311" s="244">
        <f>S311/'2017'!S311-1</f>
        <v>8.4403271051086248E-2</v>
      </c>
      <c r="Z311" s="245"/>
      <c r="AA311" s="246">
        <f t="shared" si="85"/>
        <v>1896.1187219999999</v>
      </c>
      <c r="AB311" s="247"/>
      <c r="AC311" s="248"/>
      <c r="AD311" s="247">
        <f t="shared" si="80"/>
        <v>19870510.109999999</v>
      </c>
      <c r="AE311" s="177">
        <f t="shared" si="82"/>
        <v>195391.13</v>
      </c>
      <c r="AF311" s="177">
        <f t="shared" ref="AF311:AF326" si="95">AF310+L311</f>
        <v>450287.62</v>
      </c>
      <c r="AG311" s="248">
        <f t="shared" si="81"/>
        <v>263644.1400000006</v>
      </c>
      <c r="AH311" s="263"/>
      <c r="AI311" s="264"/>
      <c r="AJ311" s="264"/>
      <c r="AK311" s="264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264"/>
      <c r="AZ311" s="264"/>
      <c r="BA311" s="264"/>
      <c r="BB311" s="264"/>
      <c r="BC311" s="264"/>
    </row>
    <row r="312" spans="1:55" ht="15" customHeight="1" x14ac:dyDescent="0.15">
      <c r="A312" s="180">
        <v>43042</v>
      </c>
      <c r="B312" s="175" t="s">
        <v>39</v>
      </c>
      <c r="C312" s="176">
        <v>41634</v>
      </c>
      <c r="D312" s="177">
        <f>40091+10913</f>
        <v>51004</v>
      </c>
      <c r="E312" s="177">
        <v>101435</v>
      </c>
      <c r="F312" s="178">
        <v>5143.5</v>
      </c>
      <c r="G312" s="177">
        <v>3334.1</v>
      </c>
      <c r="H312" s="179"/>
      <c r="I312" s="179"/>
      <c r="J312" s="204">
        <f t="shared" si="78"/>
        <v>50431</v>
      </c>
      <c r="K312" s="177">
        <v>626</v>
      </c>
      <c r="L312" s="177">
        <v>6823</v>
      </c>
      <c r="M312" s="205">
        <f t="shared" si="79"/>
        <v>1348</v>
      </c>
      <c r="N312" s="206">
        <f t="shared" si="93"/>
        <v>117747</v>
      </c>
      <c r="O312" s="209">
        <f t="shared" si="93"/>
        <v>157910</v>
      </c>
      <c r="P312" s="208">
        <f t="shared" si="93"/>
        <v>300559</v>
      </c>
      <c r="Q312" s="225">
        <f t="shared" si="94"/>
        <v>19002821.219999999</v>
      </c>
      <c r="R312" s="207">
        <f t="shared" si="94"/>
        <v>12569020.800000001</v>
      </c>
      <c r="S312" s="226">
        <f t="shared" si="94"/>
        <v>32489961.91</v>
      </c>
      <c r="T312" s="227">
        <f>N312/'2017'!N312-1</f>
        <v>-0.1955413751639703</v>
      </c>
      <c r="U312" s="228">
        <f>O312/'2017'!O312-1</f>
        <v>0.1343701734851479</v>
      </c>
      <c r="V312" s="228">
        <f>P312/'2017'!P312-1</f>
        <v>2.9590197347912683E-2</v>
      </c>
      <c r="W312" s="228">
        <f>Q312/'2017'!Q312-1</f>
        <v>3.3352385467973145E-2</v>
      </c>
      <c r="X312" s="228">
        <f>R312/'2017'!R312-1</f>
        <v>0.15696942444801509</v>
      </c>
      <c r="Y312" s="244">
        <f>S312/'2017'!S312-1</f>
        <v>8.4211222608852054E-2</v>
      </c>
      <c r="Z312" s="245"/>
      <c r="AA312" s="246">
        <f t="shared" si="85"/>
        <v>1900.2821219999998</v>
      </c>
      <c r="AB312" s="247"/>
      <c r="AC312" s="248"/>
      <c r="AD312" s="247">
        <f t="shared" si="80"/>
        <v>19920941.109999999</v>
      </c>
      <c r="AE312" s="177">
        <f t="shared" si="82"/>
        <v>196017.13</v>
      </c>
      <c r="AF312" s="177">
        <f t="shared" si="95"/>
        <v>457110.62</v>
      </c>
      <c r="AG312" s="248">
        <f t="shared" si="81"/>
        <v>264992.1400000006</v>
      </c>
      <c r="AH312" s="263"/>
      <c r="AI312" s="264"/>
      <c r="AJ312" s="264"/>
      <c r="AK312" s="26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264"/>
      <c r="AZ312" s="264"/>
      <c r="BA312" s="264"/>
      <c r="BB312" s="264"/>
      <c r="BC312" s="264"/>
    </row>
    <row r="313" spans="1:55" ht="15" customHeight="1" x14ac:dyDescent="0.15">
      <c r="A313" s="180">
        <v>43043</v>
      </c>
      <c r="B313" s="175" t="s">
        <v>1</v>
      </c>
      <c r="C313" s="176">
        <v>38508</v>
      </c>
      <c r="D313" s="177">
        <f>38833+9438</f>
        <v>48271</v>
      </c>
      <c r="E313" s="177">
        <v>94889</v>
      </c>
      <c r="F313" s="178">
        <v>4568.2</v>
      </c>
      <c r="G313" s="177">
        <v>3286.3</v>
      </c>
      <c r="H313" s="179"/>
      <c r="I313" s="179"/>
      <c r="J313" s="204">
        <f t="shared" si="78"/>
        <v>46618</v>
      </c>
      <c r="K313" s="177">
        <v>535</v>
      </c>
      <c r="L313" s="177">
        <v>6824</v>
      </c>
      <c r="M313" s="205">
        <f t="shared" si="79"/>
        <v>751</v>
      </c>
      <c r="N313" s="206">
        <f t="shared" si="93"/>
        <v>156255</v>
      </c>
      <c r="O313" s="209">
        <f t="shared" si="93"/>
        <v>206181</v>
      </c>
      <c r="P313" s="208">
        <f t="shared" si="93"/>
        <v>395448</v>
      </c>
      <c r="Q313" s="225">
        <f t="shared" si="94"/>
        <v>19041329.219999999</v>
      </c>
      <c r="R313" s="207">
        <f t="shared" si="94"/>
        <v>12617291.800000001</v>
      </c>
      <c r="S313" s="226">
        <f t="shared" si="94"/>
        <v>32584850.91</v>
      </c>
      <c r="T313" s="227">
        <f>N313/'2017'!N313-1</f>
        <v>-0.21021506735070383</v>
      </c>
      <c r="U313" s="228">
        <f>O313/'2017'!O313-1</f>
        <v>0.1319421569273338</v>
      </c>
      <c r="V313" s="228">
        <f>P313/'2017'!P313-1</f>
        <v>1.625188885805029E-2</v>
      </c>
      <c r="W313" s="228">
        <f>Q313/'2017'!Q313-1</f>
        <v>3.2556012783437227E-2</v>
      </c>
      <c r="X313" s="228">
        <f>R313/'2017'!R313-1</f>
        <v>0.15683989493419093</v>
      </c>
      <c r="Y313" s="244">
        <f>S313/'2017'!S313-1</f>
        <v>8.3861977515306441E-2</v>
      </c>
      <c r="Z313" s="245"/>
      <c r="AA313" s="246">
        <f t="shared" si="85"/>
        <v>1904.1329219999998</v>
      </c>
      <c r="AB313" s="247"/>
      <c r="AC313" s="248"/>
      <c r="AD313" s="247">
        <f t="shared" si="80"/>
        <v>19967559.109999999</v>
      </c>
      <c r="AE313" s="177">
        <f t="shared" si="82"/>
        <v>196552.13</v>
      </c>
      <c r="AF313" s="177">
        <f t="shared" si="95"/>
        <v>463934.62</v>
      </c>
      <c r="AG313" s="248">
        <f t="shared" si="81"/>
        <v>265743.1400000006</v>
      </c>
      <c r="AH313" s="263"/>
      <c r="AI313" s="264"/>
      <c r="AJ313" s="264"/>
      <c r="AK313" s="264"/>
      <c r="AL313" s="264"/>
      <c r="AM313" s="264"/>
      <c r="AN313" s="264"/>
      <c r="AO313" s="264"/>
      <c r="AP313" s="264"/>
      <c r="AQ313" s="264"/>
      <c r="AR313" s="264"/>
      <c r="AS313" s="264"/>
      <c r="AT313" s="264"/>
      <c r="AU313" s="264"/>
      <c r="AV313" s="264"/>
      <c r="AW313" s="264"/>
      <c r="AX313" s="264"/>
      <c r="AY313" s="264"/>
      <c r="AZ313" s="264"/>
      <c r="BA313" s="264"/>
      <c r="BB313" s="264"/>
      <c r="BC313" s="264"/>
    </row>
    <row r="314" spans="1:55" ht="15" customHeight="1" x14ac:dyDescent="0.15">
      <c r="A314" s="180">
        <v>43044</v>
      </c>
      <c r="B314" s="175" t="s">
        <v>34</v>
      </c>
      <c r="C314" s="176">
        <v>44638</v>
      </c>
      <c r="D314" s="177">
        <f>39300+9393</f>
        <v>48693</v>
      </c>
      <c r="E314" s="177">
        <v>100875</v>
      </c>
      <c r="F314" s="178">
        <v>5081.8</v>
      </c>
      <c r="G314" s="177">
        <v>3156.7</v>
      </c>
      <c r="H314" s="179"/>
      <c r="I314" s="179"/>
      <c r="J314" s="204">
        <f t="shared" si="78"/>
        <v>52182</v>
      </c>
      <c r="K314" s="177">
        <v>195</v>
      </c>
      <c r="L314" s="177">
        <v>6822</v>
      </c>
      <c r="M314" s="205">
        <f t="shared" si="79"/>
        <v>527</v>
      </c>
      <c r="N314" s="206">
        <f t="shared" si="93"/>
        <v>200893</v>
      </c>
      <c r="O314" s="209">
        <f t="shared" si="93"/>
        <v>254874</v>
      </c>
      <c r="P314" s="208">
        <f t="shared" si="93"/>
        <v>496323</v>
      </c>
      <c r="Q314" s="225">
        <f t="shared" si="94"/>
        <v>19085967.219999999</v>
      </c>
      <c r="R314" s="207">
        <f t="shared" si="94"/>
        <v>12665984.800000001</v>
      </c>
      <c r="S314" s="226">
        <f t="shared" si="94"/>
        <v>32685725.91</v>
      </c>
      <c r="T314" s="227">
        <f>N314/'2017'!N314-1</f>
        <v>-0.19968368676225112</v>
      </c>
      <c r="U314" s="228">
        <f>O314/'2017'!O314-1</f>
        <v>0.15257195830601211</v>
      </c>
      <c r="V314" s="228">
        <f>P314/'2017'!P314-1</f>
        <v>2.6011907222888375E-2</v>
      </c>
      <c r="W314" s="228">
        <f>Q314/'2017'!Q314-1</f>
        <v>3.2000968319855438E-2</v>
      </c>
      <c r="X314" s="228">
        <f>R314/'2017'!R314-1</f>
        <v>0.15716799557816219</v>
      </c>
      <c r="Y314" s="244">
        <f>S314/'2017'!S314-1</f>
        <v>8.3806414484217662E-2</v>
      </c>
      <c r="Z314" s="245"/>
      <c r="AA314" s="246">
        <f t="shared" si="85"/>
        <v>1908.5967219999998</v>
      </c>
      <c r="AB314" s="247"/>
      <c r="AC314" s="248"/>
      <c r="AD314" s="247">
        <f t="shared" si="80"/>
        <v>20019741.109999999</v>
      </c>
      <c r="AE314" s="177">
        <f t="shared" si="82"/>
        <v>196747.13</v>
      </c>
      <c r="AF314" s="177">
        <f t="shared" si="95"/>
        <v>470756.62</v>
      </c>
      <c r="AG314" s="248">
        <f t="shared" si="81"/>
        <v>266270.1400000006</v>
      </c>
      <c r="AH314" s="263"/>
      <c r="AI314" s="264"/>
      <c r="AJ314" s="264"/>
      <c r="AK314" s="264"/>
      <c r="AL314" s="264"/>
      <c r="AM314" s="264"/>
      <c r="AN314" s="264"/>
      <c r="AO314" s="264"/>
      <c r="AP314" s="264"/>
      <c r="AQ314" s="264"/>
      <c r="AR314" s="264"/>
      <c r="AS314" s="264"/>
      <c r="AT314" s="264"/>
      <c r="AU314" s="264"/>
      <c r="AV314" s="264"/>
      <c r="AW314" s="264"/>
      <c r="AX314" s="264"/>
      <c r="AY314" s="264"/>
      <c r="AZ314" s="264"/>
      <c r="BA314" s="264"/>
      <c r="BB314" s="264"/>
      <c r="BC314" s="264"/>
    </row>
    <row r="315" spans="1:55" ht="15" customHeight="1" x14ac:dyDescent="0.15">
      <c r="A315" s="180">
        <v>43045</v>
      </c>
      <c r="B315" s="175" t="s">
        <v>35</v>
      </c>
      <c r="C315" s="176">
        <v>45573</v>
      </c>
      <c r="D315" s="177">
        <f>40444+9464</f>
        <v>49908</v>
      </c>
      <c r="E315" s="177">
        <v>102976</v>
      </c>
      <c r="F315" s="178">
        <v>5210.8999999999996</v>
      </c>
      <c r="G315" s="177">
        <v>3347.7</v>
      </c>
      <c r="H315" s="179"/>
      <c r="I315" s="179"/>
      <c r="J315" s="204">
        <f t="shared" si="78"/>
        <v>53068</v>
      </c>
      <c r="K315" s="177">
        <v>239</v>
      </c>
      <c r="L315" s="177">
        <v>6817</v>
      </c>
      <c r="M315" s="205">
        <f t="shared" si="79"/>
        <v>439</v>
      </c>
      <c r="N315" s="206">
        <f t="shared" si="93"/>
        <v>246466</v>
      </c>
      <c r="O315" s="209">
        <f t="shared" si="93"/>
        <v>304782</v>
      </c>
      <c r="P315" s="208">
        <f t="shared" si="93"/>
        <v>599299</v>
      </c>
      <c r="Q315" s="225">
        <f t="shared" si="94"/>
        <v>19131540.219999999</v>
      </c>
      <c r="R315" s="207">
        <f t="shared" si="94"/>
        <v>12715892.800000001</v>
      </c>
      <c r="S315" s="226">
        <f t="shared" si="94"/>
        <v>32788701.91</v>
      </c>
      <c r="T315" s="227">
        <f>N315/'2017'!N315-1</f>
        <v>-0.19720530275886783</v>
      </c>
      <c r="U315" s="228">
        <f>O315/'2017'!O315-1</f>
        <v>0.15646604387848795</v>
      </c>
      <c r="V315" s="228">
        <f>P315/'2017'!P315-1</f>
        <v>2.6110822893284702E-2</v>
      </c>
      <c r="W315" s="228">
        <f>Q315/'2017'!Q315-1</f>
        <v>3.1342653242537155E-2</v>
      </c>
      <c r="X315" s="228">
        <f>R315/'2017'!R315-1</f>
        <v>0.15724365462738477</v>
      </c>
      <c r="Y315" s="244">
        <f>S315/'2017'!S315-1</f>
        <v>8.3616731494494001E-2</v>
      </c>
      <c r="Z315" s="245"/>
      <c r="AA315" s="246">
        <f t="shared" si="85"/>
        <v>1913.1540219999999</v>
      </c>
      <c r="AB315" s="247"/>
      <c r="AC315" s="248"/>
      <c r="AD315" s="247">
        <f t="shared" si="80"/>
        <v>20072809.109999999</v>
      </c>
      <c r="AE315" s="177">
        <f t="shared" si="82"/>
        <v>196986.13</v>
      </c>
      <c r="AF315" s="177">
        <f t="shared" si="95"/>
        <v>477573.62</v>
      </c>
      <c r="AG315" s="248">
        <f t="shared" si="81"/>
        <v>266709.1400000006</v>
      </c>
      <c r="AH315" s="263"/>
      <c r="AI315" s="264"/>
      <c r="AJ315" s="264"/>
      <c r="AK315" s="264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264"/>
      <c r="AZ315" s="264"/>
      <c r="BA315" s="264"/>
      <c r="BB315" s="264"/>
      <c r="BC315" s="264"/>
    </row>
    <row r="316" spans="1:55" ht="15" customHeight="1" x14ac:dyDescent="0.15">
      <c r="A316" s="180">
        <v>43046</v>
      </c>
      <c r="B316" s="175" t="s">
        <v>36</v>
      </c>
      <c r="C316" s="176">
        <v>46303</v>
      </c>
      <c r="D316" s="177">
        <v>49606</v>
      </c>
      <c r="E316" s="177">
        <v>103690</v>
      </c>
      <c r="F316" s="178">
        <v>5259</v>
      </c>
      <c r="G316" s="177">
        <v>3378</v>
      </c>
      <c r="H316" s="179"/>
      <c r="I316" s="179"/>
      <c r="J316" s="204">
        <f t="shared" si="78"/>
        <v>54084</v>
      </c>
      <c r="K316" s="177">
        <v>596</v>
      </c>
      <c r="L316" s="177">
        <v>6816</v>
      </c>
      <c r="M316" s="205">
        <f t="shared" si="79"/>
        <v>369</v>
      </c>
      <c r="N316" s="206">
        <f t="shared" si="93"/>
        <v>292769</v>
      </c>
      <c r="O316" s="209">
        <f t="shared" si="93"/>
        <v>354388</v>
      </c>
      <c r="P316" s="208">
        <f t="shared" si="93"/>
        <v>702989</v>
      </c>
      <c r="Q316" s="225">
        <f t="shared" si="94"/>
        <v>19177843.219999999</v>
      </c>
      <c r="R316" s="207">
        <f t="shared" si="94"/>
        <v>12765498.800000001</v>
      </c>
      <c r="S316" s="226">
        <f t="shared" si="94"/>
        <v>32892391.91</v>
      </c>
      <c r="T316" s="227">
        <f>N316/'2017'!N316-1</f>
        <v>-0.20601571864813117</v>
      </c>
      <c r="U316" s="228">
        <f>O316/'2017'!O316-1</f>
        <v>0.17028871841781124</v>
      </c>
      <c r="V316" s="228">
        <f>P316/'2017'!P316-1</f>
        <v>2.4378550955251654E-2</v>
      </c>
      <c r="W316" s="228">
        <f>Q316/'2017'!Q316-1</f>
        <v>3.0410151085899839E-2</v>
      </c>
      <c r="X316" s="228">
        <f>R316/'2017'!R316-1</f>
        <v>0.15762046785264405</v>
      </c>
      <c r="Y316" s="244">
        <f>S316/'2017'!S316-1</f>
        <v>8.3383981737972679E-2</v>
      </c>
      <c r="Z316" s="245"/>
      <c r="AA316" s="246">
        <f t="shared" si="85"/>
        <v>1917.784322</v>
      </c>
      <c r="AB316" s="247"/>
      <c r="AC316" s="248"/>
      <c r="AD316" s="247">
        <f t="shared" si="80"/>
        <v>20126893.109999999</v>
      </c>
      <c r="AE316" s="177">
        <f t="shared" si="82"/>
        <v>197582.13</v>
      </c>
      <c r="AF316" s="177">
        <f t="shared" si="95"/>
        <v>484389.62</v>
      </c>
      <c r="AG316" s="248">
        <f t="shared" si="81"/>
        <v>267078.1400000006</v>
      </c>
      <c r="AH316" s="263"/>
      <c r="AI316" s="264"/>
      <c r="AJ316" s="264"/>
      <c r="AK316" s="264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264"/>
      <c r="AZ316" s="264"/>
      <c r="BA316" s="264"/>
      <c r="BB316" s="264"/>
      <c r="BC316" s="264"/>
    </row>
    <row r="317" spans="1:55" s="157" customFormat="1" ht="15" customHeight="1" x14ac:dyDescent="0.15">
      <c r="A317" s="181">
        <v>43047</v>
      </c>
      <c r="B317" s="182" t="s">
        <v>37</v>
      </c>
      <c r="C317" s="183">
        <v>46164</v>
      </c>
      <c r="D317" s="184">
        <v>49960</v>
      </c>
      <c r="E317" s="184">
        <v>104098</v>
      </c>
      <c r="F317" s="185">
        <v>5312</v>
      </c>
      <c r="G317" s="184">
        <v>3350</v>
      </c>
      <c r="H317" s="186"/>
      <c r="I317" s="186"/>
      <c r="J317" s="210">
        <f t="shared" si="78"/>
        <v>54138</v>
      </c>
      <c r="K317" s="184">
        <v>504</v>
      </c>
      <c r="L317" s="184">
        <v>6814</v>
      </c>
      <c r="M317" s="211">
        <f t="shared" si="79"/>
        <v>656</v>
      </c>
      <c r="N317" s="212">
        <f>C317+N316</f>
        <v>338933</v>
      </c>
      <c r="O317" s="215">
        <f t="shared" si="93"/>
        <v>404348</v>
      </c>
      <c r="P317" s="214">
        <f t="shared" si="93"/>
        <v>807087</v>
      </c>
      <c r="Q317" s="229">
        <f t="shared" si="94"/>
        <v>19224007.219999999</v>
      </c>
      <c r="R317" s="213">
        <f t="shared" si="94"/>
        <v>12815458.800000001</v>
      </c>
      <c r="S317" s="230">
        <f t="shared" si="94"/>
        <v>32996489.91</v>
      </c>
      <c r="T317" s="231">
        <f>N317/'2017'!N317-1</f>
        <v>-0.21168472319779696</v>
      </c>
      <c r="U317" s="232">
        <f>O317/'2017'!O317-1</f>
        <v>0.18677358003240263</v>
      </c>
      <c r="V317" s="232">
        <f>P317/'2017'!P317-1</f>
        <v>2.5500052095377646E-2</v>
      </c>
      <c r="W317" s="232">
        <f>Q317/'2017'!Q317-1</f>
        <v>2.9504597266743593E-2</v>
      </c>
      <c r="X317" s="232">
        <f>R317/'2017'!R317-1</f>
        <v>0.15817143613177542</v>
      </c>
      <c r="Y317" s="249">
        <f>S317/'2017'!S317-1</f>
        <v>8.3217782479067859E-2</v>
      </c>
      <c r="Z317" s="250">
        <v>114.18</v>
      </c>
      <c r="AA317" s="251">
        <f t="shared" si="85"/>
        <v>1808.2207219999998</v>
      </c>
      <c r="AB317" s="252">
        <v>4286.88</v>
      </c>
      <c r="AC317" s="211">
        <f t="shared" si="87"/>
        <v>4218.0343793154925</v>
      </c>
      <c r="AD317" s="252">
        <f t="shared" si="80"/>
        <v>20181031.109999999</v>
      </c>
      <c r="AE317" s="184">
        <f t="shared" si="82"/>
        <v>198086.13</v>
      </c>
      <c r="AF317" s="184">
        <f t="shared" si="95"/>
        <v>491203.62</v>
      </c>
      <c r="AG317" s="211">
        <f t="shared" si="81"/>
        <v>267734.1400000006</v>
      </c>
      <c r="AH317" s="263"/>
      <c r="AI317" s="264"/>
      <c r="AJ317" s="264"/>
      <c r="AK317" s="264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264"/>
    </row>
    <row r="318" spans="1:55" ht="15" customHeight="1" x14ac:dyDescent="0.15">
      <c r="A318" s="180">
        <v>43048</v>
      </c>
      <c r="B318" s="175" t="s">
        <v>38</v>
      </c>
      <c r="C318" s="176">
        <f>36855+6980</f>
        <v>43835</v>
      </c>
      <c r="D318" s="177">
        <f>38114+11342</f>
        <v>49456</v>
      </c>
      <c r="E318" s="177">
        <f>63564+38114</f>
        <v>101678</v>
      </c>
      <c r="F318" s="178">
        <v>4982</v>
      </c>
      <c r="G318" s="177">
        <v>3339</v>
      </c>
      <c r="H318" s="179"/>
      <c r="I318" s="179"/>
      <c r="J318" s="204">
        <f t="shared" si="78"/>
        <v>52222</v>
      </c>
      <c r="K318" s="177">
        <v>518</v>
      </c>
      <c r="L318" s="177">
        <v>6814</v>
      </c>
      <c r="M318" s="205">
        <f t="shared" si="79"/>
        <v>1055</v>
      </c>
      <c r="N318" s="206">
        <f>C318+N317</f>
        <v>382768</v>
      </c>
      <c r="O318" s="209">
        <f t="shared" si="93"/>
        <v>453804</v>
      </c>
      <c r="P318" s="208">
        <f t="shared" si="93"/>
        <v>908765</v>
      </c>
      <c r="Q318" s="225">
        <f>Q$309+N318</f>
        <v>19267842.219999999</v>
      </c>
      <c r="R318" s="207">
        <f t="shared" si="94"/>
        <v>12864914.800000001</v>
      </c>
      <c r="S318" s="226">
        <f t="shared" si="94"/>
        <v>33098167.91</v>
      </c>
      <c r="T318" s="227">
        <f>N318/'2017'!N318-1</f>
        <v>-0.22113449576044419</v>
      </c>
      <c r="U318" s="228">
        <f>O318/'2017'!O318-1</f>
        <v>0.20114343188375106</v>
      </c>
      <c r="V318" s="228">
        <f>P318/'2017'!P318-1</f>
        <v>2.3882113821138251E-2</v>
      </c>
      <c r="W318" s="228">
        <f>Q318/'2017'!Q318-1</f>
        <v>2.8464997661944436E-2</v>
      </c>
      <c r="X318" s="228">
        <f>R318/'2017'!R318-1</f>
        <v>0.15875601111476412</v>
      </c>
      <c r="Y318" s="244">
        <f>S318/'2017'!S318-1</f>
        <v>8.2980902532150402E-2</v>
      </c>
      <c r="Z318" s="245"/>
      <c r="AA318" s="304">
        <f t="shared" si="85"/>
        <v>1926.7842219999998</v>
      </c>
      <c r="AB318" s="305"/>
      <c r="AC318" s="205"/>
      <c r="AD318" s="247">
        <f t="shared" si="80"/>
        <v>20233253.109999999</v>
      </c>
      <c r="AE318" s="177">
        <f t="shared" si="82"/>
        <v>198604.13</v>
      </c>
      <c r="AF318" s="177">
        <f t="shared" si="95"/>
        <v>498017.62</v>
      </c>
      <c r="AG318" s="248">
        <f t="shared" si="81"/>
        <v>268789.1400000006</v>
      </c>
      <c r="AH318" s="263"/>
      <c r="AI318" s="264"/>
      <c r="AJ318" s="264"/>
      <c r="AK318" s="264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264"/>
    </row>
    <row r="319" spans="1:55" ht="15" customHeight="1" x14ac:dyDescent="0.15">
      <c r="A319" s="180">
        <v>43049</v>
      </c>
      <c r="B319" s="175" t="s">
        <v>39</v>
      </c>
      <c r="C319" s="176">
        <f>35902+7928</f>
        <v>43830</v>
      </c>
      <c r="D319" s="177">
        <f>37040+11373</f>
        <v>48413</v>
      </c>
      <c r="E319" s="177">
        <f>63185+37040</f>
        <v>100225</v>
      </c>
      <c r="F319" s="178">
        <v>4941</v>
      </c>
      <c r="G319" s="177">
        <v>3367</v>
      </c>
      <c r="H319" s="179"/>
      <c r="I319" s="179"/>
      <c r="J319" s="204">
        <f t="shared" si="78"/>
        <v>51812</v>
      </c>
      <c r="K319" s="177">
        <v>366</v>
      </c>
      <c r="L319" s="177">
        <v>6822</v>
      </c>
      <c r="M319" s="205">
        <f t="shared" si="79"/>
        <v>794</v>
      </c>
      <c r="N319" s="206">
        <f t="shared" si="93"/>
        <v>426598</v>
      </c>
      <c r="O319" s="209">
        <f t="shared" si="93"/>
        <v>502217</v>
      </c>
      <c r="P319" s="208">
        <f t="shared" si="93"/>
        <v>1008990</v>
      </c>
      <c r="Q319" s="225">
        <f t="shared" si="94"/>
        <v>19311672.219999999</v>
      </c>
      <c r="R319" s="207">
        <f t="shared" si="94"/>
        <v>12913327.800000001</v>
      </c>
      <c r="S319" s="226">
        <f t="shared" si="94"/>
        <v>33198392.91</v>
      </c>
      <c r="T319" s="227">
        <f>N319/'2017'!N319-1</f>
        <v>-0.2310473739045168</v>
      </c>
      <c r="U319" s="228">
        <f>O319/'2017'!O319-1</f>
        <v>0.2114634040438641</v>
      </c>
      <c r="V319" s="228">
        <f>P319/'2017'!P319-1</f>
        <v>2.00524690265933E-2</v>
      </c>
      <c r="W319" s="228">
        <f>Q319/'2017'!Q319-1</f>
        <v>2.7331475674205796E-2</v>
      </c>
      <c r="X319" s="228">
        <f>R319/'2017'!R319-1</f>
        <v>0.15927990193816477</v>
      </c>
      <c r="Y319" s="244">
        <f>S319/'2017'!S319-1</f>
        <v>8.2661574274238037E-2</v>
      </c>
      <c r="Z319" s="245"/>
      <c r="AA319" s="246">
        <f t="shared" si="85"/>
        <v>1931.1672219999998</v>
      </c>
      <c r="AB319" s="247"/>
      <c r="AC319" s="248"/>
      <c r="AD319" s="247">
        <f t="shared" si="80"/>
        <v>20285065.109999999</v>
      </c>
      <c r="AE319" s="177">
        <f t="shared" si="82"/>
        <v>198970.13</v>
      </c>
      <c r="AF319" s="177">
        <f t="shared" si="95"/>
        <v>504839.62</v>
      </c>
      <c r="AG319" s="248">
        <f t="shared" si="81"/>
        <v>269583.1400000006</v>
      </c>
      <c r="AH319" s="263"/>
      <c r="AI319" s="264"/>
      <c r="AJ319" s="264"/>
      <c r="AK319" s="264"/>
      <c r="AL319" s="264"/>
      <c r="AM319" s="264"/>
      <c r="AN319" s="264"/>
      <c r="AO319" s="264"/>
      <c r="AP319" s="264"/>
      <c r="AQ319" s="264"/>
      <c r="AR319" s="264"/>
      <c r="AS319" s="264"/>
      <c r="AT319" s="264"/>
      <c r="AU319" s="264"/>
      <c r="AV319" s="264"/>
      <c r="AW319" s="264"/>
      <c r="AX319" s="264"/>
      <c r="AY319" s="264"/>
      <c r="AZ319" s="264"/>
      <c r="BA319" s="264"/>
      <c r="BB319" s="264"/>
      <c r="BC319" s="264"/>
    </row>
    <row r="320" spans="1:55" ht="15" customHeight="1" x14ac:dyDescent="0.15">
      <c r="A320" s="180">
        <v>43050</v>
      </c>
      <c r="B320" s="175" t="s">
        <v>1</v>
      </c>
      <c r="C320" s="176">
        <f>35259+5194</f>
        <v>40453</v>
      </c>
      <c r="D320" s="177">
        <f>35689+11351</f>
        <v>47040</v>
      </c>
      <c r="E320" s="177">
        <f>59515+35689</f>
        <v>95204</v>
      </c>
      <c r="F320" s="178">
        <v>4606</v>
      </c>
      <c r="G320" s="177">
        <v>3277</v>
      </c>
      <c r="H320" s="179"/>
      <c r="I320" s="179"/>
      <c r="J320" s="204">
        <f t="shared" si="78"/>
        <v>48164</v>
      </c>
      <c r="K320" s="177">
        <v>274</v>
      </c>
      <c r="L320" s="177">
        <v>6823</v>
      </c>
      <c r="M320" s="205">
        <f t="shared" si="79"/>
        <v>614</v>
      </c>
      <c r="N320" s="206">
        <f t="shared" si="93"/>
        <v>467051</v>
      </c>
      <c r="O320" s="209">
        <f t="shared" si="93"/>
        <v>549257</v>
      </c>
      <c r="P320" s="208">
        <f t="shared" si="93"/>
        <v>1104194</v>
      </c>
      <c r="Q320" s="225">
        <f t="shared" si="94"/>
        <v>19352125.219999999</v>
      </c>
      <c r="R320" s="207">
        <f t="shared" si="94"/>
        <v>12960367.800000001</v>
      </c>
      <c r="S320" s="226">
        <f t="shared" si="94"/>
        <v>33293596.91</v>
      </c>
      <c r="T320" s="227">
        <f>N320/'2017'!N320-1</f>
        <v>-0.24158117118258193</v>
      </c>
      <c r="U320" s="228">
        <f>O320/'2017'!O320-1</f>
        <v>0.21731142163761485</v>
      </c>
      <c r="V320" s="228">
        <f>P320/'2017'!P320-1</f>
        <v>1.428568804069652E-2</v>
      </c>
      <c r="W320" s="228">
        <f>Q320/'2017'!Q320-1</f>
        <v>2.6151164356440493E-2</v>
      </c>
      <c r="X320" s="228">
        <f>R320/'2017'!R320-1</f>
        <v>0.15968714389957905</v>
      </c>
      <c r="Y320" s="244">
        <f>S320/'2017'!S320-1</f>
        <v>8.2255024772384333E-2</v>
      </c>
      <c r="Z320" s="245"/>
      <c r="AA320" s="246">
        <f t="shared" si="85"/>
        <v>1935.2125219999998</v>
      </c>
      <c r="AB320" s="247"/>
      <c r="AC320" s="248"/>
      <c r="AD320" s="247">
        <f t="shared" si="80"/>
        <v>20333229.109999999</v>
      </c>
      <c r="AE320" s="177">
        <f t="shared" si="82"/>
        <v>199244.13</v>
      </c>
      <c r="AF320" s="177">
        <f t="shared" si="95"/>
        <v>511662.62</v>
      </c>
      <c r="AG320" s="248">
        <f t="shared" si="81"/>
        <v>270197.1400000006</v>
      </c>
      <c r="AH320" s="263"/>
      <c r="AI320" s="264"/>
      <c r="AJ320" s="264"/>
      <c r="AK320" s="264"/>
      <c r="AL320" s="264"/>
      <c r="AM320" s="264"/>
      <c r="AN320" s="264"/>
      <c r="AO320" s="264"/>
      <c r="AP320" s="264"/>
      <c r="AQ320" s="264"/>
      <c r="AR320" s="264"/>
      <c r="AS320" s="264"/>
      <c r="AT320" s="264"/>
      <c r="AU320" s="264"/>
      <c r="AV320" s="264"/>
      <c r="AW320" s="264"/>
      <c r="AX320" s="264"/>
      <c r="AY320" s="264"/>
      <c r="AZ320" s="264"/>
      <c r="BA320" s="264"/>
      <c r="BB320" s="264"/>
      <c r="BC320" s="264"/>
    </row>
    <row r="321" spans="1:55" x14ac:dyDescent="0.15">
      <c r="A321" s="180">
        <v>43051</v>
      </c>
      <c r="B321" s="175" t="s">
        <v>34</v>
      </c>
      <c r="C321" s="176">
        <f>40146+7890</f>
        <v>48036</v>
      </c>
      <c r="D321" s="178">
        <f>36235+11062</f>
        <v>47297</v>
      </c>
      <c r="E321" s="177">
        <f>66463+36235</f>
        <v>102698</v>
      </c>
      <c r="F321" s="160">
        <v>5279</v>
      </c>
      <c r="G321" s="177">
        <v>3155</v>
      </c>
      <c r="H321" s="179"/>
      <c r="I321" s="179"/>
      <c r="J321" s="204">
        <f t="shared" si="78"/>
        <v>55401</v>
      </c>
      <c r="K321" s="177">
        <v>213</v>
      </c>
      <c r="L321" s="177">
        <v>6823</v>
      </c>
      <c r="M321" s="205">
        <f t="shared" si="79"/>
        <v>329</v>
      </c>
      <c r="N321" s="206">
        <f t="shared" si="93"/>
        <v>515087</v>
      </c>
      <c r="O321" s="209">
        <f t="shared" si="93"/>
        <v>596554</v>
      </c>
      <c r="P321" s="208">
        <f>E321+P320</f>
        <v>1206892</v>
      </c>
      <c r="Q321" s="225">
        <f t="shared" si="94"/>
        <v>19400161.219999999</v>
      </c>
      <c r="R321" s="207">
        <f t="shared" si="94"/>
        <v>13007664.800000001</v>
      </c>
      <c r="S321" s="226">
        <f t="shared" si="94"/>
        <v>33396294.91</v>
      </c>
      <c r="T321" s="227">
        <f>N321/'2017'!N321-1</f>
        <v>-0.23301755869774976</v>
      </c>
      <c r="U321" s="228">
        <f>O321/'2017'!O321-1</f>
        <v>0.2175540502203237</v>
      </c>
      <c r="V321" s="228">
        <f>P321/'2017'!P321-1</f>
        <v>1.8765705969893576E-2</v>
      </c>
      <c r="W321" s="228">
        <f>Q321/'2017'!Q321-1</f>
        <v>2.5666037233515127E-2</v>
      </c>
      <c r="X321" s="228">
        <f>R321/'2017'!R321-1</f>
        <v>0.15989688707504701</v>
      </c>
      <c r="Y321" s="244">
        <f>S321/'2017'!S321-1</f>
        <v>8.2215521298549366E-2</v>
      </c>
      <c r="Z321" s="245">
        <v>117.02</v>
      </c>
      <c r="AA321" s="246">
        <f t="shared" si="85"/>
        <v>1822.9961219999998</v>
      </c>
      <c r="AB321" s="247"/>
      <c r="AC321" s="248"/>
      <c r="AD321" s="247">
        <f t="shared" si="80"/>
        <v>20388630.109999999</v>
      </c>
      <c r="AE321" s="177">
        <f t="shared" si="82"/>
        <v>199457.13</v>
      </c>
      <c r="AF321" s="177">
        <f t="shared" si="95"/>
        <v>518485.62</v>
      </c>
      <c r="AG321" s="248">
        <f t="shared" si="81"/>
        <v>270526.1400000006</v>
      </c>
      <c r="AH321" s="263"/>
      <c r="AI321" s="264"/>
      <c r="AJ321" s="264"/>
      <c r="AK321" s="264"/>
      <c r="AL321" s="264"/>
      <c r="AM321" s="264"/>
      <c r="AN321" s="264"/>
      <c r="AO321" s="264"/>
      <c r="AP321" s="264"/>
      <c r="AQ321" s="264"/>
      <c r="AR321" s="264"/>
      <c r="AS321" s="264"/>
      <c r="AT321" s="264"/>
      <c r="AU321" s="264"/>
      <c r="AV321" s="264"/>
      <c r="AW321" s="264"/>
      <c r="AX321" s="264"/>
      <c r="AY321" s="264"/>
      <c r="AZ321" s="264"/>
      <c r="BA321" s="264"/>
      <c r="BB321" s="264"/>
      <c r="BC321" s="264"/>
    </row>
    <row r="322" spans="1:55" x14ac:dyDescent="0.15">
      <c r="A322" s="180">
        <v>43052</v>
      </c>
      <c r="B322" s="175" t="s">
        <v>35</v>
      </c>
      <c r="C322" s="176">
        <f>34466+7885</f>
        <v>42351</v>
      </c>
      <c r="D322" s="159">
        <f>41149+10808</f>
        <v>51957</v>
      </c>
      <c r="E322" s="177">
        <f>61242+41149</f>
        <v>102391</v>
      </c>
      <c r="F322" s="178">
        <v>5091</v>
      </c>
      <c r="G322" s="177">
        <v>3325</v>
      </c>
      <c r="H322" s="179"/>
      <c r="I322" s="179"/>
      <c r="J322" s="204">
        <f t="shared" si="78"/>
        <v>50434</v>
      </c>
      <c r="K322" s="177">
        <v>449</v>
      </c>
      <c r="L322" s="177">
        <v>6830</v>
      </c>
      <c r="M322" s="205">
        <f t="shared" si="79"/>
        <v>804</v>
      </c>
      <c r="N322" s="206">
        <f t="shared" si="93"/>
        <v>557438</v>
      </c>
      <c r="O322" s="209">
        <f t="shared" si="93"/>
        <v>648511</v>
      </c>
      <c r="P322" s="208">
        <f t="shared" si="93"/>
        <v>1309283</v>
      </c>
      <c r="Q322" s="225">
        <f t="shared" si="94"/>
        <v>19442512.219999999</v>
      </c>
      <c r="R322" s="207">
        <f t="shared" si="94"/>
        <v>13059621.800000001</v>
      </c>
      <c r="S322" s="226">
        <f t="shared" si="94"/>
        <v>33498685.91</v>
      </c>
      <c r="T322" s="227">
        <f>N322/'2017'!N322-1</f>
        <v>-0.23924694129608526</v>
      </c>
      <c r="U322" s="228">
        <f>O322/'2017'!O322-1</f>
        <v>0.22902030644442961</v>
      </c>
      <c r="V322" s="228">
        <f>P322/'2017'!P322-1</f>
        <v>1.8892518789795476E-2</v>
      </c>
      <c r="W322" s="228">
        <f>Q322/'2017'!Q322-1</f>
        <v>2.4591621605729808E-2</v>
      </c>
      <c r="X322" s="228">
        <f>R322/'2017'!R322-1</f>
        <v>0.1606277880646505</v>
      </c>
      <c r="Y322" s="244">
        <f>S322/'2017'!S322-1</f>
        <v>8.2015133392564499E-2</v>
      </c>
      <c r="Z322" s="245">
        <v>117.8</v>
      </c>
      <c r="AA322" s="246">
        <f t="shared" si="85"/>
        <v>1826.4512219999999</v>
      </c>
      <c r="AB322" s="247"/>
      <c r="AC322" s="248"/>
      <c r="AD322" s="247">
        <f t="shared" si="80"/>
        <v>20439064.109999999</v>
      </c>
      <c r="AE322" s="177">
        <f t="shared" si="82"/>
        <v>199906.13</v>
      </c>
      <c r="AF322" s="177">
        <f t="shared" si="95"/>
        <v>525315.62</v>
      </c>
      <c r="AG322" s="248">
        <f t="shared" si="81"/>
        <v>271330.1400000006</v>
      </c>
      <c r="AH322" s="263"/>
      <c r="AI322" s="264"/>
      <c r="AJ322" s="264"/>
      <c r="AK322" s="264"/>
      <c r="AL322" s="264"/>
      <c r="AM322" s="264"/>
      <c r="AN322" s="264"/>
      <c r="AO322" s="264"/>
      <c r="AP322" s="264"/>
      <c r="AQ322" s="264"/>
      <c r="AR322" s="264"/>
      <c r="AS322" s="264"/>
      <c r="AT322" s="264"/>
      <c r="AU322" s="264"/>
      <c r="AV322" s="264"/>
      <c r="AW322" s="264"/>
      <c r="AX322" s="264"/>
      <c r="AY322" s="264"/>
      <c r="AZ322" s="264"/>
      <c r="BA322" s="264"/>
      <c r="BB322" s="264"/>
      <c r="BC322" s="264"/>
    </row>
    <row r="323" spans="1:55" x14ac:dyDescent="0.15">
      <c r="A323" s="180">
        <v>43053</v>
      </c>
      <c r="B323" s="175" t="s">
        <v>36</v>
      </c>
      <c r="C323" s="176">
        <f>37079+7688</f>
        <v>44767</v>
      </c>
      <c r="D323" s="177">
        <f>40703+10850</f>
        <v>51553</v>
      </c>
      <c r="E323" s="177">
        <f>63372+40703</f>
        <v>104075</v>
      </c>
      <c r="F323" s="178">
        <v>5241</v>
      </c>
      <c r="G323" s="177">
        <v>3365</v>
      </c>
      <c r="H323" s="179"/>
      <c r="I323" s="179"/>
      <c r="J323" s="204">
        <f t="shared" si="78"/>
        <v>52522</v>
      </c>
      <c r="K323" s="177">
        <v>414</v>
      </c>
      <c r="L323" s="177">
        <v>6831</v>
      </c>
      <c r="M323" s="205">
        <f t="shared" si="79"/>
        <v>510</v>
      </c>
      <c r="N323" s="206">
        <f t="shared" si="93"/>
        <v>602205</v>
      </c>
      <c r="O323" s="209">
        <f t="shared" si="93"/>
        <v>700064</v>
      </c>
      <c r="P323" s="208">
        <f t="shared" si="93"/>
        <v>1413358</v>
      </c>
      <c r="Q323" s="225">
        <f t="shared" si="94"/>
        <v>19487279.219999999</v>
      </c>
      <c r="R323" s="207">
        <f t="shared" si="94"/>
        <v>13111174.800000001</v>
      </c>
      <c r="S323" s="226">
        <f t="shared" si="94"/>
        <v>33602760.909999996</v>
      </c>
      <c r="T323" s="227">
        <f>N323/'2017'!N323-1</f>
        <v>-0.2451452538055795</v>
      </c>
      <c r="U323" s="228">
        <f>O323/'2017'!O323-1</f>
        <v>0.24088080302463633</v>
      </c>
      <c r="V323" s="228">
        <f>P323/'2017'!P323-1</f>
        <v>1.8260649043380095E-2</v>
      </c>
      <c r="W323" s="228">
        <f>Q323/'2017'!Q323-1</f>
        <v>2.3443397392698184E-2</v>
      </c>
      <c r="X323" s="228">
        <f>R323/'2017'!R323-1</f>
        <v>0.16144167795301989</v>
      </c>
      <c r="Y323" s="244">
        <f>S323/'2017'!S323-1</f>
        <v>8.1777578753467584E-2</v>
      </c>
      <c r="Z323" s="245"/>
      <c r="AA323" s="246">
        <f t="shared" si="85"/>
        <v>1948.7279219999998</v>
      </c>
      <c r="AB323" s="247"/>
      <c r="AC323" s="248"/>
      <c r="AD323" s="247">
        <f t="shared" si="80"/>
        <v>20491586.109999996</v>
      </c>
      <c r="AE323" s="177">
        <f t="shared" si="82"/>
        <v>200320.13</v>
      </c>
      <c r="AF323" s="177">
        <f t="shared" si="95"/>
        <v>532146.62</v>
      </c>
      <c r="AG323" s="248">
        <f t="shared" si="81"/>
        <v>271840.13999999687</v>
      </c>
      <c r="AH323" s="263"/>
      <c r="AI323" s="264"/>
      <c r="AJ323" s="264"/>
      <c r="AK323" s="264"/>
      <c r="AL323" s="264"/>
      <c r="AM323" s="264"/>
      <c r="AN323" s="264"/>
      <c r="AO323" s="264"/>
      <c r="AP323" s="264"/>
      <c r="AQ323" s="264"/>
      <c r="AR323" s="264"/>
      <c r="AS323" s="264"/>
      <c r="AT323" s="264"/>
      <c r="AU323" s="264"/>
      <c r="AV323" s="264"/>
      <c r="AW323" s="264"/>
      <c r="AX323" s="264"/>
      <c r="AY323" s="264"/>
      <c r="AZ323" s="264"/>
      <c r="BA323" s="264"/>
      <c r="BB323" s="264"/>
      <c r="BC323" s="264"/>
    </row>
    <row r="324" spans="1:55" s="157" customFormat="1" x14ac:dyDescent="0.15">
      <c r="A324" s="181">
        <v>43054</v>
      </c>
      <c r="B324" s="182" t="s">
        <v>37</v>
      </c>
      <c r="C324" s="183">
        <f>38283+7150</f>
        <v>45433</v>
      </c>
      <c r="D324" s="184">
        <f>11375+40097</f>
        <v>51472</v>
      </c>
      <c r="E324" s="184">
        <f>64300+40097</f>
        <v>104397</v>
      </c>
      <c r="F324" s="185">
        <v>5287</v>
      </c>
      <c r="G324" s="184">
        <v>3370</v>
      </c>
      <c r="H324" s="186"/>
      <c r="I324" s="186"/>
      <c r="J324" s="210">
        <f t="shared" si="78"/>
        <v>52925</v>
      </c>
      <c r="K324" s="184">
        <v>370</v>
      </c>
      <c r="L324" s="184">
        <v>6806</v>
      </c>
      <c r="M324" s="211">
        <f t="shared" si="79"/>
        <v>316</v>
      </c>
      <c r="N324" s="212">
        <f t="shared" si="93"/>
        <v>647638</v>
      </c>
      <c r="O324" s="215">
        <f t="shared" si="93"/>
        <v>751536</v>
      </c>
      <c r="P324" s="214">
        <f t="shared" si="93"/>
        <v>1517755</v>
      </c>
      <c r="Q324" s="229">
        <f t="shared" si="94"/>
        <v>19532712.219999999</v>
      </c>
      <c r="R324" s="213">
        <f t="shared" si="94"/>
        <v>13162646.800000001</v>
      </c>
      <c r="S324" s="230">
        <f t="shared" si="94"/>
        <v>33707157.909999996</v>
      </c>
      <c r="T324" s="231">
        <f>N324/'2017'!N324-1</f>
        <v>-0.24533459802675195</v>
      </c>
      <c r="U324" s="232">
        <f>O324/'2017'!O324-1</f>
        <v>0.24247113438876333</v>
      </c>
      <c r="V324" s="232">
        <f>P324/'2017'!P324-1</f>
        <v>1.8185391980797494E-2</v>
      </c>
      <c r="W324" s="232">
        <f>Q324/'2017'!Q324-1</f>
        <v>2.2585547275134843E-2</v>
      </c>
      <c r="X324" s="232">
        <f>R324/'2017'!R324-1</f>
        <v>0.16181199871626184</v>
      </c>
      <c r="Y324" s="249">
        <f>S324/'2017'!S324-1</f>
        <v>8.1564801463403391E-2</v>
      </c>
      <c r="Z324" s="250">
        <v>119.28</v>
      </c>
      <c r="AA324" s="251">
        <f t="shared" si="85"/>
        <v>1833.9912219999999</v>
      </c>
      <c r="AB324" s="252">
        <v>4286.88</v>
      </c>
      <c r="AC324" s="211">
        <f t="shared" si="87"/>
        <v>4278.14919475236</v>
      </c>
      <c r="AD324" s="252">
        <f t="shared" si="80"/>
        <v>20544511.109999996</v>
      </c>
      <c r="AE324" s="184">
        <f t="shared" si="82"/>
        <v>200690.13</v>
      </c>
      <c r="AF324" s="184">
        <f t="shared" si="95"/>
        <v>538952.62</v>
      </c>
      <c r="AG324" s="211">
        <f t="shared" si="81"/>
        <v>272156.13999999687</v>
      </c>
      <c r="AH324" s="263"/>
      <c r="AI324" s="264"/>
      <c r="AJ324" s="264"/>
      <c r="AK324" s="264"/>
      <c r="AL324" s="264"/>
      <c r="AM324" s="264"/>
      <c r="AN324" s="264"/>
      <c r="AO324" s="264"/>
      <c r="AP324" s="264"/>
      <c r="AQ324" s="264"/>
      <c r="AR324" s="264"/>
      <c r="AS324" s="264"/>
      <c r="AT324" s="264"/>
      <c r="AU324" s="264"/>
      <c r="AV324" s="264"/>
      <c r="AW324" s="264"/>
      <c r="AX324" s="264"/>
      <c r="AY324" s="264"/>
      <c r="AZ324" s="264"/>
      <c r="BA324" s="264"/>
      <c r="BB324" s="264"/>
      <c r="BC324" s="264"/>
    </row>
    <row r="325" spans="1:55" x14ac:dyDescent="0.15">
      <c r="A325" s="180">
        <v>43055</v>
      </c>
      <c r="B325" s="175" t="s">
        <v>38</v>
      </c>
      <c r="C325" s="176">
        <f>39440+8056</f>
        <v>47496</v>
      </c>
      <c r="D325" s="177">
        <f>35966+12487</f>
        <v>48453</v>
      </c>
      <c r="E325" s="177">
        <f>67707+35966</f>
        <v>103673</v>
      </c>
      <c r="F325" s="178">
        <v>5287</v>
      </c>
      <c r="G325" s="177">
        <v>3310</v>
      </c>
      <c r="H325" s="179"/>
      <c r="I325" s="179"/>
      <c r="J325" s="204">
        <f t="shared" ref="J325:J370" si="96">E325-D325</f>
        <v>55220</v>
      </c>
      <c r="K325" s="177">
        <v>397</v>
      </c>
      <c r="L325" s="177">
        <v>6834</v>
      </c>
      <c r="M325" s="205">
        <f t="shared" si="79"/>
        <v>493</v>
      </c>
      <c r="N325" s="206">
        <f t="shared" si="93"/>
        <v>695134</v>
      </c>
      <c r="O325" s="209">
        <f t="shared" si="93"/>
        <v>799989</v>
      </c>
      <c r="P325" s="208">
        <f t="shared" si="93"/>
        <v>1621428</v>
      </c>
      <c r="Q325" s="225">
        <f t="shared" si="94"/>
        <v>19580208.219999999</v>
      </c>
      <c r="R325" s="207">
        <f t="shared" si="94"/>
        <v>13211099.800000001</v>
      </c>
      <c r="S325" s="226">
        <f t="shared" si="94"/>
        <v>33810830.909999996</v>
      </c>
      <c r="T325" s="227">
        <f>N325/'2017'!N325-1</f>
        <v>-0.24551602725170052</v>
      </c>
      <c r="U325" s="228">
        <f>O325/'2017'!O325-1</f>
        <v>0.24576085111551627</v>
      </c>
      <c r="V325" s="228">
        <f>P325/'2017'!P325-1</f>
        <v>1.8004058384481603E-2</v>
      </c>
      <c r="W325" s="228">
        <f>Q325/'2017'!Q325-1</f>
        <v>2.1693872751968435E-2</v>
      </c>
      <c r="X325" s="228">
        <f>R325/'2017'!R325-1</f>
        <v>0.16226251591379715</v>
      </c>
      <c r="Y325" s="244">
        <f>S325/'2017'!S325-1</f>
        <v>8.1348595457192641E-2</v>
      </c>
      <c r="Z325" s="245"/>
      <c r="AA325" s="246">
        <f t="shared" si="85"/>
        <v>1958.020822</v>
      </c>
      <c r="AB325" s="247"/>
      <c r="AC325" s="248"/>
      <c r="AD325" s="247">
        <f t="shared" si="80"/>
        <v>20599731.109999996</v>
      </c>
      <c r="AE325" s="177">
        <f t="shared" si="82"/>
        <v>201087.13</v>
      </c>
      <c r="AF325" s="177">
        <f t="shared" si="95"/>
        <v>545786.62</v>
      </c>
      <c r="AG325" s="248">
        <f t="shared" si="81"/>
        <v>272649.13999999687</v>
      </c>
      <c r="AH325" s="263"/>
      <c r="AI325" s="264"/>
      <c r="AJ325" s="264"/>
      <c r="AK325" s="264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264"/>
    </row>
    <row r="326" spans="1:55" x14ac:dyDescent="0.15">
      <c r="A326" s="180">
        <v>43056</v>
      </c>
      <c r="B326" s="175" t="s">
        <v>39</v>
      </c>
      <c r="C326" s="176">
        <f>40754+8252</f>
        <v>49006</v>
      </c>
      <c r="D326" s="177">
        <f>12674+33120</f>
        <v>45794</v>
      </c>
      <c r="E326" s="177">
        <f>69650+33120</f>
        <v>102770</v>
      </c>
      <c r="F326" s="178">
        <v>5196</v>
      </c>
      <c r="G326" s="177">
        <v>3323</v>
      </c>
      <c r="H326" s="179"/>
      <c r="I326" s="179"/>
      <c r="J326" s="204">
        <f t="shared" si="96"/>
        <v>56976</v>
      </c>
      <c r="K326" s="177">
        <v>716</v>
      </c>
      <c r="L326" s="177">
        <v>6839</v>
      </c>
      <c r="M326" s="205">
        <f t="shared" ref="M326:M370" si="97">J326-K326-L326-C326</f>
        <v>415</v>
      </c>
      <c r="N326" s="206">
        <f t="shared" si="93"/>
        <v>744140</v>
      </c>
      <c r="O326" s="209">
        <f t="shared" si="93"/>
        <v>845783</v>
      </c>
      <c r="P326" s="208">
        <f t="shared" si="93"/>
        <v>1724198</v>
      </c>
      <c r="Q326" s="225">
        <f t="shared" si="94"/>
        <v>19629214.219999999</v>
      </c>
      <c r="R326" s="207">
        <f t="shared" si="94"/>
        <v>13256893.800000001</v>
      </c>
      <c r="S326" s="226">
        <f t="shared" si="94"/>
        <v>33913600.909999996</v>
      </c>
      <c r="T326" s="227">
        <f>N326/'2017'!N326-1</f>
        <v>-0.24457470146518845</v>
      </c>
      <c r="U326" s="228">
        <f>O326/'2017'!O326-1</f>
        <v>0.24449581309527835</v>
      </c>
      <c r="V326" s="228">
        <f>P326/'2017'!P326-1</f>
        <v>1.694457403821592E-2</v>
      </c>
      <c r="W326" s="228">
        <f>Q326/'2017'!Q326-1</f>
        <v>2.0856538195680452E-2</v>
      </c>
      <c r="X326" s="228">
        <f>R326/'2017'!R326-1</f>
        <v>0.16246132660900292</v>
      </c>
      <c r="Y326" s="244">
        <f>S326/'2017'!S326-1</f>
        <v>8.1083919522145997E-2</v>
      </c>
      <c r="Z326" s="245"/>
      <c r="AA326" s="246">
        <f t="shared" si="85"/>
        <v>1962.9214219999999</v>
      </c>
      <c r="AB326" s="247"/>
      <c r="AC326" s="248"/>
      <c r="AD326" s="247">
        <f t="shared" ref="AD326:AD369" si="98">S326-R326</f>
        <v>20656707.109999996</v>
      </c>
      <c r="AE326" s="177">
        <f t="shared" si="82"/>
        <v>201803.13</v>
      </c>
      <c r="AF326" s="177">
        <f t="shared" si="95"/>
        <v>552625.62</v>
      </c>
      <c r="AG326" s="248">
        <f t="shared" ref="AG326:AG370" si="99">AD326-Q326-AE326-AF326</f>
        <v>273064.13999999687</v>
      </c>
      <c r="AH326" s="263"/>
      <c r="AI326" s="264"/>
      <c r="AJ326" s="264"/>
      <c r="AK326" s="264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264"/>
    </row>
    <row r="327" spans="1:55" x14ac:dyDescent="0.15">
      <c r="A327" s="180">
        <v>43057</v>
      </c>
      <c r="B327" s="175" t="s">
        <v>1</v>
      </c>
      <c r="C327" s="176">
        <f>39853+7372</f>
        <v>47225</v>
      </c>
      <c r="D327" s="177">
        <f>29817+12667</f>
        <v>42484</v>
      </c>
      <c r="E327" s="177">
        <f>67586+29817</f>
        <v>97403</v>
      </c>
      <c r="F327" s="178">
        <v>4865</v>
      </c>
      <c r="G327" s="177">
        <v>3260</v>
      </c>
      <c r="H327" s="179"/>
      <c r="I327" s="179"/>
      <c r="J327" s="204">
        <f t="shared" si="96"/>
        <v>54919</v>
      </c>
      <c r="K327" s="177">
        <v>541</v>
      </c>
      <c r="L327" s="177">
        <v>6844</v>
      </c>
      <c r="M327" s="205">
        <f t="shared" si="97"/>
        <v>309</v>
      </c>
      <c r="N327" s="206">
        <f t="shared" ref="N327:P338" si="100">C327+N326</f>
        <v>791365</v>
      </c>
      <c r="O327" s="209">
        <f t="shared" si="100"/>
        <v>888267</v>
      </c>
      <c r="P327" s="208">
        <f t="shared" si="100"/>
        <v>1821601</v>
      </c>
      <c r="Q327" s="225">
        <f t="shared" si="94"/>
        <v>19676439.219999999</v>
      </c>
      <c r="R327" s="207">
        <f t="shared" si="94"/>
        <v>13299377.800000001</v>
      </c>
      <c r="S327" s="226">
        <f t="shared" si="94"/>
        <v>34011003.909999996</v>
      </c>
      <c r="T327" s="227">
        <f>N327/'2017'!N327-1</f>
        <v>-0.2478012373713131</v>
      </c>
      <c r="U327" s="228">
        <f>O327/'2017'!O327-1</f>
        <v>0.24818133658587316</v>
      </c>
      <c r="V327" s="228">
        <f>P327/'2017'!P327-1</f>
        <v>1.4011114259328661E-2</v>
      </c>
      <c r="W327" s="228">
        <f>Q327/'2017'!Q327-1</f>
        <v>1.9758826481726555E-2</v>
      </c>
      <c r="X327" s="228">
        <f>R327/'2017'!R327-1</f>
        <v>0.16292042742560486</v>
      </c>
      <c r="Y327" s="244">
        <f>S327/'2017'!S327-1</f>
        <v>8.0710705787820913E-2</v>
      </c>
      <c r="Z327" s="245">
        <v>121.56</v>
      </c>
      <c r="AA327" s="246">
        <f t="shared" si="85"/>
        <v>1846.083922</v>
      </c>
      <c r="AB327" s="247"/>
      <c r="AC327" s="248"/>
      <c r="AD327" s="247">
        <f t="shared" si="98"/>
        <v>20711626.109999996</v>
      </c>
      <c r="AE327" s="177">
        <f t="shared" ref="AE327:AE369" si="101">AE326+K327</f>
        <v>202344.13</v>
      </c>
      <c r="AF327" s="177">
        <f t="shared" ref="AF327:AF342" si="102">AF326+L327</f>
        <v>559469.62</v>
      </c>
      <c r="AG327" s="248">
        <f t="shared" si="99"/>
        <v>273373.13999999687</v>
      </c>
      <c r="AH327" s="263"/>
      <c r="AI327" s="264"/>
      <c r="AJ327" s="264"/>
      <c r="AK327" s="264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264"/>
    </row>
    <row r="328" spans="1:55" x14ac:dyDescent="0.15">
      <c r="A328" s="180">
        <v>43058</v>
      </c>
      <c r="B328" s="175" t="s">
        <v>34</v>
      </c>
      <c r="C328" s="176">
        <f>40682+8466</f>
        <v>49148</v>
      </c>
      <c r="D328" s="177">
        <f>32313+12637</f>
        <v>44950</v>
      </c>
      <c r="E328" s="177">
        <f>69734+32313</f>
        <v>102047</v>
      </c>
      <c r="F328" s="178">
        <v>5192</v>
      </c>
      <c r="G328" s="177">
        <v>3076</v>
      </c>
      <c r="H328" s="179"/>
      <c r="I328" s="179"/>
      <c r="J328" s="204">
        <f t="shared" si="96"/>
        <v>57097</v>
      </c>
      <c r="K328" s="177">
        <v>569</v>
      </c>
      <c r="L328" s="177">
        <v>6844</v>
      </c>
      <c r="M328" s="205">
        <f t="shared" si="97"/>
        <v>536</v>
      </c>
      <c r="N328" s="206">
        <f t="shared" si="100"/>
        <v>840513</v>
      </c>
      <c r="O328" s="209">
        <f t="shared" si="100"/>
        <v>933217</v>
      </c>
      <c r="P328" s="208">
        <f t="shared" si="100"/>
        <v>1923648</v>
      </c>
      <c r="Q328" s="225">
        <f t="shared" si="94"/>
        <v>19725587.219999999</v>
      </c>
      <c r="R328" s="207">
        <f t="shared" si="94"/>
        <v>13344327.800000001</v>
      </c>
      <c r="S328" s="226">
        <f t="shared" si="94"/>
        <v>34113050.909999996</v>
      </c>
      <c r="T328" s="227">
        <f>N328/'2017'!N328-1</f>
        <v>-0.24546274726310546</v>
      </c>
      <c r="U328" s="228">
        <f>O328/'2017'!O328-1</f>
        <v>0.25261841068545121</v>
      </c>
      <c r="V328" s="228">
        <f>P328/'2017'!P328-1</f>
        <v>1.5986225691620337E-2</v>
      </c>
      <c r="W328" s="228">
        <f>Q328/'2017'!Q328-1</f>
        <v>1.903812852478759E-2</v>
      </c>
      <c r="X328" s="228">
        <f>R328/'2017'!R328-1</f>
        <v>0.16345665781395313</v>
      </c>
      <c r="Y328" s="244">
        <f>S328/'2017'!S328-1</f>
        <v>8.0624326225141152E-2</v>
      </c>
      <c r="Z328" s="245"/>
      <c r="AA328" s="246">
        <f t="shared" si="85"/>
        <v>1972.558722</v>
      </c>
      <c r="AB328" s="247"/>
      <c r="AC328" s="248"/>
      <c r="AD328" s="247">
        <f t="shared" si="98"/>
        <v>20768723.109999996</v>
      </c>
      <c r="AE328" s="177">
        <f t="shared" si="101"/>
        <v>202913.13</v>
      </c>
      <c r="AF328" s="177">
        <f t="shared" si="102"/>
        <v>566313.62</v>
      </c>
      <c r="AG328" s="248">
        <f t="shared" si="99"/>
        <v>273909.13999999687</v>
      </c>
      <c r="AH328" s="263"/>
      <c r="AI328" s="264"/>
      <c r="AJ328" s="264"/>
      <c r="AK328" s="264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264"/>
    </row>
    <row r="329" spans="1:55" x14ac:dyDescent="0.15">
      <c r="A329" s="180">
        <v>43059</v>
      </c>
      <c r="B329" s="175" t="s">
        <v>35</v>
      </c>
      <c r="C329" s="176">
        <f>42374+8510</f>
        <v>50884</v>
      </c>
      <c r="D329" s="177">
        <f>31284+12801</f>
        <v>44085</v>
      </c>
      <c r="E329" s="177">
        <f>71815+31284</f>
        <v>103099</v>
      </c>
      <c r="F329" s="178">
        <v>5151</v>
      </c>
      <c r="G329" s="177">
        <v>3319</v>
      </c>
      <c r="H329" s="179"/>
      <c r="I329" s="179"/>
      <c r="J329" s="204">
        <f t="shared" si="96"/>
        <v>59014</v>
      </c>
      <c r="K329" s="177">
        <v>576</v>
      </c>
      <c r="L329" s="177">
        <v>6845</v>
      </c>
      <c r="M329" s="205">
        <f t="shared" si="97"/>
        <v>709</v>
      </c>
      <c r="N329" s="206">
        <f t="shared" si="100"/>
        <v>891397</v>
      </c>
      <c r="O329" s="209">
        <f t="shared" si="100"/>
        <v>977302</v>
      </c>
      <c r="P329" s="208">
        <f t="shared" si="100"/>
        <v>2026747</v>
      </c>
      <c r="Q329" s="225">
        <f t="shared" si="94"/>
        <v>19776471.219999999</v>
      </c>
      <c r="R329" s="207">
        <f t="shared" si="94"/>
        <v>13388412.800000001</v>
      </c>
      <c r="S329" s="226">
        <f t="shared" si="94"/>
        <v>34216149.909999996</v>
      </c>
      <c r="T329" s="227">
        <f>N329/'2017'!N329-1</f>
        <v>-0.24530856180591476</v>
      </c>
      <c r="U329" s="228">
        <f>O329/'2017'!O329-1</f>
        <v>0.25134859327604775</v>
      </c>
      <c r="V329" s="228">
        <f>P329/'2017'!P329-1</f>
        <v>1.4408196360287562E-2</v>
      </c>
      <c r="W329" s="228">
        <f>Q329/'2017'!Q329-1</f>
        <v>1.8132493754551282E-2</v>
      </c>
      <c r="X329" s="228">
        <f>R329/'2017'!R329-1</f>
        <v>0.16364933446403507</v>
      </c>
      <c r="Y329" s="244">
        <f>S329/'2017'!S329-1</f>
        <v>8.0311351394302122E-2</v>
      </c>
      <c r="Z329" s="245"/>
      <c r="AA329" s="246">
        <f t="shared" ref="AA329:AA369" si="103">Q329/10000-Z329</f>
        <v>1977.6471219999999</v>
      </c>
      <c r="AB329" s="247"/>
      <c r="AC329" s="248"/>
      <c r="AD329" s="247">
        <f t="shared" si="98"/>
        <v>20827737.109999996</v>
      </c>
      <c r="AE329" s="177">
        <f t="shared" si="101"/>
        <v>203489.13</v>
      </c>
      <c r="AF329" s="177">
        <f t="shared" si="102"/>
        <v>573158.62</v>
      </c>
      <c r="AG329" s="248">
        <f t="shared" si="99"/>
        <v>274618.13999999687</v>
      </c>
      <c r="AH329" s="263"/>
      <c r="AI329" s="264"/>
      <c r="AJ329" s="264"/>
      <c r="AK329" s="264"/>
      <c r="AL329" s="264"/>
      <c r="AM329" s="264"/>
      <c r="AN329" s="264"/>
      <c r="AO329" s="264"/>
      <c r="AP329" s="264"/>
      <c r="AQ329" s="264"/>
      <c r="AR329" s="264"/>
      <c r="AS329" s="264"/>
      <c r="AT329" s="264"/>
      <c r="AU329" s="264"/>
      <c r="AV329" s="264"/>
      <c r="AW329" s="264"/>
      <c r="AX329" s="264"/>
      <c r="AY329" s="264"/>
      <c r="AZ329" s="264"/>
      <c r="BA329" s="264"/>
      <c r="BB329" s="264"/>
      <c r="BC329" s="264"/>
    </row>
    <row r="330" spans="1:55" x14ac:dyDescent="0.15">
      <c r="A330" s="180">
        <v>43060</v>
      </c>
      <c r="B330" s="175" t="s">
        <v>36</v>
      </c>
      <c r="C330" s="176">
        <f>42945+8752</f>
        <v>51697</v>
      </c>
      <c r="D330" s="177">
        <f>30342+13045</f>
        <v>43387</v>
      </c>
      <c r="E330" s="177">
        <f>72762+30642</f>
        <v>103404</v>
      </c>
      <c r="F330" s="178">
        <v>5228</v>
      </c>
      <c r="G330" s="177">
        <v>3292</v>
      </c>
      <c r="H330" s="179"/>
      <c r="I330" s="179"/>
      <c r="J330" s="204">
        <f t="shared" si="96"/>
        <v>60017</v>
      </c>
      <c r="K330" s="177">
        <v>516</v>
      </c>
      <c r="L330" s="177">
        <v>6847</v>
      </c>
      <c r="M330" s="205">
        <f t="shared" si="97"/>
        <v>957</v>
      </c>
      <c r="N330" s="206">
        <f t="shared" si="100"/>
        <v>943094</v>
      </c>
      <c r="O330" s="209">
        <f t="shared" si="100"/>
        <v>1020689</v>
      </c>
      <c r="P330" s="208">
        <f t="shared" si="100"/>
        <v>2130151</v>
      </c>
      <c r="Q330" s="225">
        <f t="shared" si="94"/>
        <v>19828168.219999999</v>
      </c>
      <c r="R330" s="207">
        <f t="shared" si="94"/>
        <v>13431799.800000001</v>
      </c>
      <c r="S330" s="226">
        <f t="shared" si="94"/>
        <v>34319553.909999996</v>
      </c>
      <c r="T330" s="227">
        <f>N330/'2017'!N330-1</f>
        <v>-0.2459530986399725</v>
      </c>
      <c r="U330" s="228">
        <f>O330/'2017'!O330-1</f>
        <v>0.24856603575093983</v>
      </c>
      <c r="V330" s="228">
        <f>P330/'2017'!P330-1</f>
        <v>1.1791523023037653E-2</v>
      </c>
      <c r="W330" s="228">
        <f>Q330/'2017'!Q330-1</f>
        <v>1.7150980140925087E-2</v>
      </c>
      <c r="X330" s="228">
        <f>R330/'2017'!R330-1</f>
        <v>0.16372951410882797</v>
      </c>
      <c r="Y330" s="244">
        <f>S330/'2017'!S330-1</f>
        <v>7.9915354988260745E-2</v>
      </c>
      <c r="Z330" s="245"/>
      <c r="AA330" s="246">
        <f t="shared" si="103"/>
        <v>1982.8168219999998</v>
      </c>
      <c r="AB330" s="247"/>
      <c r="AC330" s="248"/>
      <c r="AD330" s="247">
        <f t="shared" si="98"/>
        <v>20887754.109999996</v>
      </c>
      <c r="AE330" s="177">
        <f t="shared" si="101"/>
        <v>204005.13</v>
      </c>
      <c r="AF330" s="177">
        <f t="shared" si="102"/>
        <v>580005.62</v>
      </c>
      <c r="AG330" s="248">
        <f t="shared" si="99"/>
        <v>275575.13999999687</v>
      </c>
      <c r="AH330" s="263"/>
      <c r="AI330" s="264"/>
      <c r="AJ330" s="264"/>
      <c r="AK330" s="264"/>
      <c r="AL330" s="264"/>
      <c r="AM330" s="264"/>
      <c r="AN330" s="264"/>
      <c r="AO330" s="264"/>
      <c r="AP330" s="264"/>
      <c r="AQ330" s="264"/>
      <c r="AR330" s="264"/>
      <c r="AS330" s="264"/>
      <c r="AT330" s="264"/>
      <c r="AU330" s="264"/>
      <c r="AV330" s="264"/>
      <c r="AW330" s="264"/>
      <c r="AX330" s="264"/>
      <c r="AY330" s="264"/>
      <c r="AZ330" s="264"/>
      <c r="BA330" s="264"/>
      <c r="BB330" s="264"/>
      <c r="BC330" s="264"/>
    </row>
    <row r="331" spans="1:55" s="157" customFormat="1" x14ac:dyDescent="0.15">
      <c r="A331" s="181">
        <v>43061</v>
      </c>
      <c r="B331" s="182" t="s">
        <v>37</v>
      </c>
      <c r="C331" s="183">
        <f>43675+8529</f>
        <v>52204</v>
      </c>
      <c r="D331" s="184">
        <f>27778+13242</f>
        <v>41020</v>
      </c>
      <c r="E331" s="184">
        <f>73811+27778</f>
        <v>101589</v>
      </c>
      <c r="F331" s="185">
        <v>4960</v>
      </c>
      <c r="G331" s="184">
        <v>3245</v>
      </c>
      <c r="H331" s="186"/>
      <c r="I331" s="186"/>
      <c r="J331" s="210">
        <f t="shared" si="96"/>
        <v>60569</v>
      </c>
      <c r="K331" s="184">
        <v>396</v>
      </c>
      <c r="L331" s="184">
        <v>6828</v>
      </c>
      <c r="M331" s="211">
        <f t="shared" si="97"/>
        <v>1141</v>
      </c>
      <c r="N331" s="212">
        <f t="shared" si="100"/>
        <v>995298</v>
      </c>
      <c r="O331" s="215">
        <f t="shared" si="100"/>
        <v>1061709</v>
      </c>
      <c r="P331" s="214">
        <f t="shared" si="100"/>
        <v>2231740</v>
      </c>
      <c r="Q331" s="229">
        <f t="shared" si="94"/>
        <v>19880372.219999999</v>
      </c>
      <c r="R331" s="213">
        <f t="shared" si="94"/>
        <v>13472819.800000001</v>
      </c>
      <c r="S331" s="230">
        <f t="shared" si="94"/>
        <v>34421142.909999996</v>
      </c>
      <c r="T331" s="231">
        <f>N331/'2017'!N331-1</f>
        <v>-0.24521442384256631</v>
      </c>
      <c r="U331" s="232">
        <f>O331/'2017'!O331-1</f>
        <v>0.24384089000003506</v>
      </c>
      <c r="V331" s="232">
        <f>P331/'2017'!P331-1</f>
        <v>9.253016014713733E-3</v>
      </c>
      <c r="W331" s="232">
        <f>Q331/'2017'!Q331-1</f>
        <v>1.6286986869802123E-2</v>
      </c>
      <c r="X331" s="232">
        <f>R331/'2017'!R331-1</f>
        <v>0.16364556124128349</v>
      </c>
      <c r="Y331" s="249">
        <f>S331/'2017'!S331-1</f>
        <v>7.9512941744891874E-2</v>
      </c>
      <c r="Z331" s="250">
        <v>125.07</v>
      </c>
      <c r="AA331" s="251">
        <f t="shared" si="103"/>
        <v>1862.967222</v>
      </c>
      <c r="AB331" s="252">
        <v>4286.88</v>
      </c>
      <c r="AC331" s="211">
        <f t="shared" ref="AC331:AC370" si="104">AA331*10000/AB331</f>
        <v>4345.7414763184406</v>
      </c>
      <c r="AD331" s="252">
        <f t="shared" si="98"/>
        <v>20948323.109999996</v>
      </c>
      <c r="AE331" s="184">
        <f t="shared" si="101"/>
        <v>204401.13</v>
      </c>
      <c r="AF331" s="184">
        <f t="shared" si="102"/>
        <v>586833.62</v>
      </c>
      <c r="AG331" s="211">
        <f t="shared" si="99"/>
        <v>276716.13999999687</v>
      </c>
      <c r="AH331" s="263"/>
      <c r="AI331" s="264"/>
      <c r="AJ331" s="264"/>
      <c r="AK331" s="264"/>
      <c r="AL331" s="264"/>
      <c r="AM331" s="264"/>
      <c r="AN331" s="264"/>
      <c r="AO331" s="264"/>
      <c r="AP331" s="264"/>
      <c r="AQ331" s="264"/>
      <c r="AR331" s="264"/>
      <c r="AS331" s="264"/>
      <c r="AT331" s="264"/>
      <c r="AU331" s="264"/>
      <c r="AV331" s="264"/>
      <c r="AW331" s="264"/>
      <c r="AX331" s="264"/>
      <c r="AY331" s="264"/>
      <c r="AZ331" s="264"/>
      <c r="BA331" s="264"/>
      <c r="BB331" s="264"/>
      <c r="BC331" s="264"/>
    </row>
    <row r="332" spans="1:55" x14ac:dyDescent="0.15">
      <c r="A332" s="180">
        <v>43062</v>
      </c>
      <c r="B332" s="175" t="s">
        <v>38</v>
      </c>
      <c r="C332" s="176">
        <f>43208+8431</f>
        <v>51639</v>
      </c>
      <c r="D332" s="177">
        <f>12755+30036</f>
        <v>42791</v>
      </c>
      <c r="E332" s="177">
        <f>72708+30036</f>
        <v>102744</v>
      </c>
      <c r="F332" s="178">
        <v>4990</v>
      </c>
      <c r="G332" s="177">
        <v>3363</v>
      </c>
      <c r="H332" s="179"/>
      <c r="I332" s="179"/>
      <c r="J332" s="204">
        <f t="shared" si="96"/>
        <v>59953</v>
      </c>
      <c r="K332" s="177">
        <v>568</v>
      </c>
      <c r="L332" s="177">
        <v>6845</v>
      </c>
      <c r="M332" s="205">
        <f t="shared" si="97"/>
        <v>901</v>
      </c>
      <c r="N332" s="206">
        <f t="shared" si="100"/>
        <v>1046937</v>
      </c>
      <c r="O332" s="209">
        <f t="shared" si="100"/>
        <v>1104500</v>
      </c>
      <c r="P332" s="208">
        <f t="shared" si="100"/>
        <v>2334484</v>
      </c>
      <c r="Q332" s="225">
        <f t="shared" si="94"/>
        <v>19932011.219999999</v>
      </c>
      <c r="R332" s="207">
        <f t="shared" si="94"/>
        <v>13515610.800000001</v>
      </c>
      <c r="S332" s="226">
        <f t="shared" si="94"/>
        <v>34523886.909999996</v>
      </c>
      <c r="T332" s="227">
        <f>N332/'2017'!N332-1</f>
        <v>-0.24490986696054684</v>
      </c>
      <c r="U332" s="228">
        <f>O332/'2017'!O332-1</f>
        <v>0.2433246580153634</v>
      </c>
      <c r="V332" s="228">
        <f>P332/'2017'!P332-1</f>
        <v>8.016256181671233E-3</v>
      </c>
      <c r="W332" s="228">
        <f>Q332/'2017'!Q332-1</f>
        <v>1.540453654482854E-2</v>
      </c>
      <c r="X332" s="228">
        <f>R332/'2017'!R332-1</f>
        <v>0.16384619014535939</v>
      </c>
      <c r="Y332" s="244">
        <f>S332/'2017'!S332-1</f>
        <v>7.9193589103393025E-2</v>
      </c>
      <c r="Z332" s="245"/>
      <c r="AA332" s="246">
        <f t="shared" si="103"/>
        <v>1993.2011219999999</v>
      </c>
      <c r="AB332" s="247"/>
      <c r="AC332" s="248"/>
      <c r="AD332" s="247">
        <f t="shared" si="98"/>
        <v>21008276.109999996</v>
      </c>
      <c r="AE332" s="177">
        <f t="shared" si="101"/>
        <v>204969.13</v>
      </c>
      <c r="AF332" s="177">
        <f t="shared" si="102"/>
        <v>593678.62</v>
      </c>
      <c r="AG332" s="248">
        <f t="shared" si="99"/>
        <v>277617.13999999687</v>
      </c>
      <c r="AH332" s="263"/>
      <c r="AI332" s="264"/>
      <c r="AJ332" s="264"/>
      <c r="AK332" s="264"/>
      <c r="AL332" s="264"/>
      <c r="AM332" s="264"/>
      <c r="AN332" s="264"/>
      <c r="AO332" s="264"/>
      <c r="AP332" s="264"/>
      <c r="AQ332" s="264"/>
      <c r="AR332" s="264"/>
      <c r="AS332" s="264"/>
      <c r="AT332" s="264"/>
      <c r="AU332" s="264"/>
      <c r="AV332" s="264"/>
      <c r="AW332" s="264"/>
      <c r="AX332" s="264"/>
      <c r="AY332" s="264"/>
      <c r="AZ332" s="264"/>
      <c r="BA332" s="264"/>
      <c r="BB332" s="264"/>
      <c r="BC332" s="264"/>
    </row>
    <row r="333" spans="1:55" x14ac:dyDescent="0.15">
      <c r="A333" s="180">
        <v>43063</v>
      </c>
      <c r="B333" s="175" t="s">
        <v>39</v>
      </c>
      <c r="C333" s="176">
        <f>42530+7022</f>
        <v>49552</v>
      </c>
      <c r="D333" s="177">
        <f>12804+30356</f>
        <v>43160</v>
      </c>
      <c r="E333" s="177">
        <f>70422+30356</f>
        <v>100778</v>
      </c>
      <c r="F333" s="178">
        <v>4864</v>
      </c>
      <c r="G333" s="177">
        <v>3371</v>
      </c>
      <c r="H333" s="179"/>
      <c r="I333" s="179"/>
      <c r="J333" s="204">
        <f t="shared" si="96"/>
        <v>57618</v>
      </c>
      <c r="K333" s="177">
        <v>251</v>
      </c>
      <c r="L333" s="177">
        <v>6845</v>
      </c>
      <c r="M333" s="205">
        <f t="shared" si="97"/>
        <v>970</v>
      </c>
      <c r="N333" s="206">
        <f t="shared" si="100"/>
        <v>1096489</v>
      </c>
      <c r="O333" s="209">
        <f t="shared" si="100"/>
        <v>1147660</v>
      </c>
      <c r="P333" s="208">
        <f t="shared" si="100"/>
        <v>2435262</v>
      </c>
      <c r="Q333" s="225">
        <f t="shared" si="94"/>
        <v>19981563.219999999</v>
      </c>
      <c r="R333" s="207">
        <f t="shared" si="94"/>
        <v>13558770.800000001</v>
      </c>
      <c r="S333" s="226">
        <f t="shared" si="94"/>
        <v>34624664.909999996</v>
      </c>
      <c r="T333" s="227">
        <f>N333/'2017'!N333-1</f>
        <v>-0.24679067096409013</v>
      </c>
      <c r="U333" s="228">
        <f>O333/'2017'!O333-1</f>
        <v>0.24312988923334222</v>
      </c>
      <c r="V333" s="228">
        <f>P333/'2017'!P333-1</f>
        <v>5.5491255967095032E-3</v>
      </c>
      <c r="W333" s="228">
        <f>Q333/'2017'!Q333-1</f>
        <v>1.4350427456090831E-2</v>
      </c>
      <c r="X333" s="228">
        <f>R333/'2017'!R333-1</f>
        <v>0.16406860660203493</v>
      </c>
      <c r="Y333" s="244">
        <f>S333/'2017'!S333-1</f>
        <v>7.8772578090703371E-2</v>
      </c>
      <c r="Z333" s="245"/>
      <c r="AA333" s="246">
        <f t="shared" si="103"/>
        <v>1998.1563219999998</v>
      </c>
      <c r="AB333" s="247"/>
      <c r="AC333" s="248"/>
      <c r="AD333" s="247">
        <f t="shared" si="98"/>
        <v>21065894.109999996</v>
      </c>
      <c r="AE333" s="177">
        <f t="shared" si="101"/>
        <v>205220.13</v>
      </c>
      <c r="AF333" s="177">
        <f t="shared" si="102"/>
        <v>600523.62</v>
      </c>
      <c r="AG333" s="248">
        <f t="shared" si="99"/>
        <v>278587.13999999687</v>
      </c>
      <c r="AH333" s="263"/>
      <c r="AI333" s="264"/>
      <c r="AJ333" s="264"/>
      <c r="AK333" s="264"/>
      <c r="AL333" s="264"/>
      <c r="AM333" s="264"/>
      <c r="AN333" s="264"/>
      <c r="AO333" s="264"/>
      <c r="AP333" s="264"/>
      <c r="AQ333" s="264"/>
      <c r="AR333" s="264"/>
      <c r="AS333" s="264"/>
      <c r="AT333" s="264"/>
      <c r="AU333" s="264"/>
      <c r="AV333" s="264"/>
      <c r="AW333" s="264"/>
      <c r="AX333" s="264"/>
      <c r="AY333" s="264"/>
      <c r="AZ333" s="264"/>
      <c r="BA333" s="264"/>
      <c r="BB333" s="264"/>
      <c r="BC333" s="264"/>
    </row>
    <row r="334" spans="1:55" x14ac:dyDescent="0.15">
      <c r="A334" s="180">
        <v>43064</v>
      </c>
      <c r="B334" s="175" t="s">
        <v>1</v>
      </c>
      <c r="C334" s="176">
        <f>43034+5825</f>
        <v>48859</v>
      </c>
      <c r="D334" s="177">
        <f>12824+27801</f>
        <v>40625</v>
      </c>
      <c r="E334" s="177">
        <f>69228+27801</f>
        <v>97029</v>
      </c>
      <c r="F334" s="178">
        <v>4637</v>
      </c>
      <c r="G334" s="177">
        <v>3301</v>
      </c>
      <c r="H334" s="179"/>
      <c r="I334" s="179"/>
      <c r="J334" s="204">
        <f t="shared" si="96"/>
        <v>56404</v>
      </c>
      <c r="K334" s="177">
        <v>216</v>
      </c>
      <c r="L334" s="177">
        <v>6844</v>
      </c>
      <c r="M334" s="205">
        <f t="shared" si="97"/>
        <v>485</v>
      </c>
      <c r="N334" s="206">
        <f t="shared" si="100"/>
        <v>1145348</v>
      </c>
      <c r="O334" s="209">
        <f t="shared" si="100"/>
        <v>1188285</v>
      </c>
      <c r="P334" s="208">
        <f t="shared" si="100"/>
        <v>2532291</v>
      </c>
      <c r="Q334" s="225">
        <f t="shared" si="94"/>
        <v>20030422.219999999</v>
      </c>
      <c r="R334" s="207">
        <f t="shared" si="94"/>
        <v>13599395.800000001</v>
      </c>
      <c r="S334" s="226">
        <f t="shared" si="94"/>
        <v>34721693.909999996</v>
      </c>
      <c r="T334" s="227">
        <f>N334/'2017'!N334-1</f>
        <v>-0.24868214938876398</v>
      </c>
      <c r="U334" s="228">
        <f>O334/'2017'!O334-1</f>
        <v>0.24070995859027344</v>
      </c>
      <c r="V334" s="228">
        <f>P334/'2017'!P334-1</f>
        <v>2.1853996150815735E-3</v>
      </c>
      <c r="W334" s="228">
        <f>Q334/'2017'!Q334-1</f>
        <v>1.3297044823248561E-2</v>
      </c>
      <c r="X334" s="228">
        <f>R334/'2017'!R334-1</f>
        <v>0.16410399471473314</v>
      </c>
      <c r="Y334" s="244">
        <f>S334/'2017'!S334-1</f>
        <v>7.8269993793012249E-2</v>
      </c>
      <c r="Z334" s="245">
        <v>127.21</v>
      </c>
      <c r="AA334" s="246">
        <f t="shared" si="103"/>
        <v>1875.8322219999998</v>
      </c>
      <c r="AB334" s="247">
        <v>4286.88</v>
      </c>
      <c r="AC334" s="248">
        <f t="shared" si="104"/>
        <v>4375.7516468853801</v>
      </c>
      <c r="AD334" s="247">
        <f t="shared" si="98"/>
        <v>21122298.109999996</v>
      </c>
      <c r="AE334" s="177">
        <f t="shared" si="101"/>
        <v>205436.13</v>
      </c>
      <c r="AF334" s="177">
        <f t="shared" si="102"/>
        <v>607367.62</v>
      </c>
      <c r="AG334" s="248">
        <f t="shared" si="99"/>
        <v>279072.13999999687</v>
      </c>
      <c r="AH334" s="263"/>
      <c r="AI334" s="264"/>
      <c r="AJ334" s="264"/>
      <c r="AK334" s="264"/>
      <c r="AL334" s="264"/>
      <c r="AM334" s="264"/>
      <c r="AN334" s="264"/>
      <c r="AO334" s="264"/>
      <c r="AP334" s="264"/>
      <c r="AQ334" s="264"/>
      <c r="AR334" s="264"/>
      <c r="AS334" s="264"/>
      <c r="AT334" s="264"/>
      <c r="AU334" s="264"/>
      <c r="AV334" s="264"/>
      <c r="AW334" s="264"/>
      <c r="AX334" s="264"/>
      <c r="AY334" s="264"/>
      <c r="AZ334" s="264"/>
      <c r="BA334" s="264"/>
      <c r="BB334" s="264"/>
      <c r="BC334" s="264"/>
    </row>
    <row r="335" spans="1:55" x14ac:dyDescent="0.15">
      <c r="A335" s="180">
        <v>43065</v>
      </c>
      <c r="B335" s="175" t="s">
        <v>34</v>
      </c>
      <c r="C335" s="176">
        <f>45482+8628</f>
        <v>54110</v>
      </c>
      <c r="D335" s="177">
        <f>27740+12700</f>
        <v>40440</v>
      </c>
      <c r="E335" s="177">
        <f>74491+27740</f>
        <v>102231</v>
      </c>
      <c r="F335" s="178">
        <v>5209</v>
      </c>
      <c r="G335" s="177">
        <v>3199</v>
      </c>
      <c r="H335" s="179"/>
      <c r="I335" s="179"/>
      <c r="J335" s="204">
        <f t="shared" si="96"/>
        <v>61791</v>
      </c>
      <c r="K335" s="177">
        <v>285</v>
      </c>
      <c r="L335" s="177">
        <v>6850</v>
      </c>
      <c r="M335" s="205">
        <f t="shared" si="97"/>
        <v>546</v>
      </c>
      <c r="N335" s="206">
        <f t="shared" si="100"/>
        <v>1199458</v>
      </c>
      <c r="O335" s="209">
        <f t="shared" si="100"/>
        <v>1228725</v>
      </c>
      <c r="P335" s="208">
        <f t="shared" si="100"/>
        <v>2634522</v>
      </c>
      <c r="Q335" s="225">
        <f t="shared" si="94"/>
        <v>20084532.219999999</v>
      </c>
      <c r="R335" s="207">
        <f t="shared" si="94"/>
        <v>13639835.800000001</v>
      </c>
      <c r="S335" s="226">
        <f t="shared" si="94"/>
        <v>34823924.909999996</v>
      </c>
      <c r="T335" s="227">
        <f>N335/'2017'!N335-1</f>
        <v>-0.24451538011434393</v>
      </c>
      <c r="U335" s="228">
        <f>O335/'2017'!O335-1</f>
        <v>0.23924370053009958</v>
      </c>
      <c r="V335" s="228">
        <f>P335/'2017'!P335-1</f>
        <v>3.5200041443181895E-3</v>
      </c>
      <c r="W335" s="228">
        <f>Q335/'2017'!Q335-1</f>
        <v>1.279552298633857E-2</v>
      </c>
      <c r="X335" s="228">
        <f>R335/'2017'!R335-1</f>
        <v>0.1642006880816167</v>
      </c>
      <c r="Y335" s="244">
        <f>S335/'2017'!S335-1</f>
        <v>7.8146416175389533E-2</v>
      </c>
      <c r="Z335" s="245"/>
      <c r="AA335" s="246">
        <f t="shared" si="103"/>
        <v>2008.4532219999999</v>
      </c>
      <c r="AB335" s="247"/>
      <c r="AC335" s="248"/>
      <c r="AD335" s="247">
        <f t="shared" si="98"/>
        <v>21184089.109999996</v>
      </c>
      <c r="AE335" s="177">
        <f t="shared" si="101"/>
        <v>205721.13</v>
      </c>
      <c r="AF335" s="177">
        <f t="shared" si="102"/>
        <v>614217.62</v>
      </c>
      <c r="AG335" s="248">
        <f t="shared" si="99"/>
        <v>279618.13999999687</v>
      </c>
      <c r="AH335" s="263"/>
      <c r="AI335" s="264"/>
      <c r="AJ335" s="264"/>
      <c r="AK335" s="264"/>
      <c r="AL335" s="264"/>
      <c r="AM335" s="264"/>
      <c r="AN335" s="264"/>
      <c r="AO335" s="264"/>
      <c r="AP335" s="264"/>
      <c r="AQ335" s="264"/>
      <c r="AR335" s="264"/>
      <c r="AS335" s="264"/>
      <c r="AT335" s="264"/>
      <c r="AU335" s="264"/>
      <c r="AV335" s="264"/>
      <c r="AW335" s="264"/>
      <c r="AX335" s="264"/>
      <c r="AY335" s="264"/>
      <c r="AZ335" s="264"/>
      <c r="BA335" s="264"/>
      <c r="BB335" s="264"/>
      <c r="BC335" s="264"/>
    </row>
    <row r="336" spans="1:55" x14ac:dyDescent="0.15">
      <c r="A336" s="180">
        <v>43066</v>
      </c>
      <c r="B336" s="175" t="s">
        <v>35</v>
      </c>
      <c r="C336" s="176">
        <f>47265+8369</f>
        <v>55634</v>
      </c>
      <c r="D336" s="177">
        <f>28513+12458</f>
        <v>40971</v>
      </c>
      <c r="E336" s="177">
        <f>75839+28513</f>
        <v>104352</v>
      </c>
      <c r="F336" s="178">
        <v>5258</v>
      </c>
      <c r="G336" s="177">
        <v>3358</v>
      </c>
      <c r="H336" s="179"/>
      <c r="I336" s="179"/>
      <c r="J336" s="204">
        <f t="shared" si="96"/>
        <v>63381</v>
      </c>
      <c r="K336" s="177">
        <v>252</v>
      </c>
      <c r="L336" s="177">
        <v>6839</v>
      </c>
      <c r="M336" s="205">
        <f t="shared" si="97"/>
        <v>656</v>
      </c>
      <c r="N336" s="206">
        <f t="shared" si="100"/>
        <v>1255092</v>
      </c>
      <c r="O336" s="209">
        <f t="shared" si="100"/>
        <v>1269696</v>
      </c>
      <c r="P336" s="208">
        <f t="shared" si="100"/>
        <v>2738874</v>
      </c>
      <c r="Q336" s="225">
        <f t="shared" si="94"/>
        <v>20140166.219999999</v>
      </c>
      <c r="R336" s="207">
        <f t="shared" si="94"/>
        <v>13680806.800000001</v>
      </c>
      <c r="S336" s="226">
        <f t="shared" si="94"/>
        <v>34928276.909999996</v>
      </c>
      <c r="T336" s="227">
        <f>N336/'2017'!N336-1</f>
        <v>-0.24053215732357736</v>
      </c>
      <c r="U336" s="228">
        <f>O336/'2017'!O336-1</f>
        <v>0.23665505036436496</v>
      </c>
      <c r="V336" s="228">
        <f>P336/'2017'!P336-1</f>
        <v>4.2879457901567886E-3</v>
      </c>
      <c r="W336" s="228">
        <f>Q336/'2017'!Q336-1</f>
        <v>1.2286680983656373E-2</v>
      </c>
      <c r="X336" s="228">
        <f>R336/'2017'!R336-1</f>
        <v>0.16419933933881814</v>
      </c>
      <c r="Y336" s="244">
        <f>S336/'2017'!S336-1</f>
        <v>7.7976362133469479E-2</v>
      </c>
      <c r="Z336" s="245"/>
      <c r="AA336" s="246">
        <f t="shared" si="103"/>
        <v>2014.0166219999999</v>
      </c>
      <c r="AB336" s="247"/>
      <c r="AC336" s="248"/>
      <c r="AD336" s="247">
        <f t="shared" si="98"/>
        <v>21247470.109999996</v>
      </c>
      <c r="AE336" s="177">
        <f t="shared" si="101"/>
        <v>205973.13</v>
      </c>
      <c r="AF336" s="177">
        <f t="shared" si="102"/>
        <v>621056.62</v>
      </c>
      <c r="AG336" s="248">
        <f t="shared" si="99"/>
        <v>280274.13999999687</v>
      </c>
      <c r="AH336" s="263"/>
      <c r="AI336" s="264"/>
      <c r="AJ336" s="264"/>
      <c r="AK336" s="264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264"/>
    </row>
    <row r="337" spans="1:55" x14ac:dyDescent="0.15">
      <c r="A337" s="180">
        <v>43067</v>
      </c>
      <c r="B337" s="175" t="s">
        <v>36</v>
      </c>
      <c r="C337" s="176">
        <f>48879+8117</f>
        <v>56996</v>
      </c>
      <c r="D337" s="177">
        <f>27273+12297</f>
        <v>39570</v>
      </c>
      <c r="E337" s="177">
        <f>77056+27273</f>
        <v>104329</v>
      </c>
      <c r="F337" s="178">
        <v>5249</v>
      </c>
      <c r="G337" s="177">
        <v>3394</v>
      </c>
      <c r="H337" s="179"/>
      <c r="I337" s="179"/>
      <c r="J337" s="204">
        <f t="shared" si="96"/>
        <v>64759</v>
      </c>
      <c r="K337" s="177">
        <v>294</v>
      </c>
      <c r="L337" s="177">
        <v>6853</v>
      </c>
      <c r="M337" s="205">
        <f t="shared" si="97"/>
        <v>616</v>
      </c>
      <c r="N337" s="206">
        <f t="shared" si="100"/>
        <v>1312088</v>
      </c>
      <c r="O337" s="209">
        <f t="shared" si="100"/>
        <v>1309266</v>
      </c>
      <c r="P337" s="208">
        <f t="shared" si="100"/>
        <v>2843203</v>
      </c>
      <c r="Q337" s="225">
        <f t="shared" si="94"/>
        <v>20197162.219999999</v>
      </c>
      <c r="R337" s="207">
        <f t="shared" si="94"/>
        <v>13720376.800000001</v>
      </c>
      <c r="S337" s="226">
        <f t="shared" si="94"/>
        <v>35032605.909999996</v>
      </c>
      <c r="T337" s="227">
        <f>N337/'2017'!N337-1</f>
        <v>-0.23681381832733839</v>
      </c>
      <c r="U337" s="228">
        <f>O337/'2017'!O337-1</f>
        <v>0.23353903843073698</v>
      </c>
      <c r="V337" s="228">
        <f>P337/'2017'!P337-1</f>
        <v>4.6635960007137545E-3</v>
      </c>
      <c r="W337" s="228">
        <f>Q337/'2017'!Q337-1</f>
        <v>1.1763062034368943E-2</v>
      </c>
      <c r="X337" s="228">
        <f>R337/'2017'!R337-1</f>
        <v>0.164131875889302</v>
      </c>
      <c r="Y337" s="244">
        <f>S337/'2017'!S337-1</f>
        <v>7.7775961803454363E-2</v>
      </c>
      <c r="Z337" s="245"/>
      <c r="AA337" s="246">
        <f t="shared" si="103"/>
        <v>2019.7162219999998</v>
      </c>
      <c r="AB337" s="247"/>
      <c r="AC337" s="248"/>
      <c r="AD337" s="247">
        <f t="shared" si="98"/>
        <v>21312229.109999996</v>
      </c>
      <c r="AE337" s="177">
        <f t="shared" si="101"/>
        <v>206267.13</v>
      </c>
      <c r="AF337" s="177">
        <f t="shared" si="102"/>
        <v>627909.62</v>
      </c>
      <c r="AG337" s="248">
        <f t="shared" si="99"/>
        <v>280890.13999999687</v>
      </c>
      <c r="AH337" s="263"/>
      <c r="AI337" s="264"/>
      <c r="AJ337" s="264"/>
      <c r="AK337" s="264"/>
      <c r="AL337" s="264"/>
      <c r="AM337" s="264"/>
      <c r="AN337" s="264"/>
      <c r="AO337" s="264"/>
      <c r="AP337" s="264"/>
      <c r="AQ337" s="264"/>
      <c r="AR337" s="264"/>
      <c r="AS337" s="264"/>
      <c r="AT337" s="264"/>
      <c r="AU337" s="264"/>
      <c r="AV337" s="264"/>
      <c r="AW337" s="264"/>
      <c r="AX337" s="264"/>
      <c r="AY337" s="264"/>
      <c r="AZ337" s="264"/>
      <c r="BA337" s="264"/>
      <c r="BB337" s="264"/>
      <c r="BC337" s="264"/>
    </row>
    <row r="338" spans="1:55" s="157" customFormat="1" x14ac:dyDescent="0.15">
      <c r="A338" s="181">
        <v>43068</v>
      </c>
      <c r="B338" s="182" t="s">
        <v>37</v>
      </c>
      <c r="C338" s="183">
        <f>48464+7935</f>
        <v>56399</v>
      </c>
      <c r="D338" s="184">
        <f>27101+12242</f>
        <v>39343</v>
      </c>
      <c r="E338" s="184">
        <f>76456+27101</f>
        <v>103557</v>
      </c>
      <c r="F338" s="185">
        <v>5082</v>
      </c>
      <c r="G338" s="184">
        <v>3412</v>
      </c>
      <c r="H338" s="186"/>
      <c r="I338" s="186"/>
      <c r="J338" s="210">
        <f t="shared" si="96"/>
        <v>64214</v>
      </c>
      <c r="K338" s="184">
        <v>179</v>
      </c>
      <c r="L338" s="184">
        <v>6845</v>
      </c>
      <c r="M338" s="211">
        <f t="shared" si="97"/>
        <v>791</v>
      </c>
      <c r="N338" s="212">
        <f t="shared" si="100"/>
        <v>1368487</v>
      </c>
      <c r="O338" s="215">
        <f t="shared" si="100"/>
        <v>1348609</v>
      </c>
      <c r="P338" s="214">
        <f t="shared" si="100"/>
        <v>2946760</v>
      </c>
      <c r="Q338" s="229">
        <f t="shared" si="94"/>
        <v>20253561.219999999</v>
      </c>
      <c r="R338" s="213">
        <f t="shared" si="94"/>
        <v>13759719.800000001</v>
      </c>
      <c r="S338" s="230">
        <f t="shared" si="94"/>
        <v>35136162.909999996</v>
      </c>
      <c r="T338" s="231">
        <f>N338/'2017'!N338-1</f>
        <v>-0.23418665765328162</v>
      </c>
      <c r="U338" s="232">
        <f>O338/'2017'!O338-1</f>
        <v>0.23063312485285614</v>
      </c>
      <c r="V338" s="232">
        <f>P338/'2017'!P338-1</f>
        <v>4.4219297447292139E-3</v>
      </c>
      <c r="W338" s="232">
        <f>Q338/'2017'!Q338-1</f>
        <v>1.1156678201027059E-2</v>
      </c>
      <c r="X338" s="232">
        <f>R338/'2017'!R338-1</f>
        <v>0.1640649060616024</v>
      </c>
      <c r="Y338" s="249">
        <f>S338/'2017'!S338-1</f>
        <v>7.752152533558343E-2</v>
      </c>
      <c r="Z338" s="250">
        <v>130.66</v>
      </c>
      <c r="AA338" s="251">
        <f t="shared" si="103"/>
        <v>1894.6961219999998</v>
      </c>
      <c r="AB338" s="252">
        <v>4286.88</v>
      </c>
      <c r="AC338" s="211">
        <f t="shared" si="104"/>
        <v>4419.7554445190908</v>
      </c>
      <c r="AD338" s="252">
        <f t="shared" si="98"/>
        <v>21376443.109999996</v>
      </c>
      <c r="AE338" s="184">
        <f t="shared" si="101"/>
        <v>206446.13</v>
      </c>
      <c r="AF338" s="184">
        <f t="shared" si="102"/>
        <v>634754.62</v>
      </c>
      <c r="AG338" s="211">
        <f t="shared" si="99"/>
        <v>281681.13999999687</v>
      </c>
      <c r="AH338" s="263"/>
      <c r="AI338" s="264"/>
      <c r="AJ338" s="264"/>
      <c r="AK338" s="264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264"/>
    </row>
    <row r="339" spans="1:55" x14ac:dyDescent="0.15">
      <c r="A339" s="290">
        <v>43069</v>
      </c>
      <c r="B339" s="291" t="s">
        <v>38</v>
      </c>
      <c r="C339" s="292">
        <f>46621+8373</f>
        <v>54994</v>
      </c>
      <c r="D339" s="293">
        <f>12300+26918</f>
        <v>39218</v>
      </c>
      <c r="E339" s="293">
        <f>75347+26918</f>
        <v>102265</v>
      </c>
      <c r="F339" s="294">
        <v>5029</v>
      </c>
      <c r="G339" s="293">
        <v>3398</v>
      </c>
      <c r="H339" s="295"/>
      <c r="I339" s="295"/>
      <c r="J339" s="296">
        <f t="shared" si="96"/>
        <v>63047</v>
      </c>
      <c r="K339" s="293">
        <v>414</v>
      </c>
      <c r="L339" s="293">
        <v>6849</v>
      </c>
      <c r="M339" s="217">
        <f t="shared" si="97"/>
        <v>790</v>
      </c>
      <c r="N339" s="297">
        <f>[10]表2、统调口径电量!$D$10</f>
        <v>1423477.66</v>
      </c>
      <c r="O339" s="298">
        <f>[10]表2、统调口径电量!$D$14</f>
        <v>1388727</v>
      </c>
      <c r="P339" s="340">
        <f>[10]表2、统调口径电量!$D$3</f>
        <v>3048724.49</v>
      </c>
      <c r="Q339" s="299">
        <f>[10]表2、统调口径电量!$I$10</f>
        <v>20308551.879999999</v>
      </c>
      <c r="R339" s="300">
        <f>[10]表2、统调口径电量!$I$14</f>
        <v>13799837.800000001</v>
      </c>
      <c r="S339" s="301">
        <f>[10]表2、统调口径电量!$I$3</f>
        <v>35238127.399999999</v>
      </c>
      <c r="T339" s="235">
        <f>N339/'2017'!N339-1</f>
        <v>-0.23211646706578104</v>
      </c>
      <c r="U339" s="236">
        <f>O339/'2017'!O339-1</f>
        <v>0.22756165754285607</v>
      </c>
      <c r="V339" s="236">
        <f>P339/'2017'!P339-1</f>
        <v>3.7883214152523159E-3</v>
      </c>
      <c r="W339" s="236">
        <f>Q339/'2017'!Q339-1</f>
        <v>1.0532192562261233E-2</v>
      </c>
      <c r="X339" s="236">
        <f>R339/'2017'!R339-1</f>
        <v>0.16397071853853507</v>
      </c>
      <c r="Y339" s="254">
        <f>S339/'2017'!S339-1</f>
        <v>7.7231561926380143E-2</v>
      </c>
      <c r="Z339" s="255">
        <f>[10]表2、统调口径电量!$I$12/10000</f>
        <v>131.65432200000001</v>
      </c>
      <c r="AA339" s="256">
        <f>[10]表2、统调口径电量!$I$11/10000</f>
        <v>1899.2008659999999</v>
      </c>
      <c r="AB339" s="257">
        <v>4286.88</v>
      </c>
      <c r="AC339" s="258">
        <f t="shared" si="104"/>
        <v>4430.2636556190046</v>
      </c>
      <c r="AD339" s="257">
        <f>[10]表2、统调口径电量!$I$4</f>
        <v>21438289.600000001</v>
      </c>
      <c r="AE339" s="190">
        <f>[10]表2、统调口径电量!$I$13</f>
        <v>206858.22</v>
      </c>
      <c r="AF339" s="190">
        <f>[10]表2、统调口径电量!$I$17</f>
        <v>641604.93999999994</v>
      </c>
      <c r="AG339" s="258">
        <f t="shared" si="99"/>
        <v>281274.56000000262</v>
      </c>
      <c r="AH339" s="263"/>
      <c r="AI339" s="264"/>
      <c r="AJ339" s="264"/>
      <c r="AK339" s="264"/>
      <c r="AL339" s="264"/>
      <c r="AM339" s="264"/>
      <c r="AN339" s="264"/>
      <c r="AO339" s="264"/>
      <c r="AP339" s="264"/>
      <c r="AQ339" s="264"/>
      <c r="AR339" s="264"/>
      <c r="AS339" s="264"/>
      <c r="AT339" s="264"/>
      <c r="AU339" s="264"/>
      <c r="AV339" s="264"/>
      <c r="AW339" s="264"/>
      <c r="AX339" s="264"/>
      <c r="AY339" s="264"/>
      <c r="AZ339" s="264"/>
      <c r="BA339" s="264"/>
      <c r="BB339" s="264"/>
      <c r="BC339" s="264"/>
    </row>
    <row r="340" spans="1:55" x14ac:dyDescent="0.15">
      <c r="A340" s="180">
        <v>43070</v>
      </c>
      <c r="B340" s="175" t="s">
        <v>39</v>
      </c>
      <c r="C340" s="176">
        <f>42171+5397</f>
        <v>47568</v>
      </c>
      <c r="D340" s="348">
        <f>12336+28720</f>
        <v>41056</v>
      </c>
      <c r="E340" s="177">
        <f>68173+28720</f>
        <v>96893</v>
      </c>
      <c r="F340" s="178">
        <v>4679</v>
      </c>
      <c r="G340" s="177">
        <v>3293</v>
      </c>
      <c r="H340" s="179"/>
      <c r="I340" s="179"/>
      <c r="J340" s="204">
        <f t="shared" si="96"/>
        <v>55837</v>
      </c>
      <c r="K340" s="177">
        <v>673</v>
      </c>
      <c r="L340" s="177">
        <v>6855</v>
      </c>
      <c r="M340" s="205">
        <f t="shared" si="97"/>
        <v>741</v>
      </c>
      <c r="N340" s="206">
        <f>C340</f>
        <v>47568</v>
      </c>
      <c r="O340" s="209">
        <f>D340</f>
        <v>41056</v>
      </c>
      <c r="P340" s="208">
        <f>E340</f>
        <v>96893</v>
      </c>
      <c r="Q340" s="225">
        <f>Q$339+N340</f>
        <v>20356119.879999999</v>
      </c>
      <c r="R340" s="207">
        <f>R$339+O340</f>
        <v>13840893.800000001</v>
      </c>
      <c r="S340" s="226">
        <f>S$339+P340</f>
        <v>35335020.399999999</v>
      </c>
      <c r="T340" s="227">
        <f>N340/'2017'!N340-1</f>
        <v>-0.26414306266726484</v>
      </c>
      <c r="U340" s="228">
        <f>O340/'2017'!O340-1</f>
        <v>0.15280507665524801</v>
      </c>
      <c r="V340" s="228">
        <f>P340/'2017'!P340-1</f>
        <v>-4.9173732140053383E-2</v>
      </c>
      <c r="W340" s="228">
        <f>Q340/'2017'!Q340-1</f>
        <v>9.6515137643624627E-3</v>
      </c>
      <c r="X340" s="228">
        <f>R340/'2017'!R340-1</f>
        <v>0.16393727825966975</v>
      </c>
      <c r="Y340" s="244">
        <f>S340/'2017'!S340-1</f>
        <v>7.6839005648785541E-2</v>
      </c>
      <c r="Z340" s="245"/>
      <c r="AA340" s="246">
        <f t="shared" si="103"/>
        <v>2035.6119879999999</v>
      </c>
      <c r="AB340" s="247"/>
      <c r="AC340" s="248" t="e">
        <f t="shared" si="104"/>
        <v>#DIV/0!</v>
      </c>
      <c r="AD340" s="247">
        <f t="shared" si="98"/>
        <v>21494126.599999998</v>
      </c>
      <c r="AE340" s="177">
        <f t="shared" si="101"/>
        <v>207531.22</v>
      </c>
      <c r="AF340" s="177">
        <f t="shared" si="102"/>
        <v>648459.93999999994</v>
      </c>
      <c r="AG340" s="248">
        <f t="shared" si="99"/>
        <v>282015.55999999889</v>
      </c>
      <c r="AH340" s="263"/>
      <c r="AI340" s="264"/>
      <c r="AJ340" s="264"/>
      <c r="AK340" s="264"/>
      <c r="AL340" s="264"/>
      <c r="AM340" s="264"/>
      <c r="AN340" s="264"/>
      <c r="AO340" s="264"/>
      <c r="AP340" s="264"/>
      <c r="AQ340" s="264"/>
      <c r="AR340" s="264"/>
      <c r="AS340" s="264"/>
      <c r="AT340" s="264"/>
      <c r="AU340" s="264"/>
      <c r="AV340" s="264"/>
      <c r="AW340" s="264"/>
      <c r="AX340" s="264"/>
      <c r="AY340" s="264"/>
      <c r="AZ340" s="264"/>
      <c r="BA340" s="264"/>
      <c r="BB340" s="264"/>
      <c r="BC340" s="264"/>
    </row>
    <row r="341" spans="1:55" x14ac:dyDescent="0.15">
      <c r="A341" s="180">
        <v>43071</v>
      </c>
      <c r="B341" s="175" t="s">
        <v>1</v>
      </c>
      <c r="C341" s="176">
        <f>40020+4944</f>
        <v>44964</v>
      </c>
      <c r="D341" s="177">
        <f>29443+12382</f>
        <v>41825</v>
      </c>
      <c r="E341" s="177">
        <f>65466+29443</f>
        <v>94909</v>
      </c>
      <c r="F341" s="178">
        <v>4631</v>
      </c>
      <c r="G341" s="177">
        <v>3131</v>
      </c>
      <c r="H341" s="179"/>
      <c r="I341" s="179"/>
      <c r="J341" s="204">
        <f t="shared" si="96"/>
        <v>53084</v>
      </c>
      <c r="K341" s="177">
        <v>685</v>
      </c>
      <c r="L341" s="177">
        <v>6851</v>
      </c>
      <c r="M341" s="205">
        <f t="shared" si="97"/>
        <v>584</v>
      </c>
      <c r="N341" s="206">
        <f t="shared" ref="N341:P356" si="105">N340+C341</f>
        <v>92532</v>
      </c>
      <c r="O341" s="209">
        <f t="shared" si="105"/>
        <v>82881</v>
      </c>
      <c r="P341" s="208">
        <f t="shared" si="105"/>
        <v>191802</v>
      </c>
      <c r="Q341" s="225">
        <f t="shared" ref="Q341:S369" si="106">Q$339+N341</f>
        <v>20401083.879999999</v>
      </c>
      <c r="R341" s="207">
        <f t="shared" si="106"/>
        <v>13882718.800000001</v>
      </c>
      <c r="S341" s="226">
        <f t="shared" si="106"/>
        <v>35429929.399999999</v>
      </c>
      <c r="T341" s="227">
        <f>N341/'2017'!N341-1</f>
        <v>-0.29137693368050233</v>
      </c>
      <c r="U341" s="228">
        <f>O341/'2017'!O341-1</f>
        <v>0.14664988032816373</v>
      </c>
      <c r="V341" s="228">
        <f>P341/'2017'!P341-1</f>
        <v>-6.7732104580119246E-2</v>
      </c>
      <c r="W341" s="228">
        <f>Q341/'2017'!Q341-1</f>
        <v>8.5831945708236823E-3</v>
      </c>
      <c r="X341" s="228">
        <f>R341/'2017'!R341-1</f>
        <v>0.16386575911858636</v>
      </c>
      <c r="Y341" s="244">
        <f>S341/'2017'!S341-1</f>
        <v>7.6325527037967689E-2</v>
      </c>
      <c r="Z341" s="245"/>
      <c r="AA341" s="246">
        <f t="shared" si="103"/>
        <v>2040.1083879999999</v>
      </c>
      <c r="AB341" s="247"/>
      <c r="AC341" s="248" t="e">
        <f t="shared" si="104"/>
        <v>#DIV/0!</v>
      </c>
      <c r="AD341" s="247">
        <f t="shared" si="98"/>
        <v>21547210.599999998</v>
      </c>
      <c r="AE341" s="177">
        <f t="shared" si="101"/>
        <v>208216.22</v>
      </c>
      <c r="AF341" s="177">
        <f t="shared" si="102"/>
        <v>655310.93999999994</v>
      </c>
      <c r="AG341" s="248">
        <f t="shared" si="99"/>
        <v>282599.55999999889</v>
      </c>
      <c r="AH341" s="263"/>
      <c r="AI341" s="264"/>
      <c r="AJ341" s="264"/>
      <c r="AK341" s="264"/>
      <c r="AL341" s="264"/>
      <c r="AM341" s="264"/>
      <c r="AN341" s="264"/>
      <c r="AO341" s="264"/>
      <c r="AP341" s="264"/>
      <c r="AQ341" s="264"/>
      <c r="AR341" s="264"/>
      <c r="AS341" s="264"/>
      <c r="AT341" s="264"/>
      <c r="AU341" s="264"/>
      <c r="AV341" s="264"/>
      <c r="AW341" s="264"/>
      <c r="AX341" s="264"/>
      <c r="AY341" s="264"/>
      <c r="AZ341" s="264"/>
      <c r="BA341" s="264"/>
      <c r="BB341" s="264"/>
      <c r="BC341" s="264"/>
    </row>
    <row r="342" spans="1:55" x14ac:dyDescent="0.15">
      <c r="A342" s="180">
        <v>43072</v>
      </c>
      <c r="B342" s="175" t="s">
        <v>34</v>
      </c>
      <c r="C342" s="176">
        <v>51911</v>
      </c>
      <c r="D342" s="177">
        <f>32161+9424</f>
        <v>41585</v>
      </c>
      <c r="E342" s="177">
        <v>101369</v>
      </c>
      <c r="F342" s="178">
        <v>5130.3999999999996</v>
      </c>
      <c r="G342" s="177">
        <v>3109.6</v>
      </c>
      <c r="H342" s="179"/>
      <c r="I342" s="179"/>
      <c r="J342" s="204">
        <f t="shared" si="96"/>
        <v>59784</v>
      </c>
      <c r="K342" s="177">
        <v>574</v>
      </c>
      <c r="L342" s="177">
        <v>6852</v>
      </c>
      <c r="M342" s="205">
        <f t="shared" si="97"/>
        <v>447</v>
      </c>
      <c r="N342" s="206">
        <f t="shared" si="105"/>
        <v>144443</v>
      </c>
      <c r="O342" s="209">
        <f t="shared" si="105"/>
        <v>124466</v>
      </c>
      <c r="P342" s="208">
        <f t="shared" si="105"/>
        <v>293171</v>
      </c>
      <c r="Q342" s="225">
        <f t="shared" si="106"/>
        <v>20452994.879999999</v>
      </c>
      <c r="R342" s="207">
        <f t="shared" si="106"/>
        <v>13924303.800000001</v>
      </c>
      <c r="S342" s="226">
        <f t="shared" si="106"/>
        <v>35531298.399999999</v>
      </c>
      <c r="T342" s="227">
        <f>N342/'2017'!N342-1</f>
        <v>-0.24331417734914007</v>
      </c>
      <c r="U342" s="228">
        <f>O342/'2017'!O342-1</f>
        <v>0.14070734009696362</v>
      </c>
      <c r="V342" s="228">
        <f>P342/'2017'!P342-1</f>
        <v>-3.6619949723148748E-2</v>
      </c>
      <c r="W342" s="228">
        <f>Q342/'2017'!Q342-1</f>
        <v>8.1437356758669033E-3</v>
      </c>
      <c r="X342" s="228">
        <f>R342/'2017'!R342-1</f>
        <v>0.16375857066419552</v>
      </c>
      <c r="Y342" s="244">
        <f>S342/'2017'!S342-1</f>
        <v>7.6182172035186069E-2</v>
      </c>
      <c r="Z342" s="245"/>
      <c r="AA342" s="246">
        <f t="shared" si="103"/>
        <v>2045.2994879999999</v>
      </c>
      <c r="AB342" s="247"/>
      <c r="AC342" s="248" t="e">
        <f t="shared" si="104"/>
        <v>#DIV/0!</v>
      </c>
      <c r="AD342" s="247">
        <f t="shared" si="98"/>
        <v>21606994.599999998</v>
      </c>
      <c r="AE342" s="177">
        <f t="shared" si="101"/>
        <v>208790.22</v>
      </c>
      <c r="AF342" s="177">
        <f t="shared" si="102"/>
        <v>662162.93999999994</v>
      </c>
      <c r="AG342" s="248">
        <f t="shared" si="99"/>
        <v>283046.55999999889</v>
      </c>
      <c r="AH342" s="263"/>
      <c r="AI342" s="264"/>
      <c r="AJ342" s="264"/>
      <c r="AK342" s="264"/>
      <c r="AL342" s="264"/>
      <c r="AM342" s="264"/>
      <c r="AN342" s="264"/>
      <c r="AO342" s="264"/>
      <c r="AP342" s="264"/>
      <c r="AQ342" s="264"/>
      <c r="AR342" s="264"/>
      <c r="AS342" s="264"/>
      <c r="AT342" s="264"/>
      <c r="AU342" s="264"/>
      <c r="AV342" s="264"/>
      <c r="AW342" s="264"/>
      <c r="AX342" s="264"/>
      <c r="AY342" s="264"/>
      <c r="AZ342" s="264"/>
      <c r="BA342" s="264"/>
      <c r="BB342" s="264"/>
      <c r="BC342" s="264"/>
    </row>
    <row r="343" spans="1:55" x14ac:dyDescent="0.15">
      <c r="A343" s="180">
        <v>43073</v>
      </c>
      <c r="B343" s="175" t="s">
        <v>35</v>
      </c>
      <c r="C343" s="176">
        <v>55851</v>
      </c>
      <c r="D343" s="177">
        <f>30945+9486</f>
        <v>40431</v>
      </c>
      <c r="E343" s="177">
        <v>104306</v>
      </c>
      <c r="F343" s="178">
        <v>5333.4</v>
      </c>
      <c r="G343" s="177">
        <v>3296.4</v>
      </c>
      <c r="H343" s="179"/>
      <c r="I343" s="179"/>
      <c r="J343" s="204">
        <f t="shared" si="96"/>
        <v>63875</v>
      </c>
      <c r="K343" s="177">
        <v>619</v>
      </c>
      <c r="L343" s="177">
        <v>6849</v>
      </c>
      <c r="M343" s="205">
        <f t="shared" si="97"/>
        <v>556</v>
      </c>
      <c r="N343" s="206">
        <f t="shared" si="105"/>
        <v>200294</v>
      </c>
      <c r="O343" s="209">
        <f t="shared" si="105"/>
        <v>164897</v>
      </c>
      <c r="P343" s="208">
        <f t="shared" si="105"/>
        <v>397477</v>
      </c>
      <c r="Q343" s="225">
        <f t="shared" si="106"/>
        <v>20508845.879999999</v>
      </c>
      <c r="R343" s="207">
        <f t="shared" si="106"/>
        <v>13964734.800000001</v>
      </c>
      <c r="S343" s="226">
        <f t="shared" si="106"/>
        <v>35635604.399999999</v>
      </c>
      <c r="T343" s="227">
        <f>N343/'2017'!N343-1</f>
        <v>-0.20824587409823103</v>
      </c>
      <c r="U343" s="228">
        <f>O343/'2017'!O343-1</f>
        <v>0.12313885218433707</v>
      </c>
      <c r="V343" s="228">
        <f>P343/'2017'!P343-1</f>
        <v>-2.1566175493183848E-2</v>
      </c>
      <c r="W343" s="228">
        <f>Q343/'2017'!Q343-1</f>
        <v>7.8124994356534305E-3</v>
      </c>
      <c r="X343" s="228">
        <f>R343/'2017'!R343-1</f>
        <v>0.16347125763175407</v>
      </c>
      <c r="Y343" s="244">
        <f>S343/'2017'!S343-1</f>
        <v>7.6019670743016743E-2</v>
      </c>
      <c r="Z343" s="245"/>
      <c r="AA343" s="246">
        <f t="shared" si="103"/>
        <v>2050.8845879999999</v>
      </c>
      <c r="AB343" s="247"/>
      <c r="AC343" s="248" t="e">
        <f t="shared" si="104"/>
        <v>#DIV/0!</v>
      </c>
      <c r="AD343" s="247">
        <f t="shared" si="98"/>
        <v>21670869.599999998</v>
      </c>
      <c r="AE343" s="177">
        <f t="shared" si="101"/>
        <v>209409.22</v>
      </c>
      <c r="AF343" s="177">
        <f t="shared" ref="AF343:AF358" si="107">AF342+L343</f>
        <v>669011.93999999994</v>
      </c>
      <c r="AG343" s="248">
        <f t="shared" si="99"/>
        <v>283602.55999999889</v>
      </c>
      <c r="AH343" s="263"/>
      <c r="AI343" s="264"/>
      <c r="AJ343" s="264"/>
      <c r="AK343" s="264"/>
      <c r="AL343" s="264"/>
      <c r="AM343" s="264"/>
      <c r="AN343" s="264"/>
      <c r="AO343" s="264"/>
      <c r="AP343" s="264"/>
      <c r="AQ343" s="264"/>
      <c r="AR343" s="264"/>
      <c r="AS343" s="264"/>
      <c r="AT343" s="264"/>
      <c r="AU343" s="264"/>
      <c r="AV343" s="264"/>
      <c r="AW343" s="264"/>
      <c r="AX343" s="264"/>
      <c r="AY343" s="264"/>
      <c r="AZ343" s="264"/>
      <c r="BA343" s="264"/>
      <c r="BB343" s="264"/>
      <c r="BC343" s="264"/>
    </row>
    <row r="344" spans="1:55" x14ac:dyDescent="0.15">
      <c r="A344" s="180">
        <v>43074</v>
      </c>
      <c r="B344" s="175" t="s">
        <v>36</v>
      </c>
      <c r="C344" s="176">
        <v>57107</v>
      </c>
      <c r="D344" s="177">
        <f>31546+9642</f>
        <v>41188</v>
      </c>
      <c r="E344" s="177">
        <v>106402</v>
      </c>
      <c r="F344" s="306">
        <v>5447.4</v>
      </c>
      <c r="G344" s="177">
        <v>3335.2</v>
      </c>
      <c r="H344" s="179"/>
      <c r="I344" s="179"/>
      <c r="J344" s="204">
        <f t="shared" si="96"/>
        <v>65214</v>
      </c>
      <c r="K344" s="177">
        <v>785</v>
      </c>
      <c r="L344" s="177">
        <v>6848</v>
      </c>
      <c r="M344" s="205">
        <f t="shared" si="97"/>
        <v>474</v>
      </c>
      <c r="N344" s="206">
        <f t="shared" si="105"/>
        <v>257401</v>
      </c>
      <c r="O344" s="209">
        <f t="shared" si="105"/>
        <v>206085</v>
      </c>
      <c r="P344" s="208">
        <f t="shared" si="105"/>
        <v>503879</v>
      </c>
      <c r="Q344" s="225">
        <f t="shared" si="106"/>
        <v>20565952.879999999</v>
      </c>
      <c r="R344" s="207">
        <f t="shared" si="106"/>
        <v>14005922.800000001</v>
      </c>
      <c r="S344" s="226">
        <f t="shared" si="106"/>
        <v>35742006.399999999</v>
      </c>
      <c r="T344" s="227">
        <f>N344/'2017'!N344-1</f>
        <v>-0.18947965047626547</v>
      </c>
      <c r="U344" s="228">
        <f>O344/'2017'!O344-1</f>
        <v>0.10872898453261604</v>
      </c>
      <c r="V344" s="228">
        <f>P344/'2017'!P344-1</f>
        <v>-1.6109222481054619E-2</v>
      </c>
      <c r="W344" s="228">
        <f>Q344/'2017'!Q344-1</f>
        <v>7.4207336750664599E-3</v>
      </c>
      <c r="X344" s="228">
        <f>R344/'2017'!R344-1</f>
        <v>0.16311801054070085</v>
      </c>
      <c r="Y344" s="244">
        <f>S344/'2017'!S344-1</f>
        <v>7.5792761675395504E-2</v>
      </c>
      <c r="Z344" s="245"/>
      <c r="AA344" s="246">
        <f t="shared" si="103"/>
        <v>2056.595288</v>
      </c>
      <c r="AB344" s="247"/>
      <c r="AC344" s="248" t="e">
        <f t="shared" si="104"/>
        <v>#DIV/0!</v>
      </c>
      <c r="AD344" s="247">
        <f t="shared" si="98"/>
        <v>21736083.599999998</v>
      </c>
      <c r="AE344" s="177">
        <f t="shared" si="101"/>
        <v>210194.22</v>
      </c>
      <c r="AF344" s="177">
        <f t="shared" si="107"/>
        <v>675859.94</v>
      </c>
      <c r="AG344" s="248">
        <f t="shared" si="99"/>
        <v>284076.55999999889</v>
      </c>
      <c r="AH344" s="263"/>
      <c r="AI344" s="264"/>
      <c r="AJ344" s="264"/>
      <c r="AK344" s="264"/>
      <c r="AL344" s="264"/>
      <c r="AM344" s="264"/>
      <c r="AN344" s="264"/>
      <c r="AO344" s="264"/>
      <c r="AP344" s="264"/>
      <c r="AQ344" s="264"/>
      <c r="AR344" s="264"/>
      <c r="AS344" s="264"/>
      <c r="AT344" s="264"/>
      <c r="AU344" s="264"/>
      <c r="AV344" s="264"/>
      <c r="AW344" s="264"/>
      <c r="AX344" s="264"/>
      <c r="AY344" s="264"/>
      <c r="AZ344" s="264"/>
      <c r="BA344" s="264"/>
      <c r="BB344" s="264"/>
      <c r="BC344" s="264"/>
    </row>
    <row r="345" spans="1:55" s="157" customFormat="1" x14ac:dyDescent="0.15">
      <c r="A345" s="181">
        <v>43075</v>
      </c>
      <c r="B345" s="182" t="s">
        <v>37</v>
      </c>
      <c r="C345" s="183">
        <v>58148</v>
      </c>
      <c r="D345" s="184">
        <v>41487</v>
      </c>
      <c r="E345" s="184">
        <v>107739</v>
      </c>
      <c r="F345" s="185">
        <v>5495</v>
      </c>
      <c r="G345" s="184">
        <v>3373</v>
      </c>
      <c r="H345" s="186"/>
      <c r="I345" s="186"/>
      <c r="J345" s="210">
        <f t="shared" si="96"/>
        <v>66252</v>
      </c>
      <c r="K345" s="184">
        <v>718</v>
      </c>
      <c r="L345" s="184">
        <v>6850</v>
      </c>
      <c r="M345" s="211">
        <f t="shared" si="97"/>
        <v>536</v>
      </c>
      <c r="N345" s="212">
        <f t="shared" si="105"/>
        <v>315549</v>
      </c>
      <c r="O345" s="215">
        <f t="shared" si="105"/>
        <v>247572</v>
      </c>
      <c r="P345" s="214">
        <f t="shared" si="105"/>
        <v>611618</v>
      </c>
      <c r="Q345" s="229">
        <f t="shared" si="106"/>
        <v>20624100.879999999</v>
      </c>
      <c r="R345" s="213">
        <f t="shared" si="106"/>
        <v>14047409.800000001</v>
      </c>
      <c r="S345" s="230">
        <f t="shared" si="106"/>
        <v>35849745.399999999</v>
      </c>
      <c r="T345" s="231">
        <f>N345/'2017'!N345-1</f>
        <v>-0.17928584247336021</v>
      </c>
      <c r="U345" s="232">
        <f>O345/'2017'!O345-1</f>
        <v>9.9542989620668099E-2</v>
      </c>
      <c r="V345" s="232">
        <f>P345/'2017'!P345-1</f>
        <v>-1.3740467862850103E-2</v>
      </c>
      <c r="W345" s="232">
        <f>Q345/'2017'!Q345-1</f>
        <v>6.9688843971924541E-3</v>
      </c>
      <c r="X345" s="232">
        <f>R345/'2017'!R345-1</f>
        <v>0.16276994894788421</v>
      </c>
      <c r="Y345" s="249">
        <f>S345/'2017'!S345-1</f>
        <v>7.5539029380355283E-2</v>
      </c>
      <c r="Z345" s="250">
        <v>135.59</v>
      </c>
      <c r="AA345" s="251">
        <f t="shared" si="103"/>
        <v>1926.8200880000002</v>
      </c>
      <c r="AB345" s="252">
        <v>4286.88</v>
      </c>
      <c r="AC345" s="211">
        <f t="shared" si="104"/>
        <v>4494.6909827193676</v>
      </c>
      <c r="AD345" s="252">
        <f t="shared" si="98"/>
        <v>21802335.599999998</v>
      </c>
      <c r="AE345" s="184">
        <f t="shared" si="101"/>
        <v>210912.22</v>
      </c>
      <c r="AF345" s="184">
        <f t="shared" si="107"/>
        <v>682709.94</v>
      </c>
      <c r="AG345" s="211">
        <f t="shared" si="99"/>
        <v>284612.55999999889</v>
      </c>
      <c r="AH345" s="265">
        <f>AD345/'2017'!AD345-1</f>
        <v>2.5948859471423003E-2</v>
      </c>
      <c r="AI345" s="271">
        <f>(AD345-AD338)/('2017'!AD345-'2017'!AD338)-1</f>
        <v>-8.0123021622153345E-2</v>
      </c>
      <c r="AJ345" s="264"/>
      <c r="AK345" s="264"/>
      <c r="AL345" s="264"/>
      <c r="AM345" s="264"/>
      <c r="AN345" s="264"/>
      <c r="AO345" s="264"/>
      <c r="AP345" s="264"/>
      <c r="AQ345" s="264"/>
      <c r="AR345" s="264"/>
      <c r="AS345" s="264"/>
      <c r="AT345" s="264"/>
      <c r="AU345" s="264"/>
      <c r="AV345" s="264"/>
      <c r="AW345" s="264"/>
      <c r="AX345" s="264"/>
      <c r="AY345" s="264"/>
      <c r="AZ345" s="264"/>
      <c r="BA345" s="264"/>
      <c r="BB345" s="264"/>
      <c r="BC345" s="264"/>
    </row>
    <row r="346" spans="1:55" x14ac:dyDescent="0.15">
      <c r="A346" s="180">
        <v>43076</v>
      </c>
      <c r="B346" s="175" t="s">
        <v>38</v>
      </c>
      <c r="C346" s="176">
        <v>66196</v>
      </c>
      <c r="D346" s="177">
        <f>29225+9481</f>
        <v>38706</v>
      </c>
      <c r="E346" s="177">
        <v>112954</v>
      </c>
      <c r="F346" s="178">
        <v>5754.8</v>
      </c>
      <c r="G346" s="177">
        <v>3382.6</v>
      </c>
      <c r="H346" s="179"/>
      <c r="I346" s="179"/>
      <c r="J346" s="204">
        <f t="shared" si="96"/>
        <v>74248</v>
      </c>
      <c r="K346" s="177">
        <v>625</v>
      </c>
      <c r="L346" s="177">
        <v>6851</v>
      </c>
      <c r="M346" s="205">
        <f t="shared" si="97"/>
        <v>576</v>
      </c>
      <c r="N346" s="206">
        <f t="shared" si="105"/>
        <v>381745</v>
      </c>
      <c r="O346" s="209">
        <f t="shared" si="105"/>
        <v>286278</v>
      </c>
      <c r="P346" s="208">
        <f t="shared" si="105"/>
        <v>724572</v>
      </c>
      <c r="Q346" s="225">
        <f t="shared" si="106"/>
        <v>20690296.879999999</v>
      </c>
      <c r="R346" s="207">
        <f t="shared" si="106"/>
        <v>14086115.800000001</v>
      </c>
      <c r="S346" s="226">
        <f t="shared" si="106"/>
        <v>35962699.399999999</v>
      </c>
      <c r="T346" s="227">
        <f>N346/'2017'!N346-1</f>
        <v>-0.16021928078191372</v>
      </c>
      <c r="U346" s="228">
        <f>O346/'2017'!O346-1</f>
        <v>8.9582516622833896E-2</v>
      </c>
      <c r="V346" s="228">
        <f>P346/'2017'!P346-1</f>
        <v>-6.6136913281674703E-3</v>
      </c>
      <c r="W346" s="228">
        <f>Q346/'2017'!Q346-1</f>
        <v>6.7553477462405365E-3</v>
      </c>
      <c r="X346" s="228">
        <f>R346/'2017'!R346-1</f>
        <v>0.16235791846727787</v>
      </c>
      <c r="Y346" s="244">
        <f>S346/'2017'!S346-1</f>
        <v>7.5402785006301709E-2</v>
      </c>
      <c r="Z346" s="245"/>
      <c r="AA346" s="246">
        <f t="shared" si="103"/>
        <v>2069.0296880000001</v>
      </c>
      <c r="AB346" s="247"/>
      <c r="AC346" s="248" t="e">
        <f t="shared" si="104"/>
        <v>#DIV/0!</v>
      </c>
      <c r="AD346" s="247">
        <f t="shared" si="98"/>
        <v>21876583.599999998</v>
      </c>
      <c r="AE346" s="177">
        <f t="shared" si="101"/>
        <v>211537.22</v>
      </c>
      <c r="AF346" s="177">
        <f t="shared" si="107"/>
        <v>689560.94</v>
      </c>
      <c r="AG346" s="248">
        <f t="shared" si="99"/>
        <v>285188.55999999889</v>
      </c>
      <c r="AH346" s="263"/>
      <c r="AI346" s="264"/>
      <c r="AJ346" s="264"/>
      <c r="AK346" s="264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264"/>
    </row>
    <row r="347" spans="1:55" x14ac:dyDescent="0.15">
      <c r="A347" s="180">
        <v>43077</v>
      </c>
      <c r="B347" s="175" t="s">
        <v>39</v>
      </c>
      <c r="C347" s="176">
        <v>70997</v>
      </c>
      <c r="D347" s="177">
        <f>28772+9532</f>
        <v>38304</v>
      </c>
      <c r="E347" s="177">
        <v>117777</v>
      </c>
      <c r="F347" s="178">
        <v>5957.2</v>
      </c>
      <c r="G347" s="177">
        <v>3560.5</v>
      </c>
      <c r="H347" s="179"/>
      <c r="I347" s="179"/>
      <c r="J347" s="204">
        <f t="shared" si="96"/>
        <v>79473</v>
      </c>
      <c r="K347" s="177">
        <v>1229</v>
      </c>
      <c r="L347" s="177">
        <v>6857</v>
      </c>
      <c r="M347" s="205">
        <f t="shared" si="97"/>
        <v>390</v>
      </c>
      <c r="N347" s="206">
        <f t="shared" si="105"/>
        <v>452742</v>
      </c>
      <c r="O347" s="209">
        <f t="shared" si="105"/>
        <v>324582</v>
      </c>
      <c r="P347" s="208">
        <f t="shared" si="105"/>
        <v>842349</v>
      </c>
      <c r="Q347" s="225">
        <f t="shared" si="106"/>
        <v>20761293.879999999</v>
      </c>
      <c r="R347" s="207">
        <f t="shared" si="106"/>
        <v>14124419.800000001</v>
      </c>
      <c r="S347" s="226">
        <f t="shared" si="106"/>
        <v>36080476.399999999</v>
      </c>
      <c r="T347" s="227">
        <f>N347/'2017'!N347-1</f>
        <v>-0.13571639924785472</v>
      </c>
      <c r="U347" s="228">
        <f>O347/'2017'!O347-1</f>
        <v>8.02368266033886E-2</v>
      </c>
      <c r="V347" s="228">
        <f>P347/'2017'!P347-1</f>
        <v>4.4849198891470099E-3</v>
      </c>
      <c r="W347" s="228">
        <f>Q347/'2017'!Q347-1</f>
        <v>6.816991469938527E-3</v>
      </c>
      <c r="X347" s="228">
        <f>R347/'2017'!R347-1</f>
        <v>0.16190102878326007</v>
      </c>
      <c r="Y347" s="244">
        <f>S347/'2017'!S347-1</f>
        <v>7.5413265351401915E-2</v>
      </c>
      <c r="Z347" s="245"/>
      <c r="AA347" s="246">
        <f t="shared" si="103"/>
        <v>2076.1293879999998</v>
      </c>
      <c r="AB347" s="247"/>
      <c r="AC347" s="248" t="e">
        <f t="shared" si="104"/>
        <v>#DIV/0!</v>
      </c>
      <c r="AD347" s="247">
        <f t="shared" si="98"/>
        <v>21956056.599999998</v>
      </c>
      <c r="AE347" s="177">
        <f t="shared" si="101"/>
        <v>212766.22</v>
      </c>
      <c r="AF347" s="177">
        <f t="shared" si="107"/>
        <v>696417.94</v>
      </c>
      <c r="AG347" s="248">
        <f t="shared" si="99"/>
        <v>285578.55999999889</v>
      </c>
      <c r="AH347" s="263"/>
      <c r="AI347" s="264"/>
      <c r="AJ347" s="264"/>
      <c r="AK347" s="264"/>
      <c r="AL347" s="264"/>
      <c r="AM347" s="264"/>
      <c r="AN347" s="264"/>
      <c r="AO347" s="264"/>
      <c r="AP347" s="264"/>
      <c r="AQ347" s="264"/>
      <c r="AR347" s="264"/>
      <c r="AS347" s="264"/>
      <c r="AT347" s="264"/>
      <c r="AU347" s="264"/>
      <c r="AV347" s="264"/>
      <c r="AW347" s="264"/>
      <c r="AX347" s="264"/>
      <c r="AY347" s="264"/>
      <c r="AZ347" s="264"/>
      <c r="BA347" s="264"/>
      <c r="BB347" s="264"/>
      <c r="BC347" s="264"/>
    </row>
    <row r="348" spans="1:55" x14ac:dyDescent="0.15">
      <c r="A348" s="180">
        <v>43078</v>
      </c>
      <c r="B348" s="175" t="s">
        <v>1</v>
      </c>
      <c r="C348" s="176">
        <v>71176</v>
      </c>
      <c r="D348" s="177">
        <f>26297+9517</f>
        <v>35814</v>
      </c>
      <c r="E348" s="177">
        <v>115036</v>
      </c>
      <c r="F348" s="178">
        <v>5742.2</v>
      </c>
      <c r="G348" s="177">
        <v>3630.6</v>
      </c>
      <c r="H348" s="179"/>
      <c r="I348" s="179"/>
      <c r="J348" s="204">
        <f t="shared" si="96"/>
        <v>79222</v>
      </c>
      <c r="K348" s="177">
        <v>828</v>
      </c>
      <c r="L348" s="177">
        <v>6856</v>
      </c>
      <c r="M348" s="205">
        <f t="shared" si="97"/>
        <v>362</v>
      </c>
      <c r="N348" s="206">
        <f t="shared" si="105"/>
        <v>523918</v>
      </c>
      <c r="O348" s="209">
        <f t="shared" si="105"/>
        <v>360396</v>
      </c>
      <c r="P348" s="208">
        <f t="shared" si="105"/>
        <v>957385</v>
      </c>
      <c r="Q348" s="225">
        <f t="shared" si="106"/>
        <v>20832469.879999999</v>
      </c>
      <c r="R348" s="207">
        <f t="shared" si="106"/>
        <v>14160233.800000001</v>
      </c>
      <c r="S348" s="226">
        <f t="shared" si="106"/>
        <v>36195512.399999999</v>
      </c>
      <c r="T348" s="227">
        <f>N348/'2017'!N348-1</f>
        <v>-0.11389125202746009</v>
      </c>
      <c r="U348" s="228">
        <f>O348/'2017'!O348-1</f>
        <v>6.0471685621386273E-2</v>
      </c>
      <c r="V348" s="228">
        <f>P348/'2017'!P348-1</f>
        <v>1.0854129162025439E-2</v>
      </c>
      <c r="W348" s="228">
        <f>Q348/'2017'!Q348-1</f>
        <v>6.9762316950241487E-3</v>
      </c>
      <c r="X348" s="228">
        <f>R348/'2017'!R348-1</f>
        <v>0.16108661153126924</v>
      </c>
      <c r="Y348" s="244">
        <f>S348/'2017'!S348-1</f>
        <v>7.5363809675780935E-2</v>
      </c>
      <c r="Z348" s="245"/>
      <c r="AA348" s="246">
        <f t="shared" si="103"/>
        <v>2083.2469879999999</v>
      </c>
      <c r="AB348" s="247"/>
      <c r="AC348" s="248" t="e">
        <f t="shared" si="104"/>
        <v>#DIV/0!</v>
      </c>
      <c r="AD348" s="247">
        <f t="shared" si="98"/>
        <v>22035278.599999998</v>
      </c>
      <c r="AE348" s="177">
        <f t="shared" si="101"/>
        <v>213594.22</v>
      </c>
      <c r="AF348" s="177">
        <f t="shared" si="107"/>
        <v>703273.94</v>
      </c>
      <c r="AG348" s="248">
        <f t="shared" si="99"/>
        <v>285940.55999999889</v>
      </c>
      <c r="AH348" s="263"/>
      <c r="AI348" s="264"/>
      <c r="AJ348" s="264"/>
      <c r="AK348" s="264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264"/>
    </row>
    <row r="349" spans="1:55" x14ac:dyDescent="0.15">
      <c r="A349" s="180">
        <v>43079</v>
      </c>
      <c r="B349" s="175" t="s">
        <v>34</v>
      </c>
      <c r="C349" s="176">
        <v>73228</v>
      </c>
      <c r="D349" s="177">
        <f>29087+9554</f>
        <v>38641</v>
      </c>
      <c r="E349" s="177">
        <v>120221</v>
      </c>
      <c r="F349" s="178">
        <v>6251.3</v>
      </c>
      <c r="G349" s="177">
        <v>3504.8</v>
      </c>
      <c r="H349" s="179"/>
      <c r="I349" s="179"/>
      <c r="J349" s="204">
        <f t="shared" si="96"/>
        <v>81580</v>
      </c>
      <c r="K349" s="177">
        <v>1026</v>
      </c>
      <c r="L349" s="177">
        <v>6856</v>
      </c>
      <c r="M349" s="205">
        <f t="shared" si="97"/>
        <v>470</v>
      </c>
      <c r="N349" s="206">
        <f t="shared" si="105"/>
        <v>597146</v>
      </c>
      <c r="O349" s="209">
        <f t="shared" si="105"/>
        <v>399037</v>
      </c>
      <c r="P349" s="208">
        <f t="shared" si="105"/>
        <v>1077606</v>
      </c>
      <c r="Q349" s="225">
        <f t="shared" si="106"/>
        <v>20905697.879999999</v>
      </c>
      <c r="R349" s="207">
        <f t="shared" si="106"/>
        <v>14198874.800000001</v>
      </c>
      <c r="S349" s="226">
        <f t="shared" si="106"/>
        <v>36315733.399999999</v>
      </c>
      <c r="T349" s="227">
        <f>N349/'2017'!N349-1</f>
        <v>-8.4750958324200987E-2</v>
      </c>
      <c r="U349" s="228">
        <f>O349/'2017'!O349-1</f>
        <v>5.3741094204697193E-2</v>
      </c>
      <c r="V349" s="228">
        <f>P349/'2017'!P349-1</f>
        <v>2.7228652427643496E-2</v>
      </c>
      <c r="W349" s="228">
        <f>Q349/'2017'!Q349-1</f>
        <v>7.5361132444238255E-3</v>
      </c>
      <c r="X349" s="228">
        <f>R349/'2017'!R349-1</f>
        <v>0.16055886154865973</v>
      </c>
      <c r="Y349" s="244">
        <f>S349/'2017'!S349-1</f>
        <v>7.5677831928535166E-2</v>
      </c>
      <c r="Z349" s="245"/>
      <c r="AA349" s="246">
        <f t="shared" si="103"/>
        <v>2090.5697879999998</v>
      </c>
      <c r="AB349" s="247"/>
      <c r="AC349" s="248" t="e">
        <f t="shared" si="104"/>
        <v>#DIV/0!</v>
      </c>
      <c r="AD349" s="247">
        <f t="shared" si="98"/>
        <v>22116858.599999998</v>
      </c>
      <c r="AE349" s="177">
        <f t="shared" si="101"/>
        <v>214620.22</v>
      </c>
      <c r="AF349" s="177">
        <f t="shared" si="107"/>
        <v>710129.94</v>
      </c>
      <c r="AG349" s="248">
        <f t="shared" si="99"/>
        <v>286410.55999999889</v>
      </c>
      <c r="AH349" s="263"/>
      <c r="AI349" s="264"/>
      <c r="AJ349" s="264"/>
      <c r="AK349" s="264"/>
      <c r="AL349" s="264"/>
      <c r="AM349" s="264"/>
      <c r="AN349" s="264"/>
      <c r="AO349" s="264"/>
      <c r="AP349" s="264"/>
      <c r="AQ349" s="264"/>
      <c r="AR349" s="264"/>
      <c r="AS349" s="264"/>
      <c r="AT349" s="264"/>
      <c r="AU349" s="264"/>
      <c r="AV349" s="264"/>
      <c r="AW349" s="264"/>
      <c r="AX349" s="264"/>
      <c r="AY349" s="264"/>
      <c r="AZ349" s="264"/>
      <c r="BA349" s="264"/>
      <c r="BB349" s="264"/>
      <c r="BC349" s="264"/>
    </row>
    <row r="350" spans="1:55" x14ac:dyDescent="0.15">
      <c r="A350" s="180">
        <v>43080</v>
      </c>
      <c r="B350" s="175" t="s">
        <v>35</v>
      </c>
      <c r="C350" s="176">
        <v>71342</v>
      </c>
      <c r="D350" s="177">
        <f>29550+10115</f>
        <v>39665</v>
      </c>
      <c r="E350" s="177">
        <v>119373</v>
      </c>
      <c r="F350" s="178">
        <v>6069.5</v>
      </c>
      <c r="G350" s="177">
        <v>3593.1</v>
      </c>
      <c r="H350" s="179"/>
      <c r="I350" s="179"/>
      <c r="J350" s="204">
        <f t="shared" si="96"/>
        <v>79708</v>
      </c>
      <c r="K350" s="177">
        <v>699</v>
      </c>
      <c r="L350" s="177">
        <v>6859</v>
      </c>
      <c r="M350" s="205">
        <f t="shared" si="97"/>
        <v>808</v>
      </c>
      <c r="N350" s="206">
        <f t="shared" si="105"/>
        <v>668488</v>
      </c>
      <c r="O350" s="209">
        <f t="shared" si="105"/>
        <v>438702</v>
      </c>
      <c r="P350" s="208">
        <f t="shared" si="105"/>
        <v>1196979</v>
      </c>
      <c r="Q350" s="225">
        <f t="shared" si="106"/>
        <v>20977039.879999999</v>
      </c>
      <c r="R350" s="207">
        <f t="shared" si="106"/>
        <v>14238539.800000001</v>
      </c>
      <c r="S350" s="226">
        <f t="shared" si="106"/>
        <v>36435106.399999999</v>
      </c>
      <c r="T350" s="227">
        <f>N350/'2017'!N350-1</f>
        <v>-7.204193307476825E-2</v>
      </c>
      <c r="U350" s="228">
        <f>O350/'2017'!O350-1</f>
        <v>5.1581679982166007E-2</v>
      </c>
      <c r="V350" s="228">
        <f>P350/'2017'!P350-1</f>
        <v>3.4300137217830651E-2</v>
      </c>
      <c r="W350" s="228">
        <f>Q350/'2017'!Q350-1</f>
        <v>7.6746980967163925E-3</v>
      </c>
      <c r="X350" s="228">
        <f>R350/'2017'!R350-1</f>
        <v>0.16015040154772109</v>
      </c>
      <c r="Y350" s="244">
        <f>S350/'2017'!S350-1</f>
        <v>7.57646215396377E-2</v>
      </c>
      <c r="Z350" s="245"/>
      <c r="AA350" s="246">
        <f t="shared" si="103"/>
        <v>2097.7039879999998</v>
      </c>
      <c r="AB350" s="247"/>
      <c r="AC350" s="248" t="e">
        <f t="shared" si="104"/>
        <v>#DIV/0!</v>
      </c>
      <c r="AD350" s="247">
        <f t="shared" si="98"/>
        <v>22196566.599999998</v>
      </c>
      <c r="AE350" s="177">
        <f t="shared" si="101"/>
        <v>215319.22</v>
      </c>
      <c r="AF350" s="177">
        <f t="shared" si="107"/>
        <v>716988.94</v>
      </c>
      <c r="AG350" s="248">
        <f t="shared" si="99"/>
        <v>287218.55999999889</v>
      </c>
      <c r="AH350" s="263"/>
      <c r="AI350" s="264"/>
      <c r="AJ350" s="264"/>
      <c r="AK350" s="264"/>
      <c r="AL350" s="264"/>
      <c r="AM350" s="264"/>
      <c r="AN350" s="264"/>
      <c r="AO350" s="264"/>
      <c r="AP350" s="264"/>
      <c r="AQ350" s="264"/>
      <c r="AR350" s="264"/>
      <c r="AS350" s="264"/>
      <c r="AT350" s="264"/>
      <c r="AU350" s="264"/>
      <c r="AV350" s="264"/>
      <c r="AW350" s="264"/>
      <c r="AX350" s="264"/>
      <c r="AY350" s="264"/>
      <c r="AZ350" s="264"/>
      <c r="BA350" s="264"/>
      <c r="BB350" s="264"/>
      <c r="BC350" s="264"/>
    </row>
    <row r="351" spans="1:55" x14ac:dyDescent="0.15">
      <c r="A351" s="180">
        <v>43081</v>
      </c>
      <c r="B351" s="175" t="s">
        <v>36</v>
      </c>
      <c r="C351" s="176">
        <f>68702+4378</f>
        <v>73080</v>
      </c>
      <c r="D351" s="177">
        <f>26682+13368</f>
        <v>40050</v>
      </c>
      <c r="E351" s="177">
        <f>94677+26682</f>
        <v>121359</v>
      </c>
      <c r="F351" s="178">
        <v>6071</v>
      </c>
      <c r="G351" s="177">
        <v>3670</v>
      </c>
      <c r="H351" s="179"/>
      <c r="I351" s="179"/>
      <c r="J351" s="204">
        <f t="shared" si="96"/>
        <v>81309</v>
      </c>
      <c r="K351" s="177">
        <v>585</v>
      </c>
      <c r="L351" s="177">
        <v>6856</v>
      </c>
      <c r="M351" s="205">
        <f t="shared" si="97"/>
        <v>788</v>
      </c>
      <c r="N351" s="206">
        <f t="shared" si="105"/>
        <v>741568</v>
      </c>
      <c r="O351" s="209">
        <f t="shared" si="105"/>
        <v>478752</v>
      </c>
      <c r="P351" s="208">
        <f t="shared" si="105"/>
        <v>1318338</v>
      </c>
      <c r="Q351" s="225">
        <f t="shared" si="106"/>
        <v>21050119.879999999</v>
      </c>
      <c r="R351" s="207">
        <f t="shared" si="106"/>
        <v>14278589.800000001</v>
      </c>
      <c r="S351" s="226">
        <f t="shared" si="106"/>
        <v>36556465.399999999</v>
      </c>
      <c r="T351" s="227">
        <f>N351/'2017'!N351-1</f>
        <v>-6.3375202874662917E-2</v>
      </c>
      <c r="U351" s="228">
        <f>O351/'2017'!O351-1</f>
        <v>5.1705238184154734E-2</v>
      </c>
      <c r="V351" s="228">
        <f>P351/'2017'!P351-1</f>
        <v>3.9214372480965043E-2</v>
      </c>
      <c r="W351" s="228">
        <f>Q351/'2017'!Q351-1</f>
        <v>7.7308693761652947E-3</v>
      </c>
      <c r="X351" s="228">
        <f>R351/'2017'!R351-1</f>
        <v>0.15981957338467812</v>
      </c>
      <c r="Y351" s="244">
        <f>S351/'2017'!S351-1</f>
        <v>7.5812262832148258E-2</v>
      </c>
      <c r="Z351" s="245">
        <v>139.37</v>
      </c>
      <c r="AA351" s="246">
        <f t="shared" si="103"/>
        <v>1965.6419879999999</v>
      </c>
      <c r="AB351" s="247"/>
      <c r="AC351" s="248" t="e">
        <f t="shared" si="104"/>
        <v>#DIV/0!</v>
      </c>
      <c r="AD351" s="247">
        <f t="shared" si="98"/>
        <v>22277875.599999998</v>
      </c>
      <c r="AE351" s="177">
        <f t="shared" si="101"/>
        <v>215904.22</v>
      </c>
      <c r="AF351" s="177">
        <f t="shared" si="107"/>
        <v>723844.94</v>
      </c>
      <c r="AG351" s="248">
        <f t="shared" si="99"/>
        <v>288006.55999999889</v>
      </c>
      <c r="AH351" s="263"/>
      <c r="AI351" s="264"/>
      <c r="AJ351" s="264"/>
      <c r="AK351" s="264"/>
      <c r="AL351" s="264"/>
      <c r="AM351" s="264"/>
      <c r="AN351" s="264"/>
      <c r="AO351" s="264"/>
      <c r="AP351" s="264"/>
      <c r="AQ351" s="264"/>
      <c r="AR351" s="264"/>
      <c r="AS351" s="264"/>
      <c r="AT351" s="264"/>
      <c r="AU351" s="264"/>
      <c r="AV351" s="264"/>
      <c r="AW351" s="264"/>
      <c r="AX351" s="264"/>
      <c r="AY351" s="264"/>
      <c r="AZ351" s="264"/>
      <c r="BA351" s="264"/>
      <c r="BB351" s="264"/>
      <c r="BC351" s="264"/>
    </row>
    <row r="352" spans="1:55" s="157" customFormat="1" x14ac:dyDescent="0.15">
      <c r="A352" s="181">
        <v>43082</v>
      </c>
      <c r="B352" s="182" t="s">
        <v>37</v>
      </c>
      <c r="C352" s="183">
        <f>71929+4434</f>
        <v>76363</v>
      </c>
      <c r="D352" s="184">
        <f>13888+26580</f>
        <v>40468</v>
      </c>
      <c r="E352" s="184">
        <f>98225+26580</f>
        <v>124805</v>
      </c>
      <c r="F352" s="185">
        <v>6293</v>
      </c>
      <c r="G352" s="184">
        <v>3764</v>
      </c>
      <c r="H352" s="186"/>
      <c r="I352" s="186"/>
      <c r="J352" s="210">
        <f t="shared" si="96"/>
        <v>84337</v>
      </c>
      <c r="K352" s="184">
        <v>687</v>
      </c>
      <c r="L352" s="184">
        <v>6841</v>
      </c>
      <c r="M352" s="211">
        <f t="shared" si="97"/>
        <v>446</v>
      </c>
      <c r="N352" s="212">
        <f t="shared" si="105"/>
        <v>817931</v>
      </c>
      <c r="O352" s="215">
        <f t="shared" si="105"/>
        <v>519220</v>
      </c>
      <c r="P352" s="214">
        <f t="shared" si="105"/>
        <v>1443143</v>
      </c>
      <c r="Q352" s="229">
        <f t="shared" si="106"/>
        <v>21126482.879999999</v>
      </c>
      <c r="R352" s="213">
        <f t="shared" si="106"/>
        <v>14319057.800000001</v>
      </c>
      <c r="S352" s="230">
        <f t="shared" si="106"/>
        <v>36681270.399999999</v>
      </c>
      <c r="T352" s="231">
        <f>N352/'2017'!N352-1</f>
        <v>-5.5353123314535013E-2</v>
      </c>
      <c r="U352" s="232">
        <f>O352/'2017'!O352-1</f>
        <v>5.389858443651474E-2</v>
      </c>
      <c r="V352" s="232">
        <f>P352/'2017'!P352-1</f>
        <v>4.4306632462922879E-2</v>
      </c>
      <c r="W352" s="232">
        <f>Q352/'2017'!Q352-1</f>
        <v>7.8108223699133728E-3</v>
      </c>
      <c r="X352" s="232">
        <f>R352/'2017'!R352-1</f>
        <v>0.15957918758520773</v>
      </c>
      <c r="Y352" s="249">
        <f>S352/'2017'!S352-1</f>
        <v>7.5897019085124917E-2</v>
      </c>
      <c r="Z352" s="250">
        <v>139.81</v>
      </c>
      <c r="AA352" s="251">
        <f t="shared" si="103"/>
        <v>1972.8382879999999</v>
      </c>
      <c r="AB352" s="252">
        <v>4286.88</v>
      </c>
      <c r="AC352" s="211">
        <f t="shared" si="104"/>
        <v>4602.0375844436976</v>
      </c>
      <c r="AD352" s="252">
        <f t="shared" si="98"/>
        <v>22362212.599999998</v>
      </c>
      <c r="AE352" s="184">
        <f t="shared" si="101"/>
        <v>216591.22</v>
      </c>
      <c r="AF352" s="184">
        <f t="shared" si="107"/>
        <v>730685.94</v>
      </c>
      <c r="AG352" s="211">
        <f t="shared" si="99"/>
        <v>288452.55999999889</v>
      </c>
      <c r="AH352" s="263"/>
      <c r="AI352" s="264"/>
      <c r="AJ352" s="264"/>
      <c r="AK352" s="264"/>
      <c r="AL352" s="264"/>
      <c r="AM352" s="264"/>
      <c r="AN352" s="264"/>
      <c r="AO352" s="264"/>
      <c r="AP352" s="264"/>
      <c r="AQ352" s="264"/>
      <c r="AR352" s="264"/>
      <c r="AS352" s="264"/>
      <c r="AT352" s="264"/>
      <c r="AU352" s="264"/>
      <c r="AV352" s="264"/>
      <c r="AW352" s="264"/>
      <c r="AX352" s="264"/>
      <c r="AY352" s="264"/>
      <c r="AZ352" s="264"/>
      <c r="BA352" s="264"/>
      <c r="BB352" s="264"/>
      <c r="BC352" s="264"/>
    </row>
    <row r="353" spans="1:55" x14ac:dyDescent="0.15">
      <c r="A353" s="180">
        <v>43083</v>
      </c>
      <c r="B353" s="175" t="s">
        <v>38</v>
      </c>
      <c r="C353" s="176">
        <v>77209</v>
      </c>
      <c r="D353" s="177">
        <f>30096+10987</f>
        <v>41083</v>
      </c>
      <c r="E353" s="177">
        <v>126225</v>
      </c>
      <c r="F353" s="178">
        <v>6407.8</v>
      </c>
      <c r="G353" s="177">
        <v>3836.2</v>
      </c>
      <c r="H353" s="179"/>
      <c r="I353" s="179"/>
      <c r="J353" s="204">
        <f t="shared" si="96"/>
        <v>85142</v>
      </c>
      <c r="K353" s="177">
        <v>659</v>
      </c>
      <c r="L353" s="177">
        <v>6856</v>
      </c>
      <c r="M353" s="205">
        <f t="shared" si="97"/>
        <v>418</v>
      </c>
      <c r="N353" s="206">
        <f t="shared" si="105"/>
        <v>895140</v>
      </c>
      <c r="O353" s="209">
        <f t="shared" si="105"/>
        <v>560303</v>
      </c>
      <c r="P353" s="208">
        <f t="shared" si="105"/>
        <v>1569368</v>
      </c>
      <c r="Q353" s="225">
        <f t="shared" si="106"/>
        <v>21203691.879999999</v>
      </c>
      <c r="R353" s="207">
        <f t="shared" si="106"/>
        <v>14360140.800000001</v>
      </c>
      <c r="S353" s="226">
        <f t="shared" si="106"/>
        <v>36807495.399999999</v>
      </c>
      <c r="T353" s="227">
        <f>N353/'2017'!N353-1</f>
        <v>-4.6977207686017985E-2</v>
      </c>
      <c r="U353" s="228">
        <f>O353/'2017'!O353-1</f>
        <v>5.2566026889790285E-2</v>
      </c>
      <c r="V353" s="228">
        <f>P353/'2017'!P353-1</f>
        <v>4.872732132714086E-2</v>
      </c>
      <c r="W353" s="228">
        <f>Q353/'2017'!Q353-1</f>
        <v>7.9643983018093945E-3</v>
      </c>
      <c r="X353" s="228">
        <f>R353/'2017'!R353-1</f>
        <v>0.15918363920359391</v>
      </c>
      <c r="Y353" s="244">
        <f>S353/'2017'!S353-1</f>
        <v>7.5984633607187435E-2</v>
      </c>
      <c r="Z353" s="245"/>
      <c r="AA353" s="246">
        <f t="shared" si="103"/>
        <v>2120.3691880000001</v>
      </c>
      <c r="AB353" s="247"/>
      <c r="AC353" s="248" t="e">
        <f t="shared" si="104"/>
        <v>#DIV/0!</v>
      </c>
      <c r="AD353" s="247">
        <f t="shared" si="98"/>
        <v>22447354.599999998</v>
      </c>
      <c r="AE353" s="177">
        <f t="shared" si="101"/>
        <v>217250.22</v>
      </c>
      <c r="AF353" s="177">
        <f t="shared" si="107"/>
        <v>737541.94</v>
      </c>
      <c r="AG353" s="248">
        <f t="shared" si="99"/>
        <v>288870.55999999889</v>
      </c>
      <c r="AH353" s="263"/>
      <c r="AI353" s="264"/>
      <c r="AJ353" s="264"/>
      <c r="AK353" s="264"/>
      <c r="AL353" s="264"/>
      <c r="AM353" s="264"/>
      <c r="AN353" s="264"/>
      <c r="AO353" s="264"/>
      <c r="AP353" s="264"/>
      <c r="AQ353" s="264"/>
      <c r="AR353" s="264"/>
      <c r="AS353" s="264"/>
      <c r="AT353" s="264"/>
      <c r="AU353" s="264"/>
      <c r="AV353" s="264"/>
      <c r="AW353" s="264"/>
      <c r="AX353" s="264"/>
      <c r="AY353" s="264"/>
      <c r="AZ353" s="264"/>
      <c r="BA353" s="264"/>
      <c r="BB353" s="264"/>
      <c r="BC353" s="264"/>
    </row>
    <row r="354" spans="1:55" x14ac:dyDescent="0.15">
      <c r="A354" s="180">
        <v>43084</v>
      </c>
      <c r="B354" s="175" t="s">
        <v>39</v>
      </c>
      <c r="C354" s="176">
        <v>73402</v>
      </c>
      <c r="D354" s="177">
        <f>28774+11322</f>
        <v>40096</v>
      </c>
      <c r="E354" s="177">
        <v>121350</v>
      </c>
      <c r="F354" s="178">
        <v>6120.6</v>
      </c>
      <c r="G354" s="177">
        <v>3800.5</v>
      </c>
      <c r="H354" s="179"/>
      <c r="I354" s="179"/>
      <c r="J354" s="204">
        <f t="shared" si="96"/>
        <v>81254</v>
      </c>
      <c r="K354" s="177">
        <v>615</v>
      </c>
      <c r="L354" s="177">
        <v>6858</v>
      </c>
      <c r="M354" s="205">
        <f t="shared" si="97"/>
        <v>379</v>
      </c>
      <c r="N354" s="206">
        <f t="shared" si="105"/>
        <v>968542</v>
      </c>
      <c r="O354" s="209">
        <f t="shared" si="105"/>
        <v>600399</v>
      </c>
      <c r="P354" s="208">
        <f t="shared" si="105"/>
        <v>1690718</v>
      </c>
      <c r="Q354" s="225">
        <f t="shared" si="106"/>
        <v>21277093.879999999</v>
      </c>
      <c r="R354" s="207">
        <f t="shared" si="106"/>
        <v>14400236.800000001</v>
      </c>
      <c r="S354" s="226">
        <f t="shared" si="106"/>
        <v>36928845.399999999</v>
      </c>
      <c r="T354" s="227">
        <f>N354/'2017'!N354-1</f>
        <v>-4.3208358153516646E-2</v>
      </c>
      <c r="U354" s="228">
        <f>O354/'2017'!O354-1</f>
        <v>5.0230634809850905E-2</v>
      </c>
      <c r="V354" s="228">
        <f>P354/'2017'!P354-1</f>
        <v>4.9989318256342008E-2</v>
      </c>
      <c r="W354" s="228">
        <f>Q354/'2017'!Q354-1</f>
        <v>7.9550878228122901E-3</v>
      </c>
      <c r="X354" s="228">
        <f>R354/'2017'!R354-1</f>
        <v>0.15873851499801406</v>
      </c>
      <c r="Y354" s="244">
        <f>S354/'2017'!S354-1</f>
        <v>7.5953485172482793E-2</v>
      </c>
      <c r="Z354" s="245"/>
      <c r="AA354" s="246">
        <f t="shared" si="103"/>
        <v>2127.7093879999998</v>
      </c>
      <c r="AB354" s="247"/>
      <c r="AC354" s="248" t="e">
        <f t="shared" si="104"/>
        <v>#DIV/0!</v>
      </c>
      <c r="AD354" s="247">
        <f t="shared" si="98"/>
        <v>22528608.599999998</v>
      </c>
      <c r="AE354" s="177">
        <f t="shared" si="101"/>
        <v>217865.22</v>
      </c>
      <c r="AF354" s="177">
        <f t="shared" si="107"/>
        <v>744399.94</v>
      </c>
      <c r="AG354" s="248">
        <f t="shared" si="99"/>
        <v>289249.55999999889</v>
      </c>
      <c r="AH354" s="263"/>
      <c r="AI354" s="264"/>
      <c r="AJ354" s="264"/>
      <c r="AK354" s="264"/>
      <c r="AL354" s="264"/>
      <c r="AM354" s="264"/>
      <c r="AN354" s="264"/>
      <c r="AO354" s="264"/>
      <c r="AP354" s="264"/>
      <c r="AQ354" s="264"/>
      <c r="AR354" s="264"/>
      <c r="AS354" s="264"/>
      <c r="AT354" s="264"/>
      <c r="AU354" s="264"/>
      <c r="AV354" s="264"/>
      <c r="AW354" s="264"/>
      <c r="AX354" s="264"/>
      <c r="AY354" s="264"/>
      <c r="AZ354" s="264"/>
      <c r="BA354" s="264"/>
      <c r="BB354" s="264"/>
      <c r="BC354" s="264"/>
    </row>
    <row r="355" spans="1:55" x14ac:dyDescent="0.15">
      <c r="A355" s="180">
        <v>43085</v>
      </c>
      <c r="B355" s="175" t="s">
        <v>1</v>
      </c>
      <c r="C355" s="176">
        <v>62082</v>
      </c>
      <c r="D355" s="177">
        <f>28584+11246</f>
        <v>39830</v>
      </c>
      <c r="E355" s="177">
        <v>110459</v>
      </c>
      <c r="F355" s="178">
        <v>5432.2</v>
      </c>
      <c r="G355" s="177">
        <v>3660.9</v>
      </c>
      <c r="H355" s="179"/>
      <c r="I355" s="179"/>
      <c r="J355" s="204">
        <f t="shared" si="96"/>
        <v>70629</v>
      </c>
      <c r="K355" s="177">
        <v>569</v>
      </c>
      <c r="L355" s="177">
        <v>6860</v>
      </c>
      <c r="M355" s="205">
        <f t="shared" si="97"/>
        <v>1118</v>
      </c>
      <c r="N355" s="206">
        <f t="shared" si="105"/>
        <v>1030624</v>
      </c>
      <c r="O355" s="209">
        <f t="shared" si="105"/>
        <v>640229</v>
      </c>
      <c r="P355" s="208">
        <f t="shared" si="105"/>
        <v>1801177</v>
      </c>
      <c r="Q355" s="225">
        <f t="shared" si="106"/>
        <v>21339175.879999999</v>
      </c>
      <c r="R355" s="207">
        <f t="shared" si="106"/>
        <v>14440066.800000001</v>
      </c>
      <c r="S355" s="226">
        <f t="shared" si="106"/>
        <v>37039304.399999999</v>
      </c>
      <c r="T355" s="227">
        <f>N355/'2017'!N355-1</f>
        <v>-4.7467474073067728E-2</v>
      </c>
      <c r="U355" s="228">
        <f>O355/'2017'!O355-1</f>
        <v>4.5517640065582787E-2</v>
      </c>
      <c r="V355" s="228">
        <f>P355/'2017'!P355-1</f>
        <v>4.5942623403003813E-2</v>
      </c>
      <c r="W355" s="228">
        <f>Q355/'2017'!Q355-1</f>
        <v>7.5691141942049178E-3</v>
      </c>
      <c r="X355" s="228">
        <f>R355/'2017'!R355-1</f>
        <v>0.15815307520701705</v>
      </c>
      <c r="Y355" s="244">
        <f>S355/'2017'!S355-1</f>
        <v>7.5666778293236758E-2</v>
      </c>
      <c r="Z355" s="245"/>
      <c r="AA355" s="246">
        <f t="shared" si="103"/>
        <v>2133.9175879999998</v>
      </c>
      <c r="AB355" s="247"/>
      <c r="AC355" s="248" t="e">
        <f t="shared" si="104"/>
        <v>#DIV/0!</v>
      </c>
      <c r="AD355" s="247">
        <f t="shared" si="98"/>
        <v>22599237.599999998</v>
      </c>
      <c r="AE355" s="177">
        <f t="shared" si="101"/>
        <v>218434.22</v>
      </c>
      <c r="AF355" s="177">
        <f t="shared" si="107"/>
        <v>751259.94</v>
      </c>
      <c r="AG355" s="248">
        <f t="shared" si="99"/>
        <v>290367.55999999889</v>
      </c>
      <c r="AH355" s="263"/>
      <c r="AI355" s="264"/>
      <c r="AJ355" s="264"/>
      <c r="AK355" s="264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264"/>
    </row>
    <row r="356" spans="1:55" x14ac:dyDescent="0.15">
      <c r="A356" s="180">
        <v>43086</v>
      </c>
      <c r="B356" s="175" t="s">
        <v>34</v>
      </c>
      <c r="C356" s="176">
        <v>66151</v>
      </c>
      <c r="D356" s="177">
        <f>28553+11227</f>
        <v>39780</v>
      </c>
      <c r="E356" s="177">
        <v>114547</v>
      </c>
      <c r="F356" s="178">
        <v>5713.6</v>
      </c>
      <c r="G356" s="177">
        <v>3514.8</v>
      </c>
      <c r="H356" s="179"/>
      <c r="I356" s="179"/>
      <c r="J356" s="204">
        <f t="shared" si="96"/>
        <v>74767</v>
      </c>
      <c r="K356" s="177">
        <v>476</v>
      </c>
      <c r="L356" s="177">
        <v>6857</v>
      </c>
      <c r="M356" s="205">
        <f t="shared" si="97"/>
        <v>1283</v>
      </c>
      <c r="N356" s="206">
        <f t="shared" si="105"/>
        <v>1096775</v>
      </c>
      <c r="O356" s="209">
        <f t="shared" si="105"/>
        <v>680009</v>
      </c>
      <c r="P356" s="208">
        <f t="shared" si="105"/>
        <v>1915724</v>
      </c>
      <c r="Q356" s="225">
        <f t="shared" si="106"/>
        <v>21405326.879999999</v>
      </c>
      <c r="R356" s="207">
        <f t="shared" si="106"/>
        <v>14479846.800000001</v>
      </c>
      <c r="S356" s="226">
        <f t="shared" si="106"/>
        <v>37153851.399999999</v>
      </c>
      <c r="T356" s="227">
        <f>N356/'2017'!N356-1</f>
        <v>-4.4059840010598594E-2</v>
      </c>
      <c r="U356" s="228">
        <f>O356/'2017'!O356-1</f>
        <v>4.0754169466207246E-2</v>
      </c>
      <c r="V356" s="228">
        <f>P356/'2017'!P356-1</f>
        <v>4.6612660374431014E-2</v>
      </c>
      <c r="W356" s="228">
        <f>Q356/'2017'!Q356-1</f>
        <v>7.5838669818231175E-3</v>
      </c>
      <c r="X356" s="228">
        <f>R356/'2017'!R356-1</f>
        <v>0.15753487230608498</v>
      </c>
      <c r="Y356" s="244">
        <f>S356/'2017'!S356-1</f>
        <v>7.5609052713192959E-2</v>
      </c>
      <c r="Z356" s="245"/>
      <c r="AA356" s="246">
        <f t="shared" si="103"/>
        <v>2140.5326879999998</v>
      </c>
      <c r="AB356" s="247"/>
      <c r="AC356" s="248" t="e">
        <f t="shared" si="104"/>
        <v>#DIV/0!</v>
      </c>
      <c r="AD356" s="247">
        <f t="shared" si="98"/>
        <v>22674004.599999998</v>
      </c>
      <c r="AE356" s="177">
        <f t="shared" si="101"/>
        <v>218910.22</v>
      </c>
      <c r="AF356" s="177">
        <f t="shared" si="107"/>
        <v>758116.94</v>
      </c>
      <c r="AG356" s="248">
        <f t="shared" si="99"/>
        <v>291650.55999999889</v>
      </c>
      <c r="AH356" s="263"/>
      <c r="AI356" s="264"/>
      <c r="AJ356" s="264"/>
      <c r="AK356" s="264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264"/>
    </row>
    <row r="357" spans="1:55" x14ac:dyDescent="0.15">
      <c r="A357" s="180">
        <v>43087</v>
      </c>
      <c r="B357" s="175" t="s">
        <v>35</v>
      </c>
      <c r="C357" s="176">
        <v>64757</v>
      </c>
      <c r="D357" s="177">
        <f>30239+11275</f>
        <v>41514</v>
      </c>
      <c r="E357" s="177">
        <v>114550</v>
      </c>
      <c r="F357" s="178">
        <v>5691.6</v>
      </c>
      <c r="G357" s="177">
        <v>3742.6</v>
      </c>
      <c r="H357" s="179"/>
      <c r="I357" s="179"/>
      <c r="J357" s="204">
        <f t="shared" si="96"/>
        <v>73036</v>
      </c>
      <c r="K357" s="177">
        <v>473</v>
      </c>
      <c r="L357" s="177">
        <v>6857</v>
      </c>
      <c r="M357" s="205">
        <f t="shared" si="97"/>
        <v>949</v>
      </c>
      <c r="N357" s="206">
        <f t="shared" ref="N357:P369" si="108">N356+C357</f>
        <v>1161532</v>
      </c>
      <c r="O357" s="209">
        <f t="shared" si="108"/>
        <v>721523</v>
      </c>
      <c r="P357" s="208">
        <f t="shared" si="108"/>
        <v>2030274</v>
      </c>
      <c r="Q357" s="225">
        <f t="shared" si="106"/>
        <v>21470083.879999999</v>
      </c>
      <c r="R357" s="207">
        <f t="shared" si="106"/>
        <v>14521360.800000001</v>
      </c>
      <c r="S357" s="226">
        <f t="shared" si="106"/>
        <v>37268401.399999999</v>
      </c>
      <c r="T357" s="227">
        <f>N357/'2017'!N357-1</f>
        <v>-4.6725965271086745E-2</v>
      </c>
      <c r="U357" s="228">
        <f>O357/'2017'!O357-1</f>
        <v>3.8954886460178306E-2</v>
      </c>
      <c r="V357" s="228">
        <f>P357/'2017'!P357-1</f>
        <v>4.3978471235589955E-2</v>
      </c>
      <c r="W357" s="228">
        <f>Q357/'2017'!Q357-1</f>
        <v>7.2591003168998025E-3</v>
      </c>
      <c r="X357" s="228">
        <f>R357/'2017'!R357-1</f>
        <v>0.15705297539126373</v>
      </c>
      <c r="Y357" s="244">
        <f>S357/'2017'!S357-1</f>
        <v>7.5365566869848521E-2</v>
      </c>
      <c r="Z357" s="245"/>
      <c r="AA357" s="246">
        <f t="shared" si="103"/>
        <v>2147.0083879999997</v>
      </c>
      <c r="AB357" s="247"/>
      <c r="AC357" s="248" t="e">
        <f t="shared" si="104"/>
        <v>#DIV/0!</v>
      </c>
      <c r="AD357" s="247">
        <f t="shared" si="98"/>
        <v>22747040.599999998</v>
      </c>
      <c r="AE357" s="177">
        <f t="shared" si="101"/>
        <v>219383.22</v>
      </c>
      <c r="AF357" s="177">
        <f t="shared" si="107"/>
        <v>764973.94</v>
      </c>
      <c r="AG357" s="248">
        <f t="shared" si="99"/>
        <v>292599.55999999889</v>
      </c>
      <c r="AH357" s="263"/>
      <c r="AI357" s="264"/>
      <c r="AJ357" s="264"/>
      <c r="AK357" s="264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264"/>
    </row>
    <row r="358" spans="1:55" x14ac:dyDescent="0.15">
      <c r="A358" s="180">
        <v>43088</v>
      </c>
      <c r="B358" s="175" t="s">
        <v>36</v>
      </c>
      <c r="C358" s="176">
        <v>67965</v>
      </c>
      <c r="D358" s="177">
        <f>28174+11156</f>
        <v>39330</v>
      </c>
      <c r="E358" s="177">
        <v>115162</v>
      </c>
      <c r="F358" s="178">
        <v>5773.1</v>
      </c>
      <c r="G358" s="177">
        <v>3641.1</v>
      </c>
      <c r="H358" s="179"/>
      <c r="I358" s="179"/>
      <c r="J358" s="204">
        <f t="shared" si="96"/>
        <v>75832</v>
      </c>
      <c r="K358" s="177">
        <v>435</v>
      </c>
      <c r="L358" s="177">
        <v>6858</v>
      </c>
      <c r="M358" s="205">
        <f t="shared" si="97"/>
        <v>574</v>
      </c>
      <c r="N358" s="206">
        <f t="shared" si="108"/>
        <v>1229497</v>
      </c>
      <c r="O358" s="209">
        <f t="shared" si="108"/>
        <v>760853</v>
      </c>
      <c r="P358" s="208">
        <f t="shared" si="108"/>
        <v>2145436</v>
      </c>
      <c r="Q358" s="225">
        <f t="shared" si="106"/>
        <v>21538048.879999999</v>
      </c>
      <c r="R358" s="207">
        <f t="shared" si="106"/>
        <v>14560690.800000001</v>
      </c>
      <c r="S358" s="226">
        <f t="shared" si="106"/>
        <v>37383563.399999999</v>
      </c>
      <c r="T358" s="227">
        <f>N358/'2017'!N358-1</f>
        <v>-4.722209737189198E-2</v>
      </c>
      <c r="U358" s="228">
        <f>O358/'2017'!O358-1</f>
        <v>3.8461905925289974E-2</v>
      </c>
      <c r="V358" s="228">
        <f>P358/'2017'!P358-1</f>
        <v>4.1546087908044038E-2</v>
      </c>
      <c r="W358" s="228">
        <f>Q358/'2017'!Q358-1</f>
        <v>7.0475065971080664E-3</v>
      </c>
      <c r="X358" s="228">
        <f>R358/'2017'!R358-1</f>
        <v>0.15666588447140106</v>
      </c>
      <c r="Y358" s="244">
        <f>S358/'2017'!S358-1</f>
        <v>7.5117567664738427E-2</v>
      </c>
      <c r="Z358" s="245"/>
      <c r="AA358" s="246">
        <f t="shared" si="103"/>
        <v>2153.8048880000001</v>
      </c>
      <c r="AB358" s="247"/>
      <c r="AC358" s="248" t="e">
        <f t="shared" si="104"/>
        <v>#DIV/0!</v>
      </c>
      <c r="AD358" s="247">
        <f t="shared" si="98"/>
        <v>22822872.599999998</v>
      </c>
      <c r="AE358" s="177">
        <f t="shared" si="101"/>
        <v>219818.22</v>
      </c>
      <c r="AF358" s="177">
        <f t="shared" si="107"/>
        <v>771831.94</v>
      </c>
      <c r="AG358" s="248">
        <f t="shared" si="99"/>
        <v>293173.55999999889</v>
      </c>
      <c r="AH358" s="263"/>
      <c r="AI358" s="264"/>
      <c r="AJ358" s="264"/>
      <c r="AK358" s="264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264"/>
    </row>
    <row r="359" spans="1:55" s="157" customFormat="1" x14ac:dyDescent="0.15">
      <c r="A359" s="181">
        <v>43089</v>
      </c>
      <c r="B359" s="182" t="s">
        <v>37</v>
      </c>
      <c r="C359" s="183">
        <v>70712</v>
      </c>
      <c r="D359" s="184">
        <f>28233+9750</f>
        <v>37983</v>
      </c>
      <c r="E359" s="184">
        <v>116247</v>
      </c>
      <c r="F359" s="185">
        <v>5926</v>
      </c>
      <c r="G359" s="184">
        <v>3606.4</v>
      </c>
      <c r="H359" s="186"/>
      <c r="I359" s="186"/>
      <c r="J359" s="210">
        <f t="shared" si="96"/>
        <v>78264</v>
      </c>
      <c r="K359" s="184">
        <v>522</v>
      </c>
      <c r="L359" s="184">
        <v>6844</v>
      </c>
      <c r="M359" s="211">
        <f t="shared" si="97"/>
        <v>186</v>
      </c>
      <c r="N359" s="212">
        <f t="shared" si="108"/>
        <v>1300209</v>
      </c>
      <c r="O359" s="215">
        <f t="shared" si="108"/>
        <v>798836</v>
      </c>
      <c r="P359" s="214">
        <f t="shared" si="108"/>
        <v>2261683</v>
      </c>
      <c r="Q359" s="229">
        <f t="shared" si="106"/>
        <v>21608760.879999999</v>
      </c>
      <c r="R359" s="213">
        <f t="shared" si="106"/>
        <v>14598673.800000001</v>
      </c>
      <c r="S359" s="230">
        <f t="shared" si="106"/>
        <v>37499810.399999999</v>
      </c>
      <c r="T359" s="231">
        <f>N359/'2017'!N359-1</f>
        <v>-4.5005336093069115E-2</v>
      </c>
      <c r="U359" s="232">
        <f>O359/'2017'!O359-1</f>
        <v>3.5993577855532921E-2</v>
      </c>
      <c r="V359" s="232">
        <f>P359/'2017'!P359-1</f>
        <v>4.0020177931835654E-2</v>
      </c>
      <c r="W359" s="232">
        <f>Q359/'2017'!Q359-1</f>
        <v>7.0084673656480856E-3</v>
      </c>
      <c r="X359" s="232">
        <f>R359/'2017'!R359-1</f>
        <v>0.15615559498281106</v>
      </c>
      <c r="Y359" s="249">
        <f>S359/'2017'!S359-1</f>
        <v>7.4911980499241082E-2</v>
      </c>
      <c r="Z359" s="250">
        <v>143.03</v>
      </c>
      <c r="AA359" s="251">
        <f t="shared" si="103"/>
        <v>2017.846088</v>
      </c>
      <c r="AB359" s="252">
        <v>4286.88</v>
      </c>
      <c r="AC359" s="211">
        <f t="shared" si="104"/>
        <v>4707.0272272608518</v>
      </c>
      <c r="AD359" s="252">
        <f t="shared" si="98"/>
        <v>22901136.599999998</v>
      </c>
      <c r="AE359" s="184">
        <f t="shared" si="101"/>
        <v>220340.22</v>
      </c>
      <c r="AF359" s="184">
        <f t="shared" ref="AF359:AF369" si="109">AF358+L359</f>
        <v>778675.94</v>
      </c>
      <c r="AG359" s="211">
        <f t="shared" si="99"/>
        <v>293359.55999999889</v>
      </c>
      <c r="AH359" s="263"/>
      <c r="AI359" s="264"/>
      <c r="AJ359" s="264"/>
      <c r="AK359" s="264"/>
      <c r="AL359" s="264"/>
      <c r="AM359" s="264"/>
      <c r="AN359" s="264"/>
      <c r="AO359" s="264"/>
      <c r="AP359" s="264"/>
      <c r="AQ359" s="264"/>
      <c r="AR359" s="264"/>
      <c r="AS359" s="264"/>
      <c r="AT359" s="264"/>
      <c r="AU359" s="264"/>
      <c r="AV359" s="264"/>
      <c r="AW359" s="264"/>
      <c r="AX359" s="264"/>
      <c r="AY359" s="264"/>
      <c r="AZ359" s="264"/>
      <c r="BA359" s="264"/>
      <c r="BB359" s="264"/>
      <c r="BC359" s="264"/>
    </row>
    <row r="360" spans="1:55" x14ac:dyDescent="0.15">
      <c r="A360" s="180">
        <v>43090</v>
      </c>
      <c r="B360" s="175" t="s">
        <v>38</v>
      </c>
      <c r="C360" s="176">
        <v>68899</v>
      </c>
      <c r="D360" s="177">
        <f>28236+9414</f>
        <v>37650</v>
      </c>
      <c r="E360" s="177">
        <v>114150</v>
      </c>
      <c r="F360" s="178">
        <v>5778.5</v>
      </c>
      <c r="G360" s="177">
        <v>3627.1</v>
      </c>
      <c r="H360" s="179"/>
      <c r="I360" s="179"/>
      <c r="J360" s="204">
        <f t="shared" si="96"/>
        <v>76500</v>
      </c>
      <c r="K360" s="177">
        <v>431</v>
      </c>
      <c r="L360" s="177">
        <v>6859</v>
      </c>
      <c r="M360" s="205">
        <f t="shared" si="97"/>
        <v>311</v>
      </c>
      <c r="N360" s="206">
        <f t="shared" si="108"/>
        <v>1369108</v>
      </c>
      <c r="O360" s="209">
        <f t="shared" si="108"/>
        <v>836486</v>
      </c>
      <c r="P360" s="208">
        <f t="shared" si="108"/>
        <v>2375833</v>
      </c>
      <c r="Q360" s="225">
        <f t="shared" si="106"/>
        <v>21677659.879999999</v>
      </c>
      <c r="R360" s="207">
        <f t="shared" si="106"/>
        <v>14636323.800000001</v>
      </c>
      <c r="S360" s="226">
        <f t="shared" si="106"/>
        <v>37613960.399999999</v>
      </c>
      <c r="T360" s="227">
        <f>N360/'2017'!N360-1</f>
        <v>-4.4352772833560206E-2</v>
      </c>
      <c r="U360" s="228">
        <f>O360/'2017'!O360-1</f>
        <v>2.956431407591209E-2</v>
      </c>
      <c r="V360" s="228">
        <f>P360/'2017'!P360-1</f>
        <v>3.7813850459557541E-2</v>
      </c>
      <c r="W360" s="228">
        <f>Q360/'2017'!Q360-1</f>
        <v>6.8799568676662926E-3</v>
      </c>
      <c r="X360" s="228">
        <f>R360/'2017'!R360-1</f>
        <v>0.1553507239924552</v>
      </c>
      <c r="Y360" s="244">
        <f>S360/'2017'!S360-1</f>
        <v>7.4653417662395416E-2</v>
      </c>
      <c r="Z360" s="245"/>
      <c r="AA360" s="246">
        <f t="shared" si="103"/>
        <v>2167.7659880000001</v>
      </c>
      <c r="AB360" s="247"/>
      <c r="AC360" s="248" t="e">
        <f t="shared" si="104"/>
        <v>#DIV/0!</v>
      </c>
      <c r="AD360" s="247">
        <f t="shared" si="98"/>
        <v>22977636.599999998</v>
      </c>
      <c r="AE360" s="177">
        <f t="shared" si="101"/>
        <v>220771.22</v>
      </c>
      <c r="AF360" s="177">
        <f t="shared" si="109"/>
        <v>785534.94</v>
      </c>
      <c r="AG360" s="248">
        <f t="shared" si="99"/>
        <v>293670.55999999889</v>
      </c>
      <c r="AH360" s="263"/>
      <c r="AI360" s="264"/>
      <c r="AJ360" s="264"/>
      <c r="AK360" s="264"/>
      <c r="AL360" s="264"/>
      <c r="AM360" s="264"/>
      <c r="AN360" s="264"/>
      <c r="AO360" s="264"/>
      <c r="AP360" s="264"/>
      <c r="AQ360" s="264"/>
      <c r="AR360" s="264"/>
      <c r="AS360" s="264"/>
      <c r="AT360" s="264"/>
      <c r="AU360" s="264"/>
      <c r="AV360" s="264"/>
      <c r="AW360" s="264"/>
      <c r="AX360" s="264"/>
      <c r="AY360" s="264"/>
      <c r="AZ360" s="264"/>
      <c r="BA360" s="264"/>
      <c r="BB360" s="264"/>
      <c r="BC360" s="264"/>
    </row>
    <row r="361" spans="1:55" x14ac:dyDescent="0.15">
      <c r="A361" s="180">
        <v>43091</v>
      </c>
      <c r="B361" s="175" t="s">
        <v>39</v>
      </c>
      <c r="C361" s="176">
        <v>65099</v>
      </c>
      <c r="D361" s="177">
        <f>28170+9861</f>
        <v>38031</v>
      </c>
      <c r="E361" s="177">
        <v>110451</v>
      </c>
      <c r="F361" s="178">
        <v>5583.6</v>
      </c>
      <c r="G361" s="177">
        <v>3577.7</v>
      </c>
      <c r="H361" s="179"/>
      <c r="I361" s="179"/>
      <c r="J361" s="204">
        <f t="shared" si="96"/>
        <v>72420</v>
      </c>
      <c r="K361" s="177">
        <v>294</v>
      </c>
      <c r="L361" s="177">
        <v>6695</v>
      </c>
      <c r="M361" s="205">
        <f t="shared" si="97"/>
        <v>332</v>
      </c>
      <c r="N361" s="206">
        <f t="shared" si="108"/>
        <v>1434207</v>
      </c>
      <c r="O361" s="209">
        <f t="shared" si="108"/>
        <v>874517</v>
      </c>
      <c r="P361" s="208">
        <f t="shared" si="108"/>
        <v>2486284</v>
      </c>
      <c r="Q361" s="225">
        <f t="shared" si="106"/>
        <v>21742758.879999999</v>
      </c>
      <c r="R361" s="207">
        <f t="shared" si="106"/>
        <v>14674354.800000001</v>
      </c>
      <c r="S361" s="226">
        <f t="shared" si="106"/>
        <v>37724411.399999999</v>
      </c>
      <c r="T361" s="227">
        <f>N361/'2017'!N361-1</f>
        <v>-4.4741474682309157E-2</v>
      </c>
      <c r="U361" s="228">
        <f>O361/'2017'!O361-1</f>
        <v>2.4467246386319141E-2</v>
      </c>
      <c r="V361" s="228">
        <f>P361/'2017'!P361-1</f>
        <v>3.5420150989158961E-2</v>
      </c>
      <c r="W361" s="228">
        <f>Q361/'2017'!Q361-1</f>
        <v>6.6899015260371009E-3</v>
      </c>
      <c r="X361" s="228">
        <f>R361/'2017'!R361-1</f>
        <v>0.15460096652414812</v>
      </c>
      <c r="Y361" s="244">
        <f>S361/'2017'!S361-1</f>
        <v>7.4372251839776027E-2</v>
      </c>
      <c r="Z361" s="245"/>
      <c r="AA361" s="246">
        <f t="shared" si="103"/>
        <v>2174.2758880000001</v>
      </c>
      <c r="AB361" s="247"/>
      <c r="AC361" s="248" t="e">
        <f t="shared" si="104"/>
        <v>#DIV/0!</v>
      </c>
      <c r="AD361" s="247">
        <f t="shared" si="98"/>
        <v>23050056.599999998</v>
      </c>
      <c r="AE361" s="177">
        <f t="shared" si="101"/>
        <v>221065.22</v>
      </c>
      <c r="AF361" s="177">
        <f t="shared" si="109"/>
        <v>792229.94</v>
      </c>
      <c r="AG361" s="248">
        <f t="shared" si="99"/>
        <v>294002.55999999889</v>
      </c>
      <c r="AH361" s="263"/>
      <c r="AI361" s="264"/>
      <c r="AJ361" s="264"/>
      <c r="AK361" s="264"/>
      <c r="AL361" s="264"/>
      <c r="AM361" s="264"/>
      <c r="AN361" s="264"/>
      <c r="AO361" s="264"/>
      <c r="AP361" s="264"/>
      <c r="AQ361" s="264"/>
      <c r="AR361" s="264"/>
      <c r="AS361" s="264"/>
      <c r="AT361" s="264"/>
      <c r="AU361" s="264"/>
      <c r="AV361" s="264"/>
      <c r="AW361" s="264"/>
      <c r="AX361" s="264"/>
      <c r="AY361" s="264"/>
      <c r="AZ361" s="264"/>
      <c r="BA361" s="264"/>
      <c r="BB361" s="264"/>
      <c r="BC361" s="264"/>
    </row>
    <row r="362" spans="1:55" x14ac:dyDescent="0.15">
      <c r="A362" s="180">
        <v>43092</v>
      </c>
      <c r="B362" s="175" t="s">
        <v>1</v>
      </c>
      <c r="C362" s="176">
        <v>62877</v>
      </c>
      <c r="D362" s="177">
        <f>28085+9720</f>
        <v>37805</v>
      </c>
      <c r="E362" s="177">
        <v>105793</v>
      </c>
      <c r="F362" s="178">
        <v>5298.4</v>
      </c>
      <c r="G362" s="177">
        <v>3421.3</v>
      </c>
      <c r="H362" s="179"/>
      <c r="I362" s="179"/>
      <c r="J362" s="204">
        <f t="shared" si="96"/>
        <v>67988</v>
      </c>
      <c r="K362" s="177">
        <v>413</v>
      </c>
      <c r="L362" s="177">
        <v>3839</v>
      </c>
      <c r="M362" s="205">
        <f t="shared" si="97"/>
        <v>859</v>
      </c>
      <c r="N362" s="206">
        <f t="shared" si="108"/>
        <v>1497084</v>
      </c>
      <c r="O362" s="209">
        <f t="shared" si="108"/>
        <v>912322</v>
      </c>
      <c r="P362" s="208">
        <f t="shared" si="108"/>
        <v>2592077</v>
      </c>
      <c r="Q362" s="225">
        <f t="shared" si="106"/>
        <v>21805635.879999999</v>
      </c>
      <c r="R362" s="207">
        <f t="shared" si="106"/>
        <v>14712159.800000001</v>
      </c>
      <c r="S362" s="226">
        <f t="shared" si="106"/>
        <v>37830204.399999999</v>
      </c>
      <c r="T362" s="227">
        <f>N362/'2017'!N362-1</f>
        <v>-4.7202515702456149E-2</v>
      </c>
      <c r="U362" s="228">
        <f>O362/'2017'!O362-1</f>
        <v>2.3348106072077934E-2</v>
      </c>
      <c r="V362" s="228">
        <f>P362/'2017'!P362-1</f>
        <v>3.2449908548048967E-2</v>
      </c>
      <c r="W362" s="228">
        <f>Q362/'2017'!Q362-1</f>
        <v>6.3455976815403048E-3</v>
      </c>
      <c r="X362" s="228">
        <f>R362/'2017'!R362-1</f>
        <v>0.15413603281501342</v>
      </c>
      <c r="Y362" s="244">
        <f>S362/'2017'!S362-1</f>
        <v>7.4039578482702373E-2</v>
      </c>
      <c r="Z362" s="245"/>
      <c r="AA362" s="246">
        <f t="shared" si="103"/>
        <v>2180.563588</v>
      </c>
      <c r="AB362" s="247"/>
      <c r="AC362" s="248" t="e">
        <f t="shared" si="104"/>
        <v>#DIV/0!</v>
      </c>
      <c r="AD362" s="247">
        <f t="shared" si="98"/>
        <v>23118044.599999998</v>
      </c>
      <c r="AE362" s="177">
        <f t="shared" si="101"/>
        <v>221478.22</v>
      </c>
      <c r="AF362" s="177">
        <f t="shared" si="109"/>
        <v>796068.94</v>
      </c>
      <c r="AG362" s="248">
        <f t="shared" si="99"/>
        <v>294861.55999999889</v>
      </c>
      <c r="AH362" s="263"/>
      <c r="AI362" s="264"/>
      <c r="AJ362" s="264"/>
      <c r="AK362" s="264"/>
      <c r="AL362" s="264"/>
      <c r="AM362" s="264"/>
      <c r="AN362" s="264"/>
      <c r="AO362" s="264"/>
      <c r="AP362" s="264"/>
      <c r="AQ362" s="264"/>
      <c r="AR362" s="264"/>
      <c r="AS362" s="264"/>
      <c r="AT362" s="264"/>
      <c r="AU362" s="264"/>
      <c r="AV362" s="264"/>
      <c r="AW362" s="264"/>
      <c r="AX362" s="264"/>
      <c r="AY362" s="264"/>
      <c r="AZ362" s="264"/>
      <c r="BA362" s="264"/>
      <c r="BB362" s="264"/>
      <c r="BC362" s="264"/>
    </row>
    <row r="363" spans="1:55" x14ac:dyDescent="0.15">
      <c r="A363" s="180">
        <v>43093</v>
      </c>
      <c r="B363" s="175" t="s">
        <v>34</v>
      </c>
      <c r="C363" s="176">
        <v>68638</v>
      </c>
      <c r="D363" s="177">
        <f>27215+9798</f>
        <v>37013</v>
      </c>
      <c r="E363" s="177">
        <v>110682</v>
      </c>
      <c r="F363" s="178">
        <v>5521.2</v>
      </c>
      <c r="G363" s="177">
        <v>3411.5</v>
      </c>
      <c r="H363" s="179"/>
      <c r="I363" s="179"/>
      <c r="J363" s="204">
        <f t="shared" si="96"/>
        <v>73669</v>
      </c>
      <c r="K363" s="177">
        <v>272</v>
      </c>
      <c r="L363" s="177">
        <v>3843</v>
      </c>
      <c r="M363" s="205">
        <f t="shared" si="97"/>
        <v>916</v>
      </c>
      <c r="N363" s="206">
        <f t="shared" si="108"/>
        <v>1565722</v>
      </c>
      <c r="O363" s="209">
        <f t="shared" si="108"/>
        <v>949335</v>
      </c>
      <c r="P363" s="208">
        <f t="shared" si="108"/>
        <v>2702759</v>
      </c>
      <c r="Q363" s="225">
        <f t="shared" si="106"/>
        <v>21874273.879999999</v>
      </c>
      <c r="R363" s="207">
        <f t="shared" si="106"/>
        <v>14749172.800000001</v>
      </c>
      <c r="S363" s="226">
        <f t="shared" si="106"/>
        <v>37940886.399999999</v>
      </c>
      <c r="T363" s="227">
        <f>N363/'2017'!N363-1</f>
        <v>-4.1541787872555025E-2</v>
      </c>
      <c r="U363" s="228">
        <f>O363/'2017'!O363-1</f>
        <v>2.1980435281085287E-2</v>
      </c>
      <c r="V363" s="228">
        <f>P363/'2017'!P363-1</f>
        <v>3.4598797875036169E-2</v>
      </c>
      <c r="W363" s="228">
        <f>Q363/'2017'!Q363-1</f>
        <v>6.6175411520370542E-3</v>
      </c>
      <c r="X363" s="228">
        <f>R363/'2017'!R363-1</f>
        <v>0.15365395605043708</v>
      </c>
      <c r="Y363" s="244">
        <f>S363/'2017'!S363-1</f>
        <v>7.4078681740691765E-2</v>
      </c>
      <c r="Z363" s="245"/>
      <c r="AA363" s="246">
        <f t="shared" si="103"/>
        <v>2187.4273880000001</v>
      </c>
      <c r="AB363" s="247"/>
      <c r="AC363" s="248" t="e">
        <f t="shared" si="104"/>
        <v>#DIV/0!</v>
      </c>
      <c r="AD363" s="247">
        <f t="shared" si="98"/>
        <v>23191713.599999998</v>
      </c>
      <c r="AE363" s="177">
        <f t="shared" si="101"/>
        <v>221750.22</v>
      </c>
      <c r="AF363" s="177">
        <f t="shared" si="109"/>
        <v>799911.94</v>
      </c>
      <c r="AG363" s="248">
        <f t="shared" si="99"/>
        <v>295777.55999999889</v>
      </c>
      <c r="AH363" s="263"/>
      <c r="AI363" s="264"/>
      <c r="AJ363" s="264"/>
      <c r="AK363" s="264"/>
      <c r="AL363" s="264"/>
      <c r="AM363" s="264"/>
      <c r="AN363" s="264"/>
      <c r="AO363" s="264"/>
      <c r="AP363" s="264"/>
      <c r="AQ363" s="264"/>
      <c r="AR363" s="264"/>
      <c r="AS363" s="264"/>
      <c r="AT363" s="264"/>
      <c r="AU363" s="264"/>
      <c r="AV363" s="264"/>
      <c r="AW363" s="264"/>
      <c r="AX363" s="264"/>
      <c r="AY363" s="264"/>
      <c r="AZ363" s="264"/>
      <c r="BA363" s="264"/>
      <c r="BB363" s="264"/>
      <c r="BC363" s="264"/>
    </row>
    <row r="364" spans="1:55" x14ac:dyDescent="0.15">
      <c r="A364" s="180">
        <v>43094</v>
      </c>
      <c r="B364" s="175" t="s">
        <v>35</v>
      </c>
      <c r="C364" s="176">
        <v>71756</v>
      </c>
      <c r="D364" s="177">
        <f>26997+11160</f>
        <v>38157</v>
      </c>
      <c r="E364" s="177">
        <v>114497</v>
      </c>
      <c r="F364" s="178">
        <v>5799.2</v>
      </c>
      <c r="G364" s="177">
        <v>3572.3</v>
      </c>
      <c r="H364" s="179"/>
      <c r="I364" s="179"/>
      <c r="J364" s="204">
        <f t="shared" si="96"/>
        <v>76340</v>
      </c>
      <c r="K364" s="177">
        <v>420</v>
      </c>
      <c r="L364" s="177">
        <v>3845</v>
      </c>
      <c r="M364" s="205">
        <f t="shared" si="97"/>
        <v>319</v>
      </c>
      <c r="N364" s="206">
        <f t="shared" si="108"/>
        <v>1637478</v>
      </c>
      <c r="O364" s="209">
        <f t="shared" si="108"/>
        <v>987492</v>
      </c>
      <c r="P364" s="208">
        <f t="shared" si="108"/>
        <v>2817256</v>
      </c>
      <c r="Q364" s="225">
        <f t="shared" si="106"/>
        <v>21946029.879999999</v>
      </c>
      <c r="R364" s="207">
        <f t="shared" si="106"/>
        <v>14787329.800000001</v>
      </c>
      <c r="S364" s="226">
        <f t="shared" si="106"/>
        <v>38055383.399999999</v>
      </c>
      <c r="T364" s="227">
        <f>N364/'2017'!N364-1</f>
        <v>-3.7903865475120257E-2</v>
      </c>
      <c r="U364" s="228">
        <f>O364/'2017'!O364-1</f>
        <v>2.0156387367107342E-2</v>
      </c>
      <c r="V364" s="228">
        <f>P364/'2017'!P364-1</f>
        <v>3.5048092113481255E-2</v>
      </c>
      <c r="W364" s="228">
        <f>Q364/'2017'!Q364-1</f>
        <v>6.7504526043811186E-3</v>
      </c>
      <c r="X364" s="228">
        <f>R364/'2017'!R364-1</f>
        <v>0.15311516624154597</v>
      </c>
      <c r="Y364" s="244">
        <f>S364/'2017'!S364-1</f>
        <v>7.3991206072157922E-2</v>
      </c>
      <c r="Z364" s="245"/>
      <c r="AA364" s="246">
        <f t="shared" si="103"/>
        <v>2194.6029880000001</v>
      </c>
      <c r="AB364" s="247"/>
      <c r="AC364" s="248" t="e">
        <f t="shared" si="104"/>
        <v>#DIV/0!</v>
      </c>
      <c r="AD364" s="247">
        <f t="shared" si="98"/>
        <v>23268053.599999998</v>
      </c>
      <c r="AE364" s="177">
        <f t="shared" si="101"/>
        <v>222170.22</v>
      </c>
      <c r="AF364" s="177">
        <f t="shared" si="109"/>
        <v>803756.94</v>
      </c>
      <c r="AG364" s="248">
        <f t="shared" si="99"/>
        <v>296096.55999999889</v>
      </c>
      <c r="AH364" s="263"/>
      <c r="AI364" s="264"/>
      <c r="AJ364" s="264"/>
      <c r="AK364" s="264"/>
      <c r="AL364" s="264"/>
      <c r="AM364" s="264"/>
      <c r="AN364" s="264"/>
      <c r="AO364" s="264"/>
      <c r="AP364" s="264"/>
      <c r="AQ364" s="264"/>
      <c r="AR364" s="264"/>
      <c r="AS364" s="264"/>
      <c r="AT364" s="264"/>
      <c r="AU364" s="264"/>
      <c r="AV364" s="264"/>
      <c r="AW364" s="264"/>
      <c r="AX364" s="264"/>
      <c r="AY364" s="264"/>
      <c r="AZ364" s="264"/>
      <c r="BA364" s="264"/>
      <c r="BB364" s="264"/>
      <c r="BC364" s="264"/>
    </row>
    <row r="365" spans="1:55" x14ac:dyDescent="0.15">
      <c r="A365" s="180">
        <v>43095</v>
      </c>
      <c r="B365" s="175" t="s">
        <v>36</v>
      </c>
      <c r="C365" s="176">
        <v>72621</v>
      </c>
      <c r="D365" s="177">
        <f>27233+11070</f>
        <v>38303</v>
      </c>
      <c r="E365" s="177">
        <v>115430</v>
      </c>
      <c r="F365" s="178">
        <v>5868.8</v>
      </c>
      <c r="G365" s="177">
        <v>3577.7</v>
      </c>
      <c r="H365" s="179"/>
      <c r="I365" s="179"/>
      <c r="J365" s="204">
        <f t="shared" si="96"/>
        <v>77127</v>
      </c>
      <c r="K365" s="177">
        <v>279</v>
      </c>
      <c r="L365" s="177">
        <v>3844</v>
      </c>
      <c r="M365" s="205">
        <f t="shared" si="97"/>
        <v>383</v>
      </c>
      <c r="N365" s="206">
        <f t="shared" si="108"/>
        <v>1710099</v>
      </c>
      <c r="O365" s="209">
        <f t="shared" si="108"/>
        <v>1025795</v>
      </c>
      <c r="P365" s="208">
        <f t="shared" si="108"/>
        <v>2932686</v>
      </c>
      <c r="Q365" s="225">
        <f t="shared" si="106"/>
        <v>22018650.879999999</v>
      </c>
      <c r="R365" s="207">
        <f t="shared" si="106"/>
        <v>14825632.800000001</v>
      </c>
      <c r="S365" s="226">
        <f t="shared" si="106"/>
        <v>38170813.399999999</v>
      </c>
      <c r="T365" s="227">
        <f>N365/'2017'!N365-1</f>
        <v>-3.5600087072939379E-2</v>
      </c>
      <c r="U365" s="228">
        <f>O365/'2017'!O365-1</f>
        <v>1.8461061893306319E-2</v>
      </c>
      <c r="V365" s="228">
        <f>P365/'2017'!P365-1</f>
        <v>3.4823620075681072E-2</v>
      </c>
      <c r="W365" s="228">
        <f>Q365/'2017'!Q365-1</f>
        <v>6.7917932565251249E-3</v>
      </c>
      <c r="X365" s="228">
        <f>R365/'2017'!R365-1</f>
        <v>0.15257702112177318</v>
      </c>
      <c r="Y365" s="244">
        <f>S365/'2017'!S365-1</f>
        <v>7.3850455666624848E-2</v>
      </c>
      <c r="Z365" s="245"/>
      <c r="AA365" s="246">
        <f t="shared" si="103"/>
        <v>2201.865088</v>
      </c>
      <c r="AB365" s="247"/>
      <c r="AC365" s="248" t="e">
        <f t="shared" si="104"/>
        <v>#DIV/0!</v>
      </c>
      <c r="AD365" s="247">
        <f t="shared" si="98"/>
        <v>23345180.599999998</v>
      </c>
      <c r="AE365" s="177">
        <f t="shared" si="101"/>
        <v>222449.22</v>
      </c>
      <c r="AF365" s="177">
        <f t="shared" si="109"/>
        <v>807600.94</v>
      </c>
      <c r="AG365" s="248">
        <f t="shared" si="99"/>
        <v>296479.55999999889</v>
      </c>
      <c r="AH365" s="263"/>
      <c r="AI365" s="264"/>
      <c r="AJ365" s="264"/>
      <c r="AK365" s="264"/>
      <c r="AL365" s="264"/>
      <c r="AM365" s="264"/>
      <c r="AN365" s="264"/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264"/>
    </row>
    <row r="366" spans="1:55" s="157" customFormat="1" x14ac:dyDescent="0.15">
      <c r="A366" s="181">
        <v>43096</v>
      </c>
      <c r="B366" s="182" t="s">
        <v>37</v>
      </c>
      <c r="C366" s="183">
        <v>77007</v>
      </c>
      <c r="D366" s="184">
        <f>26667+11327</f>
        <v>37994</v>
      </c>
      <c r="E366" s="184">
        <v>119817</v>
      </c>
      <c r="F366" s="185">
        <v>6071</v>
      </c>
      <c r="G366" s="184">
        <v>3586.3</v>
      </c>
      <c r="H366" s="186"/>
      <c r="I366" s="186"/>
      <c r="J366" s="210">
        <f t="shared" si="96"/>
        <v>81823</v>
      </c>
      <c r="K366" s="184">
        <v>353</v>
      </c>
      <c r="L366" s="184">
        <v>3845</v>
      </c>
      <c r="M366" s="211">
        <f t="shared" si="97"/>
        <v>618</v>
      </c>
      <c r="N366" s="212">
        <f t="shared" si="108"/>
        <v>1787106</v>
      </c>
      <c r="O366" s="215">
        <f t="shared" si="108"/>
        <v>1063789</v>
      </c>
      <c r="P366" s="214">
        <f t="shared" si="108"/>
        <v>3052503</v>
      </c>
      <c r="Q366" s="229">
        <f t="shared" si="106"/>
        <v>22095657.879999999</v>
      </c>
      <c r="R366" s="213">
        <f t="shared" si="106"/>
        <v>14863626.800000001</v>
      </c>
      <c r="S366" s="230">
        <f t="shared" si="106"/>
        <v>38290630.399999999</v>
      </c>
      <c r="T366" s="231">
        <f>N366/'2017'!N366-1</f>
        <v>-3.2189829010487725E-2</v>
      </c>
      <c r="U366" s="232">
        <f>O366/'2017'!O366-1</f>
        <v>1.7642962234513782E-2</v>
      </c>
      <c r="V366" s="232">
        <f>P366/'2017'!P366-1</f>
        <v>3.5779399055125838E-2</v>
      </c>
      <c r="W366" s="232">
        <f>Q366/'2017'!Q366-1</f>
        <v>6.9371226419812082E-3</v>
      </c>
      <c r="X366" s="232">
        <f>R366/'2017'!R366-1</f>
        <v>0.15211419114925584</v>
      </c>
      <c r="Y366" s="249">
        <f>S366/'2017'!S366-1</f>
        <v>7.3805705036894542E-2</v>
      </c>
      <c r="Z366" s="250">
        <v>147.66999999999999</v>
      </c>
      <c r="AA366" s="251">
        <f t="shared" si="103"/>
        <v>2061.8957879999998</v>
      </c>
      <c r="AB366" s="252">
        <v>4286.88</v>
      </c>
      <c r="AC366" s="211">
        <f t="shared" si="104"/>
        <v>4809.7819113201203</v>
      </c>
      <c r="AD366" s="252">
        <f t="shared" si="98"/>
        <v>23427003.599999998</v>
      </c>
      <c r="AE366" s="184">
        <f t="shared" si="101"/>
        <v>222802.22</v>
      </c>
      <c r="AF366" s="184">
        <f t="shared" si="109"/>
        <v>811445.94</v>
      </c>
      <c r="AG366" s="211">
        <f t="shared" si="99"/>
        <v>297097.55999999889</v>
      </c>
      <c r="AH366" s="263"/>
      <c r="AI366" s="264"/>
      <c r="AJ366" s="264"/>
      <c r="AK366" s="264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264"/>
    </row>
    <row r="367" spans="1:55" x14ac:dyDescent="0.15">
      <c r="A367" s="180">
        <v>43097</v>
      </c>
      <c r="B367" s="175" t="s">
        <v>38</v>
      </c>
      <c r="C367" s="176">
        <f>75774+7148</f>
        <v>82922</v>
      </c>
      <c r="D367" s="177">
        <f>23881+14558</f>
        <v>38439</v>
      </c>
      <c r="E367" s="177">
        <f>102389+23881</f>
        <v>126270</v>
      </c>
      <c r="F367" s="178">
        <v>6344</v>
      </c>
      <c r="G367" s="177">
        <v>3716</v>
      </c>
      <c r="H367" s="179"/>
      <c r="I367" s="179"/>
      <c r="J367" s="204">
        <f t="shared" si="96"/>
        <v>87831</v>
      </c>
      <c r="K367" s="177">
        <v>264</v>
      </c>
      <c r="L367" s="177">
        <v>3865</v>
      </c>
      <c r="M367" s="205">
        <f t="shared" si="97"/>
        <v>780</v>
      </c>
      <c r="N367" s="206">
        <f t="shared" si="108"/>
        <v>1870028</v>
      </c>
      <c r="O367" s="209">
        <f t="shared" si="108"/>
        <v>1102228</v>
      </c>
      <c r="P367" s="208">
        <f t="shared" si="108"/>
        <v>3178773</v>
      </c>
      <c r="Q367" s="225">
        <f t="shared" si="106"/>
        <v>22178579.879999999</v>
      </c>
      <c r="R367" s="207">
        <f t="shared" si="106"/>
        <v>14902065.800000001</v>
      </c>
      <c r="S367" s="226">
        <f t="shared" si="106"/>
        <v>38416900.399999999</v>
      </c>
      <c r="T367" s="227">
        <f>N367/'2017'!N367-1</f>
        <v>-2.560992258143846E-2</v>
      </c>
      <c r="U367" s="228">
        <f>O367/'2017'!O367-1</f>
        <v>1.6518232214380202E-2</v>
      </c>
      <c r="V367" s="228">
        <f>P367/'2017'!P367-1</f>
        <v>3.878822696676365E-2</v>
      </c>
      <c r="W367" s="228">
        <f>Q367/'2017'!Q367-1</f>
        <v>7.3816227216281227E-3</v>
      </c>
      <c r="X367" s="228">
        <f>R367/'2017'!R367-1</f>
        <v>0.15161496632263671</v>
      </c>
      <c r="Y367" s="244">
        <f>S367/'2017'!S367-1</f>
        <v>7.3942951400033374E-2</v>
      </c>
      <c r="Z367" s="245"/>
      <c r="AA367" s="246">
        <f t="shared" si="103"/>
        <v>2217.8579879999998</v>
      </c>
      <c r="AB367" s="247"/>
      <c r="AC367" s="248" t="e">
        <f t="shared" si="104"/>
        <v>#DIV/0!</v>
      </c>
      <c r="AD367" s="247">
        <f t="shared" si="98"/>
        <v>23514834.599999998</v>
      </c>
      <c r="AE367" s="177">
        <f t="shared" si="101"/>
        <v>223066.22</v>
      </c>
      <c r="AF367" s="177">
        <f t="shared" si="109"/>
        <v>815310.94</v>
      </c>
      <c r="AG367" s="248">
        <f t="shared" si="99"/>
        <v>297877.55999999889</v>
      </c>
      <c r="AH367" s="263"/>
      <c r="AI367" s="264"/>
      <c r="AJ367" s="264"/>
      <c r="AK367" s="264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264"/>
    </row>
    <row r="368" spans="1:55" x14ac:dyDescent="0.15">
      <c r="A368" s="180">
        <v>43098</v>
      </c>
      <c r="B368" s="175" t="s">
        <v>39</v>
      </c>
      <c r="C368" s="176">
        <f>76203+6537</f>
        <v>82740</v>
      </c>
      <c r="D368" s="177">
        <f>23975+14505</f>
        <v>38480</v>
      </c>
      <c r="E368" s="177">
        <f>102896+23975</f>
        <v>126871</v>
      </c>
      <c r="F368" s="178">
        <v>6222</v>
      </c>
      <c r="G368" s="177">
        <v>3906</v>
      </c>
      <c r="H368" s="179"/>
      <c r="I368" s="179"/>
      <c r="J368" s="204">
        <f t="shared" si="96"/>
        <v>88391</v>
      </c>
      <c r="K368" s="177">
        <v>683</v>
      </c>
      <c r="L368" s="177">
        <v>3830</v>
      </c>
      <c r="M368" s="205">
        <f t="shared" si="97"/>
        <v>1138</v>
      </c>
      <c r="N368" s="206">
        <f t="shared" si="108"/>
        <v>1952768</v>
      </c>
      <c r="O368" s="209">
        <f t="shared" si="108"/>
        <v>1140708</v>
      </c>
      <c r="P368" s="208">
        <f t="shared" si="108"/>
        <v>3305644</v>
      </c>
      <c r="Q368" s="225">
        <f t="shared" si="106"/>
        <v>22261319.879999999</v>
      </c>
      <c r="R368" s="207">
        <f t="shared" si="106"/>
        <v>14940545.800000001</v>
      </c>
      <c r="S368" s="226">
        <f t="shared" si="106"/>
        <v>38543771.399999999</v>
      </c>
      <c r="T368" s="227">
        <f>N368/'2017'!N368-1</f>
        <v>-1.9200440382602491E-2</v>
      </c>
      <c r="U368" s="228">
        <f>O368/'2017'!O368-1</f>
        <v>1.5995560895623262E-2</v>
      </c>
      <c r="V368" s="228">
        <f>P368/'2017'!P368-1</f>
        <v>4.2279615784322599E-2</v>
      </c>
      <c r="W368" s="228">
        <f>Q368/'2017'!Q368-1</f>
        <v>7.8521008721053054E-3</v>
      </c>
      <c r="X368" s="228">
        <f>R368/'2017'!R368-1</f>
        <v>0.15116970441600008</v>
      </c>
      <c r="Y368" s="244">
        <f>S368/'2017'!S368-1</f>
        <v>7.4142327807276809E-2</v>
      </c>
      <c r="Z368" s="245"/>
      <c r="AA368" s="246">
        <f t="shared" si="103"/>
        <v>2226.1319880000001</v>
      </c>
      <c r="AB368" s="247"/>
      <c r="AC368" s="248" t="e">
        <f t="shared" si="104"/>
        <v>#DIV/0!</v>
      </c>
      <c r="AD368" s="247">
        <f t="shared" si="98"/>
        <v>23603225.599999998</v>
      </c>
      <c r="AE368" s="177">
        <f t="shared" si="101"/>
        <v>223749.22</v>
      </c>
      <c r="AF368" s="177">
        <f t="shared" si="109"/>
        <v>819140.94</v>
      </c>
      <c r="AG368" s="248">
        <f t="shared" si="99"/>
        <v>299015.55999999889</v>
      </c>
      <c r="AH368" s="263"/>
      <c r="AI368" s="264"/>
      <c r="AJ368" s="264"/>
      <c r="AK368" s="264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264"/>
    </row>
    <row r="369" spans="1:55" ht="15" customHeight="1" x14ac:dyDescent="0.15">
      <c r="A369" s="180">
        <v>43099</v>
      </c>
      <c r="B369" s="175" t="s">
        <v>1</v>
      </c>
      <c r="C369" s="176">
        <f>78298+6538</f>
        <v>84836</v>
      </c>
      <c r="D369" s="177">
        <f>23677+13980</f>
        <v>37657</v>
      </c>
      <c r="E369" s="177">
        <f>104226+23677</f>
        <v>127903</v>
      </c>
      <c r="F369" s="178">
        <v>6305</v>
      </c>
      <c r="G369" s="177">
        <v>3892</v>
      </c>
      <c r="H369" s="179"/>
      <c r="I369" s="179"/>
      <c r="J369" s="204">
        <f t="shared" si="96"/>
        <v>90246</v>
      </c>
      <c r="K369" s="177">
        <v>962</v>
      </c>
      <c r="L369" s="177">
        <v>3847</v>
      </c>
      <c r="M369" s="205">
        <f t="shared" si="97"/>
        <v>601</v>
      </c>
      <c r="N369" s="206">
        <f t="shared" si="108"/>
        <v>2037604</v>
      </c>
      <c r="O369" s="209">
        <f t="shared" si="108"/>
        <v>1178365</v>
      </c>
      <c r="P369" s="208">
        <f t="shared" si="108"/>
        <v>3433547</v>
      </c>
      <c r="Q369" s="225">
        <f t="shared" si="106"/>
        <v>22346155.879999999</v>
      </c>
      <c r="R369" s="207">
        <f t="shared" si="106"/>
        <v>14978202.800000001</v>
      </c>
      <c r="S369" s="226">
        <f t="shared" si="106"/>
        <v>38671674.399999999</v>
      </c>
      <c r="T369" s="227">
        <f>N369/'2017'!N369-1</f>
        <v>-1.0893931494733611E-2</v>
      </c>
      <c r="U369" s="228">
        <f>O369/'2017'!O369-1</f>
        <v>1.5076714478797326E-2</v>
      </c>
      <c r="V369" s="228">
        <f>P369/'2017'!P369-1</f>
        <v>4.673715748674323E-2</v>
      </c>
      <c r="W369" s="228">
        <f>Q369/'2017'!Q369-1</f>
        <v>8.5400937467898785E-3</v>
      </c>
      <c r="X369" s="228">
        <f>R369/'2017'!R369-1</f>
        <v>0.15069195768018484</v>
      </c>
      <c r="Y369" s="244">
        <f>S369/'2017'!S369-1</f>
        <v>7.4452362573278918E-2</v>
      </c>
      <c r="Z369" s="245"/>
      <c r="AA369" s="246">
        <f t="shared" si="103"/>
        <v>2234.6155880000001</v>
      </c>
      <c r="AB369" s="247"/>
      <c r="AC369" s="248" t="e">
        <f t="shared" si="104"/>
        <v>#DIV/0!</v>
      </c>
      <c r="AD369" s="247">
        <f t="shared" si="98"/>
        <v>23693471.599999998</v>
      </c>
      <c r="AE369" s="177">
        <f t="shared" si="101"/>
        <v>224711.22</v>
      </c>
      <c r="AF369" s="177">
        <f t="shared" si="109"/>
        <v>822987.94</v>
      </c>
      <c r="AG369" s="248">
        <f t="shared" si="99"/>
        <v>299616.55999999889</v>
      </c>
      <c r="AH369" s="263"/>
      <c r="AI369" s="264"/>
      <c r="AJ369" s="264"/>
      <c r="AK369" s="264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264"/>
    </row>
    <row r="370" spans="1:55" ht="15" customHeight="1" x14ac:dyDescent="0.15">
      <c r="A370" s="195">
        <v>43100</v>
      </c>
      <c r="B370" s="188" t="s">
        <v>34</v>
      </c>
      <c r="C370" s="307">
        <f>75704+6224</f>
        <v>81928</v>
      </c>
      <c r="D370" s="308">
        <f>23111+14011</f>
        <v>37122</v>
      </c>
      <c r="E370" s="308">
        <f>100709+23111</f>
        <v>123820</v>
      </c>
      <c r="F370" s="309">
        <v>6214</v>
      </c>
      <c r="G370" s="308">
        <v>3889</v>
      </c>
      <c r="H370" s="310"/>
      <c r="I370" s="310"/>
      <c r="J370" s="314">
        <f t="shared" si="96"/>
        <v>86698</v>
      </c>
      <c r="K370" s="308">
        <v>448</v>
      </c>
      <c r="L370" s="308">
        <v>3847</v>
      </c>
      <c r="M370" s="315">
        <f t="shared" si="97"/>
        <v>475</v>
      </c>
      <c r="N370" s="316">
        <f>[11]表2、统调口径电量!$D$10</f>
        <v>2119531.64</v>
      </c>
      <c r="O370" s="317">
        <f>[11]表2、统调口径电量!$D$14</f>
        <v>1215397</v>
      </c>
      <c r="P370" s="318">
        <f>[11]表2、统调口径电量!$D$3</f>
        <v>3557368.74</v>
      </c>
      <c r="Q370" s="321">
        <f>[11]表2、统调口径电量!$I$10</f>
        <v>22428083.52</v>
      </c>
      <c r="R370" s="322">
        <f>[11]表2、统调口径电量!$I$14</f>
        <v>15015234.800000001</v>
      </c>
      <c r="S370" s="323">
        <f>[11]表2、统调口径电量!$I$3</f>
        <v>38795496.140000001</v>
      </c>
      <c r="T370" s="324">
        <f>N370/'2017'!N370-1</f>
        <v>0.74154414674969438</v>
      </c>
      <c r="U370" s="325">
        <f>O370/'2017'!O370-1</f>
        <v>0.62291610194726377</v>
      </c>
      <c r="V370" s="325">
        <f>P370/'2017'!P370-1</f>
        <v>0.69552476380623474</v>
      </c>
      <c r="W370" s="325">
        <f>Q370/'2017'!Q370-1</f>
        <v>6.3483712006649293</v>
      </c>
      <c r="X370" s="325">
        <f>R370/'2017'!R370-1</f>
        <v>6.4060289015573382</v>
      </c>
      <c r="Y370" s="326">
        <f>S370/'2017'!S370-1</f>
        <v>6.2275350971005947</v>
      </c>
      <c r="Z370" s="327">
        <f>[11]表2、统调口径电量!$I$12/10000</f>
        <v>150.46713099999999</v>
      </c>
      <c r="AA370" s="328">
        <f>[11]表2、统调口径电量!$I$11/10000</f>
        <v>2092.3412210000001</v>
      </c>
      <c r="AB370" s="329">
        <v>4286.88</v>
      </c>
      <c r="AC370" s="330">
        <f t="shared" si="104"/>
        <v>4880.8019375396561</v>
      </c>
      <c r="AD370" s="329">
        <f>[11]表2、统调口径电量!$I$4</f>
        <v>23780261.34</v>
      </c>
      <c r="AE370" s="308">
        <f>[11]表2、统调口径电量!$I$13</f>
        <v>225160.47</v>
      </c>
      <c r="AF370" s="308">
        <f>[11]表2、统调口径电量!$I$17</f>
        <v>826835.81</v>
      </c>
      <c r="AG370" s="330">
        <f t="shared" si="99"/>
        <v>300181.54000000027</v>
      </c>
      <c r="AH370" s="263"/>
      <c r="AI370" s="264"/>
      <c r="AJ370" s="264"/>
      <c r="AK370" s="264"/>
      <c r="AL370" s="264"/>
      <c r="AM370" s="264"/>
      <c r="AN370" s="264"/>
      <c r="AO370" s="264"/>
      <c r="AP370" s="264"/>
      <c r="AQ370" s="264"/>
      <c r="AR370" s="264"/>
      <c r="AS370" s="264"/>
      <c r="AT370" s="264"/>
      <c r="AU370" s="264"/>
      <c r="AV370" s="264"/>
      <c r="AW370" s="264"/>
      <c r="AX370" s="264"/>
      <c r="AY370" s="264"/>
      <c r="AZ370" s="264"/>
      <c r="BA370" s="264"/>
      <c r="BB370" s="264"/>
      <c r="BC370" s="264"/>
    </row>
    <row r="371" spans="1:55" s="158" customFormat="1" ht="15" customHeight="1" x14ac:dyDescent="0.15">
      <c r="A371" s="311" t="s">
        <v>40</v>
      </c>
      <c r="B371" s="311"/>
      <c r="C371" s="312">
        <f>MAX(C5:C370)</f>
        <v>86071</v>
      </c>
      <c r="D371" s="312">
        <f t="shared" ref="D371:M371" si="110">MAX(D5:D370)</f>
        <v>60662</v>
      </c>
      <c r="E371" s="312">
        <f t="shared" si="110"/>
        <v>144458</v>
      </c>
      <c r="F371" s="312">
        <f t="shared" si="110"/>
        <v>7140.5</v>
      </c>
      <c r="G371" s="312">
        <f t="shared" si="110"/>
        <v>5630</v>
      </c>
      <c r="H371" s="312">
        <f t="shared" si="110"/>
        <v>5069</v>
      </c>
      <c r="I371" s="312">
        <f t="shared" si="110"/>
        <v>0</v>
      </c>
      <c r="J371" s="312">
        <f t="shared" si="110"/>
        <v>90246</v>
      </c>
      <c r="K371" s="312">
        <f t="shared" si="110"/>
        <v>2931</v>
      </c>
      <c r="L371" s="312">
        <f t="shared" si="110"/>
        <v>6860</v>
      </c>
      <c r="M371" s="312">
        <f t="shared" si="110"/>
        <v>9339</v>
      </c>
      <c r="N371" s="319"/>
      <c r="O371" s="320"/>
      <c r="P371" s="320"/>
      <c r="Q371" s="320"/>
      <c r="R371" s="320"/>
      <c r="S371" s="320"/>
      <c r="T371" s="320"/>
      <c r="U371" s="320"/>
      <c r="V371" s="320"/>
      <c r="W371" s="320"/>
      <c r="X371" s="320"/>
      <c r="Y371" s="320"/>
      <c r="Z371" s="331"/>
      <c r="AA371" s="331"/>
      <c r="AB371" s="332"/>
      <c r="AC371" s="332"/>
      <c r="AD371" s="332"/>
      <c r="AE371" s="332"/>
      <c r="AF371" s="332"/>
      <c r="AG371" s="332"/>
      <c r="AH371" s="336"/>
      <c r="AI371" s="337"/>
      <c r="AJ371" s="337"/>
      <c r="AK371" s="337"/>
      <c r="AL371" s="337"/>
      <c r="AM371" s="337"/>
      <c r="AN371" s="337"/>
      <c r="AO371" s="337"/>
      <c r="AP371" s="337"/>
      <c r="AQ371" s="337"/>
      <c r="AR371" s="337"/>
      <c r="AS371" s="337"/>
      <c r="AT371" s="337"/>
      <c r="AU371" s="337"/>
      <c r="AV371" s="337"/>
      <c r="AW371" s="337"/>
      <c r="AX371" s="337"/>
      <c r="AY371" s="337"/>
      <c r="AZ371" s="337"/>
      <c r="BA371" s="337"/>
      <c r="BB371" s="337"/>
      <c r="BC371" s="337"/>
    </row>
    <row r="372" spans="1:55" x14ac:dyDescent="0.15">
      <c r="A372" s="264"/>
      <c r="B372" s="264"/>
      <c r="C372" s="272">
        <f t="shared" ref="C372:D372" si="111">AVERAGE(C5:C370)</f>
        <v>61424.383561643837</v>
      </c>
      <c r="D372" s="272">
        <f t="shared" si="111"/>
        <v>41080.019178082192</v>
      </c>
      <c r="E372" s="272">
        <f t="shared" ref="E372:M372" si="112">AVERAGE(E5:E370)</f>
        <v>106256.60547945206</v>
      </c>
      <c r="F372" s="272">
        <f t="shared" si="112"/>
        <v>5249.5246575342453</v>
      </c>
      <c r="G372" s="272">
        <f t="shared" si="112"/>
        <v>3464.3898630137005</v>
      </c>
      <c r="H372" s="272">
        <f t="shared" si="112"/>
        <v>4798.5714285714284</v>
      </c>
      <c r="I372" s="272" t="e">
        <f t="shared" si="112"/>
        <v>#DIV/0!</v>
      </c>
      <c r="J372" s="272">
        <f t="shared" si="112"/>
        <v>65176.586301369862</v>
      </c>
      <c r="K372" s="272">
        <f t="shared" si="112"/>
        <v>615.08095890410959</v>
      </c>
      <c r="L372" s="272">
        <f t="shared" si="112"/>
        <v>2265.2833698630134</v>
      </c>
      <c r="M372" s="272">
        <f t="shared" si="112"/>
        <v>871.83841095890421</v>
      </c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  <c r="AA372" s="264"/>
      <c r="AB372" s="264"/>
      <c r="AC372" s="264"/>
      <c r="AD372" s="264"/>
      <c r="AE372" s="264"/>
      <c r="AF372" s="264"/>
      <c r="AG372" s="264"/>
      <c r="AH372" s="263"/>
      <c r="AI372" s="264"/>
      <c r="AJ372" s="264"/>
      <c r="AK372" s="264"/>
      <c r="AL372" s="264"/>
      <c r="AM372" s="264"/>
      <c r="AN372" s="264"/>
      <c r="AO372" s="264"/>
      <c r="AP372" s="264"/>
      <c r="AQ372" s="264"/>
      <c r="AR372" s="264"/>
      <c r="AS372" s="264"/>
      <c r="AT372" s="264"/>
      <c r="AU372" s="264"/>
      <c r="AV372" s="264"/>
      <c r="AW372" s="264"/>
      <c r="AX372" s="264"/>
      <c r="AY372" s="264"/>
      <c r="AZ372" s="264"/>
      <c r="BA372" s="264"/>
      <c r="BB372" s="264"/>
      <c r="BC372" s="264"/>
    </row>
    <row r="373" spans="1:55" x14ac:dyDescent="0.15">
      <c r="A373" s="264"/>
      <c r="B373" s="264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  <c r="AA373" s="264"/>
      <c r="AB373" s="264"/>
      <c r="AC373" s="264"/>
      <c r="AD373" s="264"/>
      <c r="AE373" s="264"/>
      <c r="AF373" s="264"/>
      <c r="AG373" s="264"/>
      <c r="AH373" s="263"/>
      <c r="AI373" s="264"/>
      <c r="AJ373" s="264"/>
      <c r="AK373" s="264"/>
      <c r="AL373" s="264"/>
      <c r="AM373" s="264"/>
      <c r="AN373" s="264"/>
      <c r="AO373" s="264"/>
      <c r="AP373" s="264"/>
      <c r="AQ373" s="264"/>
      <c r="AR373" s="264"/>
      <c r="AS373" s="264"/>
      <c r="AT373" s="264"/>
      <c r="AU373" s="264"/>
      <c r="AV373" s="264"/>
      <c r="AW373" s="264"/>
      <c r="AX373" s="264"/>
      <c r="AY373" s="264"/>
      <c r="AZ373" s="264"/>
      <c r="BA373" s="264"/>
      <c r="BB373" s="264"/>
      <c r="BC373" s="264"/>
    </row>
    <row r="374" spans="1:55" x14ac:dyDescent="0.15">
      <c r="A374" s="264"/>
      <c r="B374" s="264"/>
      <c r="C374" s="264"/>
      <c r="D374" s="264"/>
      <c r="E374" s="264"/>
      <c r="F374" s="264"/>
      <c r="G374" s="264"/>
      <c r="H374" s="264"/>
      <c r="I374" s="264" t="e">
        <f>I372/H372</f>
        <v>#DIV/0!</v>
      </c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  <c r="AA374" s="264"/>
      <c r="AB374" s="264"/>
      <c r="AC374" s="264"/>
      <c r="AD374" s="264"/>
      <c r="AE374" s="264"/>
      <c r="AF374" s="264"/>
      <c r="AG374" s="264"/>
      <c r="AH374" s="263"/>
      <c r="AI374" s="264"/>
      <c r="AJ374" s="264"/>
      <c r="AK374" s="264"/>
      <c r="AL374" s="264"/>
      <c r="AM374" s="264"/>
      <c r="AN374" s="264"/>
      <c r="AO374" s="264"/>
      <c r="AP374" s="264"/>
      <c r="AQ374" s="264"/>
      <c r="AR374" s="264"/>
      <c r="AS374" s="264"/>
      <c r="AT374" s="264"/>
      <c r="AU374" s="264"/>
      <c r="AV374" s="264"/>
      <c r="AW374" s="264"/>
      <c r="AX374" s="264"/>
      <c r="AY374" s="264"/>
      <c r="AZ374" s="264"/>
      <c r="BA374" s="264"/>
      <c r="BB374" s="264"/>
      <c r="BC374" s="264"/>
    </row>
    <row r="375" spans="1:55" hidden="1" x14ac:dyDescent="0.15">
      <c r="A375" s="264" t="s">
        <v>41</v>
      </c>
      <c r="B375" s="264"/>
      <c r="C375" s="179">
        <f>MAX(C5:C35)</f>
        <v>84333</v>
      </c>
      <c r="D375" s="179">
        <f t="shared" ref="D375:AC375" si="113">MAX(D5:D35)</f>
        <v>41229</v>
      </c>
      <c r="E375" s="179">
        <f t="shared" si="113"/>
        <v>124335</v>
      </c>
      <c r="F375" s="178">
        <f t="shared" si="113"/>
        <v>6322</v>
      </c>
      <c r="G375" s="179">
        <f t="shared" si="113"/>
        <v>3848</v>
      </c>
      <c r="H375" s="179">
        <f t="shared" si="113"/>
        <v>0</v>
      </c>
      <c r="I375" s="179">
        <f t="shared" si="113"/>
        <v>0</v>
      </c>
      <c r="J375" s="179">
        <f t="shared" si="113"/>
        <v>85334</v>
      </c>
      <c r="K375" s="179">
        <f>SUM(K5:K35)</f>
        <v>9135</v>
      </c>
      <c r="L375" s="179">
        <f>SUM(L5:L35)</f>
        <v>24499</v>
      </c>
      <c r="M375" s="313"/>
      <c r="N375" s="179">
        <f t="shared" si="113"/>
        <v>2339744.04</v>
      </c>
      <c r="O375" s="179">
        <f t="shared" si="113"/>
        <v>1171254</v>
      </c>
      <c r="P375" s="179">
        <f t="shared" si="113"/>
        <v>3558081.12</v>
      </c>
      <c r="Q375" s="179">
        <f t="shared" si="113"/>
        <v>2339744.04</v>
      </c>
      <c r="R375" s="179">
        <f t="shared" si="113"/>
        <v>1171254</v>
      </c>
      <c r="S375" s="179">
        <f t="shared" si="113"/>
        <v>3558081.12</v>
      </c>
      <c r="T375" s="179"/>
      <c r="U375" s="179"/>
      <c r="V375" s="179"/>
      <c r="W375" s="179"/>
      <c r="X375" s="179"/>
      <c r="Y375" s="179"/>
      <c r="Z375" s="333">
        <f t="shared" si="113"/>
        <v>7.8878399999999997</v>
      </c>
      <c r="AA375" s="333">
        <f t="shared" si="113"/>
        <v>226.08656400000001</v>
      </c>
      <c r="AB375" s="179">
        <f t="shared" si="113"/>
        <v>4269.4799999999996</v>
      </c>
      <c r="AC375" s="179">
        <f t="shared" si="113"/>
        <v>529.54121813429276</v>
      </c>
    </row>
    <row r="376" spans="1:55" hidden="1" x14ac:dyDescent="0.15">
      <c r="A376" s="264" t="s">
        <v>42</v>
      </c>
      <c r="B376" s="264"/>
      <c r="C376" s="179">
        <f>MAX(C36:C64)</f>
        <v>75088</v>
      </c>
      <c r="D376" s="179">
        <f t="shared" ref="D376:AC376" si="114">MAX(D36:D64)</f>
        <v>34325</v>
      </c>
      <c r="E376" s="179">
        <f t="shared" si="114"/>
        <v>111325</v>
      </c>
      <c r="F376" s="178">
        <f t="shared" si="114"/>
        <v>5522</v>
      </c>
      <c r="G376" s="179">
        <f t="shared" si="114"/>
        <v>3521</v>
      </c>
      <c r="H376" s="179">
        <f t="shared" si="114"/>
        <v>0</v>
      </c>
      <c r="I376" s="179">
        <f t="shared" si="114"/>
        <v>0</v>
      </c>
      <c r="J376" s="179">
        <f t="shared" si="114"/>
        <v>77000</v>
      </c>
      <c r="K376" s="179">
        <f>SUM(K36:K64)</f>
        <v>8363</v>
      </c>
      <c r="L376" s="179">
        <f>SUM(L36:L64)</f>
        <v>18659</v>
      </c>
      <c r="M376" s="313"/>
      <c r="N376" s="179">
        <f t="shared" si="114"/>
        <v>1127028.26</v>
      </c>
      <c r="O376" s="179">
        <f t="shared" si="114"/>
        <v>677349</v>
      </c>
      <c r="P376" s="179">
        <f t="shared" si="114"/>
        <v>1851437.35</v>
      </c>
      <c r="Q376" s="179">
        <f t="shared" si="114"/>
        <v>3466772.3</v>
      </c>
      <c r="R376" s="179">
        <f t="shared" si="114"/>
        <v>1848603</v>
      </c>
      <c r="S376" s="179">
        <f t="shared" si="114"/>
        <v>5409518.4699999997</v>
      </c>
      <c r="T376" s="179"/>
      <c r="U376" s="179"/>
      <c r="V376" s="179"/>
      <c r="W376" s="179"/>
      <c r="X376" s="179"/>
      <c r="Y376" s="179"/>
      <c r="Z376" s="333">
        <f t="shared" si="114"/>
        <v>13.282399</v>
      </c>
      <c r="AA376" s="333">
        <f t="shared" si="114"/>
        <v>342.28690399999999</v>
      </c>
      <c r="AB376" s="179">
        <f t="shared" si="114"/>
        <v>4269.4799999999996</v>
      </c>
      <c r="AC376" s="179">
        <f t="shared" si="114"/>
        <v>780.87924290545925</v>
      </c>
    </row>
    <row r="377" spans="1:55" hidden="1" x14ac:dyDescent="0.15">
      <c r="A377" s="264" t="s">
        <v>43</v>
      </c>
      <c r="B377" s="264"/>
      <c r="C377" s="179">
        <f>MAX(C65:C95)</f>
        <v>69479</v>
      </c>
      <c r="D377" s="179">
        <f t="shared" ref="D377:AC377" si="115">MAX(D65:D95)</f>
        <v>36502</v>
      </c>
      <c r="E377" s="179">
        <f t="shared" si="115"/>
        <v>105649</v>
      </c>
      <c r="F377" s="178">
        <f t="shared" si="115"/>
        <v>5404</v>
      </c>
      <c r="G377" s="179">
        <f t="shared" si="115"/>
        <v>3447</v>
      </c>
      <c r="H377" s="179">
        <f t="shared" si="115"/>
        <v>0</v>
      </c>
      <c r="I377" s="179">
        <f t="shared" si="115"/>
        <v>0</v>
      </c>
      <c r="J377" s="179">
        <f t="shared" si="115"/>
        <v>70655</v>
      </c>
      <c r="K377" s="179">
        <f>SUM(K65:K95)</f>
        <v>12860</v>
      </c>
      <c r="L377" s="179">
        <f>SUM(L65:L95)</f>
        <v>0</v>
      </c>
      <c r="M377" s="313"/>
      <c r="N377" s="179">
        <f t="shared" si="115"/>
        <v>1923299</v>
      </c>
      <c r="O377" s="179">
        <f t="shared" si="115"/>
        <v>975458</v>
      </c>
      <c r="P377" s="179">
        <f t="shared" si="115"/>
        <v>2936964</v>
      </c>
      <c r="Q377" s="179">
        <f t="shared" si="115"/>
        <v>5390071.2999999998</v>
      </c>
      <c r="R377" s="179">
        <f t="shared" si="115"/>
        <v>2824061</v>
      </c>
      <c r="S377" s="179">
        <f t="shared" si="115"/>
        <v>8346482.4699999997</v>
      </c>
      <c r="T377" s="179"/>
      <c r="U377" s="179"/>
      <c r="V377" s="179"/>
      <c r="W377" s="179"/>
      <c r="X377" s="179"/>
      <c r="Y377" s="179"/>
      <c r="Z377" s="333">
        <f t="shared" si="115"/>
        <v>23.59</v>
      </c>
      <c r="AA377" s="333">
        <f t="shared" si="115"/>
        <v>539.00712999999996</v>
      </c>
      <c r="AB377" s="179">
        <f t="shared" si="115"/>
        <v>4269.4799999999996</v>
      </c>
      <c r="AC377" s="179">
        <f t="shared" si="115"/>
        <v>1175.588900756064</v>
      </c>
    </row>
    <row r="378" spans="1:55" hidden="1" x14ac:dyDescent="0.15">
      <c r="A378" s="264" t="s">
        <v>44</v>
      </c>
      <c r="B378" s="264"/>
      <c r="C378" s="179">
        <f>MAX(C96:C125)</f>
        <v>72928</v>
      </c>
      <c r="D378" s="179">
        <f t="shared" ref="D378:AC378" si="116">MAX(D96:D125)</f>
        <v>34407</v>
      </c>
      <c r="E378" s="179">
        <f t="shared" si="116"/>
        <v>104029</v>
      </c>
      <c r="F378" s="178">
        <f t="shared" si="116"/>
        <v>5299.1</v>
      </c>
      <c r="G378" s="179">
        <f t="shared" si="116"/>
        <v>3442</v>
      </c>
      <c r="H378" s="179">
        <f t="shared" si="116"/>
        <v>0</v>
      </c>
      <c r="I378" s="179">
        <f t="shared" si="116"/>
        <v>0</v>
      </c>
      <c r="J378" s="179">
        <f t="shared" si="116"/>
        <v>74067</v>
      </c>
      <c r="K378" s="179">
        <f>SUM(K96:K125)</f>
        <v>21556</v>
      </c>
      <c r="L378" s="179">
        <f>SUM(L96:L125)</f>
        <v>0</v>
      </c>
      <c r="M378" s="313"/>
      <c r="N378" s="179">
        <f t="shared" si="116"/>
        <v>2000577.88</v>
      </c>
      <c r="O378" s="179">
        <f t="shared" si="116"/>
        <v>921258</v>
      </c>
      <c r="P378" s="179">
        <f t="shared" si="116"/>
        <v>2971268.14</v>
      </c>
      <c r="Q378" s="179">
        <f t="shared" si="116"/>
        <v>7390704.4800000004</v>
      </c>
      <c r="R378" s="179">
        <f t="shared" si="116"/>
        <v>3745318</v>
      </c>
      <c r="S378" s="179">
        <f t="shared" si="116"/>
        <v>11317748.98</v>
      </c>
      <c r="T378" s="179"/>
      <c r="U378" s="179"/>
      <c r="V378" s="179"/>
      <c r="W378" s="179"/>
      <c r="X378" s="179"/>
      <c r="Y378" s="179"/>
      <c r="Z378" s="333">
        <f t="shared" si="116"/>
        <v>37.157039000000005</v>
      </c>
      <c r="AA378" s="333">
        <f t="shared" si="116"/>
        <v>732.68002999999999</v>
      </c>
      <c r="AB378" s="179">
        <f t="shared" si="116"/>
        <v>4283.88</v>
      </c>
      <c r="AC378" s="179">
        <f t="shared" si="116"/>
        <v>1638.4992320046313</v>
      </c>
    </row>
    <row r="379" spans="1:55" hidden="1" x14ac:dyDescent="0.15">
      <c r="A379" s="264" t="s">
        <v>45</v>
      </c>
      <c r="B379" s="264"/>
      <c r="C379" s="179">
        <f>MAX(C126:C156)</f>
        <v>83611</v>
      </c>
      <c r="D379" s="179">
        <f t="shared" ref="D379:AC379" si="117">MAX(D126:D156)</f>
        <v>41581</v>
      </c>
      <c r="E379" s="179">
        <f t="shared" si="117"/>
        <v>126200</v>
      </c>
      <c r="F379" s="178">
        <f t="shared" si="117"/>
        <v>6174</v>
      </c>
      <c r="G379" s="179">
        <f t="shared" si="117"/>
        <v>4232</v>
      </c>
      <c r="H379" s="179">
        <f t="shared" si="117"/>
        <v>5069</v>
      </c>
      <c r="I379" s="179">
        <f t="shared" si="117"/>
        <v>0</v>
      </c>
      <c r="J379" s="179">
        <f t="shared" si="117"/>
        <v>86461</v>
      </c>
      <c r="K379" s="179">
        <f>SUM(K126:K156)</f>
        <v>23665</v>
      </c>
      <c r="L379" s="179">
        <f>SUM(L126:L156)</f>
        <v>0</v>
      </c>
      <c r="M379" s="313"/>
      <c r="N379" s="179">
        <f t="shared" si="117"/>
        <v>2165250.7599999998</v>
      </c>
      <c r="O379" s="179">
        <f t="shared" si="117"/>
        <v>1022170</v>
      </c>
      <c r="P379" s="179">
        <f t="shared" si="117"/>
        <v>3236304.25</v>
      </c>
      <c r="Q379" s="179">
        <f t="shared" si="117"/>
        <v>9556059.1799999997</v>
      </c>
      <c r="R379" s="179">
        <f t="shared" si="117"/>
        <v>4767488</v>
      </c>
      <c r="S379" s="179">
        <f t="shared" si="117"/>
        <v>14554202.57</v>
      </c>
      <c r="T379" s="179"/>
      <c r="U379" s="179"/>
      <c r="V379" s="179"/>
      <c r="W379" s="179"/>
      <c r="X379" s="179"/>
      <c r="Y379" s="179"/>
      <c r="Z379" s="333">
        <f t="shared" si="117"/>
        <v>44.996718999999999</v>
      </c>
      <c r="AA379" s="333">
        <f t="shared" si="117"/>
        <v>949.06144800000004</v>
      </c>
      <c r="AB379" s="179">
        <f t="shared" si="117"/>
        <v>4283.88</v>
      </c>
      <c r="AC379" s="179">
        <f t="shared" si="117"/>
        <v>2125.6014244096473</v>
      </c>
    </row>
    <row r="380" spans="1:55" hidden="1" x14ac:dyDescent="0.15">
      <c r="A380" s="264" t="s">
        <v>46</v>
      </c>
      <c r="B380" s="264"/>
      <c r="C380" s="179">
        <f>MAX(C157:C186)</f>
        <v>86071</v>
      </c>
      <c r="D380" s="179">
        <f t="shared" ref="D380:AC380" si="118">MAX(D157:D186)</f>
        <v>50031</v>
      </c>
      <c r="E380" s="179">
        <f t="shared" si="118"/>
        <v>137438</v>
      </c>
      <c r="F380" s="178">
        <f t="shared" si="118"/>
        <v>6648</v>
      </c>
      <c r="G380" s="179">
        <f t="shared" si="118"/>
        <v>4560</v>
      </c>
      <c r="H380" s="179">
        <f t="shared" si="118"/>
        <v>0</v>
      </c>
      <c r="I380" s="179">
        <f t="shared" si="118"/>
        <v>0</v>
      </c>
      <c r="J380" s="179">
        <f t="shared" si="118"/>
        <v>87407</v>
      </c>
      <c r="K380" s="179">
        <f>SUM(K157:K186)</f>
        <v>36725.550000000003</v>
      </c>
      <c r="L380" s="179">
        <f>SUM(L157:L186)</f>
        <v>34.56</v>
      </c>
      <c r="M380" s="313"/>
      <c r="N380" s="179">
        <f t="shared" si="118"/>
        <v>2022262.82</v>
      </c>
      <c r="O380" s="179">
        <f t="shared" si="118"/>
        <v>1137803</v>
      </c>
      <c r="P380" s="179">
        <f t="shared" si="118"/>
        <v>3222478.17</v>
      </c>
      <c r="Q380" s="179">
        <f t="shared" si="118"/>
        <v>11578322</v>
      </c>
      <c r="R380" s="179">
        <f t="shared" si="118"/>
        <v>5905291</v>
      </c>
      <c r="S380" s="179">
        <f t="shared" si="118"/>
        <v>17776680.739999998</v>
      </c>
      <c r="T380" s="179"/>
      <c r="U380" s="179"/>
      <c r="V380" s="179"/>
      <c r="W380" s="179"/>
      <c r="X380" s="179"/>
      <c r="Y380" s="179"/>
      <c r="Z380" s="333">
        <f t="shared" si="118"/>
        <v>53.764030000000005</v>
      </c>
      <c r="AA380" s="333">
        <f t="shared" si="118"/>
        <v>1150.8365180000001</v>
      </c>
      <c r="AB380" s="179">
        <f t="shared" si="118"/>
        <v>4283.88</v>
      </c>
      <c r="AC380" s="179">
        <f t="shared" si="118"/>
        <v>2543.6315162889714</v>
      </c>
    </row>
    <row r="381" spans="1:55" hidden="1" x14ac:dyDescent="0.15">
      <c r="A381" s="264" t="s">
        <v>47</v>
      </c>
      <c r="B381" s="264"/>
      <c r="C381" s="179">
        <f>MAX(C187:C217)</f>
        <v>82087</v>
      </c>
      <c r="D381" s="179">
        <f t="shared" ref="D381:AC381" si="119">MAX(D187:D217)</f>
        <v>59208</v>
      </c>
      <c r="E381" s="179">
        <f t="shared" si="119"/>
        <v>141867</v>
      </c>
      <c r="F381" s="179">
        <f t="shared" si="119"/>
        <v>7140.5</v>
      </c>
      <c r="G381" s="179">
        <f t="shared" si="119"/>
        <v>5630</v>
      </c>
      <c r="H381" s="179">
        <f t="shared" si="119"/>
        <v>0</v>
      </c>
      <c r="I381" s="179">
        <f t="shared" si="119"/>
        <v>0</v>
      </c>
      <c r="J381" s="179">
        <f t="shared" si="119"/>
        <v>83708</v>
      </c>
      <c r="K381" s="179">
        <f>SUM(K187:K217)</f>
        <v>22731</v>
      </c>
      <c r="L381" s="179">
        <f>SUM(L187:L217)</f>
        <v>22839.87</v>
      </c>
      <c r="M381" s="313"/>
      <c r="N381" s="179">
        <f t="shared" si="119"/>
        <v>2299564.7000000002</v>
      </c>
      <c r="O381" s="179">
        <f t="shared" si="119"/>
        <v>1614262</v>
      </c>
      <c r="P381" s="179">
        <f t="shared" si="119"/>
        <v>3992595.62</v>
      </c>
      <c r="Q381" s="179">
        <f t="shared" si="119"/>
        <v>13879287.720000001</v>
      </c>
      <c r="R381" s="179">
        <f t="shared" si="119"/>
        <v>7519553</v>
      </c>
      <c r="S381" s="179">
        <f t="shared" si="119"/>
        <v>21771111.719999999</v>
      </c>
      <c r="T381" s="179"/>
      <c r="U381" s="179"/>
      <c r="V381" s="179"/>
      <c r="W381" s="179"/>
      <c r="X381" s="179"/>
      <c r="Y381" s="179"/>
      <c r="Z381" s="333">
        <f t="shared" si="119"/>
        <v>69.430068999999989</v>
      </c>
      <c r="AA381" s="333">
        <f t="shared" si="119"/>
        <v>1380.4485</v>
      </c>
      <c r="AB381" s="179">
        <f t="shared" si="119"/>
        <v>4283.88</v>
      </c>
      <c r="AC381" s="179">
        <f t="shared" si="119"/>
        <v>2997.2389516046201</v>
      </c>
    </row>
    <row r="382" spans="1:55" s="157" customFormat="1" hidden="1" x14ac:dyDescent="0.15">
      <c r="A382" s="264" t="s">
        <v>48</v>
      </c>
      <c r="B382" s="264"/>
      <c r="C382" s="313">
        <f>MAX(C218:C248)</f>
        <v>79715</v>
      </c>
      <c r="D382" s="313">
        <f t="shared" ref="D382:J382" si="120">MAX(D218:D248)</f>
        <v>60360</v>
      </c>
      <c r="E382" s="313">
        <f t="shared" si="120"/>
        <v>144458</v>
      </c>
      <c r="F382" s="313">
        <f t="shared" si="120"/>
        <v>6964.6</v>
      </c>
      <c r="G382" s="313">
        <f t="shared" si="120"/>
        <v>4732.3999999999996</v>
      </c>
      <c r="H382" s="313">
        <f t="shared" si="120"/>
        <v>0</v>
      </c>
      <c r="I382" s="313">
        <f t="shared" si="120"/>
        <v>0</v>
      </c>
      <c r="J382" s="313">
        <f t="shared" si="120"/>
        <v>84994</v>
      </c>
      <c r="K382" s="313">
        <f>SUM(K218:K248)</f>
        <v>15328</v>
      </c>
      <c r="L382" s="313">
        <f>SUM(L218:L248)</f>
        <v>94684</v>
      </c>
      <c r="M382" s="313"/>
      <c r="N382" s="313">
        <f t="shared" ref="N382:S382" si="121">MAX(N218:N248)</f>
        <v>2142873.35</v>
      </c>
      <c r="O382" s="313">
        <f t="shared" si="121"/>
        <v>1772476.8</v>
      </c>
      <c r="P382" s="313">
        <f t="shared" si="121"/>
        <v>4060084.02</v>
      </c>
      <c r="Q382" s="313">
        <f t="shared" si="121"/>
        <v>16022161.07</v>
      </c>
      <c r="R382" s="313">
        <f t="shared" si="121"/>
        <v>9292029.8000000007</v>
      </c>
      <c r="S382" s="313">
        <f t="shared" si="121"/>
        <v>25831195.739999998</v>
      </c>
      <c r="T382" s="313"/>
      <c r="U382" s="313"/>
      <c r="V382" s="313"/>
      <c r="W382" s="313"/>
      <c r="X382" s="313"/>
      <c r="Y382" s="313"/>
      <c r="Z382" s="334">
        <f>MAX(Z218:Z248)</f>
        <v>83.221086999999997</v>
      </c>
      <c r="AA382" s="334">
        <f>MAX(AA218:AA248)</f>
        <v>1588.052972</v>
      </c>
      <c r="AB382" s="313">
        <f>MAX(AB218:AB248)</f>
        <v>4283.88</v>
      </c>
      <c r="AC382" s="313">
        <f>MAX(AC218:AC248)</f>
        <v>3545.8393325676725</v>
      </c>
      <c r="AH382" s="338"/>
    </row>
    <row r="383" spans="1:55" s="157" customFormat="1" hidden="1" x14ac:dyDescent="0.15">
      <c r="A383" s="264" t="s">
        <v>49</v>
      </c>
      <c r="B383" s="264"/>
      <c r="C383" s="186">
        <f t="shared" ref="C383:J386" si="122">MAX(C189:C219)</f>
        <v>82087</v>
      </c>
      <c r="D383" s="186">
        <f t="shared" si="122"/>
        <v>59353</v>
      </c>
      <c r="E383" s="186">
        <f t="shared" si="122"/>
        <v>141867</v>
      </c>
      <c r="F383" s="185">
        <f t="shared" si="122"/>
        <v>7140.5</v>
      </c>
      <c r="G383" s="186">
        <f t="shared" si="122"/>
        <v>5630</v>
      </c>
      <c r="H383" s="186">
        <f t="shared" si="122"/>
        <v>0</v>
      </c>
      <c r="I383" s="186">
        <f t="shared" si="122"/>
        <v>0</v>
      </c>
      <c r="J383" s="186">
        <f t="shared" si="122"/>
        <v>83708</v>
      </c>
      <c r="K383" s="186">
        <f t="shared" ref="K383:L386" si="123">SUM(K189:K219)</f>
        <v>22712</v>
      </c>
      <c r="L383" s="186">
        <f t="shared" si="123"/>
        <v>27515.599999999999</v>
      </c>
      <c r="M383" s="186"/>
      <c r="N383" s="186">
        <f t="shared" ref="N383:AC386" si="124">MAX(N189:N219)</f>
        <v>2299564.7000000002</v>
      </c>
      <c r="O383" s="186">
        <f t="shared" si="124"/>
        <v>1614262</v>
      </c>
      <c r="P383" s="186">
        <f t="shared" si="124"/>
        <v>3992595.62</v>
      </c>
      <c r="Q383" s="186">
        <f t="shared" si="124"/>
        <v>14019611.720000001</v>
      </c>
      <c r="R383" s="186">
        <f t="shared" si="124"/>
        <v>7638243</v>
      </c>
      <c r="S383" s="186">
        <f t="shared" si="124"/>
        <v>22037269.719999999</v>
      </c>
      <c r="T383" s="186"/>
      <c r="U383" s="186"/>
      <c r="V383" s="186"/>
      <c r="W383" s="186"/>
      <c r="X383" s="186"/>
      <c r="Y383" s="186"/>
      <c r="Z383" s="335">
        <f t="shared" si="124"/>
        <v>70.14</v>
      </c>
      <c r="AA383" s="335">
        <f t="shared" si="124"/>
        <v>1394.928672</v>
      </c>
      <c r="AB383" s="186">
        <f t="shared" si="124"/>
        <v>4283.88</v>
      </c>
      <c r="AC383" s="186">
        <f t="shared" si="124"/>
        <v>3108.9133495802866</v>
      </c>
      <c r="AH383" s="338"/>
    </row>
    <row r="384" spans="1:55" s="157" customFormat="1" hidden="1" x14ac:dyDescent="0.15">
      <c r="A384" s="264" t="s">
        <v>50</v>
      </c>
      <c r="B384" s="264"/>
      <c r="C384" s="186">
        <f t="shared" si="122"/>
        <v>82087</v>
      </c>
      <c r="D384" s="186">
        <f t="shared" si="122"/>
        <v>59353</v>
      </c>
      <c r="E384" s="186">
        <f t="shared" si="122"/>
        <v>141867</v>
      </c>
      <c r="F384" s="185">
        <f t="shared" si="122"/>
        <v>7140.5</v>
      </c>
      <c r="G384" s="186">
        <f t="shared" si="122"/>
        <v>5630</v>
      </c>
      <c r="H384" s="186">
        <f t="shared" si="122"/>
        <v>0</v>
      </c>
      <c r="I384" s="186">
        <f t="shared" si="122"/>
        <v>0</v>
      </c>
      <c r="J384" s="186">
        <f t="shared" si="122"/>
        <v>83708</v>
      </c>
      <c r="K384" s="186">
        <f t="shared" si="123"/>
        <v>23121</v>
      </c>
      <c r="L384" s="186">
        <f t="shared" si="123"/>
        <v>29973</v>
      </c>
      <c r="M384" s="186"/>
      <c r="N384" s="186">
        <f t="shared" si="124"/>
        <v>2299564.7000000002</v>
      </c>
      <c r="O384" s="186">
        <f t="shared" si="124"/>
        <v>1614262</v>
      </c>
      <c r="P384" s="186">
        <f t="shared" si="124"/>
        <v>3992595.62</v>
      </c>
      <c r="Q384" s="186">
        <f t="shared" si="124"/>
        <v>14086898.720000001</v>
      </c>
      <c r="R384" s="186">
        <f t="shared" si="124"/>
        <v>7694160</v>
      </c>
      <c r="S384" s="186">
        <f t="shared" si="124"/>
        <v>22164493.719999999</v>
      </c>
      <c r="T384" s="186"/>
      <c r="U384" s="186"/>
      <c r="V384" s="186"/>
      <c r="W384" s="186"/>
      <c r="X384" s="186"/>
      <c r="Y384" s="186"/>
      <c r="Z384" s="335">
        <f t="shared" si="124"/>
        <v>70.14</v>
      </c>
      <c r="AA384" s="335">
        <f t="shared" si="124"/>
        <v>1408.6898720000002</v>
      </c>
      <c r="AB384" s="186">
        <f t="shared" si="124"/>
        <v>4283.88</v>
      </c>
      <c r="AC384" s="186">
        <f t="shared" si="124"/>
        <v>3108.9133495802866</v>
      </c>
      <c r="AH384" s="338"/>
    </row>
    <row r="385" spans="1:53" s="157" customFormat="1" hidden="1" x14ac:dyDescent="0.15">
      <c r="A385" s="264" t="s">
        <v>51</v>
      </c>
      <c r="B385" s="264"/>
      <c r="C385" s="186">
        <f t="shared" si="122"/>
        <v>82087</v>
      </c>
      <c r="D385" s="186">
        <f t="shared" si="122"/>
        <v>59353</v>
      </c>
      <c r="E385" s="186">
        <f t="shared" si="122"/>
        <v>141867</v>
      </c>
      <c r="F385" s="185">
        <f t="shared" si="122"/>
        <v>7140.5</v>
      </c>
      <c r="G385" s="186">
        <f t="shared" si="122"/>
        <v>5630</v>
      </c>
      <c r="H385" s="186">
        <f t="shared" si="122"/>
        <v>0</v>
      </c>
      <c r="I385" s="186">
        <f t="shared" si="122"/>
        <v>0</v>
      </c>
      <c r="J385" s="186">
        <f t="shared" si="122"/>
        <v>83708</v>
      </c>
      <c r="K385" s="186">
        <f t="shared" si="123"/>
        <v>23497</v>
      </c>
      <c r="L385" s="186">
        <f t="shared" si="123"/>
        <v>31378</v>
      </c>
      <c r="M385" s="186"/>
      <c r="N385" s="186">
        <f t="shared" si="124"/>
        <v>2299564.7000000002</v>
      </c>
      <c r="O385" s="186">
        <f t="shared" si="124"/>
        <v>1614262</v>
      </c>
      <c r="P385" s="186">
        <f t="shared" si="124"/>
        <v>3992595.62</v>
      </c>
      <c r="Q385" s="186">
        <f t="shared" si="124"/>
        <v>14153512.720000001</v>
      </c>
      <c r="R385" s="186">
        <f t="shared" si="124"/>
        <v>7752785</v>
      </c>
      <c r="S385" s="186">
        <f t="shared" si="124"/>
        <v>22293670.719999999</v>
      </c>
      <c r="T385" s="186"/>
      <c r="U385" s="186"/>
      <c r="V385" s="186"/>
      <c r="W385" s="186"/>
      <c r="X385" s="186"/>
      <c r="Y385" s="186"/>
      <c r="Z385" s="335">
        <f t="shared" si="124"/>
        <v>70.14</v>
      </c>
      <c r="AA385" s="335">
        <f t="shared" si="124"/>
        <v>1415.3512720000001</v>
      </c>
      <c r="AB385" s="186">
        <f t="shared" si="124"/>
        <v>4283.88</v>
      </c>
      <c r="AC385" s="186">
        <f t="shared" si="124"/>
        <v>3108.9133495802866</v>
      </c>
      <c r="AH385" s="338"/>
    </row>
    <row r="386" spans="1:53" s="157" customFormat="1" hidden="1" x14ac:dyDescent="0.15">
      <c r="A386" s="264" t="s">
        <v>52</v>
      </c>
      <c r="B386" s="264"/>
      <c r="C386" s="186">
        <f t="shared" si="122"/>
        <v>82087</v>
      </c>
      <c r="D386" s="186">
        <f t="shared" si="122"/>
        <v>59353</v>
      </c>
      <c r="E386" s="186">
        <f t="shared" si="122"/>
        <v>141867</v>
      </c>
      <c r="F386" s="185">
        <f t="shared" si="122"/>
        <v>7140.5</v>
      </c>
      <c r="G386" s="186">
        <f t="shared" si="122"/>
        <v>5630</v>
      </c>
      <c r="H386" s="186">
        <f t="shared" si="122"/>
        <v>0</v>
      </c>
      <c r="I386" s="186">
        <f t="shared" si="122"/>
        <v>0</v>
      </c>
      <c r="J386" s="186">
        <f t="shared" si="122"/>
        <v>83708</v>
      </c>
      <c r="K386" s="186">
        <f t="shared" si="123"/>
        <v>23678</v>
      </c>
      <c r="L386" s="186">
        <f t="shared" si="123"/>
        <v>33520</v>
      </c>
      <c r="M386" s="186"/>
      <c r="N386" s="186">
        <f t="shared" si="124"/>
        <v>2299564.7000000002</v>
      </c>
      <c r="O386" s="186">
        <f t="shared" si="124"/>
        <v>1614262</v>
      </c>
      <c r="P386" s="186">
        <f t="shared" si="124"/>
        <v>3992595.62</v>
      </c>
      <c r="Q386" s="186">
        <f t="shared" si="124"/>
        <v>14219308.720000001</v>
      </c>
      <c r="R386" s="186">
        <f t="shared" si="124"/>
        <v>7811783</v>
      </c>
      <c r="S386" s="186">
        <f t="shared" si="124"/>
        <v>22422773.719999999</v>
      </c>
      <c r="T386" s="186"/>
      <c r="U386" s="186"/>
      <c r="V386" s="186"/>
      <c r="W386" s="186"/>
      <c r="X386" s="186"/>
      <c r="Y386" s="186"/>
      <c r="Z386" s="335">
        <f t="shared" si="124"/>
        <v>70.14</v>
      </c>
      <c r="AA386" s="335">
        <f t="shared" si="124"/>
        <v>1421.9308720000001</v>
      </c>
      <c r="AB386" s="186">
        <f t="shared" si="124"/>
        <v>4283.88</v>
      </c>
      <c r="AC386" s="186">
        <f t="shared" si="124"/>
        <v>3108.9133495802866</v>
      </c>
      <c r="AH386" s="338"/>
    </row>
    <row r="387" spans="1:53" x14ac:dyDescent="0.15">
      <c r="A387" s="264"/>
      <c r="B387" s="264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  <c r="AA387" s="264"/>
      <c r="AB387" s="264"/>
      <c r="AC387" s="264"/>
      <c r="AD387" s="264"/>
      <c r="AE387" s="264"/>
      <c r="AF387" s="264"/>
      <c r="AG387" s="264"/>
      <c r="AH387" s="263"/>
      <c r="AI387" s="264"/>
      <c r="AJ387" s="264"/>
      <c r="AK387" s="264"/>
      <c r="AL387" s="264"/>
      <c r="AM387" s="264"/>
      <c r="AN387" s="264"/>
      <c r="AO387" s="264"/>
      <c r="AP387" s="264"/>
      <c r="AQ387" s="264"/>
      <c r="AR387" s="264"/>
      <c r="AS387" s="264"/>
      <c r="AT387" s="264"/>
      <c r="AU387" s="264"/>
      <c r="AV387" s="264"/>
      <c r="AW387" s="264"/>
      <c r="AX387" s="264"/>
      <c r="AY387" s="264"/>
      <c r="AZ387" s="264"/>
      <c r="BA387" s="264"/>
    </row>
    <row r="388" spans="1:53" x14ac:dyDescent="0.15">
      <c r="A388" s="264"/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3"/>
      <c r="AI388" s="264"/>
      <c r="AJ388" s="264"/>
      <c r="AK388" s="264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</row>
    <row r="389" spans="1:53" x14ac:dyDescent="0.15">
      <c r="A389" s="339" t="s">
        <v>67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3"/>
      <c r="AI389" s="264"/>
      <c r="AJ389" s="264"/>
      <c r="AK389" s="264"/>
      <c r="AL389" s="264"/>
      <c r="AM389" s="264"/>
      <c r="AN389" s="264"/>
      <c r="AO389" s="264"/>
      <c r="AP389" s="264"/>
      <c r="AQ389" s="264"/>
      <c r="AR389" s="264"/>
      <c r="AS389" s="264"/>
      <c r="AT389" s="264"/>
      <c r="AU389" s="264"/>
      <c r="AV389" s="264"/>
      <c r="AW389" s="264"/>
      <c r="AX389" s="264"/>
      <c r="AY389" s="264"/>
      <c r="AZ389" s="264"/>
      <c r="BA389" s="264"/>
    </row>
    <row r="390" spans="1:53" x14ac:dyDescent="0.15">
      <c r="A390" s="264"/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3"/>
      <c r="AI390" s="264"/>
      <c r="AJ390" s="264"/>
      <c r="AK390" s="264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</row>
    <row r="391" spans="1:53" x14ac:dyDescent="0.15">
      <c r="A391" s="264" t="s">
        <v>68</v>
      </c>
      <c r="B391" s="264"/>
      <c r="C391" s="264">
        <f>66758+1538</f>
        <v>68296</v>
      </c>
      <c r="D391" s="264">
        <f>19497+13274</f>
        <v>32771</v>
      </c>
      <c r="E391" s="264">
        <f>86323+19497</f>
        <v>105820</v>
      </c>
      <c r="F391" s="264">
        <v>5029</v>
      </c>
      <c r="G391" s="264">
        <v>3614</v>
      </c>
      <c r="H391" s="264"/>
      <c r="I391" s="264"/>
      <c r="J391" s="264"/>
      <c r="K391" s="264">
        <v>391</v>
      </c>
      <c r="L391" s="264">
        <v>3791</v>
      </c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  <c r="AA391" s="264"/>
      <c r="AB391" s="264"/>
      <c r="AC391" s="264"/>
      <c r="AD391" s="264"/>
      <c r="AE391" s="264"/>
      <c r="AF391" s="264"/>
      <c r="AG391" s="264"/>
      <c r="AH391" s="263"/>
      <c r="AI391" s="264"/>
      <c r="AJ391" s="264"/>
      <c r="AK391" s="264"/>
      <c r="AL391" s="264"/>
      <c r="AM391" s="264"/>
      <c r="AN391" s="264"/>
      <c r="AO391" s="264"/>
      <c r="AP391" s="264"/>
      <c r="AQ391" s="264"/>
      <c r="AR391" s="264"/>
      <c r="AS391" s="264"/>
      <c r="AT391" s="264"/>
      <c r="AU391" s="264"/>
      <c r="AV391" s="264"/>
      <c r="AW391" s="264"/>
      <c r="AX391" s="264"/>
      <c r="AY391" s="264"/>
      <c r="AZ391" s="264"/>
      <c r="BA391" s="264"/>
    </row>
    <row r="392" spans="1:53" x14ac:dyDescent="0.15">
      <c r="A392" s="264"/>
      <c r="B392" s="264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  <c r="AA392" s="264"/>
      <c r="AB392" s="264"/>
      <c r="AC392" s="264"/>
      <c r="AD392" s="264"/>
      <c r="AE392" s="264"/>
      <c r="AF392" s="264"/>
      <c r="AG392" s="264"/>
      <c r="AH392" s="263"/>
      <c r="AI392" s="264"/>
      <c r="AJ392" s="264"/>
      <c r="AK392" s="264"/>
      <c r="AL392" s="264"/>
      <c r="AM392" s="264"/>
      <c r="AN392" s="264"/>
      <c r="AO392" s="264"/>
      <c r="AP392" s="264"/>
      <c r="AQ392" s="264"/>
      <c r="AR392" s="264"/>
      <c r="AS392" s="264"/>
      <c r="AT392" s="264"/>
      <c r="AU392" s="264"/>
      <c r="AV392" s="264"/>
      <c r="AW392" s="264"/>
      <c r="AX392" s="264"/>
      <c r="AY392" s="264"/>
      <c r="AZ392" s="264"/>
      <c r="BA392" s="264"/>
    </row>
    <row r="393" spans="1:53" x14ac:dyDescent="0.15">
      <c r="A393" s="264"/>
      <c r="B393" s="264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  <c r="AA393" s="264"/>
      <c r="AB393" s="264"/>
      <c r="AC393" s="264"/>
      <c r="AD393" s="264"/>
      <c r="AE393" s="264"/>
      <c r="AF393" s="264"/>
      <c r="AG393" s="264"/>
      <c r="AH393" s="263"/>
      <c r="AI393" s="264"/>
      <c r="AJ393" s="264"/>
      <c r="AK393" s="264"/>
      <c r="AL393" s="264"/>
      <c r="AM393" s="264"/>
      <c r="AN393" s="264"/>
      <c r="AO393" s="264"/>
      <c r="AP393" s="264"/>
      <c r="AQ393" s="264"/>
      <c r="AR393" s="264"/>
      <c r="AS393" s="264"/>
      <c r="AT393" s="264"/>
      <c r="AU393" s="264"/>
      <c r="AV393" s="264"/>
      <c r="AW393" s="264"/>
      <c r="AX393" s="264"/>
      <c r="AY393" s="264"/>
      <c r="AZ393" s="264"/>
      <c r="BA393" s="264"/>
    </row>
    <row r="394" spans="1:53" x14ac:dyDescent="0.15">
      <c r="A394" s="264"/>
      <c r="B394" s="264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  <c r="AA394" s="264"/>
      <c r="AB394" s="264"/>
      <c r="AC394" s="264"/>
      <c r="AD394" s="264"/>
      <c r="AE394" s="264"/>
      <c r="AF394" s="264"/>
      <c r="AG394" s="264"/>
      <c r="AH394" s="263"/>
      <c r="AI394" s="264"/>
      <c r="AJ394" s="264"/>
      <c r="AK394" s="264"/>
      <c r="AL394" s="264"/>
      <c r="AM394" s="264"/>
      <c r="AN394" s="264"/>
      <c r="AO394" s="264"/>
      <c r="AP394" s="264"/>
      <c r="AQ394" s="264"/>
      <c r="AR394" s="264"/>
      <c r="AS394" s="264"/>
      <c r="AT394" s="264"/>
      <c r="AU394" s="264"/>
      <c r="AV394" s="264"/>
      <c r="AW394" s="264"/>
      <c r="AX394" s="264"/>
      <c r="AY394" s="264"/>
      <c r="AZ394" s="264"/>
      <c r="BA394" s="264"/>
    </row>
    <row r="395" spans="1:53" x14ac:dyDescent="0.15">
      <c r="A395" s="264"/>
      <c r="B395" s="264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  <c r="AA395" s="264"/>
      <c r="AB395" s="264"/>
      <c r="AC395" s="264"/>
      <c r="AD395" s="264"/>
      <c r="AE395" s="264"/>
      <c r="AF395" s="264"/>
      <c r="AG395" s="264"/>
      <c r="AH395" s="263"/>
      <c r="AI395" s="264"/>
      <c r="AJ395" s="264"/>
      <c r="AK395" s="264"/>
      <c r="AL395" s="264"/>
      <c r="AM395" s="264"/>
      <c r="AN395" s="264"/>
      <c r="AO395" s="264"/>
      <c r="AP395" s="264"/>
      <c r="AQ395" s="264"/>
      <c r="AR395" s="264"/>
      <c r="AS395" s="264"/>
      <c r="AT395" s="264"/>
      <c r="AU395" s="264"/>
      <c r="AV395" s="264"/>
      <c r="AW395" s="264"/>
      <c r="AX395" s="264"/>
      <c r="AY395" s="264"/>
      <c r="AZ395" s="264"/>
      <c r="BA395" s="264"/>
    </row>
    <row r="396" spans="1:53" x14ac:dyDescent="0.15">
      <c r="A396" s="264"/>
      <c r="B396" s="264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  <c r="AA396" s="264"/>
      <c r="AB396" s="264"/>
      <c r="AC396" s="264"/>
      <c r="AD396" s="264"/>
      <c r="AE396" s="264"/>
      <c r="AF396" s="264"/>
      <c r="AG396" s="264"/>
      <c r="AH396" s="263"/>
      <c r="AI396" s="264"/>
      <c r="AJ396" s="264"/>
      <c r="AK396" s="264"/>
      <c r="AL396" s="264"/>
      <c r="AM396" s="264"/>
      <c r="AN396" s="264"/>
      <c r="AO396" s="264"/>
      <c r="AP396" s="264"/>
      <c r="AQ396" s="264"/>
      <c r="AR396" s="264"/>
      <c r="AS396" s="264"/>
      <c r="AT396" s="264"/>
      <c r="AU396" s="264"/>
      <c r="AV396" s="264"/>
      <c r="AW396" s="264"/>
      <c r="AX396" s="264"/>
      <c r="AY396" s="264"/>
      <c r="AZ396" s="264"/>
      <c r="BA396" s="264"/>
    </row>
    <row r="397" spans="1:53" x14ac:dyDescent="0.15">
      <c r="A397" s="264"/>
      <c r="B397" s="264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  <c r="AA397" s="264"/>
      <c r="AB397" s="264"/>
      <c r="AC397" s="264"/>
      <c r="AD397" s="264"/>
      <c r="AE397" s="264"/>
      <c r="AF397" s="264"/>
      <c r="AG397" s="264"/>
      <c r="AH397" s="263"/>
      <c r="AI397" s="264"/>
      <c r="AJ397" s="264"/>
      <c r="AK397" s="264"/>
      <c r="AL397" s="264"/>
      <c r="AM397" s="264"/>
      <c r="AN397" s="264"/>
      <c r="AO397" s="264"/>
      <c r="AP397" s="264"/>
      <c r="AQ397" s="264"/>
      <c r="AR397" s="264"/>
      <c r="AS397" s="264"/>
      <c r="AT397" s="264"/>
      <c r="AU397" s="264"/>
      <c r="AV397" s="264"/>
      <c r="AW397" s="264"/>
      <c r="AX397" s="264"/>
      <c r="AY397" s="264"/>
      <c r="AZ397" s="264"/>
      <c r="BA397" s="264"/>
    </row>
    <row r="398" spans="1:53" x14ac:dyDescent="0.15">
      <c r="A398" s="264"/>
      <c r="B398" s="264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  <c r="AA398" s="264"/>
      <c r="AB398" s="264"/>
      <c r="AC398" s="264"/>
      <c r="AD398" s="264"/>
      <c r="AE398" s="264"/>
      <c r="AF398" s="264"/>
      <c r="AG398" s="264"/>
      <c r="AH398" s="263"/>
      <c r="AI398" s="264"/>
      <c r="AJ398" s="264"/>
      <c r="AK398" s="264"/>
      <c r="AL398" s="264"/>
      <c r="AM398" s="264"/>
      <c r="AN398" s="264"/>
      <c r="AO398" s="264"/>
      <c r="AP398" s="264"/>
      <c r="AQ398" s="264"/>
      <c r="AR398" s="264"/>
      <c r="AS398" s="264"/>
      <c r="AT398" s="264"/>
      <c r="AU398" s="264"/>
      <c r="AV398" s="264"/>
      <c r="AW398" s="264"/>
      <c r="AX398" s="264"/>
      <c r="AY398" s="264"/>
      <c r="AZ398" s="264"/>
      <c r="BA398" s="264"/>
    </row>
    <row r="399" spans="1:53" x14ac:dyDescent="0.15">
      <c r="A399" s="264"/>
      <c r="B399" s="264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  <c r="AA399" s="264"/>
      <c r="AB399" s="264"/>
      <c r="AC399" s="264"/>
      <c r="AD399" s="264"/>
      <c r="AE399" s="264"/>
      <c r="AF399" s="264"/>
      <c r="AG399" s="264"/>
      <c r="AH399" s="263"/>
      <c r="AI399" s="264"/>
      <c r="AJ399" s="264"/>
      <c r="AK399" s="264"/>
      <c r="AL399" s="264"/>
      <c r="AM399" s="264"/>
      <c r="AN399" s="264"/>
      <c r="AO399" s="264"/>
      <c r="AP399" s="264"/>
      <c r="AQ399" s="264"/>
      <c r="AR399" s="264"/>
      <c r="AS399" s="264"/>
      <c r="AT399" s="264"/>
      <c r="AU399" s="264"/>
      <c r="AV399" s="264"/>
      <c r="AW399" s="264"/>
      <c r="AX399" s="264"/>
      <c r="AY399" s="264"/>
      <c r="AZ399" s="264"/>
      <c r="BA399" s="264"/>
    </row>
    <row r="400" spans="1:53" x14ac:dyDescent="0.15">
      <c r="A400" s="264"/>
      <c r="B400" s="264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  <c r="AA400" s="264"/>
      <c r="AB400" s="264"/>
      <c r="AC400" s="264"/>
      <c r="AD400" s="264"/>
      <c r="AE400" s="264"/>
      <c r="AF400" s="264"/>
      <c r="AG400" s="264"/>
      <c r="AH400" s="263"/>
      <c r="AI400" s="264"/>
      <c r="AJ400" s="264"/>
      <c r="AK400" s="264"/>
      <c r="AL400" s="264"/>
      <c r="AM400" s="264"/>
      <c r="AN400" s="264"/>
      <c r="AO400" s="264"/>
      <c r="AP400" s="264"/>
      <c r="AQ400" s="264"/>
      <c r="AR400" s="264"/>
      <c r="AS400" s="264"/>
      <c r="AT400" s="264"/>
      <c r="AU400" s="264"/>
      <c r="AV400" s="264"/>
      <c r="AW400" s="264"/>
      <c r="AX400" s="264"/>
      <c r="AY400" s="264"/>
      <c r="AZ400" s="264"/>
      <c r="BA400" s="264"/>
    </row>
    <row r="401" spans="1:53" x14ac:dyDescent="0.15">
      <c r="A401" s="264"/>
      <c r="B401" s="264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  <c r="AA401" s="264"/>
      <c r="AB401" s="264"/>
      <c r="AC401" s="264"/>
      <c r="AD401" s="264"/>
      <c r="AE401" s="264"/>
      <c r="AF401" s="264"/>
      <c r="AG401" s="264"/>
      <c r="AH401" s="263"/>
      <c r="AI401" s="264"/>
      <c r="AJ401" s="264"/>
      <c r="AK401" s="264"/>
      <c r="AL401" s="264"/>
      <c r="AM401" s="264"/>
      <c r="AN401" s="264"/>
      <c r="AO401" s="264"/>
      <c r="AP401" s="264"/>
      <c r="AQ401" s="264"/>
      <c r="AR401" s="264"/>
      <c r="AS401" s="264"/>
      <c r="AT401" s="264"/>
      <c r="AU401" s="264"/>
      <c r="AV401" s="264"/>
      <c r="AW401" s="264"/>
      <c r="AX401" s="264"/>
      <c r="AY401" s="264"/>
      <c r="AZ401" s="264"/>
      <c r="BA401" s="264"/>
    </row>
    <row r="402" spans="1:53" x14ac:dyDescent="0.15">
      <c r="A402" s="264"/>
      <c r="B402" s="264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  <c r="AA402" s="264"/>
      <c r="AB402" s="264"/>
      <c r="AC402" s="264"/>
      <c r="AD402" s="264"/>
      <c r="AE402" s="264"/>
      <c r="AF402" s="264"/>
      <c r="AG402" s="264"/>
      <c r="AH402" s="263"/>
      <c r="AI402" s="264"/>
      <c r="AJ402" s="264"/>
      <c r="AK402" s="264"/>
      <c r="AL402" s="264"/>
      <c r="AM402" s="264"/>
      <c r="AN402" s="264"/>
      <c r="AO402" s="264"/>
      <c r="AP402" s="264"/>
      <c r="AQ402" s="264"/>
      <c r="AR402" s="264"/>
      <c r="AS402" s="264"/>
      <c r="AT402" s="264"/>
      <c r="AU402" s="264"/>
      <c r="AV402" s="264"/>
      <c r="AW402" s="264"/>
      <c r="AX402" s="264"/>
      <c r="AY402" s="264"/>
      <c r="AZ402" s="264"/>
      <c r="BA402" s="264"/>
    </row>
    <row r="403" spans="1:53" x14ac:dyDescent="0.15">
      <c r="A403" s="264"/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  <c r="AA403" s="264"/>
      <c r="AB403" s="264"/>
      <c r="AC403" s="264"/>
      <c r="AD403" s="264"/>
      <c r="AE403" s="264"/>
      <c r="AF403" s="264"/>
      <c r="AG403" s="264"/>
      <c r="AH403" s="263"/>
      <c r="AI403" s="264"/>
      <c r="AJ403" s="264"/>
      <c r="AK403" s="264"/>
      <c r="AL403" s="264"/>
      <c r="AM403" s="264"/>
      <c r="AN403" s="264"/>
      <c r="AO403" s="264"/>
      <c r="AP403" s="264"/>
      <c r="AQ403" s="264"/>
      <c r="AR403" s="264"/>
      <c r="AS403" s="264"/>
      <c r="AT403" s="264"/>
      <c r="AU403" s="264"/>
      <c r="AV403" s="264"/>
      <c r="AW403" s="264"/>
      <c r="AX403" s="264"/>
      <c r="AY403" s="264"/>
      <c r="AZ403" s="264"/>
      <c r="BA403" s="264"/>
    </row>
    <row r="404" spans="1:53" x14ac:dyDescent="0.15">
      <c r="A404" s="264"/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3"/>
      <c r="AI404" s="264"/>
      <c r="AJ404" s="264"/>
      <c r="AK404" s="264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</row>
    <row r="405" spans="1:53" x14ac:dyDescent="0.15">
      <c r="A405" s="264"/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3"/>
      <c r="AI405" s="264"/>
      <c r="AJ405" s="264"/>
      <c r="AK405" s="264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</row>
    <row r="406" spans="1:53" x14ac:dyDescent="0.15">
      <c r="A406" s="264"/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3"/>
      <c r="AI406" s="264"/>
      <c r="AJ406" s="264"/>
      <c r="AK406" s="264"/>
      <c r="AL406" s="264"/>
      <c r="AM406" s="264"/>
      <c r="AN406" s="264"/>
      <c r="AO406" s="264"/>
      <c r="AP406" s="264"/>
      <c r="AQ406" s="264"/>
      <c r="AR406" s="264"/>
      <c r="AS406" s="264"/>
      <c r="AT406" s="264"/>
      <c r="AU406" s="264"/>
      <c r="AV406" s="264"/>
      <c r="AW406" s="264"/>
      <c r="AX406" s="264"/>
      <c r="AY406" s="264"/>
      <c r="AZ406" s="264"/>
      <c r="BA406" s="264"/>
    </row>
    <row r="407" spans="1:53" x14ac:dyDescent="0.15">
      <c r="A407" s="264"/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3"/>
      <c r="AI407" s="264"/>
      <c r="AJ407" s="264"/>
      <c r="AK407" s="264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</row>
    <row r="408" spans="1:53" x14ac:dyDescent="0.15">
      <c r="A408" s="264"/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3"/>
      <c r="AI408" s="264"/>
      <c r="AJ408" s="264"/>
      <c r="AK408" s="264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</row>
    <row r="409" spans="1:53" x14ac:dyDescent="0.15">
      <c r="A409" s="264"/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3"/>
      <c r="AI409" s="264"/>
      <c r="AJ409" s="264"/>
      <c r="AK409" s="264"/>
      <c r="AL409" s="264"/>
      <c r="AM409" s="264"/>
      <c r="AN409" s="264"/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</row>
    <row r="410" spans="1:53" x14ac:dyDescent="0.15">
      <c r="A410" s="264"/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3"/>
      <c r="AI410" s="264"/>
      <c r="AJ410" s="264"/>
      <c r="AK410" s="264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</row>
    <row r="411" spans="1:53" x14ac:dyDescent="0.15">
      <c r="A411" s="264"/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3"/>
      <c r="AI411" s="264"/>
      <c r="AJ411" s="264"/>
      <c r="AK411" s="264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</row>
    <row r="412" spans="1:53" x14ac:dyDescent="0.15">
      <c r="A412" s="264"/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3"/>
      <c r="AI412" s="264"/>
      <c r="AJ412" s="264"/>
      <c r="AK412" s="264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</row>
    <row r="413" spans="1:53" x14ac:dyDescent="0.15">
      <c r="A413" s="264"/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3"/>
      <c r="AI413" s="264"/>
      <c r="AJ413" s="264"/>
      <c r="AK413" s="264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</row>
    <row r="414" spans="1:53" x14ac:dyDescent="0.15">
      <c r="A414" s="264"/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3"/>
      <c r="AI414" s="264"/>
      <c r="AJ414" s="264"/>
      <c r="AK414" s="264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</row>
    <row r="415" spans="1:53" x14ac:dyDescent="0.15">
      <c r="A415" s="264"/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3"/>
      <c r="AI415" s="264"/>
      <c r="AJ415" s="264"/>
      <c r="AK415" s="264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</row>
    <row r="416" spans="1:53" x14ac:dyDescent="0.15">
      <c r="A416" s="264"/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3"/>
      <c r="AI416" s="264"/>
      <c r="AJ416" s="264"/>
      <c r="AK416" s="264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</row>
    <row r="417" spans="1:53" x14ac:dyDescent="0.15">
      <c r="A417" s="264"/>
      <c r="B417" s="264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  <c r="AA417" s="264"/>
      <c r="AB417" s="264"/>
      <c r="AC417" s="264"/>
      <c r="AD417" s="264"/>
      <c r="AE417" s="264"/>
      <c r="AF417" s="264"/>
      <c r="AG417" s="264"/>
      <c r="AH417" s="263"/>
      <c r="AI417" s="264"/>
      <c r="AJ417" s="264"/>
      <c r="AK417" s="264"/>
      <c r="AL417" s="264"/>
      <c r="AM417" s="264"/>
      <c r="AN417" s="264"/>
      <c r="AO417" s="264"/>
      <c r="AP417" s="264"/>
      <c r="AQ417" s="264"/>
      <c r="AR417" s="264"/>
      <c r="AS417" s="264"/>
      <c r="AT417" s="264"/>
      <c r="AU417" s="264"/>
      <c r="AV417" s="264"/>
      <c r="AW417" s="264"/>
      <c r="AX417" s="264"/>
      <c r="AY417" s="264"/>
      <c r="AZ417" s="264"/>
      <c r="BA417" s="264"/>
    </row>
    <row r="418" spans="1:53" x14ac:dyDescent="0.15">
      <c r="A418" s="264"/>
      <c r="B418" s="264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  <c r="AA418" s="264"/>
      <c r="AB418" s="264"/>
      <c r="AC418" s="264"/>
      <c r="AD418" s="264"/>
      <c r="AE418" s="264"/>
      <c r="AF418" s="264"/>
      <c r="AG418" s="264"/>
      <c r="AH418" s="263"/>
      <c r="AI418" s="264"/>
      <c r="AJ418" s="264"/>
      <c r="AK418" s="264"/>
      <c r="AL418" s="264"/>
      <c r="AM418" s="264"/>
      <c r="AN418" s="264"/>
      <c r="AO418" s="264"/>
      <c r="AP418" s="264"/>
      <c r="AQ418" s="264"/>
      <c r="AR418" s="264"/>
      <c r="AS418" s="264"/>
      <c r="AT418" s="264"/>
      <c r="AU418" s="264"/>
      <c r="AV418" s="264"/>
      <c r="AW418" s="264"/>
      <c r="AX418" s="264"/>
      <c r="AY418" s="264"/>
      <c r="AZ418" s="264"/>
      <c r="BA418" s="264"/>
    </row>
    <row r="419" spans="1:53" x14ac:dyDescent="0.15">
      <c r="A419" s="264"/>
      <c r="B419" s="264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  <c r="AA419" s="264"/>
      <c r="AB419" s="264"/>
      <c r="AC419" s="264"/>
      <c r="AD419" s="264"/>
      <c r="AE419" s="264"/>
      <c r="AF419" s="264"/>
      <c r="AG419" s="264"/>
      <c r="AH419" s="263"/>
      <c r="AI419" s="264"/>
      <c r="AJ419" s="264"/>
      <c r="AK419" s="264"/>
      <c r="AL419" s="264"/>
      <c r="AM419" s="264"/>
      <c r="AN419" s="264"/>
      <c r="AO419" s="264"/>
      <c r="AP419" s="264"/>
      <c r="AQ419" s="264"/>
      <c r="AR419" s="264"/>
      <c r="AS419" s="264"/>
      <c r="AT419" s="264"/>
      <c r="AU419" s="264"/>
      <c r="AV419" s="264"/>
      <c r="AW419" s="264"/>
      <c r="AX419" s="264"/>
      <c r="AY419" s="264"/>
      <c r="AZ419" s="264"/>
      <c r="BA419" s="264"/>
    </row>
    <row r="420" spans="1:53" x14ac:dyDescent="0.15">
      <c r="A420" s="264"/>
      <c r="B420" s="264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  <c r="AA420" s="264"/>
      <c r="AB420" s="264"/>
      <c r="AC420" s="264"/>
      <c r="AD420" s="264"/>
      <c r="AE420" s="264"/>
      <c r="AF420" s="264"/>
      <c r="AG420" s="264"/>
      <c r="AH420" s="263"/>
      <c r="AI420" s="264"/>
      <c r="AJ420" s="264"/>
      <c r="AK420" s="264"/>
      <c r="AL420" s="264"/>
      <c r="AM420" s="264"/>
      <c r="AN420" s="264"/>
      <c r="AO420" s="264"/>
      <c r="AP420" s="264"/>
      <c r="AQ420" s="264"/>
      <c r="AR420" s="264"/>
      <c r="AS420" s="264"/>
      <c r="AT420" s="264"/>
      <c r="AU420" s="264"/>
      <c r="AV420" s="264"/>
      <c r="AW420" s="264"/>
      <c r="AX420" s="264"/>
      <c r="AY420" s="264"/>
      <c r="AZ420" s="264"/>
      <c r="BA420" s="264"/>
    </row>
    <row r="421" spans="1:53" x14ac:dyDescent="0.15">
      <c r="A421" s="264"/>
      <c r="B421" s="264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  <c r="AA421" s="264"/>
      <c r="AB421" s="264"/>
      <c r="AC421" s="264"/>
      <c r="AD421" s="264"/>
      <c r="AE421" s="264"/>
      <c r="AF421" s="264"/>
      <c r="AG421" s="264"/>
      <c r="AH421" s="263"/>
      <c r="AI421" s="264"/>
      <c r="AJ421" s="264"/>
      <c r="AK421" s="264"/>
      <c r="AL421" s="264"/>
      <c r="AM421" s="264"/>
      <c r="AN421" s="264"/>
      <c r="AO421" s="264"/>
      <c r="AP421" s="264"/>
      <c r="AQ421" s="264"/>
      <c r="AR421" s="264"/>
      <c r="AS421" s="264"/>
      <c r="AT421" s="264"/>
      <c r="AU421" s="264"/>
      <c r="AV421" s="264"/>
      <c r="AW421" s="264"/>
      <c r="AX421" s="264"/>
      <c r="AY421" s="264"/>
      <c r="AZ421" s="264"/>
      <c r="BA421" s="264"/>
    </row>
    <row r="422" spans="1:53" x14ac:dyDescent="0.15">
      <c r="A422" s="264"/>
      <c r="B422" s="264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  <c r="AA422" s="264"/>
      <c r="AB422" s="264"/>
      <c r="AC422" s="264"/>
      <c r="AD422" s="264"/>
      <c r="AE422" s="264"/>
      <c r="AF422" s="264"/>
      <c r="AG422" s="264"/>
      <c r="AH422" s="263"/>
      <c r="AI422" s="264"/>
      <c r="AJ422" s="264"/>
      <c r="AK422" s="264"/>
      <c r="AL422" s="264"/>
      <c r="AM422" s="264"/>
      <c r="AN422" s="264"/>
      <c r="AO422" s="264"/>
      <c r="AP422" s="264"/>
      <c r="AQ422" s="264"/>
      <c r="AR422" s="264"/>
      <c r="AS422" s="264"/>
      <c r="AT422" s="264"/>
      <c r="AU422" s="264"/>
      <c r="AV422" s="264"/>
      <c r="AW422" s="264"/>
      <c r="AX422" s="264"/>
      <c r="AY422" s="264"/>
      <c r="AZ422" s="264"/>
      <c r="BA422" s="264"/>
    </row>
    <row r="423" spans="1:53" x14ac:dyDescent="0.15">
      <c r="A423" s="264"/>
      <c r="B423" s="264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  <c r="AA423" s="264"/>
      <c r="AB423" s="264"/>
      <c r="AC423" s="264"/>
      <c r="AD423" s="264"/>
      <c r="AE423" s="264"/>
      <c r="AF423" s="264"/>
      <c r="AG423" s="264"/>
      <c r="AH423" s="263"/>
      <c r="AI423" s="264"/>
      <c r="AJ423" s="264"/>
      <c r="AK423" s="264"/>
      <c r="AL423" s="264"/>
      <c r="AM423" s="264"/>
      <c r="AN423" s="264"/>
      <c r="AO423" s="264"/>
      <c r="AP423" s="264"/>
      <c r="AQ423" s="264"/>
      <c r="AR423" s="264"/>
      <c r="AS423" s="264"/>
      <c r="AT423" s="264"/>
      <c r="AU423" s="264"/>
      <c r="AV423" s="264"/>
      <c r="AW423" s="264"/>
      <c r="AX423" s="264"/>
      <c r="AY423" s="264"/>
      <c r="AZ423" s="264"/>
      <c r="BA423" s="264"/>
    </row>
    <row r="424" spans="1:53" x14ac:dyDescent="0.15">
      <c r="A424" s="264"/>
      <c r="B424" s="264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  <c r="AA424" s="264"/>
      <c r="AB424" s="264"/>
      <c r="AC424" s="264"/>
      <c r="AD424" s="264"/>
      <c r="AE424" s="264"/>
      <c r="AF424" s="264"/>
      <c r="AG424" s="264"/>
      <c r="AH424" s="263"/>
      <c r="AI424" s="264"/>
      <c r="AJ424" s="264"/>
      <c r="AK424" s="264"/>
      <c r="AL424" s="264"/>
      <c r="AM424" s="264"/>
      <c r="AN424" s="264"/>
      <c r="AO424" s="264"/>
      <c r="AP424" s="264"/>
      <c r="AQ424" s="264"/>
      <c r="AR424" s="264"/>
      <c r="AS424" s="264"/>
      <c r="AT424" s="264"/>
      <c r="AU424" s="264"/>
      <c r="AV424" s="264"/>
      <c r="AW424" s="264"/>
      <c r="AX424" s="264"/>
      <c r="AY424" s="264"/>
      <c r="AZ424" s="264"/>
      <c r="BA424" s="264"/>
    </row>
    <row r="425" spans="1:53" x14ac:dyDescent="0.15">
      <c r="A425" s="264"/>
      <c r="B425" s="264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  <c r="AA425" s="264"/>
      <c r="AB425" s="264"/>
      <c r="AC425" s="264"/>
      <c r="AD425" s="264"/>
      <c r="AE425" s="264"/>
      <c r="AF425" s="264"/>
      <c r="AG425" s="264"/>
      <c r="AH425" s="263"/>
      <c r="AI425" s="264"/>
      <c r="AJ425" s="264"/>
      <c r="AK425" s="264"/>
      <c r="AL425" s="264"/>
      <c r="AM425" s="264"/>
      <c r="AN425" s="264"/>
      <c r="AO425" s="264"/>
      <c r="AP425" s="264"/>
      <c r="AQ425" s="264"/>
      <c r="AR425" s="264"/>
      <c r="AS425" s="264"/>
      <c r="AT425" s="264"/>
      <c r="AU425" s="264"/>
      <c r="AV425" s="264"/>
      <c r="AW425" s="264"/>
      <c r="AX425" s="264"/>
      <c r="AY425" s="264"/>
      <c r="AZ425" s="264"/>
      <c r="BA425" s="264"/>
    </row>
    <row r="426" spans="1:53" x14ac:dyDescent="0.15">
      <c r="A426" s="264"/>
      <c r="B426" s="264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  <c r="AA426" s="264"/>
      <c r="AB426" s="264"/>
      <c r="AC426" s="264"/>
      <c r="AD426" s="264"/>
      <c r="AE426" s="264"/>
      <c r="AF426" s="264"/>
      <c r="AG426" s="264"/>
      <c r="AH426" s="263"/>
      <c r="AI426" s="264"/>
      <c r="AJ426" s="264"/>
      <c r="AK426" s="264"/>
      <c r="AL426" s="264"/>
      <c r="AM426" s="264"/>
      <c r="AN426" s="264"/>
      <c r="AO426" s="264"/>
      <c r="AP426" s="264"/>
      <c r="AQ426" s="264"/>
      <c r="AR426" s="264"/>
      <c r="AS426" s="264"/>
      <c r="AT426" s="264"/>
      <c r="AU426" s="264"/>
      <c r="AV426" s="264"/>
      <c r="AW426" s="264"/>
      <c r="AX426" s="264"/>
      <c r="AY426" s="264"/>
      <c r="AZ426" s="264"/>
      <c r="BA426" s="264"/>
    </row>
    <row r="427" spans="1:53" x14ac:dyDescent="0.15">
      <c r="A427" s="264"/>
      <c r="B427" s="264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  <c r="AA427" s="264"/>
      <c r="AB427" s="264"/>
      <c r="AC427" s="264"/>
      <c r="AD427" s="264"/>
      <c r="AE427" s="264"/>
      <c r="AF427" s="264"/>
      <c r="AG427" s="264"/>
      <c r="AH427" s="263"/>
      <c r="AI427" s="264"/>
      <c r="AJ427" s="264"/>
      <c r="AK427" s="264"/>
      <c r="AL427" s="264"/>
      <c r="AM427" s="264"/>
      <c r="AN427" s="264"/>
      <c r="AO427" s="264"/>
      <c r="AP427" s="264"/>
      <c r="AQ427" s="264"/>
      <c r="AR427" s="264"/>
      <c r="AS427" s="264"/>
      <c r="AT427" s="264"/>
      <c r="AU427" s="264"/>
      <c r="AV427" s="264"/>
      <c r="AW427" s="264"/>
      <c r="AX427" s="264"/>
      <c r="AY427" s="264"/>
      <c r="AZ427" s="264"/>
      <c r="BA427" s="264"/>
    </row>
    <row r="428" spans="1:53" x14ac:dyDescent="0.15">
      <c r="A428" s="264"/>
      <c r="B428" s="264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  <c r="AA428" s="264"/>
      <c r="AB428" s="264"/>
      <c r="AC428" s="264"/>
      <c r="AD428" s="264"/>
      <c r="AE428" s="264"/>
      <c r="AF428" s="264"/>
      <c r="AG428" s="264"/>
      <c r="AH428" s="263"/>
      <c r="AI428" s="264"/>
      <c r="AJ428" s="264"/>
      <c r="AK428" s="264"/>
      <c r="AL428" s="264"/>
      <c r="AM428" s="264"/>
      <c r="AN428" s="264"/>
      <c r="AO428" s="264"/>
      <c r="AP428" s="264"/>
      <c r="AQ428" s="264"/>
      <c r="AR428" s="264"/>
      <c r="AS428" s="264"/>
      <c r="AT428" s="264"/>
      <c r="AU428" s="264"/>
      <c r="AV428" s="264"/>
      <c r="AW428" s="264"/>
      <c r="AX428" s="264"/>
      <c r="AY428" s="264"/>
      <c r="AZ428" s="264"/>
      <c r="BA428" s="264"/>
    </row>
    <row r="429" spans="1:53" x14ac:dyDescent="0.15">
      <c r="A429" s="264"/>
      <c r="B429" s="264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  <c r="AA429" s="264"/>
      <c r="AB429" s="264"/>
      <c r="AC429" s="264"/>
      <c r="AD429" s="264"/>
      <c r="AE429" s="264"/>
      <c r="AF429" s="264"/>
      <c r="AG429" s="264"/>
      <c r="AH429" s="263"/>
      <c r="AI429" s="264"/>
      <c r="AJ429" s="264"/>
      <c r="AK429" s="264"/>
      <c r="AL429" s="264"/>
      <c r="AM429" s="264"/>
      <c r="AN429" s="264"/>
      <c r="AO429" s="264"/>
      <c r="AP429" s="264"/>
      <c r="AQ429" s="264"/>
      <c r="AR429" s="264"/>
      <c r="AS429" s="264"/>
      <c r="AT429" s="264"/>
      <c r="AU429" s="264"/>
      <c r="AV429" s="264"/>
      <c r="AW429" s="264"/>
      <c r="AX429" s="264"/>
      <c r="AY429" s="264"/>
      <c r="AZ429" s="264"/>
      <c r="BA429" s="264"/>
    </row>
    <row r="430" spans="1:53" x14ac:dyDescent="0.15">
      <c r="A430" s="264"/>
      <c r="B430" s="264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  <c r="AA430" s="264"/>
      <c r="AB430" s="264"/>
      <c r="AC430" s="264"/>
      <c r="AD430" s="264"/>
      <c r="AE430" s="264"/>
      <c r="AF430" s="264"/>
      <c r="AG430" s="264"/>
      <c r="AH430" s="263"/>
      <c r="AI430" s="264"/>
      <c r="AJ430" s="264"/>
      <c r="AK430" s="264"/>
      <c r="AL430" s="264"/>
      <c r="AM430" s="264"/>
      <c r="AN430" s="264"/>
      <c r="AO430" s="264"/>
      <c r="AP430" s="264"/>
      <c r="AQ430" s="264"/>
      <c r="AR430" s="264"/>
      <c r="AS430" s="264"/>
      <c r="AT430" s="264"/>
      <c r="AU430" s="264"/>
      <c r="AV430" s="264"/>
      <c r="AW430" s="264"/>
      <c r="AX430" s="264"/>
      <c r="AY430" s="264"/>
      <c r="AZ430" s="264"/>
      <c r="BA430" s="264"/>
    </row>
    <row r="431" spans="1:53" x14ac:dyDescent="0.15">
      <c r="A431" s="264"/>
      <c r="B431" s="264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  <c r="AA431" s="264"/>
      <c r="AB431" s="264"/>
      <c r="AC431" s="264"/>
      <c r="AD431" s="264"/>
      <c r="AE431" s="264"/>
      <c r="AF431" s="264"/>
      <c r="AG431" s="264"/>
      <c r="AH431" s="263"/>
      <c r="AI431" s="264"/>
      <c r="AJ431" s="264"/>
      <c r="AK431" s="264"/>
      <c r="AL431" s="264"/>
      <c r="AM431" s="264"/>
      <c r="AN431" s="264"/>
      <c r="AO431" s="264"/>
      <c r="AP431" s="264"/>
      <c r="AQ431" s="264"/>
      <c r="AR431" s="264"/>
      <c r="AS431" s="264"/>
      <c r="AT431" s="264"/>
      <c r="AU431" s="264"/>
      <c r="AV431" s="264"/>
      <c r="AW431" s="264"/>
      <c r="AX431" s="264"/>
      <c r="AY431" s="264"/>
      <c r="AZ431" s="264"/>
      <c r="BA431" s="264"/>
    </row>
    <row r="432" spans="1:53" x14ac:dyDescent="0.15">
      <c r="A432" s="264"/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3"/>
      <c r="AI432" s="264"/>
      <c r="AJ432" s="264"/>
      <c r="AK432" s="264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</row>
    <row r="433" spans="1:53" x14ac:dyDescent="0.15">
      <c r="A433" s="264"/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3"/>
      <c r="AI433" s="264"/>
      <c r="AJ433" s="264"/>
      <c r="AK433" s="264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</row>
    <row r="434" spans="1:53" x14ac:dyDescent="0.15">
      <c r="A434" s="264"/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3"/>
      <c r="AI434" s="264"/>
      <c r="AJ434" s="264"/>
      <c r="AK434" s="264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</row>
    <row r="435" spans="1:53" x14ac:dyDescent="0.15">
      <c r="A435" s="264"/>
      <c r="B435" s="264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  <c r="AA435" s="264"/>
      <c r="AB435" s="264"/>
      <c r="AC435" s="264"/>
      <c r="AD435" s="264"/>
      <c r="AE435" s="264"/>
      <c r="AF435" s="264"/>
      <c r="AG435" s="264"/>
      <c r="AH435" s="263"/>
      <c r="AI435" s="264"/>
      <c r="AJ435" s="264"/>
      <c r="AK435" s="264"/>
      <c r="AL435" s="264"/>
      <c r="AM435" s="264"/>
      <c r="AN435" s="264"/>
      <c r="AO435" s="264"/>
      <c r="AP435" s="264"/>
      <c r="AQ435" s="264"/>
      <c r="AR435" s="264"/>
      <c r="AS435" s="264"/>
      <c r="AT435" s="264"/>
      <c r="AU435" s="264"/>
      <c r="AV435" s="264"/>
      <c r="AW435" s="264"/>
      <c r="AX435" s="264"/>
      <c r="AY435" s="264"/>
      <c r="AZ435" s="264"/>
      <c r="BA435" s="264"/>
    </row>
    <row r="436" spans="1:53" x14ac:dyDescent="0.15">
      <c r="A436" s="264"/>
      <c r="B436" s="264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  <c r="AA436" s="264"/>
      <c r="AB436" s="264"/>
      <c r="AC436" s="264"/>
      <c r="AD436" s="264"/>
      <c r="AE436" s="264"/>
      <c r="AF436" s="264"/>
      <c r="AG436" s="264"/>
      <c r="AH436" s="263"/>
      <c r="AI436" s="264"/>
      <c r="AJ436" s="264"/>
      <c r="AK436" s="264"/>
      <c r="AL436" s="264"/>
      <c r="AM436" s="264"/>
      <c r="AN436" s="264"/>
      <c r="AO436" s="264"/>
      <c r="AP436" s="264"/>
      <c r="AQ436" s="264"/>
      <c r="AR436" s="264"/>
      <c r="AS436" s="264"/>
      <c r="AT436" s="264"/>
      <c r="AU436" s="264"/>
      <c r="AV436" s="264"/>
      <c r="AW436" s="264"/>
      <c r="AX436" s="264"/>
      <c r="AY436" s="264"/>
      <c r="AZ436" s="264"/>
      <c r="BA436" s="264"/>
    </row>
    <row r="437" spans="1:53" x14ac:dyDescent="0.15">
      <c r="A437" s="264"/>
      <c r="B437" s="264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  <c r="AA437" s="264"/>
      <c r="AB437" s="264"/>
      <c r="AC437" s="264"/>
      <c r="AD437" s="264"/>
      <c r="AE437" s="264"/>
      <c r="AF437" s="264"/>
      <c r="AG437" s="264"/>
      <c r="AH437" s="263"/>
      <c r="AI437" s="264"/>
      <c r="AJ437" s="264"/>
      <c r="AK437" s="264"/>
      <c r="AL437" s="264"/>
      <c r="AM437" s="264"/>
      <c r="AN437" s="264"/>
      <c r="AO437" s="264"/>
      <c r="AP437" s="264"/>
      <c r="AQ437" s="264"/>
      <c r="AR437" s="264"/>
      <c r="AS437" s="264"/>
      <c r="AT437" s="264"/>
      <c r="AU437" s="264"/>
      <c r="AV437" s="264"/>
      <c r="AW437" s="264"/>
      <c r="AX437" s="264"/>
      <c r="AY437" s="264"/>
      <c r="AZ437" s="264"/>
      <c r="BA437" s="264"/>
    </row>
    <row r="438" spans="1:53" x14ac:dyDescent="0.15">
      <c r="A438" s="264"/>
      <c r="B438" s="264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  <c r="AA438" s="264"/>
      <c r="AB438" s="264"/>
      <c r="AC438" s="264"/>
      <c r="AD438" s="264"/>
      <c r="AE438" s="264"/>
      <c r="AF438" s="264"/>
      <c r="AG438" s="264"/>
      <c r="AH438" s="263"/>
      <c r="AI438" s="264"/>
      <c r="AJ438" s="264"/>
      <c r="AK438" s="264"/>
      <c r="AL438" s="264"/>
      <c r="AM438" s="264"/>
      <c r="AN438" s="264"/>
      <c r="AO438" s="264"/>
      <c r="AP438" s="264"/>
      <c r="AQ438" s="264"/>
      <c r="AR438" s="264"/>
      <c r="AS438" s="264"/>
      <c r="AT438" s="264"/>
      <c r="AU438" s="264"/>
      <c r="AV438" s="264"/>
      <c r="AW438" s="264"/>
      <c r="AX438" s="264"/>
      <c r="AY438" s="264"/>
      <c r="AZ438" s="264"/>
      <c r="BA438" s="264"/>
    </row>
    <row r="439" spans="1:53" x14ac:dyDescent="0.15">
      <c r="A439" s="264"/>
      <c r="B439" s="264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  <c r="AA439" s="264"/>
      <c r="AB439" s="264"/>
      <c r="AC439" s="264"/>
      <c r="AD439" s="264"/>
      <c r="AE439" s="264"/>
      <c r="AF439" s="264"/>
      <c r="AG439" s="264"/>
      <c r="AH439" s="263"/>
      <c r="AI439" s="264"/>
      <c r="AJ439" s="264"/>
      <c r="AK439" s="264"/>
      <c r="AL439" s="264"/>
      <c r="AM439" s="264"/>
      <c r="AN439" s="264"/>
      <c r="AO439" s="264"/>
      <c r="AP439" s="264"/>
      <c r="AQ439" s="264"/>
      <c r="AR439" s="264"/>
      <c r="AS439" s="264"/>
      <c r="AT439" s="264"/>
      <c r="AU439" s="264"/>
      <c r="AV439" s="264"/>
      <c r="AW439" s="264"/>
      <c r="AX439" s="264"/>
      <c r="AY439" s="264"/>
      <c r="AZ439" s="264"/>
      <c r="BA439" s="264"/>
    </row>
    <row r="440" spans="1:53" x14ac:dyDescent="0.15">
      <c r="A440" s="264"/>
      <c r="B440" s="264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  <c r="AA440" s="264"/>
      <c r="AB440" s="264"/>
      <c r="AC440" s="264"/>
      <c r="AD440" s="264"/>
      <c r="AE440" s="264"/>
      <c r="AF440" s="264"/>
      <c r="AG440" s="264"/>
      <c r="AH440" s="263"/>
      <c r="AI440" s="264"/>
      <c r="AJ440" s="264"/>
      <c r="AK440" s="264"/>
      <c r="AL440" s="264"/>
      <c r="AM440" s="264"/>
      <c r="AN440" s="264"/>
      <c r="AO440" s="264"/>
      <c r="AP440" s="264"/>
      <c r="AQ440" s="264"/>
      <c r="AR440" s="264"/>
      <c r="AS440" s="264"/>
      <c r="AT440" s="264"/>
      <c r="AU440" s="264"/>
      <c r="AV440" s="264"/>
      <c r="AW440" s="264"/>
      <c r="AX440" s="264"/>
      <c r="AY440" s="264"/>
      <c r="AZ440" s="264"/>
      <c r="BA440" s="264"/>
    </row>
    <row r="441" spans="1:53" x14ac:dyDescent="0.15">
      <c r="A441" s="264"/>
      <c r="B441" s="264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  <c r="AA441" s="264"/>
      <c r="AB441" s="264"/>
      <c r="AC441" s="264"/>
      <c r="AD441" s="264"/>
      <c r="AE441" s="264"/>
      <c r="AF441" s="264"/>
      <c r="AG441" s="264"/>
      <c r="AH441" s="263"/>
      <c r="AI441" s="264"/>
      <c r="AJ441" s="264"/>
      <c r="AK441" s="264"/>
      <c r="AL441" s="264"/>
      <c r="AM441" s="264"/>
      <c r="AN441" s="264"/>
      <c r="AO441" s="264"/>
      <c r="AP441" s="264"/>
      <c r="AQ441" s="264"/>
      <c r="AR441" s="264"/>
      <c r="AS441" s="264"/>
      <c r="AT441" s="264"/>
      <c r="AU441" s="264"/>
      <c r="AV441" s="264"/>
      <c r="AW441" s="264"/>
      <c r="AX441" s="264"/>
      <c r="AY441" s="264"/>
      <c r="AZ441" s="264"/>
      <c r="BA441" s="264"/>
    </row>
    <row r="442" spans="1:53" x14ac:dyDescent="0.15">
      <c r="A442" s="264"/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3"/>
      <c r="AI442" s="264"/>
      <c r="AJ442" s="264"/>
      <c r="AK442" s="264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</row>
    <row r="443" spans="1:53" x14ac:dyDescent="0.15">
      <c r="A443" s="264"/>
      <c r="B443" s="264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  <c r="AA443" s="264"/>
      <c r="AB443" s="264"/>
      <c r="AC443" s="264"/>
      <c r="AD443" s="264"/>
      <c r="AE443" s="264"/>
      <c r="AF443" s="264"/>
      <c r="AG443" s="264"/>
      <c r="AH443" s="263"/>
      <c r="AI443" s="264"/>
      <c r="AJ443" s="264"/>
      <c r="AK443" s="264"/>
      <c r="AL443" s="264"/>
      <c r="AM443" s="264"/>
      <c r="AN443" s="264"/>
      <c r="AO443" s="264"/>
      <c r="AP443" s="264"/>
      <c r="AQ443" s="264"/>
      <c r="AR443" s="264"/>
      <c r="AS443" s="264"/>
      <c r="AT443" s="264"/>
      <c r="AU443" s="264"/>
      <c r="AV443" s="264"/>
      <c r="AW443" s="264"/>
      <c r="AX443" s="264"/>
      <c r="AY443" s="264"/>
      <c r="AZ443" s="264"/>
      <c r="BA443" s="264"/>
    </row>
    <row r="444" spans="1:53" x14ac:dyDescent="0.15">
      <c r="A444" s="264"/>
      <c r="B444" s="264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  <c r="AA444" s="264"/>
      <c r="AB444" s="264"/>
      <c r="AC444" s="264"/>
      <c r="AD444" s="264"/>
      <c r="AE444" s="264"/>
      <c r="AF444" s="264"/>
      <c r="AG444" s="264"/>
      <c r="AH444" s="263"/>
      <c r="AI444" s="264"/>
      <c r="AJ444" s="264"/>
      <c r="AK444" s="264"/>
      <c r="AL444" s="264"/>
      <c r="AM444" s="264"/>
      <c r="AN444" s="264"/>
      <c r="AO444" s="264"/>
      <c r="AP444" s="264"/>
      <c r="AQ444" s="264"/>
      <c r="AR444" s="264"/>
      <c r="AS444" s="264"/>
      <c r="AT444" s="264"/>
      <c r="AU444" s="264"/>
      <c r="AV444" s="264"/>
      <c r="AW444" s="264"/>
      <c r="AX444" s="264"/>
      <c r="AY444" s="264"/>
      <c r="AZ444" s="264"/>
      <c r="BA444" s="264"/>
    </row>
    <row r="445" spans="1:53" x14ac:dyDescent="0.15">
      <c r="A445" s="264"/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3"/>
      <c r="AI445" s="264"/>
      <c r="AJ445" s="264"/>
      <c r="AK445" s="264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</row>
    <row r="446" spans="1:53" x14ac:dyDescent="0.15">
      <c r="A446" s="264"/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3"/>
      <c r="AI446" s="264"/>
      <c r="AJ446" s="264"/>
      <c r="AK446" s="264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</row>
    <row r="447" spans="1:53" x14ac:dyDescent="0.15">
      <c r="A447" s="264"/>
      <c r="B447" s="264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  <c r="AA447" s="264"/>
      <c r="AB447" s="264"/>
      <c r="AC447" s="264"/>
      <c r="AD447" s="264"/>
      <c r="AE447" s="264"/>
      <c r="AF447" s="264"/>
      <c r="AG447" s="264"/>
      <c r="AH447" s="263"/>
      <c r="AI447" s="264"/>
      <c r="AJ447" s="264"/>
      <c r="AK447" s="264"/>
      <c r="AL447" s="264"/>
      <c r="AM447" s="264"/>
      <c r="AN447" s="264"/>
      <c r="AO447" s="264"/>
      <c r="AP447" s="264"/>
      <c r="AQ447" s="264"/>
      <c r="AR447" s="264"/>
      <c r="AS447" s="264"/>
      <c r="AT447" s="264"/>
      <c r="AU447" s="264"/>
      <c r="AV447" s="264"/>
      <c r="AW447" s="264"/>
      <c r="AX447" s="264"/>
      <c r="AY447" s="264"/>
      <c r="AZ447" s="264"/>
      <c r="BA447" s="264"/>
    </row>
    <row r="448" spans="1:53" x14ac:dyDescent="0.15">
      <c r="A448" s="264"/>
      <c r="B448" s="264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  <c r="AA448" s="264"/>
      <c r="AB448" s="264"/>
      <c r="AC448" s="264"/>
      <c r="AD448" s="264"/>
      <c r="AE448" s="264"/>
      <c r="AF448" s="264"/>
      <c r="AG448" s="264"/>
      <c r="AH448" s="263"/>
      <c r="AI448" s="264"/>
      <c r="AJ448" s="264"/>
      <c r="AK448" s="264"/>
      <c r="AL448" s="264"/>
      <c r="AM448" s="264"/>
      <c r="AN448" s="264"/>
      <c r="AO448" s="264"/>
      <c r="AP448" s="264"/>
      <c r="AQ448" s="264"/>
      <c r="AR448" s="264"/>
      <c r="AS448" s="264"/>
      <c r="AT448" s="264"/>
      <c r="AU448" s="264"/>
      <c r="AV448" s="264"/>
      <c r="AW448" s="264"/>
      <c r="AX448" s="264"/>
      <c r="AY448" s="264"/>
      <c r="AZ448" s="264"/>
      <c r="BA448" s="264"/>
    </row>
    <row r="449" spans="1:53" x14ac:dyDescent="0.15">
      <c r="A449" s="264"/>
      <c r="B449" s="264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  <c r="AA449" s="264"/>
      <c r="AB449" s="264"/>
      <c r="AC449" s="264"/>
      <c r="AD449" s="264"/>
      <c r="AE449" s="264"/>
      <c r="AF449" s="264"/>
      <c r="AG449" s="264"/>
      <c r="AH449" s="263"/>
      <c r="AI449" s="264"/>
      <c r="AJ449" s="264"/>
      <c r="AK449" s="264"/>
      <c r="AL449" s="264"/>
      <c r="AM449" s="264"/>
      <c r="AN449" s="264"/>
      <c r="AO449" s="264"/>
      <c r="AP449" s="264"/>
      <c r="AQ449" s="264"/>
      <c r="AR449" s="264"/>
      <c r="AS449" s="264"/>
      <c r="AT449" s="264"/>
      <c r="AU449" s="264"/>
      <c r="AV449" s="264"/>
      <c r="AW449" s="264"/>
      <c r="AX449" s="264"/>
      <c r="AY449" s="264"/>
      <c r="AZ449" s="264"/>
      <c r="BA449" s="264"/>
    </row>
    <row r="450" spans="1:53" x14ac:dyDescent="0.15">
      <c r="A450" s="264"/>
      <c r="B450" s="264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  <c r="AA450" s="264"/>
      <c r="AB450" s="264"/>
      <c r="AC450" s="264"/>
      <c r="AD450" s="264"/>
      <c r="AE450" s="264"/>
      <c r="AF450" s="264"/>
      <c r="AG450" s="264"/>
      <c r="AH450" s="263"/>
      <c r="AI450" s="264"/>
      <c r="AJ450" s="264"/>
      <c r="AK450" s="264"/>
      <c r="AL450" s="264"/>
      <c r="AM450" s="264"/>
      <c r="AN450" s="264"/>
      <c r="AO450" s="264"/>
      <c r="AP450" s="264"/>
      <c r="AQ450" s="264"/>
      <c r="AR450" s="264"/>
      <c r="AS450" s="264"/>
      <c r="AT450" s="264"/>
      <c r="AU450" s="264"/>
      <c r="AV450" s="264"/>
      <c r="AW450" s="264"/>
      <c r="AX450" s="264"/>
      <c r="AY450" s="264"/>
      <c r="AZ450" s="264"/>
      <c r="BA450" s="264"/>
    </row>
    <row r="451" spans="1:53" x14ac:dyDescent="0.15">
      <c r="A451" s="264"/>
      <c r="B451" s="264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  <c r="AA451" s="264"/>
      <c r="AB451" s="264"/>
      <c r="AC451" s="264"/>
      <c r="AD451" s="264"/>
      <c r="AE451" s="264"/>
      <c r="AF451" s="264"/>
      <c r="AG451" s="264"/>
      <c r="AH451" s="263"/>
      <c r="AI451" s="264"/>
      <c r="AJ451" s="264"/>
      <c r="AK451" s="264"/>
      <c r="AL451" s="264"/>
      <c r="AM451" s="264"/>
      <c r="AN451" s="264"/>
      <c r="AO451" s="264"/>
      <c r="AP451" s="264"/>
      <c r="AQ451" s="264"/>
      <c r="AR451" s="264"/>
      <c r="AS451" s="264"/>
      <c r="AT451" s="264"/>
      <c r="AU451" s="264"/>
      <c r="AV451" s="264"/>
      <c r="AW451" s="264"/>
      <c r="AX451" s="264"/>
      <c r="AY451" s="264"/>
      <c r="AZ451" s="264"/>
      <c r="BA451" s="264"/>
    </row>
    <row r="452" spans="1:53" x14ac:dyDescent="0.15">
      <c r="A452" s="264"/>
      <c r="B452" s="264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  <c r="AA452" s="264"/>
      <c r="AB452" s="264"/>
      <c r="AC452" s="264"/>
      <c r="AD452" s="264"/>
      <c r="AE452" s="264"/>
      <c r="AF452" s="264"/>
      <c r="AG452" s="264"/>
      <c r="AH452" s="263"/>
      <c r="AI452" s="264"/>
      <c r="AJ452" s="264"/>
      <c r="AK452" s="264"/>
      <c r="AL452" s="264"/>
      <c r="AM452" s="264"/>
      <c r="AN452" s="264"/>
      <c r="AO452" s="264"/>
      <c r="AP452" s="264"/>
      <c r="AQ452" s="264"/>
      <c r="AR452" s="264"/>
      <c r="AS452" s="264"/>
      <c r="AT452" s="264"/>
      <c r="AU452" s="264"/>
      <c r="AV452" s="264"/>
      <c r="AW452" s="264"/>
      <c r="AX452" s="264"/>
      <c r="AY452" s="264"/>
      <c r="AZ452" s="264"/>
      <c r="BA452" s="264"/>
    </row>
    <row r="453" spans="1:53" x14ac:dyDescent="0.15">
      <c r="A453" s="264"/>
      <c r="B453" s="264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  <c r="AA453" s="264"/>
      <c r="AB453" s="264"/>
      <c r="AC453" s="264"/>
      <c r="AD453" s="264"/>
      <c r="AE453" s="264"/>
      <c r="AF453" s="264"/>
      <c r="AG453" s="264"/>
      <c r="AH453" s="263"/>
      <c r="AI453" s="264"/>
      <c r="AJ453" s="264"/>
      <c r="AK453" s="264"/>
      <c r="AL453" s="264"/>
      <c r="AM453" s="264"/>
      <c r="AN453" s="264"/>
      <c r="AO453" s="264"/>
      <c r="AP453" s="264"/>
      <c r="AQ453" s="264"/>
      <c r="AR453" s="264"/>
      <c r="AS453" s="264"/>
      <c r="AT453" s="264"/>
      <c r="AU453" s="264"/>
      <c r="AV453" s="264"/>
      <c r="AW453" s="264"/>
      <c r="AX453" s="264"/>
      <c r="AY453" s="264"/>
      <c r="AZ453" s="264"/>
      <c r="BA453" s="264"/>
    </row>
    <row r="454" spans="1:53" x14ac:dyDescent="0.15">
      <c r="A454" s="264"/>
      <c r="B454" s="264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  <c r="AA454" s="264"/>
      <c r="AB454" s="264"/>
      <c r="AC454" s="264"/>
      <c r="AD454" s="264"/>
      <c r="AE454" s="264"/>
      <c r="AF454" s="264"/>
      <c r="AG454" s="264"/>
      <c r="AH454" s="263"/>
      <c r="AI454" s="264"/>
      <c r="AJ454" s="264"/>
      <c r="AK454" s="264"/>
      <c r="AL454" s="264"/>
      <c r="AM454" s="264"/>
      <c r="AN454" s="264"/>
      <c r="AO454" s="264"/>
      <c r="AP454" s="264"/>
      <c r="AQ454" s="264"/>
      <c r="AR454" s="264"/>
      <c r="AS454" s="264"/>
      <c r="AT454" s="264"/>
      <c r="AU454" s="264"/>
      <c r="AV454" s="264"/>
      <c r="AW454" s="264"/>
      <c r="AX454" s="264"/>
      <c r="AY454" s="264"/>
      <c r="AZ454" s="264"/>
      <c r="BA454" s="264"/>
    </row>
    <row r="455" spans="1:53" x14ac:dyDescent="0.15">
      <c r="A455" s="264"/>
      <c r="B455" s="264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  <c r="AA455" s="264"/>
      <c r="AB455" s="264"/>
      <c r="AC455" s="264"/>
      <c r="AD455" s="264"/>
      <c r="AE455" s="264"/>
      <c r="AF455" s="264"/>
      <c r="AG455" s="264"/>
      <c r="AH455" s="263"/>
      <c r="AI455" s="264"/>
      <c r="AJ455" s="264"/>
      <c r="AK455" s="264"/>
      <c r="AL455" s="264"/>
      <c r="AM455" s="264"/>
      <c r="AN455" s="264"/>
      <c r="AO455" s="264"/>
      <c r="AP455" s="264"/>
      <c r="AQ455" s="264"/>
      <c r="AR455" s="264"/>
      <c r="AS455" s="264"/>
      <c r="AT455" s="264"/>
      <c r="AU455" s="264"/>
      <c r="AV455" s="264"/>
      <c r="AW455" s="264"/>
      <c r="AX455" s="264"/>
      <c r="AY455" s="264"/>
      <c r="AZ455" s="264"/>
      <c r="BA455" s="264"/>
    </row>
    <row r="456" spans="1:53" x14ac:dyDescent="0.15">
      <c r="A456" s="264"/>
      <c r="B456" s="264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  <c r="AA456" s="264"/>
      <c r="AB456" s="264"/>
      <c r="AC456" s="264"/>
      <c r="AD456" s="264"/>
      <c r="AE456" s="264"/>
      <c r="AF456" s="264"/>
      <c r="AG456" s="264"/>
      <c r="AH456" s="263"/>
      <c r="AI456" s="264"/>
      <c r="AJ456" s="264"/>
      <c r="AK456" s="264"/>
      <c r="AL456" s="264"/>
      <c r="AM456" s="264"/>
      <c r="AN456" s="264"/>
      <c r="AO456" s="264"/>
      <c r="AP456" s="264"/>
      <c r="AQ456" s="264"/>
      <c r="AR456" s="264"/>
      <c r="AS456" s="264"/>
      <c r="AT456" s="264"/>
      <c r="AU456" s="264"/>
      <c r="AV456" s="264"/>
      <c r="AW456" s="264"/>
      <c r="AX456" s="264"/>
      <c r="AY456" s="264"/>
      <c r="AZ456" s="264"/>
      <c r="BA456" s="264"/>
    </row>
    <row r="457" spans="1:53" x14ac:dyDescent="0.15">
      <c r="A457" s="264"/>
      <c r="B457" s="264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  <c r="AA457" s="264"/>
      <c r="AB457" s="264"/>
      <c r="AC457" s="264"/>
      <c r="AD457" s="264"/>
      <c r="AE457" s="264"/>
      <c r="AF457" s="264"/>
      <c r="AG457" s="264"/>
      <c r="AH457" s="263"/>
      <c r="AI457" s="264"/>
      <c r="AJ457" s="264"/>
      <c r="AK457" s="264"/>
      <c r="AL457" s="264"/>
      <c r="AM457" s="264"/>
      <c r="AN457" s="264"/>
      <c r="AO457" s="264"/>
      <c r="AP457" s="264"/>
      <c r="AQ457" s="264"/>
      <c r="AR457" s="264"/>
      <c r="AS457" s="264"/>
      <c r="AT457" s="264"/>
      <c r="AU457" s="264"/>
      <c r="AV457" s="264"/>
      <c r="AW457" s="264"/>
      <c r="AX457" s="264"/>
      <c r="AY457" s="264"/>
      <c r="AZ457" s="264"/>
      <c r="BA457" s="264"/>
    </row>
    <row r="458" spans="1:53" x14ac:dyDescent="0.15">
      <c r="A458" s="264"/>
      <c r="B458" s="264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  <c r="AA458" s="264"/>
      <c r="AB458" s="264"/>
      <c r="AC458" s="264"/>
      <c r="AD458" s="264"/>
      <c r="AE458" s="264"/>
      <c r="AF458" s="264"/>
      <c r="AG458" s="264"/>
      <c r="AH458" s="263"/>
      <c r="AI458" s="264"/>
      <c r="AJ458" s="264"/>
      <c r="AK458" s="264"/>
      <c r="AL458" s="264"/>
      <c r="AM458" s="264"/>
      <c r="AN458" s="264"/>
      <c r="AO458" s="264"/>
      <c r="AP458" s="264"/>
      <c r="AQ458" s="264"/>
      <c r="AR458" s="264"/>
      <c r="AS458" s="264"/>
      <c r="AT458" s="264"/>
      <c r="AU458" s="264"/>
      <c r="AV458" s="264"/>
      <c r="AW458" s="264"/>
      <c r="AX458" s="264"/>
      <c r="AY458" s="264"/>
      <c r="AZ458" s="264"/>
      <c r="BA458" s="264"/>
    </row>
    <row r="459" spans="1:53" x14ac:dyDescent="0.15">
      <c r="A459" s="264"/>
      <c r="B459" s="264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  <c r="AA459" s="264"/>
      <c r="AB459" s="264"/>
      <c r="AC459" s="264"/>
      <c r="AD459" s="264"/>
      <c r="AE459" s="264"/>
      <c r="AF459" s="264"/>
      <c r="AG459" s="264"/>
      <c r="AH459" s="263"/>
      <c r="AI459" s="264"/>
      <c r="AJ459" s="264"/>
      <c r="AK459" s="264"/>
      <c r="AL459" s="264"/>
      <c r="AM459" s="264"/>
      <c r="AN459" s="264"/>
      <c r="AO459" s="264"/>
      <c r="AP459" s="264"/>
      <c r="AQ459" s="264"/>
      <c r="AR459" s="264"/>
      <c r="AS459" s="264"/>
      <c r="AT459" s="264"/>
      <c r="AU459" s="264"/>
      <c r="AV459" s="264"/>
      <c r="AW459" s="264"/>
      <c r="AX459" s="264"/>
      <c r="AY459" s="264"/>
      <c r="AZ459" s="264"/>
      <c r="BA459" s="264"/>
    </row>
    <row r="460" spans="1:53" x14ac:dyDescent="0.15">
      <c r="A460" s="264"/>
      <c r="B460" s="264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  <c r="AA460" s="264"/>
      <c r="AB460" s="264"/>
      <c r="AC460" s="264"/>
      <c r="AD460" s="264"/>
      <c r="AE460" s="264"/>
      <c r="AF460" s="264"/>
      <c r="AG460" s="264"/>
      <c r="AH460" s="263"/>
      <c r="AI460" s="264"/>
      <c r="AJ460" s="264"/>
      <c r="AK460" s="264"/>
      <c r="AL460" s="264"/>
      <c r="AM460" s="264"/>
      <c r="AN460" s="264"/>
      <c r="AO460" s="264"/>
      <c r="AP460" s="264"/>
      <c r="AQ460" s="264"/>
      <c r="AR460" s="264"/>
      <c r="AS460" s="264"/>
      <c r="AT460" s="264"/>
      <c r="AU460" s="264"/>
      <c r="AV460" s="264"/>
      <c r="AW460" s="264"/>
      <c r="AX460" s="264"/>
      <c r="AY460" s="264"/>
      <c r="AZ460" s="264"/>
      <c r="BA460" s="264"/>
    </row>
    <row r="461" spans="1:53" x14ac:dyDescent="0.15">
      <c r="A461" s="264"/>
      <c r="B461" s="264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  <c r="AA461" s="264"/>
      <c r="AB461" s="264"/>
      <c r="AC461" s="264"/>
      <c r="AD461" s="264"/>
      <c r="AE461" s="264"/>
      <c r="AF461" s="264"/>
      <c r="AG461" s="264"/>
      <c r="AH461" s="263"/>
      <c r="AI461" s="264"/>
      <c r="AJ461" s="264"/>
      <c r="AK461" s="264"/>
      <c r="AL461" s="264"/>
      <c r="AM461" s="264"/>
      <c r="AN461" s="264"/>
      <c r="AO461" s="264"/>
      <c r="AP461" s="264"/>
      <c r="AQ461" s="264"/>
      <c r="AR461" s="264"/>
      <c r="AS461" s="264"/>
      <c r="AT461" s="264"/>
      <c r="AU461" s="264"/>
      <c r="AV461" s="264"/>
      <c r="AW461" s="264"/>
      <c r="AX461" s="264"/>
      <c r="AY461" s="264"/>
      <c r="AZ461" s="264"/>
      <c r="BA461" s="264"/>
    </row>
    <row r="462" spans="1:53" x14ac:dyDescent="0.15">
      <c r="A462" s="264"/>
      <c r="B462" s="264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  <c r="AA462" s="264"/>
      <c r="AB462" s="264"/>
      <c r="AC462" s="264"/>
      <c r="AD462" s="264"/>
      <c r="AE462" s="264"/>
      <c r="AF462" s="264"/>
      <c r="AG462" s="264"/>
      <c r="AH462" s="263"/>
      <c r="AI462" s="264"/>
      <c r="AJ462" s="264"/>
      <c r="AK462" s="264"/>
      <c r="AL462" s="264"/>
      <c r="AM462" s="264"/>
      <c r="AN462" s="264"/>
      <c r="AO462" s="264"/>
      <c r="AP462" s="264"/>
      <c r="AQ462" s="264"/>
      <c r="AR462" s="264"/>
      <c r="AS462" s="264"/>
      <c r="AT462" s="264"/>
      <c r="AU462" s="264"/>
      <c r="AV462" s="264"/>
      <c r="AW462" s="264"/>
      <c r="AX462" s="264"/>
      <c r="AY462" s="264"/>
      <c r="AZ462" s="264"/>
      <c r="BA462" s="264"/>
    </row>
    <row r="463" spans="1:53" x14ac:dyDescent="0.15">
      <c r="A463" s="264"/>
      <c r="B463" s="264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  <c r="AA463" s="264"/>
      <c r="AB463" s="264"/>
      <c r="AC463" s="264"/>
      <c r="AD463" s="264"/>
      <c r="AE463" s="264"/>
      <c r="AF463" s="264"/>
      <c r="AG463" s="264"/>
      <c r="AH463" s="263"/>
      <c r="AI463" s="264"/>
      <c r="AJ463" s="264"/>
      <c r="AK463" s="264"/>
      <c r="AL463" s="264"/>
      <c r="AM463" s="264"/>
      <c r="AN463" s="264"/>
      <c r="AO463" s="264"/>
      <c r="AP463" s="264"/>
      <c r="AQ463" s="264"/>
      <c r="AR463" s="264"/>
      <c r="AS463" s="264"/>
      <c r="AT463" s="264"/>
      <c r="AU463" s="264"/>
      <c r="AV463" s="264"/>
      <c r="AW463" s="264"/>
      <c r="AX463" s="264"/>
      <c r="AY463" s="264"/>
      <c r="AZ463" s="264"/>
      <c r="BA463" s="264"/>
    </row>
    <row r="464" spans="1:53" x14ac:dyDescent="0.15">
      <c r="A464" s="264"/>
      <c r="B464" s="264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  <c r="AA464" s="264"/>
      <c r="AB464" s="264"/>
      <c r="AC464" s="264"/>
      <c r="AD464" s="264"/>
      <c r="AE464" s="264"/>
      <c r="AF464" s="264"/>
      <c r="AG464" s="264"/>
      <c r="AH464" s="263"/>
      <c r="AI464" s="264"/>
      <c r="AJ464" s="264"/>
      <c r="AK464" s="264"/>
      <c r="AL464" s="264"/>
      <c r="AM464" s="264"/>
      <c r="AN464" s="264"/>
      <c r="AO464" s="264"/>
      <c r="AP464" s="264"/>
      <c r="AQ464" s="264"/>
      <c r="AR464" s="264"/>
      <c r="AS464" s="264"/>
      <c r="AT464" s="264"/>
      <c r="AU464" s="264"/>
      <c r="AV464" s="264"/>
      <c r="AW464" s="264"/>
      <c r="AX464" s="264"/>
      <c r="AY464" s="264"/>
      <c r="AZ464" s="264"/>
      <c r="BA464" s="264"/>
    </row>
    <row r="465" spans="1:53" x14ac:dyDescent="0.15">
      <c r="A465" s="264"/>
      <c r="B465" s="264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  <c r="AA465" s="264"/>
      <c r="AB465" s="264"/>
      <c r="AC465" s="264"/>
      <c r="AD465" s="264"/>
      <c r="AE465" s="264"/>
      <c r="AF465" s="264"/>
      <c r="AG465" s="264"/>
      <c r="AH465" s="263"/>
      <c r="AI465" s="264"/>
      <c r="AJ465" s="264"/>
      <c r="AK465" s="264"/>
      <c r="AL465" s="264"/>
      <c r="AM465" s="264"/>
      <c r="AN465" s="264"/>
      <c r="AO465" s="264"/>
      <c r="AP465" s="264"/>
      <c r="AQ465" s="264"/>
      <c r="AR465" s="264"/>
      <c r="AS465" s="264"/>
      <c r="AT465" s="264"/>
      <c r="AU465" s="264"/>
      <c r="AV465" s="264"/>
      <c r="AW465" s="264"/>
      <c r="AX465" s="264"/>
      <c r="AY465" s="264"/>
      <c r="AZ465" s="264"/>
      <c r="BA465" s="264"/>
    </row>
    <row r="466" spans="1:53" x14ac:dyDescent="0.15">
      <c r="A466" s="264"/>
      <c r="B466" s="264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  <c r="AA466" s="264"/>
      <c r="AB466" s="264"/>
      <c r="AC466" s="264"/>
      <c r="AD466" s="264"/>
      <c r="AE466" s="264"/>
      <c r="AF466" s="264"/>
      <c r="AG466" s="264"/>
      <c r="AH466" s="263"/>
      <c r="AI466" s="264"/>
      <c r="AJ466" s="264"/>
      <c r="AK466" s="264"/>
      <c r="AL466" s="264"/>
      <c r="AM466" s="264"/>
      <c r="AN466" s="264"/>
      <c r="AO466" s="264"/>
      <c r="AP466" s="264"/>
      <c r="AQ466" s="264"/>
      <c r="AR466" s="264"/>
      <c r="AS466" s="264"/>
      <c r="AT466" s="264"/>
      <c r="AU466" s="264"/>
      <c r="AV466" s="264"/>
      <c r="AW466" s="264"/>
      <c r="AX466" s="264"/>
      <c r="AY466" s="264"/>
      <c r="AZ466" s="264"/>
      <c r="BA466" s="264"/>
    </row>
    <row r="467" spans="1:53" x14ac:dyDescent="0.15">
      <c r="A467" s="264"/>
      <c r="B467" s="264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  <c r="AA467" s="264"/>
      <c r="AB467" s="264"/>
      <c r="AC467" s="264"/>
      <c r="AD467" s="264"/>
      <c r="AE467" s="264"/>
      <c r="AF467" s="264"/>
      <c r="AG467" s="264"/>
      <c r="AH467" s="263"/>
      <c r="AI467" s="264"/>
      <c r="AJ467" s="264"/>
      <c r="AK467" s="264"/>
      <c r="AL467" s="264"/>
      <c r="AM467" s="264"/>
      <c r="AN467" s="264"/>
      <c r="AO467" s="264"/>
      <c r="AP467" s="264"/>
      <c r="AQ467" s="264"/>
      <c r="AR467" s="264"/>
      <c r="AS467" s="264"/>
      <c r="AT467" s="264"/>
      <c r="AU467" s="264"/>
      <c r="AV467" s="264"/>
      <c r="AW467" s="264"/>
      <c r="AX467" s="264"/>
      <c r="AY467" s="264"/>
      <c r="AZ467" s="264"/>
      <c r="BA467" s="264"/>
    </row>
    <row r="468" spans="1:53" x14ac:dyDescent="0.15">
      <c r="A468" s="264"/>
      <c r="B468" s="264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  <c r="AA468" s="264"/>
      <c r="AB468" s="264"/>
      <c r="AC468" s="264"/>
      <c r="AD468" s="264"/>
      <c r="AE468" s="264"/>
      <c r="AF468" s="264"/>
      <c r="AG468" s="264"/>
      <c r="AH468" s="263"/>
      <c r="AI468" s="264"/>
      <c r="AJ468" s="264"/>
      <c r="AK468" s="264"/>
      <c r="AL468" s="264"/>
      <c r="AM468" s="264"/>
      <c r="AN468" s="264"/>
      <c r="AO468" s="264"/>
      <c r="AP468" s="264"/>
      <c r="AQ468" s="264"/>
      <c r="AR468" s="264"/>
      <c r="AS468" s="264"/>
      <c r="AT468" s="264"/>
      <c r="AU468" s="264"/>
      <c r="AV468" s="264"/>
      <c r="AW468" s="264"/>
      <c r="AX468" s="264"/>
      <c r="AY468" s="264"/>
      <c r="AZ468" s="264"/>
      <c r="BA468" s="264"/>
    </row>
    <row r="469" spans="1:53" x14ac:dyDescent="0.15">
      <c r="A469" s="264"/>
      <c r="B469" s="264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  <c r="AA469" s="264"/>
      <c r="AB469" s="264"/>
      <c r="AC469" s="264"/>
      <c r="AD469" s="264"/>
      <c r="AE469" s="264"/>
      <c r="AF469" s="264"/>
      <c r="AG469" s="264"/>
      <c r="AH469" s="263"/>
      <c r="AI469" s="264"/>
      <c r="AJ469" s="264"/>
      <c r="AK469" s="264"/>
      <c r="AL469" s="264"/>
      <c r="AM469" s="264"/>
      <c r="AN469" s="264"/>
      <c r="AO469" s="264"/>
      <c r="AP469" s="264"/>
      <c r="AQ469" s="264"/>
      <c r="AR469" s="264"/>
      <c r="AS469" s="264"/>
      <c r="AT469" s="264"/>
      <c r="AU469" s="264"/>
      <c r="AV469" s="264"/>
      <c r="AW469" s="264"/>
      <c r="AX469" s="264"/>
      <c r="AY469" s="264"/>
      <c r="AZ469" s="264"/>
      <c r="BA469" s="264"/>
    </row>
    <row r="470" spans="1:53" x14ac:dyDescent="0.15">
      <c r="A470" s="264"/>
      <c r="B470" s="264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  <c r="AA470" s="264"/>
      <c r="AB470" s="264"/>
      <c r="AC470" s="264"/>
      <c r="AD470" s="264"/>
      <c r="AE470" s="264"/>
      <c r="AF470" s="264"/>
      <c r="AG470" s="264"/>
      <c r="AH470" s="263"/>
      <c r="AI470" s="264"/>
      <c r="AJ470" s="264"/>
      <c r="AK470" s="264"/>
      <c r="AL470" s="264"/>
      <c r="AM470" s="264"/>
      <c r="AN470" s="264"/>
      <c r="AO470" s="264"/>
      <c r="AP470" s="264"/>
      <c r="AQ470" s="264"/>
      <c r="AR470" s="264"/>
      <c r="AS470" s="264"/>
      <c r="AT470" s="264"/>
      <c r="AU470" s="264"/>
      <c r="AV470" s="264"/>
      <c r="AW470" s="264"/>
      <c r="AX470" s="264"/>
      <c r="AY470" s="264"/>
      <c r="AZ470" s="264"/>
      <c r="BA470" s="264"/>
    </row>
    <row r="471" spans="1:53" x14ac:dyDescent="0.15">
      <c r="A471" s="264"/>
      <c r="B471" s="264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  <c r="AA471" s="264"/>
      <c r="AB471" s="264"/>
      <c r="AC471" s="264"/>
      <c r="AD471" s="264"/>
      <c r="AE471" s="264"/>
      <c r="AF471" s="264"/>
      <c r="AG471" s="264"/>
      <c r="AH471" s="263"/>
      <c r="AI471" s="264"/>
      <c r="AJ471" s="264"/>
      <c r="AK471" s="264"/>
      <c r="AL471" s="264"/>
      <c r="AM471" s="264"/>
      <c r="AN471" s="264"/>
      <c r="AO471" s="264"/>
      <c r="AP471" s="264"/>
      <c r="AQ471" s="264"/>
      <c r="AR471" s="264"/>
      <c r="AS471" s="264"/>
      <c r="AT471" s="264"/>
      <c r="AU471" s="264"/>
      <c r="AV471" s="264"/>
      <c r="AW471" s="264"/>
      <c r="AX471" s="264"/>
      <c r="AY471" s="264"/>
      <c r="AZ471" s="264"/>
      <c r="BA471" s="264"/>
    </row>
    <row r="472" spans="1:53" x14ac:dyDescent="0.15">
      <c r="A472" s="264"/>
      <c r="B472" s="264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  <c r="AA472" s="264"/>
      <c r="AB472" s="264"/>
      <c r="AC472" s="264"/>
      <c r="AD472" s="264"/>
      <c r="AE472" s="264"/>
      <c r="AF472" s="264"/>
      <c r="AG472" s="264"/>
      <c r="AH472" s="263"/>
      <c r="AI472" s="264"/>
      <c r="AJ472" s="264"/>
      <c r="AK472" s="264"/>
      <c r="AL472" s="264"/>
      <c r="AM472" s="264"/>
      <c r="AN472" s="264"/>
      <c r="AO472" s="264"/>
      <c r="AP472" s="264"/>
      <c r="AQ472" s="264"/>
      <c r="AR472" s="264"/>
      <c r="AS472" s="264"/>
      <c r="AT472" s="264"/>
      <c r="AU472" s="264"/>
      <c r="AV472" s="264"/>
      <c r="AW472" s="264"/>
      <c r="AX472" s="264"/>
      <c r="AY472" s="264"/>
      <c r="AZ472" s="264"/>
      <c r="BA472" s="264"/>
    </row>
    <row r="473" spans="1:53" x14ac:dyDescent="0.15">
      <c r="A473" s="264"/>
      <c r="B473" s="264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  <c r="AA473" s="264"/>
      <c r="AB473" s="264"/>
      <c r="AC473" s="264"/>
      <c r="AD473" s="264"/>
      <c r="AE473" s="264"/>
      <c r="AF473" s="264"/>
      <c r="AG473" s="264"/>
      <c r="AH473" s="263"/>
      <c r="AI473" s="264"/>
      <c r="AJ473" s="264"/>
      <c r="AK473" s="264"/>
      <c r="AL473" s="264"/>
      <c r="AM473" s="264"/>
      <c r="AN473" s="264"/>
      <c r="AO473" s="264"/>
      <c r="AP473" s="264"/>
      <c r="AQ473" s="264"/>
      <c r="AR473" s="264"/>
      <c r="AS473" s="264"/>
      <c r="AT473" s="264"/>
      <c r="AU473" s="264"/>
      <c r="AV473" s="264"/>
      <c r="AW473" s="264"/>
      <c r="AX473" s="264"/>
      <c r="AY473" s="264"/>
      <c r="AZ473" s="264"/>
      <c r="BA473" s="264"/>
    </row>
    <row r="474" spans="1:53" x14ac:dyDescent="0.15">
      <c r="A474" s="264"/>
      <c r="B474" s="264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  <c r="AA474" s="264"/>
      <c r="AB474" s="264"/>
      <c r="AC474" s="264"/>
      <c r="AD474" s="264"/>
      <c r="AE474" s="264"/>
      <c r="AF474" s="264"/>
      <c r="AG474" s="264"/>
      <c r="AH474" s="263"/>
      <c r="AI474" s="264"/>
      <c r="AJ474" s="264"/>
      <c r="AK474" s="264"/>
      <c r="AL474" s="264"/>
      <c r="AM474" s="264"/>
      <c r="AN474" s="264"/>
      <c r="AO474" s="264"/>
      <c r="AP474" s="264"/>
      <c r="AQ474" s="264"/>
      <c r="AR474" s="264"/>
      <c r="AS474" s="264"/>
      <c r="AT474" s="264"/>
      <c r="AU474" s="264"/>
      <c r="AV474" s="264"/>
      <c r="AW474" s="264"/>
      <c r="AX474" s="264"/>
      <c r="AY474" s="264"/>
      <c r="AZ474" s="264"/>
      <c r="BA474" s="264"/>
    </row>
    <row r="475" spans="1:53" x14ac:dyDescent="0.15">
      <c r="A475" s="264"/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3"/>
      <c r="AI475" s="264"/>
      <c r="AJ475" s="264"/>
      <c r="AK475" s="264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</row>
    <row r="476" spans="1:53" x14ac:dyDescent="0.15">
      <c r="A476" s="264"/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3"/>
      <c r="AI476" s="264"/>
      <c r="AJ476" s="264"/>
      <c r="AK476" s="26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</row>
    <row r="477" spans="1:53" x14ac:dyDescent="0.15">
      <c r="A477" s="264"/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3"/>
      <c r="AI477" s="264"/>
      <c r="AJ477" s="264"/>
      <c r="AK477" s="26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</row>
    <row r="478" spans="1:53" x14ac:dyDescent="0.15">
      <c r="A478" s="264"/>
      <c r="B478" s="264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264"/>
      <c r="AF478" s="264"/>
      <c r="AG478" s="264"/>
      <c r="AH478" s="263"/>
      <c r="AI478" s="264"/>
      <c r="AJ478" s="264"/>
      <c r="AK478" s="264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</row>
    <row r="479" spans="1:53" x14ac:dyDescent="0.15">
      <c r="A479" s="264"/>
      <c r="B479" s="264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  <c r="AA479" s="264"/>
      <c r="AB479" s="264"/>
      <c r="AC479" s="264"/>
      <c r="AD479" s="264"/>
      <c r="AE479" s="264"/>
      <c r="AF479" s="264"/>
      <c r="AG479" s="264"/>
      <c r="AH479" s="263"/>
      <c r="AI479" s="264"/>
      <c r="AJ479" s="264"/>
      <c r="AK479" s="264"/>
      <c r="AL479" s="264"/>
      <c r="AM479" s="264"/>
      <c r="AN479" s="264"/>
      <c r="AO479" s="264"/>
      <c r="AP479" s="264"/>
      <c r="AQ479" s="264"/>
      <c r="AR479" s="264"/>
      <c r="AS479" s="264"/>
      <c r="AT479" s="264"/>
      <c r="AU479" s="264"/>
      <c r="AV479" s="264"/>
      <c r="AW479" s="264"/>
      <c r="AX479" s="264"/>
      <c r="AY479" s="264"/>
      <c r="AZ479" s="264"/>
      <c r="BA479" s="264"/>
    </row>
    <row r="480" spans="1:53" x14ac:dyDescent="0.15">
      <c r="A480" s="264"/>
      <c r="B480" s="264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  <c r="AA480" s="264"/>
      <c r="AB480" s="264"/>
      <c r="AC480" s="264"/>
      <c r="AD480" s="264"/>
      <c r="AE480" s="264"/>
      <c r="AF480" s="264"/>
      <c r="AG480" s="264"/>
      <c r="AH480" s="263"/>
      <c r="AI480" s="264"/>
      <c r="AJ480" s="264"/>
      <c r="AK480" s="264"/>
      <c r="AL480" s="264"/>
      <c r="AM480" s="264"/>
      <c r="AN480" s="264"/>
      <c r="AO480" s="264"/>
      <c r="AP480" s="264"/>
      <c r="AQ480" s="264"/>
      <c r="AR480" s="264"/>
      <c r="AS480" s="264"/>
      <c r="AT480" s="264"/>
      <c r="AU480" s="264"/>
      <c r="AV480" s="264"/>
      <c r="AW480" s="264"/>
      <c r="AX480" s="264"/>
      <c r="AY480" s="264"/>
      <c r="AZ480" s="264"/>
      <c r="BA480" s="264"/>
    </row>
    <row r="481" spans="1:53" x14ac:dyDescent="0.15">
      <c r="A481" s="264"/>
      <c r="B481" s="264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  <c r="AA481" s="264"/>
      <c r="AB481" s="264"/>
      <c r="AC481" s="264"/>
      <c r="AD481" s="264"/>
      <c r="AE481" s="264"/>
      <c r="AF481" s="264"/>
      <c r="AG481" s="264"/>
      <c r="AH481" s="263"/>
      <c r="AI481" s="264"/>
      <c r="AJ481" s="264"/>
      <c r="AK481" s="264"/>
      <c r="AL481" s="264"/>
      <c r="AM481" s="264"/>
      <c r="AN481" s="264"/>
      <c r="AO481" s="264"/>
      <c r="AP481" s="264"/>
      <c r="AQ481" s="264"/>
      <c r="AR481" s="264"/>
      <c r="AS481" s="264"/>
      <c r="AT481" s="264"/>
      <c r="AU481" s="264"/>
      <c r="AV481" s="264"/>
      <c r="AW481" s="264"/>
      <c r="AX481" s="264"/>
      <c r="AY481" s="264"/>
      <c r="AZ481" s="264"/>
      <c r="BA481" s="264"/>
    </row>
    <row r="482" spans="1:53" x14ac:dyDescent="0.15">
      <c r="A482" s="264"/>
      <c r="B482" s="264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  <c r="AA482" s="264"/>
      <c r="AB482" s="264"/>
      <c r="AC482" s="264"/>
      <c r="AD482" s="264"/>
      <c r="AE482" s="264"/>
      <c r="AF482" s="264"/>
      <c r="AG482" s="264"/>
      <c r="AH482" s="263"/>
      <c r="AI482" s="264"/>
      <c r="AJ482" s="264"/>
      <c r="AK482" s="264"/>
      <c r="AL482" s="264"/>
      <c r="AM482" s="264"/>
      <c r="AN482" s="264"/>
      <c r="AO482" s="264"/>
      <c r="AP482" s="264"/>
      <c r="AQ482" s="264"/>
      <c r="AR482" s="264"/>
      <c r="AS482" s="264"/>
      <c r="AT482" s="264"/>
      <c r="AU482" s="264"/>
      <c r="AV482" s="264"/>
      <c r="AW482" s="264"/>
      <c r="AX482" s="264"/>
      <c r="AY482" s="264"/>
      <c r="AZ482" s="264"/>
      <c r="BA482" s="264"/>
    </row>
    <row r="483" spans="1:53" x14ac:dyDescent="0.15">
      <c r="A483" s="264"/>
      <c r="B483" s="264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  <c r="AA483" s="264"/>
      <c r="AB483" s="264"/>
      <c r="AC483" s="264"/>
      <c r="AD483" s="264"/>
      <c r="AE483" s="264"/>
      <c r="AF483" s="264"/>
      <c r="AG483" s="264"/>
      <c r="AH483" s="263"/>
      <c r="AI483" s="264"/>
      <c r="AJ483" s="264"/>
      <c r="AK483" s="264"/>
      <c r="AL483" s="264"/>
      <c r="AM483" s="264"/>
      <c r="AN483" s="264"/>
      <c r="AO483" s="264"/>
      <c r="AP483" s="264"/>
      <c r="AQ483" s="264"/>
      <c r="AR483" s="264"/>
      <c r="AS483" s="264"/>
      <c r="AT483" s="264"/>
      <c r="AU483" s="264"/>
      <c r="AV483" s="264"/>
      <c r="AW483" s="264"/>
      <c r="AX483" s="264"/>
      <c r="AY483" s="264"/>
      <c r="AZ483" s="264"/>
      <c r="BA483" s="264"/>
    </row>
    <row r="484" spans="1:53" x14ac:dyDescent="0.15">
      <c r="A484" s="264"/>
      <c r="B484" s="264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  <c r="AA484" s="264"/>
      <c r="AB484" s="264"/>
      <c r="AC484" s="264"/>
      <c r="AD484" s="264"/>
      <c r="AE484" s="264"/>
      <c r="AF484" s="264"/>
      <c r="AG484" s="264"/>
      <c r="AH484" s="263"/>
      <c r="AI484" s="264"/>
      <c r="AJ484" s="264"/>
      <c r="AK484" s="264"/>
      <c r="AL484" s="264"/>
      <c r="AM484" s="264"/>
      <c r="AN484" s="264"/>
      <c r="AO484" s="264"/>
      <c r="AP484" s="264"/>
      <c r="AQ484" s="264"/>
      <c r="AR484" s="264"/>
      <c r="AS484" s="264"/>
      <c r="AT484" s="264"/>
      <c r="AU484" s="264"/>
      <c r="AV484" s="264"/>
      <c r="AW484" s="264"/>
      <c r="AX484" s="264"/>
      <c r="AY484" s="264"/>
      <c r="AZ484" s="264"/>
      <c r="BA484" s="264"/>
    </row>
    <row r="485" spans="1:53" x14ac:dyDescent="0.15">
      <c r="A485" s="264"/>
      <c r="B485" s="264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  <c r="AA485" s="264"/>
      <c r="AB485" s="264"/>
      <c r="AC485" s="264"/>
      <c r="AD485" s="264"/>
      <c r="AE485" s="264"/>
      <c r="AF485" s="264"/>
      <c r="AG485" s="264"/>
      <c r="AH485" s="263"/>
      <c r="AI485" s="264"/>
      <c r="AJ485" s="264"/>
      <c r="AK485" s="264"/>
      <c r="AL485" s="264"/>
      <c r="AM485" s="264"/>
      <c r="AN485" s="264"/>
      <c r="AO485" s="264"/>
      <c r="AP485" s="264"/>
      <c r="AQ485" s="264"/>
      <c r="AR485" s="264"/>
      <c r="AS485" s="264"/>
      <c r="AT485" s="264"/>
      <c r="AU485" s="264"/>
      <c r="AV485" s="264"/>
      <c r="AW485" s="264"/>
      <c r="AX485" s="264"/>
      <c r="AY485" s="264"/>
      <c r="AZ485" s="264"/>
      <c r="BA485" s="264"/>
    </row>
    <row r="486" spans="1:53" x14ac:dyDescent="0.15">
      <c r="A486" s="264"/>
      <c r="B486" s="264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  <c r="AA486" s="264"/>
      <c r="AB486" s="264"/>
      <c r="AC486" s="264"/>
      <c r="AD486" s="264"/>
      <c r="AE486" s="264"/>
      <c r="AF486" s="264"/>
      <c r="AG486" s="264"/>
      <c r="AH486" s="263"/>
      <c r="AI486" s="264"/>
      <c r="AJ486" s="264"/>
      <c r="AK486" s="264"/>
      <c r="AL486" s="264"/>
      <c r="AM486" s="264"/>
      <c r="AN486" s="264"/>
      <c r="AO486" s="264"/>
      <c r="AP486" s="264"/>
      <c r="AQ486" s="264"/>
      <c r="AR486" s="264"/>
      <c r="AS486" s="264"/>
      <c r="AT486" s="264"/>
      <c r="AU486" s="264"/>
      <c r="AV486" s="264"/>
      <c r="AW486" s="264"/>
      <c r="AX486" s="264"/>
      <c r="AY486" s="264"/>
      <c r="AZ486" s="264"/>
      <c r="BA486" s="264"/>
    </row>
    <row r="487" spans="1:53" x14ac:dyDescent="0.15">
      <c r="A487" s="264"/>
      <c r="B487" s="264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  <c r="AA487" s="264"/>
      <c r="AB487" s="264"/>
      <c r="AC487" s="264"/>
      <c r="AD487" s="264"/>
      <c r="AE487" s="264"/>
      <c r="AF487" s="264"/>
      <c r="AG487" s="264"/>
      <c r="AH487" s="263"/>
      <c r="AI487" s="264"/>
      <c r="AJ487" s="264"/>
      <c r="AK487" s="264"/>
      <c r="AL487" s="264"/>
      <c r="AM487" s="264"/>
      <c r="AN487" s="264"/>
      <c r="AO487" s="264"/>
      <c r="AP487" s="264"/>
      <c r="AQ487" s="264"/>
      <c r="AR487" s="264"/>
      <c r="AS487" s="264"/>
      <c r="AT487" s="264"/>
      <c r="AU487" s="264"/>
      <c r="AV487" s="264"/>
      <c r="AW487" s="264"/>
      <c r="AX487" s="264"/>
      <c r="AY487" s="264"/>
      <c r="AZ487" s="264"/>
      <c r="BA487" s="264"/>
    </row>
    <row r="488" spans="1:53" x14ac:dyDescent="0.15">
      <c r="A488" s="264"/>
      <c r="B488" s="264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  <c r="AA488" s="264"/>
      <c r="AB488" s="264"/>
      <c r="AC488" s="264"/>
      <c r="AD488" s="264"/>
      <c r="AE488" s="264"/>
      <c r="AF488" s="264"/>
      <c r="AG488" s="264"/>
      <c r="AH488" s="263"/>
      <c r="AI488" s="264"/>
      <c r="AJ488" s="264"/>
      <c r="AK488" s="264"/>
      <c r="AL488" s="264"/>
      <c r="AM488" s="264"/>
      <c r="AN488" s="264"/>
      <c r="AO488" s="264"/>
      <c r="AP488" s="264"/>
      <c r="AQ488" s="264"/>
      <c r="AR488" s="264"/>
      <c r="AS488" s="264"/>
      <c r="AT488" s="264"/>
      <c r="AU488" s="264"/>
      <c r="AV488" s="264"/>
      <c r="AW488" s="264"/>
      <c r="AX488" s="264"/>
      <c r="AY488" s="264"/>
      <c r="AZ488" s="264"/>
      <c r="BA488" s="264"/>
    </row>
    <row r="489" spans="1:53" x14ac:dyDescent="0.15">
      <c r="A489" s="264"/>
      <c r="B489" s="264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  <c r="AA489" s="264"/>
      <c r="AB489" s="264"/>
      <c r="AC489" s="264"/>
      <c r="AD489" s="264"/>
      <c r="AE489" s="264"/>
      <c r="AF489" s="264"/>
      <c r="AG489" s="264"/>
      <c r="AH489" s="263"/>
      <c r="AI489" s="264"/>
      <c r="AJ489" s="264"/>
      <c r="AK489" s="264"/>
      <c r="AL489" s="264"/>
      <c r="AM489" s="264"/>
      <c r="AN489" s="264"/>
      <c r="AO489" s="264"/>
      <c r="AP489" s="264"/>
      <c r="AQ489" s="264"/>
      <c r="AR489" s="264"/>
      <c r="AS489" s="264"/>
      <c r="AT489" s="264"/>
      <c r="AU489" s="264"/>
      <c r="AV489" s="264"/>
      <c r="AW489" s="264"/>
      <c r="AX489" s="264"/>
      <c r="AY489" s="264"/>
      <c r="AZ489" s="264"/>
      <c r="BA489" s="264"/>
    </row>
    <row r="490" spans="1:53" x14ac:dyDescent="0.15">
      <c r="A490" s="264"/>
      <c r="B490" s="264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  <c r="AA490" s="264"/>
      <c r="AB490" s="264"/>
      <c r="AC490" s="264"/>
      <c r="AD490" s="264"/>
      <c r="AE490" s="264"/>
      <c r="AF490" s="264"/>
      <c r="AG490" s="264"/>
      <c r="AH490" s="263"/>
      <c r="AI490" s="264"/>
      <c r="AJ490" s="264"/>
      <c r="AK490" s="264"/>
      <c r="AL490" s="264"/>
      <c r="AM490" s="264"/>
      <c r="AN490" s="264"/>
      <c r="AO490" s="264"/>
      <c r="AP490" s="264"/>
      <c r="AQ490" s="264"/>
      <c r="AR490" s="264"/>
      <c r="AS490" s="264"/>
      <c r="AT490" s="264"/>
      <c r="AU490" s="264"/>
      <c r="AV490" s="264"/>
      <c r="AW490" s="264"/>
      <c r="AX490" s="264"/>
      <c r="AY490" s="264"/>
      <c r="AZ490" s="264"/>
      <c r="BA490" s="264"/>
    </row>
    <row r="491" spans="1:53" x14ac:dyDescent="0.15">
      <c r="A491" s="264"/>
      <c r="B491" s="264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  <c r="AA491" s="264"/>
      <c r="AB491" s="264"/>
      <c r="AC491" s="264"/>
      <c r="AD491" s="264"/>
      <c r="AE491" s="264"/>
      <c r="AF491" s="264"/>
      <c r="AG491" s="264"/>
      <c r="AH491" s="263"/>
      <c r="AI491" s="264"/>
      <c r="AJ491" s="264"/>
      <c r="AK491" s="264"/>
      <c r="AL491" s="264"/>
      <c r="AM491" s="264"/>
      <c r="AN491" s="264"/>
      <c r="AO491" s="264"/>
      <c r="AP491" s="264"/>
      <c r="AQ491" s="264"/>
      <c r="AR491" s="264"/>
      <c r="AS491" s="264"/>
      <c r="AT491" s="264"/>
      <c r="AU491" s="264"/>
      <c r="AV491" s="264"/>
      <c r="AW491" s="264"/>
      <c r="AX491" s="264"/>
      <c r="AY491" s="264"/>
      <c r="AZ491" s="264"/>
      <c r="BA491" s="264"/>
    </row>
    <row r="492" spans="1:53" x14ac:dyDescent="0.15">
      <c r="A492" s="264"/>
      <c r="B492" s="264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  <c r="AA492" s="264"/>
      <c r="AB492" s="264"/>
      <c r="AC492" s="264"/>
      <c r="AD492" s="264"/>
      <c r="AE492" s="264"/>
      <c r="AF492" s="264"/>
      <c r="AG492" s="264"/>
      <c r="AH492" s="263"/>
      <c r="AI492" s="264"/>
      <c r="AJ492" s="264"/>
      <c r="AK492" s="264"/>
      <c r="AL492" s="264"/>
      <c r="AM492" s="264"/>
      <c r="AN492" s="264"/>
      <c r="AO492" s="264"/>
      <c r="AP492" s="264"/>
      <c r="AQ492" s="264"/>
      <c r="AR492" s="264"/>
      <c r="AS492" s="264"/>
      <c r="AT492" s="264"/>
      <c r="AU492" s="264"/>
      <c r="AV492" s="264"/>
      <c r="AW492" s="264"/>
      <c r="AX492" s="264"/>
      <c r="AY492" s="264"/>
      <c r="AZ492" s="264"/>
      <c r="BA492" s="264"/>
    </row>
    <row r="493" spans="1:53" x14ac:dyDescent="0.15">
      <c r="A493" s="264"/>
      <c r="B493" s="264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  <c r="AA493" s="264"/>
      <c r="AB493" s="264"/>
      <c r="AC493" s="264"/>
      <c r="AD493" s="264"/>
      <c r="AE493" s="264"/>
      <c r="AF493" s="264"/>
      <c r="AG493" s="264"/>
      <c r="AH493" s="263"/>
      <c r="AI493" s="264"/>
      <c r="AJ493" s="264"/>
      <c r="AK493" s="264"/>
      <c r="AL493" s="264"/>
      <c r="AM493" s="264"/>
      <c r="AN493" s="264"/>
      <c r="AO493" s="264"/>
      <c r="AP493" s="264"/>
      <c r="AQ493" s="264"/>
      <c r="AR493" s="264"/>
      <c r="AS493" s="264"/>
      <c r="AT493" s="264"/>
      <c r="AU493" s="264"/>
      <c r="AV493" s="264"/>
      <c r="AW493" s="264"/>
      <c r="AX493" s="264"/>
      <c r="AY493" s="264"/>
      <c r="AZ493" s="264"/>
      <c r="BA493" s="264"/>
    </row>
    <row r="494" spans="1:53" x14ac:dyDescent="0.15">
      <c r="A494" s="264"/>
      <c r="B494" s="264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  <c r="AA494" s="264"/>
      <c r="AB494" s="264"/>
      <c r="AC494" s="264"/>
      <c r="AD494" s="264"/>
      <c r="AE494" s="264"/>
      <c r="AF494" s="264"/>
      <c r="AG494" s="264"/>
      <c r="AH494" s="263"/>
      <c r="AI494" s="264"/>
      <c r="AJ494" s="264"/>
      <c r="AK494" s="264"/>
      <c r="AL494" s="264"/>
      <c r="AM494" s="264"/>
      <c r="AN494" s="264"/>
      <c r="AO494" s="264"/>
      <c r="AP494" s="264"/>
      <c r="AQ494" s="264"/>
      <c r="AR494" s="264"/>
      <c r="AS494" s="264"/>
      <c r="AT494" s="264"/>
      <c r="AU494" s="264"/>
      <c r="AV494" s="264"/>
      <c r="AW494" s="264"/>
      <c r="AX494" s="264"/>
      <c r="AY494" s="264"/>
      <c r="AZ494" s="264"/>
      <c r="BA494" s="264"/>
    </row>
    <row r="495" spans="1:53" x14ac:dyDescent="0.15">
      <c r="A495" s="264"/>
      <c r="B495" s="264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  <c r="AA495" s="264"/>
      <c r="AB495" s="264"/>
      <c r="AC495" s="264"/>
      <c r="AD495" s="264"/>
      <c r="AE495" s="264"/>
      <c r="AF495" s="264"/>
      <c r="AG495" s="264"/>
      <c r="AH495" s="263"/>
      <c r="AI495" s="264"/>
      <c r="AJ495" s="264"/>
      <c r="AK495" s="264"/>
      <c r="AL495" s="264"/>
      <c r="AM495" s="264"/>
      <c r="AN495" s="264"/>
      <c r="AO495" s="264"/>
      <c r="AP495" s="264"/>
      <c r="AQ495" s="264"/>
      <c r="AR495" s="264"/>
      <c r="AS495" s="264"/>
      <c r="AT495" s="264"/>
      <c r="AU495" s="264"/>
      <c r="AV495" s="264"/>
      <c r="AW495" s="264"/>
      <c r="AX495" s="264"/>
      <c r="AY495" s="264"/>
      <c r="AZ495" s="264"/>
      <c r="BA495" s="264"/>
    </row>
    <row r="496" spans="1:53" x14ac:dyDescent="0.15">
      <c r="A496" s="264"/>
      <c r="B496" s="264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  <c r="AA496" s="264"/>
      <c r="AB496" s="264"/>
      <c r="AC496" s="264"/>
      <c r="AD496" s="264"/>
      <c r="AE496" s="264"/>
      <c r="AF496" s="264"/>
      <c r="AG496" s="264"/>
      <c r="AH496" s="263"/>
      <c r="AI496" s="264"/>
      <c r="AJ496" s="264"/>
      <c r="AK496" s="264"/>
      <c r="AL496" s="264"/>
      <c r="AM496" s="264"/>
      <c r="AN496" s="264"/>
      <c r="AO496" s="264"/>
      <c r="AP496" s="264"/>
      <c r="AQ496" s="264"/>
      <c r="AR496" s="264"/>
      <c r="AS496" s="264"/>
      <c r="AT496" s="264"/>
      <c r="AU496" s="264"/>
      <c r="AV496" s="264"/>
      <c r="AW496" s="264"/>
      <c r="AX496" s="264"/>
      <c r="AY496" s="264"/>
      <c r="AZ496" s="264"/>
      <c r="BA496" s="264"/>
    </row>
    <row r="497" spans="1:53" x14ac:dyDescent="0.15">
      <c r="A497" s="264"/>
      <c r="B497" s="264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  <c r="AA497" s="264"/>
      <c r="AB497" s="264"/>
      <c r="AC497" s="264"/>
      <c r="AD497" s="264"/>
      <c r="AE497" s="264"/>
      <c r="AF497" s="264"/>
      <c r="AG497" s="264"/>
      <c r="AH497" s="263"/>
      <c r="AI497" s="264"/>
      <c r="AJ497" s="264"/>
      <c r="AK497" s="264"/>
      <c r="AL497" s="264"/>
      <c r="AM497" s="264"/>
      <c r="AN497" s="264"/>
      <c r="AO497" s="264"/>
      <c r="AP497" s="264"/>
      <c r="AQ497" s="264"/>
      <c r="AR497" s="264"/>
      <c r="AS497" s="264"/>
      <c r="AT497" s="264"/>
      <c r="AU497" s="264"/>
      <c r="AV497" s="264"/>
      <c r="AW497" s="264"/>
      <c r="AX497" s="264"/>
      <c r="AY497" s="264"/>
      <c r="AZ497" s="264"/>
      <c r="BA497" s="264"/>
    </row>
    <row r="498" spans="1:53" x14ac:dyDescent="0.15">
      <c r="A498" s="264"/>
      <c r="B498" s="264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  <c r="AA498" s="264"/>
      <c r="AB498" s="264"/>
      <c r="AC498" s="264"/>
      <c r="AD498" s="264"/>
      <c r="AE498" s="264"/>
      <c r="AF498" s="264"/>
      <c r="AG498" s="264"/>
      <c r="AH498" s="263"/>
      <c r="AI498" s="264"/>
      <c r="AJ498" s="264"/>
      <c r="AK498" s="264"/>
      <c r="AL498" s="264"/>
      <c r="AM498" s="264"/>
      <c r="AN498" s="264"/>
      <c r="AO498" s="264"/>
      <c r="AP498" s="264"/>
      <c r="AQ498" s="264"/>
      <c r="AR498" s="264"/>
      <c r="AS498" s="264"/>
      <c r="AT498" s="264"/>
      <c r="AU498" s="264"/>
      <c r="AV498" s="264"/>
      <c r="AW498" s="264"/>
      <c r="AX498" s="264"/>
      <c r="AY498" s="264"/>
      <c r="AZ498" s="264"/>
      <c r="BA498" s="264"/>
    </row>
    <row r="499" spans="1:53" x14ac:dyDescent="0.15">
      <c r="A499" s="264"/>
      <c r="B499" s="264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  <c r="AA499" s="264"/>
      <c r="AB499" s="264"/>
      <c r="AC499" s="264"/>
      <c r="AD499" s="264"/>
      <c r="AE499" s="264"/>
      <c r="AF499" s="264"/>
      <c r="AG499" s="264"/>
      <c r="AH499" s="263"/>
      <c r="AI499" s="264"/>
      <c r="AJ499" s="264"/>
      <c r="AK499" s="264"/>
      <c r="AL499" s="264"/>
      <c r="AM499" s="264"/>
      <c r="AN499" s="264"/>
      <c r="AO499" s="264"/>
      <c r="AP499" s="264"/>
      <c r="AQ499" s="264"/>
      <c r="AR499" s="264"/>
      <c r="AS499" s="264"/>
      <c r="AT499" s="264"/>
      <c r="AU499" s="264"/>
      <c r="AV499" s="264"/>
      <c r="AW499" s="264"/>
      <c r="AX499" s="264"/>
      <c r="AY499" s="264"/>
      <c r="AZ499" s="264"/>
      <c r="BA499" s="264"/>
    </row>
    <row r="500" spans="1:53" x14ac:dyDescent="0.15">
      <c r="A500" s="264"/>
      <c r="B500" s="264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  <c r="AA500" s="264"/>
      <c r="AB500" s="264"/>
      <c r="AC500" s="264"/>
      <c r="AD500" s="264"/>
      <c r="AE500" s="264"/>
      <c r="AF500" s="264"/>
      <c r="AG500" s="264"/>
      <c r="AH500" s="263"/>
      <c r="AI500" s="264"/>
      <c r="AJ500" s="264"/>
      <c r="AK500" s="264"/>
      <c r="AL500" s="264"/>
      <c r="AM500" s="264"/>
      <c r="AN500" s="264"/>
      <c r="AO500" s="264"/>
      <c r="AP500" s="264"/>
      <c r="AQ500" s="264"/>
      <c r="AR500" s="264"/>
      <c r="AS500" s="264"/>
      <c r="AT500" s="264"/>
      <c r="AU500" s="264"/>
      <c r="AV500" s="264"/>
      <c r="AW500" s="264"/>
      <c r="AX500" s="264"/>
      <c r="AY500" s="264"/>
      <c r="AZ500" s="264"/>
      <c r="BA500" s="264"/>
    </row>
    <row r="501" spans="1:53" x14ac:dyDescent="0.15">
      <c r="A501" s="264"/>
      <c r="B501" s="264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  <c r="AA501" s="264"/>
      <c r="AB501" s="264"/>
      <c r="AC501" s="264"/>
      <c r="AD501" s="264"/>
      <c r="AE501" s="264"/>
      <c r="AF501" s="264"/>
      <c r="AG501" s="264"/>
      <c r="AH501" s="263"/>
      <c r="AI501" s="264"/>
      <c r="AJ501" s="264"/>
      <c r="AK501" s="264"/>
      <c r="AL501" s="264"/>
      <c r="AM501" s="264"/>
      <c r="AN501" s="264"/>
      <c r="AO501" s="264"/>
      <c r="AP501" s="264"/>
      <c r="AQ501" s="264"/>
      <c r="AR501" s="264"/>
      <c r="AS501" s="264"/>
      <c r="AT501" s="264"/>
      <c r="AU501" s="264"/>
      <c r="AV501" s="264"/>
      <c r="AW501" s="264"/>
      <c r="AX501" s="264"/>
      <c r="AY501" s="264"/>
      <c r="AZ501" s="264"/>
      <c r="BA501" s="264"/>
    </row>
    <row r="502" spans="1:53" x14ac:dyDescent="0.15">
      <c r="A502" s="264"/>
      <c r="B502" s="264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  <c r="AA502" s="264"/>
      <c r="AB502" s="264"/>
      <c r="AC502" s="264"/>
      <c r="AD502" s="264"/>
      <c r="AE502" s="264"/>
      <c r="AF502" s="264"/>
      <c r="AG502" s="264"/>
      <c r="AH502" s="263"/>
      <c r="AI502" s="264"/>
      <c r="AJ502" s="264"/>
      <c r="AK502" s="264"/>
      <c r="AL502" s="264"/>
      <c r="AM502" s="264"/>
      <c r="AN502" s="264"/>
      <c r="AO502" s="264"/>
      <c r="AP502" s="264"/>
      <c r="AQ502" s="264"/>
      <c r="AR502" s="264"/>
      <c r="AS502" s="264"/>
      <c r="AT502" s="264"/>
      <c r="AU502" s="264"/>
      <c r="AV502" s="264"/>
      <c r="AW502" s="264"/>
      <c r="AX502" s="264"/>
      <c r="AY502" s="264"/>
      <c r="AZ502" s="264"/>
      <c r="BA502" s="264"/>
    </row>
    <row r="503" spans="1:53" x14ac:dyDescent="0.15">
      <c r="A503" s="264"/>
      <c r="B503" s="264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  <c r="AA503" s="264"/>
      <c r="AB503" s="264"/>
      <c r="AC503" s="264"/>
      <c r="AD503" s="264"/>
      <c r="AE503" s="264"/>
      <c r="AF503" s="264"/>
      <c r="AG503" s="264"/>
      <c r="AH503" s="263"/>
      <c r="AI503" s="264"/>
      <c r="AJ503" s="264"/>
      <c r="AK503" s="264"/>
      <c r="AL503" s="264"/>
      <c r="AM503" s="264"/>
      <c r="AN503" s="264"/>
      <c r="AO503" s="264"/>
      <c r="AP503" s="264"/>
      <c r="AQ503" s="264"/>
      <c r="AR503" s="264"/>
      <c r="AS503" s="264"/>
      <c r="AT503" s="264"/>
      <c r="AU503" s="264"/>
      <c r="AV503" s="264"/>
      <c r="AW503" s="264"/>
      <c r="AX503" s="264"/>
      <c r="AY503" s="264"/>
      <c r="AZ503" s="264"/>
      <c r="BA503" s="264"/>
    </row>
    <row r="504" spans="1:53" x14ac:dyDescent="0.15">
      <c r="A504" s="264"/>
      <c r="B504" s="264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  <c r="AA504" s="264"/>
      <c r="AB504" s="264"/>
      <c r="AC504" s="264"/>
      <c r="AD504" s="264"/>
      <c r="AE504" s="264"/>
      <c r="AF504" s="264"/>
      <c r="AG504" s="264"/>
      <c r="AH504" s="263"/>
      <c r="AI504" s="264"/>
      <c r="AJ504" s="264"/>
      <c r="AK504" s="264"/>
      <c r="AL504" s="264"/>
      <c r="AM504" s="264"/>
      <c r="AN504" s="264"/>
      <c r="AO504" s="264"/>
      <c r="AP504" s="264"/>
      <c r="AQ504" s="264"/>
      <c r="AR504" s="264"/>
      <c r="AS504" s="264"/>
      <c r="AT504" s="264"/>
      <c r="AU504" s="264"/>
      <c r="AV504" s="264"/>
      <c r="AW504" s="264"/>
      <c r="AX504" s="264"/>
      <c r="AY504" s="264"/>
      <c r="AZ504" s="264"/>
      <c r="BA504" s="264"/>
    </row>
    <row r="505" spans="1:53" x14ac:dyDescent="0.15">
      <c r="A505" s="264"/>
      <c r="B505" s="264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  <c r="AA505" s="264"/>
      <c r="AB505" s="264"/>
      <c r="AC505" s="264"/>
      <c r="AD505" s="264"/>
      <c r="AE505" s="264"/>
      <c r="AF505" s="264"/>
      <c r="AG505" s="264"/>
      <c r="AH505" s="263"/>
      <c r="AI505" s="264"/>
      <c r="AJ505" s="264"/>
      <c r="AK505" s="264"/>
      <c r="AL505" s="264"/>
      <c r="AM505" s="264"/>
      <c r="AN505" s="264"/>
      <c r="AO505" s="264"/>
      <c r="AP505" s="264"/>
      <c r="AQ505" s="264"/>
      <c r="AR505" s="264"/>
      <c r="AS505" s="264"/>
      <c r="AT505" s="264"/>
      <c r="AU505" s="264"/>
      <c r="AV505" s="264"/>
      <c r="AW505" s="264"/>
      <c r="AX505" s="264"/>
      <c r="AY505" s="264"/>
      <c r="AZ505" s="264"/>
      <c r="BA505" s="264"/>
    </row>
    <row r="506" spans="1:53" x14ac:dyDescent="0.15">
      <c r="A506" s="264"/>
      <c r="B506" s="264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  <c r="AA506" s="264"/>
      <c r="AB506" s="264"/>
      <c r="AC506" s="264"/>
      <c r="AD506" s="264"/>
      <c r="AE506" s="264"/>
      <c r="AF506" s="264"/>
      <c r="AG506" s="264"/>
      <c r="AH506" s="263"/>
      <c r="AI506" s="264"/>
      <c r="AJ506" s="264"/>
      <c r="AK506" s="264"/>
      <c r="AL506" s="264"/>
      <c r="AM506" s="264"/>
      <c r="AN506" s="264"/>
      <c r="AO506" s="264"/>
      <c r="AP506" s="264"/>
      <c r="AQ506" s="264"/>
      <c r="AR506" s="264"/>
      <c r="AS506" s="264"/>
      <c r="AT506" s="264"/>
      <c r="AU506" s="264"/>
      <c r="AV506" s="264"/>
      <c r="AW506" s="264"/>
      <c r="AX506" s="264"/>
      <c r="AY506" s="264"/>
      <c r="AZ506" s="264"/>
      <c r="BA506" s="264"/>
    </row>
    <row r="507" spans="1:53" x14ac:dyDescent="0.15">
      <c r="A507" s="264"/>
      <c r="B507" s="264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  <c r="AA507" s="264"/>
      <c r="AB507" s="264"/>
      <c r="AC507" s="264"/>
      <c r="AD507" s="264"/>
      <c r="AE507" s="264"/>
      <c r="AF507" s="264"/>
      <c r="AG507" s="264"/>
      <c r="AH507" s="263"/>
      <c r="AI507" s="264"/>
      <c r="AJ507" s="264"/>
      <c r="AK507" s="264"/>
      <c r="AL507" s="264"/>
      <c r="AM507" s="264"/>
      <c r="AN507" s="264"/>
      <c r="AO507" s="264"/>
      <c r="AP507" s="264"/>
      <c r="AQ507" s="264"/>
      <c r="AR507" s="264"/>
      <c r="AS507" s="264"/>
      <c r="AT507" s="264"/>
      <c r="AU507" s="264"/>
      <c r="AV507" s="264"/>
      <c r="AW507" s="264"/>
      <c r="AX507" s="264"/>
      <c r="AY507" s="264"/>
      <c r="AZ507" s="264"/>
      <c r="BA507" s="264"/>
    </row>
    <row r="508" spans="1:53" x14ac:dyDescent="0.15">
      <c r="A508" s="264"/>
      <c r="B508" s="264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  <c r="AA508" s="264"/>
      <c r="AB508" s="264"/>
      <c r="AC508" s="264"/>
      <c r="AD508" s="264"/>
      <c r="AE508" s="264"/>
      <c r="AF508" s="264"/>
      <c r="AG508" s="264"/>
      <c r="AH508" s="263"/>
      <c r="AI508" s="264"/>
      <c r="AJ508" s="264"/>
      <c r="AK508" s="264"/>
      <c r="AL508" s="264"/>
      <c r="AM508" s="264"/>
      <c r="AN508" s="264"/>
      <c r="AO508" s="264"/>
      <c r="AP508" s="264"/>
      <c r="AQ508" s="264"/>
      <c r="AR508" s="264"/>
      <c r="AS508" s="264"/>
      <c r="AT508" s="264"/>
      <c r="AU508" s="264"/>
      <c r="AV508" s="264"/>
      <c r="AW508" s="264"/>
      <c r="AX508" s="264"/>
      <c r="AY508" s="264"/>
      <c r="AZ508" s="264"/>
      <c r="BA508" s="264"/>
    </row>
    <row r="509" spans="1:53" x14ac:dyDescent="0.15">
      <c r="A509" s="264"/>
      <c r="B509" s="264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  <c r="AA509" s="264"/>
      <c r="AB509" s="264"/>
      <c r="AC509" s="264"/>
      <c r="AD509" s="264"/>
      <c r="AE509" s="264"/>
      <c r="AF509" s="264"/>
      <c r="AG509" s="264"/>
      <c r="AH509" s="263"/>
      <c r="AI509" s="264"/>
      <c r="AJ509" s="264"/>
      <c r="AK509" s="264"/>
      <c r="AL509" s="264"/>
      <c r="AM509" s="264"/>
      <c r="AN509" s="264"/>
      <c r="AO509" s="264"/>
      <c r="AP509" s="264"/>
      <c r="AQ509" s="264"/>
      <c r="AR509" s="264"/>
      <c r="AS509" s="264"/>
      <c r="AT509" s="264"/>
      <c r="AU509" s="264"/>
      <c r="AV509" s="264"/>
      <c r="AW509" s="264"/>
      <c r="AX509" s="264"/>
      <c r="AY509" s="264"/>
      <c r="AZ509" s="264"/>
      <c r="BA509" s="264"/>
    </row>
    <row r="510" spans="1:53" x14ac:dyDescent="0.15">
      <c r="A510" s="264"/>
      <c r="B510" s="264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  <c r="AA510" s="264"/>
      <c r="AB510" s="264"/>
      <c r="AC510" s="264"/>
      <c r="AD510" s="264"/>
      <c r="AE510" s="264"/>
      <c r="AF510" s="264"/>
      <c r="AG510" s="264"/>
      <c r="AH510" s="263"/>
      <c r="AI510" s="264"/>
      <c r="AJ510" s="264"/>
      <c r="AK510" s="264"/>
      <c r="AL510" s="264"/>
      <c r="AM510" s="264"/>
      <c r="AN510" s="264"/>
      <c r="AO510" s="264"/>
      <c r="AP510" s="264"/>
      <c r="AQ510" s="264"/>
      <c r="AR510" s="264"/>
      <c r="AS510" s="264"/>
      <c r="AT510" s="264"/>
      <c r="AU510" s="264"/>
      <c r="AV510" s="264"/>
      <c r="AW510" s="264"/>
      <c r="AX510" s="264"/>
      <c r="AY510" s="264"/>
      <c r="AZ510" s="264"/>
      <c r="BA510" s="264"/>
    </row>
    <row r="511" spans="1:53" x14ac:dyDescent="0.15">
      <c r="A511" s="264"/>
      <c r="B511" s="264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  <c r="AA511" s="264"/>
      <c r="AB511" s="264"/>
      <c r="AC511" s="264"/>
      <c r="AD511" s="264"/>
      <c r="AE511" s="264"/>
      <c r="AF511" s="264"/>
      <c r="AG511" s="264"/>
      <c r="AH511" s="263"/>
      <c r="AI511" s="264"/>
      <c r="AJ511" s="264"/>
      <c r="AK511" s="264"/>
      <c r="AL511" s="264"/>
      <c r="AM511" s="264"/>
      <c r="AN511" s="264"/>
      <c r="AO511" s="264"/>
      <c r="AP511" s="264"/>
      <c r="AQ511" s="264"/>
      <c r="AR511" s="264"/>
      <c r="AS511" s="264"/>
      <c r="AT511" s="264"/>
      <c r="AU511" s="264"/>
      <c r="AV511" s="264"/>
      <c r="AW511" s="264"/>
      <c r="AX511" s="264"/>
      <c r="AY511" s="264"/>
      <c r="AZ511" s="264"/>
      <c r="BA511" s="264"/>
    </row>
    <row r="512" spans="1:53" x14ac:dyDescent="0.15">
      <c r="A512" s="264"/>
      <c r="B512" s="264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  <c r="AA512" s="264"/>
      <c r="AB512" s="264"/>
      <c r="AC512" s="264"/>
      <c r="AD512" s="264"/>
      <c r="AE512" s="264"/>
      <c r="AF512" s="264"/>
      <c r="AG512" s="264"/>
      <c r="AH512" s="263"/>
      <c r="AI512" s="264"/>
      <c r="AJ512" s="264"/>
      <c r="AK512" s="264"/>
      <c r="AL512" s="264"/>
      <c r="AM512" s="264"/>
      <c r="AN512" s="264"/>
      <c r="AO512" s="264"/>
      <c r="AP512" s="264"/>
      <c r="AQ512" s="264"/>
      <c r="AR512" s="264"/>
      <c r="AS512" s="264"/>
      <c r="AT512" s="264"/>
      <c r="AU512" s="264"/>
      <c r="AV512" s="264"/>
      <c r="AW512" s="264"/>
      <c r="AX512" s="264"/>
      <c r="AY512" s="264"/>
      <c r="AZ512" s="264"/>
      <c r="BA512" s="264"/>
    </row>
    <row r="513" spans="1:53" x14ac:dyDescent="0.15">
      <c r="A513" s="264"/>
      <c r="B513" s="264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  <c r="AA513" s="264"/>
      <c r="AB513" s="264"/>
      <c r="AC513" s="264"/>
      <c r="AD513" s="264"/>
      <c r="AE513" s="264"/>
      <c r="AF513" s="264"/>
      <c r="AG513" s="264"/>
      <c r="AH513" s="263"/>
      <c r="AI513" s="264"/>
      <c r="AJ513" s="264"/>
      <c r="AK513" s="264"/>
      <c r="AL513" s="264"/>
      <c r="AM513" s="264"/>
      <c r="AN513" s="264"/>
      <c r="AO513" s="264"/>
      <c r="AP513" s="264"/>
      <c r="AQ513" s="264"/>
      <c r="AR513" s="264"/>
      <c r="AS513" s="264"/>
      <c r="AT513" s="264"/>
      <c r="AU513" s="264"/>
      <c r="AV513" s="264"/>
      <c r="AW513" s="264"/>
      <c r="AX513" s="264"/>
      <c r="AY513" s="264"/>
      <c r="AZ513" s="264"/>
      <c r="BA513" s="264"/>
    </row>
    <row r="514" spans="1:53" x14ac:dyDescent="0.15">
      <c r="A514" s="264"/>
      <c r="B514" s="264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  <c r="AA514" s="264"/>
      <c r="AB514" s="264"/>
      <c r="AC514" s="264"/>
      <c r="AD514" s="264"/>
      <c r="AE514" s="264"/>
      <c r="AF514" s="264"/>
      <c r="AG514" s="264"/>
      <c r="AH514" s="263"/>
      <c r="AI514" s="264"/>
      <c r="AJ514" s="264"/>
      <c r="AK514" s="264"/>
      <c r="AL514" s="264"/>
      <c r="AM514" s="264"/>
      <c r="AN514" s="264"/>
      <c r="AO514" s="264"/>
      <c r="AP514" s="264"/>
      <c r="AQ514" s="264"/>
      <c r="AR514" s="264"/>
      <c r="AS514" s="264"/>
      <c r="AT514" s="264"/>
      <c r="AU514" s="264"/>
      <c r="AV514" s="264"/>
      <c r="AW514" s="264"/>
      <c r="AX514" s="264"/>
      <c r="AY514" s="264"/>
      <c r="AZ514" s="264"/>
      <c r="BA514" s="264"/>
    </row>
    <row r="515" spans="1:53" x14ac:dyDescent="0.15">
      <c r="A515" s="264"/>
      <c r="B515" s="264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  <c r="AA515" s="264"/>
      <c r="AB515" s="264"/>
      <c r="AC515" s="264"/>
      <c r="AD515" s="264"/>
      <c r="AE515" s="264"/>
      <c r="AF515" s="264"/>
      <c r="AG515" s="264"/>
      <c r="AH515" s="263"/>
      <c r="AI515" s="264"/>
      <c r="AJ515" s="264"/>
      <c r="AK515" s="264"/>
      <c r="AL515" s="264"/>
      <c r="AM515" s="264"/>
      <c r="AN515" s="264"/>
      <c r="AO515" s="264"/>
      <c r="AP515" s="264"/>
      <c r="AQ515" s="264"/>
      <c r="AR515" s="264"/>
      <c r="AS515" s="264"/>
      <c r="AT515" s="264"/>
      <c r="AU515" s="264"/>
      <c r="AV515" s="264"/>
      <c r="AW515" s="264"/>
      <c r="AX515" s="264"/>
      <c r="AY515" s="264"/>
      <c r="AZ515" s="264"/>
      <c r="BA515" s="264"/>
    </row>
    <row r="516" spans="1:53" x14ac:dyDescent="0.15">
      <c r="A516" s="264"/>
      <c r="B516" s="264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  <c r="AA516" s="264"/>
      <c r="AB516" s="264"/>
      <c r="AC516" s="264"/>
      <c r="AD516" s="264"/>
      <c r="AE516" s="264"/>
      <c r="AF516" s="264"/>
      <c r="AG516" s="264"/>
      <c r="AH516" s="263"/>
      <c r="AI516" s="264"/>
      <c r="AJ516" s="264"/>
      <c r="AK516" s="264"/>
      <c r="AL516" s="264"/>
      <c r="AM516" s="264"/>
      <c r="AN516" s="264"/>
      <c r="AO516" s="264"/>
      <c r="AP516" s="264"/>
      <c r="AQ516" s="264"/>
      <c r="AR516" s="264"/>
      <c r="AS516" s="264"/>
      <c r="AT516" s="264"/>
      <c r="AU516" s="264"/>
      <c r="AV516" s="264"/>
      <c r="AW516" s="264"/>
      <c r="AX516" s="264"/>
      <c r="AY516" s="264"/>
      <c r="AZ516" s="264"/>
      <c r="BA516" s="264"/>
    </row>
    <row r="517" spans="1:53" x14ac:dyDescent="0.15">
      <c r="A517" s="264"/>
      <c r="B517" s="264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  <c r="AA517" s="264"/>
      <c r="AB517" s="264"/>
      <c r="AC517" s="264"/>
      <c r="AD517" s="264"/>
      <c r="AE517" s="264"/>
      <c r="AF517" s="264"/>
      <c r="AG517" s="264"/>
      <c r="AH517" s="263"/>
      <c r="AI517" s="264"/>
      <c r="AJ517" s="264"/>
      <c r="AK517" s="264"/>
      <c r="AL517" s="264"/>
      <c r="AM517" s="264"/>
      <c r="AN517" s="264"/>
      <c r="AO517" s="264"/>
      <c r="AP517" s="264"/>
      <c r="AQ517" s="264"/>
      <c r="AR517" s="264"/>
      <c r="AS517" s="264"/>
      <c r="AT517" s="264"/>
      <c r="AU517" s="264"/>
      <c r="AV517" s="264"/>
      <c r="AW517" s="264"/>
      <c r="AX517" s="264"/>
      <c r="AY517" s="264"/>
      <c r="AZ517" s="264"/>
      <c r="BA517" s="264"/>
    </row>
    <row r="518" spans="1:53" x14ac:dyDescent="0.15">
      <c r="A518" s="264"/>
      <c r="B518" s="264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  <c r="AA518" s="264"/>
      <c r="AB518" s="264"/>
      <c r="AC518" s="264"/>
      <c r="AD518" s="264"/>
      <c r="AE518" s="264"/>
      <c r="AF518" s="264"/>
      <c r="AG518" s="264"/>
      <c r="AH518" s="263"/>
      <c r="AI518" s="264"/>
      <c r="AJ518" s="264"/>
      <c r="AK518" s="264"/>
      <c r="AL518" s="264"/>
      <c r="AM518" s="264"/>
      <c r="AN518" s="264"/>
      <c r="AO518" s="264"/>
      <c r="AP518" s="264"/>
      <c r="AQ518" s="264"/>
      <c r="AR518" s="264"/>
      <c r="AS518" s="264"/>
      <c r="AT518" s="264"/>
      <c r="AU518" s="264"/>
      <c r="AV518" s="264"/>
      <c r="AW518" s="264"/>
      <c r="AX518" s="264"/>
      <c r="AY518" s="264"/>
      <c r="AZ518" s="264"/>
      <c r="BA518" s="264"/>
    </row>
    <row r="519" spans="1:53" x14ac:dyDescent="0.15">
      <c r="A519" s="264"/>
      <c r="B519" s="264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  <c r="AA519" s="264"/>
      <c r="AB519" s="264"/>
      <c r="AC519" s="264"/>
      <c r="AD519" s="264"/>
      <c r="AE519" s="264"/>
      <c r="AF519" s="264"/>
      <c r="AG519" s="264"/>
      <c r="AH519" s="263"/>
      <c r="AI519" s="264"/>
      <c r="AJ519" s="264"/>
      <c r="AK519" s="264"/>
      <c r="AL519" s="264"/>
      <c r="AM519" s="264"/>
      <c r="AN519" s="264"/>
      <c r="AO519" s="264"/>
      <c r="AP519" s="264"/>
      <c r="AQ519" s="264"/>
      <c r="AR519" s="264"/>
      <c r="AS519" s="264"/>
      <c r="AT519" s="264"/>
      <c r="AU519" s="264"/>
      <c r="AV519" s="264"/>
      <c r="AW519" s="264"/>
      <c r="AX519" s="264"/>
      <c r="AY519" s="264"/>
      <c r="AZ519" s="264"/>
      <c r="BA519" s="264"/>
    </row>
    <row r="520" spans="1:53" x14ac:dyDescent="0.15">
      <c r="A520" s="264"/>
      <c r="B520" s="264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  <c r="AA520" s="264"/>
      <c r="AB520" s="264"/>
      <c r="AC520" s="264"/>
      <c r="AD520" s="264"/>
      <c r="AE520" s="264"/>
      <c r="AF520" s="264"/>
      <c r="AG520" s="264"/>
      <c r="AH520" s="263"/>
      <c r="AI520" s="264"/>
      <c r="AJ520" s="264"/>
      <c r="AK520" s="264"/>
      <c r="AL520" s="264"/>
      <c r="AM520" s="264"/>
      <c r="AN520" s="264"/>
      <c r="AO520" s="264"/>
      <c r="AP520" s="264"/>
      <c r="AQ520" s="264"/>
      <c r="AR520" s="264"/>
      <c r="AS520" s="264"/>
      <c r="AT520" s="264"/>
      <c r="AU520" s="264"/>
      <c r="AV520" s="264"/>
      <c r="AW520" s="264"/>
      <c r="AX520" s="264"/>
      <c r="AY520" s="264"/>
      <c r="AZ520" s="264"/>
      <c r="BA520" s="264"/>
    </row>
    <row r="521" spans="1:53" x14ac:dyDescent="0.15">
      <c r="A521" s="264"/>
      <c r="B521" s="264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  <c r="AA521" s="264"/>
      <c r="AB521" s="264"/>
      <c r="AC521" s="264"/>
      <c r="AD521" s="264"/>
      <c r="AE521" s="264"/>
      <c r="AF521" s="264"/>
      <c r="AG521" s="264"/>
      <c r="AH521" s="263"/>
      <c r="AI521" s="264"/>
      <c r="AJ521" s="264"/>
      <c r="AK521" s="264"/>
      <c r="AL521" s="264"/>
      <c r="AM521" s="264"/>
      <c r="AN521" s="264"/>
      <c r="AO521" s="264"/>
      <c r="AP521" s="264"/>
      <c r="AQ521" s="264"/>
      <c r="AR521" s="264"/>
      <c r="AS521" s="264"/>
      <c r="AT521" s="264"/>
      <c r="AU521" s="264"/>
      <c r="AV521" s="264"/>
      <c r="AW521" s="264"/>
      <c r="AX521" s="264"/>
      <c r="AY521" s="264"/>
      <c r="AZ521" s="264"/>
      <c r="BA521" s="264"/>
    </row>
    <row r="522" spans="1:53" x14ac:dyDescent="0.15">
      <c r="A522" s="264"/>
      <c r="B522" s="264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  <c r="AA522" s="264"/>
      <c r="AB522" s="264"/>
      <c r="AC522" s="264"/>
      <c r="AD522" s="264"/>
      <c r="AE522" s="264"/>
      <c r="AF522" s="264"/>
      <c r="AG522" s="264"/>
      <c r="AH522" s="263"/>
      <c r="AI522" s="264"/>
      <c r="AJ522" s="264"/>
      <c r="AK522" s="264"/>
      <c r="AL522" s="264"/>
      <c r="AM522" s="264"/>
      <c r="AN522" s="264"/>
      <c r="AO522" s="264"/>
      <c r="AP522" s="264"/>
      <c r="AQ522" s="264"/>
      <c r="AR522" s="264"/>
      <c r="AS522" s="264"/>
      <c r="AT522" s="264"/>
      <c r="AU522" s="264"/>
      <c r="AV522" s="264"/>
      <c r="AW522" s="264"/>
      <c r="AX522" s="264"/>
      <c r="AY522" s="264"/>
      <c r="AZ522" s="264"/>
      <c r="BA522" s="264"/>
    </row>
    <row r="523" spans="1:53" x14ac:dyDescent="0.15">
      <c r="A523" s="264"/>
      <c r="B523" s="264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  <c r="AA523" s="264"/>
      <c r="AB523" s="264"/>
      <c r="AC523" s="264"/>
      <c r="AD523" s="264"/>
      <c r="AE523" s="264"/>
      <c r="AF523" s="264"/>
      <c r="AG523" s="264"/>
      <c r="AH523" s="263"/>
      <c r="AI523" s="264"/>
      <c r="AJ523" s="264"/>
      <c r="AK523" s="264"/>
      <c r="AL523" s="264"/>
      <c r="AM523" s="264"/>
      <c r="AN523" s="264"/>
      <c r="AO523" s="264"/>
      <c r="AP523" s="264"/>
      <c r="AQ523" s="264"/>
      <c r="AR523" s="264"/>
      <c r="AS523" s="264"/>
      <c r="AT523" s="264"/>
      <c r="AU523" s="264"/>
      <c r="AV523" s="264"/>
      <c r="AW523" s="264"/>
      <c r="AX523" s="264"/>
      <c r="AY523" s="264"/>
      <c r="AZ523" s="264"/>
      <c r="BA523" s="264"/>
    </row>
    <row r="524" spans="1:53" x14ac:dyDescent="0.15">
      <c r="A524" s="264"/>
      <c r="B524" s="264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  <c r="AA524" s="264"/>
      <c r="AB524" s="264"/>
      <c r="AC524" s="264"/>
      <c r="AD524" s="264"/>
      <c r="AE524" s="264"/>
      <c r="AF524" s="264"/>
      <c r="AG524" s="264"/>
      <c r="AH524" s="263"/>
      <c r="AI524" s="264"/>
      <c r="AJ524" s="264"/>
      <c r="AK524" s="264"/>
      <c r="AL524" s="264"/>
      <c r="AM524" s="264"/>
      <c r="AN524" s="264"/>
      <c r="AO524" s="264"/>
      <c r="AP524" s="264"/>
      <c r="AQ524" s="264"/>
      <c r="AR524" s="264"/>
      <c r="AS524" s="264"/>
      <c r="AT524" s="264"/>
      <c r="AU524" s="264"/>
      <c r="AV524" s="264"/>
      <c r="AW524" s="264"/>
      <c r="AX524" s="264"/>
      <c r="AY524" s="264"/>
      <c r="AZ524" s="264"/>
      <c r="BA524" s="264"/>
    </row>
    <row r="525" spans="1:53" x14ac:dyDescent="0.15">
      <c r="A525" s="264"/>
      <c r="B525" s="264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  <c r="AA525" s="264"/>
      <c r="AB525" s="264"/>
      <c r="AC525" s="264"/>
      <c r="AD525" s="264"/>
      <c r="AE525" s="264"/>
      <c r="AF525" s="264"/>
      <c r="AG525" s="264"/>
      <c r="AH525" s="263"/>
      <c r="AI525" s="264"/>
      <c r="AJ525" s="264"/>
      <c r="AK525" s="264"/>
      <c r="AL525" s="264"/>
      <c r="AM525" s="264"/>
      <c r="AN525" s="264"/>
      <c r="AO525" s="264"/>
      <c r="AP525" s="264"/>
      <c r="AQ525" s="264"/>
      <c r="AR525" s="264"/>
      <c r="AS525" s="264"/>
      <c r="AT525" s="264"/>
      <c r="AU525" s="264"/>
      <c r="AV525" s="264"/>
      <c r="AW525" s="264"/>
      <c r="AX525" s="264"/>
      <c r="AY525" s="264"/>
      <c r="AZ525" s="264"/>
      <c r="BA525" s="264"/>
    </row>
    <row r="526" spans="1:53" x14ac:dyDescent="0.15">
      <c r="A526" s="264"/>
      <c r="B526" s="264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  <c r="AA526" s="264"/>
      <c r="AB526" s="264"/>
      <c r="AC526" s="264"/>
      <c r="AD526" s="264"/>
      <c r="AE526" s="264"/>
      <c r="AF526" s="264"/>
      <c r="AG526" s="264"/>
      <c r="AH526" s="263"/>
      <c r="AI526" s="264"/>
      <c r="AJ526" s="264"/>
      <c r="AK526" s="264"/>
      <c r="AL526" s="264"/>
      <c r="AM526" s="264"/>
      <c r="AN526" s="264"/>
      <c r="AO526" s="264"/>
      <c r="AP526" s="264"/>
      <c r="AQ526" s="264"/>
      <c r="AR526" s="264"/>
      <c r="AS526" s="264"/>
      <c r="AT526" s="264"/>
      <c r="AU526" s="264"/>
      <c r="AV526" s="264"/>
      <c r="AW526" s="264"/>
      <c r="AX526" s="264"/>
      <c r="AY526" s="264"/>
      <c r="AZ526" s="264"/>
      <c r="BA526" s="264"/>
    </row>
    <row r="527" spans="1:53" x14ac:dyDescent="0.15">
      <c r="A527" s="264"/>
      <c r="B527" s="264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  <c r="AA527" s="264"/>
      <c r="AB527" s="264"/>
      <c r="AC527" s="264"/>
      <c r="AD527" s="264"/>
      <c r="AE527" s="264"/>
      <c r="AF527" s="264"/>
      <c r="AG527" s="264"/>
      <c r="AH527" s="263"/>
      <c r="AI527" s="264"/>
      <c r="AJ527" s="264"/>
      <c r="AK527" s="264"/>
      <c r="AL527" s="264"/>
      <c r="AM527" s="264"/>
      <c r="AN527" s="264"/>
      <c r="AO527" s="264"/>
      <c r="AP527" s="264"/>
      <c r="AQ527" s="264"/>
      <c r="AR527" s="264"/>
      <c r="AS527" s="264"/>
      <c r="AT527" s="264"/>
      <c r="AU527" s="264"/>
      <c r="AV527" s="264"/>
      <c r="AW527" s="264"/>
      <c r="AX527" s="264"/>
      <c r="AY527" s="264"/>
      <c r="AZ527" s="264"/>
      <c r="BA527" s="264"/>
    </row>
    <row r="528" spans="1:53" x14ac:dyDescent="0.15">
      <c r="A528" s="264"/>
      <c r="B528" s="264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  <c r="AA528" s="264"/>
      <c r="AB528" s="264"/>
      <c r="AC528" s="264"/>
      <c r="AD528" s="264"/>
      <c r="AE528" s="264"/>
      <c r="AF528" s="264"/>
      <c r="AG528" s="264"/>
      <c r="AH528" s="263"/>
      <c r="AI528" s="264"/>
      <c r="AJ528" s="264"/>
      <c r="AK528" s="264"/>
      <c r="AL528" s="264"/>
      <c r="AM528" s="264"/>
      <c r="AN528" s="264"/>
      <c r="AO528" s="264"/>
      <c r="AP528" s="264"/>
      <c r="AQ528" s="264"/>
      <c r="AR528" s="264"/>
      <c r="AS528" s="264"/>
      <c r="AT528" s="264"/>
      <c r="AU528" s="264"/>
      <c r="AV528" s="264"/>
      <c r="AW528" s="264"/>
      <c r="AX528" s="264"/>
      <c r="AY528" s="264"/>
      <c r="AZ528" s="264"/>
      <c r="BA528" s="264"/>
    </row>
    <row r="529" spans="1:53" x14ac:dyDescent="0.15">
      <c r="A529" s="264"/>
      <c r="B529" s="264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  <c r="AA529" s="264"/>
      <c r="AB529" s="264"/>
      <c r="AC529" s="264"/>
      <c r="AD529" s="264"/>
      <c r="AE529" s="264"/>
      <c r="AF529" s="264"/>
      <c r="AG529" s="264"/>
      <c r="AH529" s="263"/>
      <c r="AI529" s="264"/>
      <c r="AJ529" s="264"/>
      <c r="AK529" s="264"/>
      <c r="AL529" s="264"/>
      <c r="AM529" s="264"/>
      <c r="AN529" s="264"/>
      <c r="AO529" s="264"/>
      <c r="AP529" s="264"/>
      <c r="AQ529" s="264"/>
      <c r="AR529" s="264"/>
      <c r="AS529" s="264"/>
      <c r="AT529" s="264"/>
      <c r="AU529" s="264"/>
      <c r="AV529" s="264"/>
      <c r="AW529" s="264"/>
      <c r="AX529" s="264"/>
      <c r="AY529" s="264"/>
      <c r="AZ529" s="264"/>
      <c r="BA529" s="264"/>
    </row>
    <row r="530" spans="1:53" x14ac:dyDescent="0.15">
      <c r="A530" s="264"/>
      <c r="B530" s="264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  <c r="AA530" s="264"/>
      <c r="AB530" s="264"/>
      <c r="AC530" s="264"/>
      <c r="AD530" s="264"/>
      <c r="AE530" s="264"/>
      <c r="AF530" s="264"/>
      <c r="AG530" s="264"/>
      <c r="AH530" s="263"/>
      <c r="AI530" s="264"/>
      <c r="AJ530" s="264"/>
      <c r="AK530" s="264"/>
      <c r="AL530" s="264"/>
      <c r="AM530" s="264"/>
      <c r="AN530" s="264"/>
      <c r="AO530" s="264"/>
      <c r="AP530" s="264"/>
      <c r="AQ530" s="264"/>
      <c r="AR530" s="264"/>
      <c r="AS530" s="264"/>
      <c r="AT530" s="264"/>
      <c r="AU530" s="264"/>
      <c r="AV530" s="264"/>
      <c r="AW530" s="264"/>
      <c r="AX530" s="264"/>
      <c r="AY530" s="264"/>
      <c r="AZ530" s="264"/>
      <c r="BA530" s="264"/>
    </row>
    <row r="531" spans="1:53" x14ac:dyDescent="0.15">
      <c r="A531" s="264"/>
      <c r="B531" s="264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  <c r="AA531" s="264"/>
      <c r="AB531" s="264"/>
      <c r="AC531" s="264"/>
      <c r="AD531" s="264"/>
      <c r="AE531" s="264"/>
      <c r="AF531" s="264"/>
      <c r="AG531" s="264"/>
      <c r="AH531" s="263"/>
      <c r="AI531" s="264"/>
      <c r="AJ531" s="264"/>
      <c r="AK531" s="264"/>
      <c r="AL531" s="264"/>
      <c r="AM531" s="264"/>
      <c r="AN531" s="264"/>
      <c r="AO531" s="264"/>
      <c r="AP531" s="264"/>
      <c r="AQ531" s="264"/>
      <c r="AR531" s="264"/>
      <c r="AS531" s="264"/>
      <c r="AT531" s="264"/>
      <c r="AU531" s="264"/>
      <c r="AV531" s="264"/>
      <c r="AW531" s="264"/>
      <c r="AX531" s="264"/>
      <c r="AY531" s="264"/>
      <c r="AZ531" s="264"/>
      <c r="BA531" s="264"/>
    </row>
    <row r="532" spans="1:53" x14ac:dyDescent="0.15">
      <c r="A532" s="264"/>
      <c r="B532" s="264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  <c r="AA532" s="264"/>
      <c r="AB532" s="264"/>
      <c r="AC532" s="264"/>
      <c r="AD532" s="264"/>
      <c r="AE532" s="264"/>
      <c r="AF532" s="264"/>
      <c r="AG532" s="264"/>
      <c r="AH532" s="263"/>
      <c r="AI532" s="264"/>
      <c r="AJ532" s="264"/>
      <c r="AK532" s="264"/>
      <c r="AL532" s="264"/>
      <c r="AM532" s="264"/>
      <c r="AN532" s="264"/>
      <c r="AO532" s="264"/>
      <c r="AP532" s="264"/>
      <c r="AQ532" s="264"/>
      <c r="AR532" s="264"/>
      <c r="AS532" s="264"/>
      <c r="AT532" s="264"/>
      <c r="AU532" s="264"/>
      <c r="AV532" s="264"/>
      <c r="AW532" s="264"/>
      <c r="AX532" s="264"/>
      <c r="AY532" s="264"/>
      <c r="AZ532" s="264"/>
      <c r="BA532" s="264"/>
    </row>
    <row r="533" spans="1:53" x14ac:dyDescent="0.15">
      <c r="A533" s="264"/>
      <c r="B533" s="264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  <c r="AA533" s="264"/>
      <c r="AB533" s="264"/>
      <c r="AC533" s="264"/>
      <c r="AD533" s="264"/>
      <c r="AE533" s="264"/>
      <c r="AF533" s="264"/>
      <c r="AG533" s="264"/>
      <c r="AH533" s="263"/>
      <c r="AI533" s="264"/>
      <c r="AJ533" s="264"/>
      <c r="AK533" s="264"/>
      <c r="AL533" s="264"/>
      <c r="AM533" s="264"/>
      <c r="AN533" s="264"/>
      <c r="AO533" s="264"/>
      <c r="AP533" s="264"/>
      <c r="AQ533" s="264"/>
      <c r="AR533" s="264"/>
      <c r="AS533" s="264"/>
      <c r="AT533" s="264"/>
      <c r="AU533" s="264"/>
      <c r="AV533" s="264"/>
      <c r="AW533" s="264"/>
      <c r="AX533" s="264"/>
      <c r="AY533" s="264"/>
      <c r="AZ533" s="264"/>
      <c r="BA533" s="264"/>
    </row>
    <row r="534" spans="1:53" x14ac:dyDescent="0.15">
      <c r="A534" s="264"/>
      <c r="B534" s="264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  <c r="AA534" s="264"/>
      <c r="AB534" s="264"/>
      <c r="AC534" s="264"/>
      <c r="AD534" s="264"/>
      <c r="AE534" s="264"/>
      <c r="AF534" s="264"/>
      <c r="AG534" s="264"/>
      <c r="AH534" s="263"/>
      <c r="AI534" s="264"/>
      <c r="AJ534" s="264"/>
      <c r="AK534" s="264"/>
      <c r="AL534" s="264"/>
      <c r="AM534" s="264"/>
      <c r="AN534" s="264"/>
      <c r="AO534" s="264"/>
      <c r="AP534" s="264"/>
      <c r="AQ534" s="264"/>
      <c r="AR534" s="264"/>
      <c r="AS534" s="264"/>
      <c r="AT534" s="264"/>
      <c r="AU534" s="264"/>
      <c r="AV534" s="264"/>
      <c r="AW534" s="264"/>
      <c r="AX534" s="264"/>
      <c r="AY534" s="264"/>
      <c r="AZ534" s="264"/>
      <c r="BA534" s="264"/>
    </row>
    <row r="535" spans="1:53" x14ac:dyDescent="0.15">
      <c r="A535" s="264"/>
      <c r="B535" s="264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  <c r="AA535" s="264"/>
      <c r="AB535" s="264"/>
      <c r="AC535" s="264"/>
      <c r="AD535" s="264"/>
      <c r="AE535" s="264"/>
      <c r="AF535" s="264"/>
      <c r="AG535" s="264"/>
      <c r="AH535" s="263"/>
      <c r="AI535" s="264"/>
      <c r="AJ535" s="264"/>
      <c r="AK535" s="264"/>
      <c r="AL535" s="264"/>
      <c r="AM535" s="264"/>
      <c r="AN535" s="264"/>
      <c r="AO535" s="264"/>
      <c r="AP535" s="264"/>
      <c r="AQ535" s="264"/>
      <c r="AR535" s="264"/>
      <c r="AS535" s="264"/>
      <c r="AT535" s="264"/>
      <c r="AU535" s="264"/>
      <c r="AV535" s="264"/>
      <c r="AW535" s="264"/>
      <c r="AX535" s="264"/>
      <c r="AY535" s="264"/>
      <c r="AZ535" s="264"/>
      <c r="BA535" s="264"/>
    </row>
    <row r="536" spans="1:53" x14ac:dyDescent="0.15">
      <c r="A536" s="264"/>
      <c r="B536" s="264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  <c r="AA536" s="264"/>
      <c r="AB536" s="264"/>
      <c r="AC536" s="264"/>
      <c r="AD536" s="264"/>
      <c r="AE536" s="264"/>
      <c r="AF536" s="264"/>
      <c r="AG536" s="264"/>
      <c r="AH536" s="263"/>
      <c r="AI536" s="264"/>
      <c r="AJ536" s="264"/>
      <c r="AK536" s="264"/>
      <c r="AL536" s="264"/>
      <c r="AM536" s="264"/>
      <c r="AN536" s="264"/>
      <c r="AO536" s="264"/>
      <c r="AP536" s="264"/>
      <c r="AQ536" s="264"/>
      <c r="AR536" s="264"/>
      <c r="AS536" s="264"/>
      <c r="AT536" s="264"/>
      <c r="AU536" s="264"/>
      <c r="AV536" s="264"/>
      <c r="AW536" s="264"/>
      <c r="AX536" s="264"/>
      <c r="AY536" s="264"/>
      <c r="AZ536" s="264"/>
      <c r="BA536" s="264"/>
    </row>
    <row r="537" spans="1:53" x14ac:dyDescent="0.15">
      <c r="A537" s="264"/>
      <c r="B537" s="264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  <c r="AA537" s="264"/>
      <c r="AB537" s="264"/>
      <c r="AC537" s="264"/>
      <c r="AD537" s="264"/>
      <c r="AE537" s="264"/>
      <c r="AF537" s="264"/>
      <c r="AG537" s="264"/>
      <c r="AH537" s="263"/>
      <c r="AI537" s="264"/>
      <c r="AJ537" s="264"/>
      <c r="AK537" s="264"/>
      <c r="AL537" s="264"/>
      <c r="AM537" s="264"/>
      <c r="AN537" s="264"/>
      <c r="AO537" s="264"/>
      <c r="AP537" s="264"/>
      <c r="AQ537" s="264"/>
      <c r="AR537" s="264"/>
      <c r="AS537" s="264"/>
      <c r="AT537" s="264"/>
      <c r="AU537" s="264"/>
      <c r="AV537" s="264"/>
      <c r="AW537" s="264"/>
      <c r="AX537" s="264"/>
      <c r="AY537" s="264"/>
      <c r="AZ537" s="264"/>
      <c r="BA537" s="264"/>
    </row>
    <row r="538" spans="1:53" x14ac:dyDescent="0.15">
      <c r="A538" s="264"/>
      <c r="B538" s="264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  <c r="AA538" s="264"/>
      <c r="AB538" s="264"/>
      <c r="AC538" s="264"/>
      <c r="AD538" s="264"/>
      <c r="AE538" s="264"/>
      <c r="AF538" s="264"/>
      <c r="AG538" s="264"/>
      <c r="AH538" s="263"/>
      <c r="AI538" s="264"/>
      <c r="AJ538" s="264"/>
      <c r="AK538" s="264"/>
      <c r="AL538" s="264"/>
      <c r="AM538" s="264"/>
      <c r="AN538" s="264"/>
      <c r="AO538" s="264"/>
      <c r="AP538" s="264"/>
      <c r="AQ538" s="264"/>
      <c r="AR538" s="264"/>
      <c r="AS538" s="264"/>
      <c r="AT538" s="264"/>
      <c r="AU538" s="264"/>
      <c r="AV538" s="264"/>
      <c r="AW538" s="264"/>
      <c r="AX538" s="264"/>
      <c r="AY538" s="264"/>
      <c r="AZ538" s="264"/>
      <c r="BA538" s="264"/>
    </row>
    <row r="539" spans="1:53" x14ac:dyDescent="0.15">
      <c r="A539" s="264"/>
      <c r="B539" s="264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  <c r="AA539" s="264"/>
      <c r="AB539" s="264"/>
      <c r="AC539" s="264"/>
      <c r="AD539" s="264"/>
      <c r="AE539" s="264"/>
      <c r="AF539" s="264"/>
      <c r="AG539" s="264"/>
      <c r="AH539" s="263"/>
      <c r="AI539" s="264"/>
      <c r="AJ539" s="264"/>
      <c r="AK539" s="264"/>
      <c r="AL539" s="264"/>
      <c r="AM539" s="264"/>
      <c r="AN539" s="264"/>
      <c r="AO539" s="264"/>
      <c r="AP539" s="264"/>
      <c r="AQ539" s="264"/>
      <c r="AR539" s="264"/>
      <c r="AS539" s="264"/>
      <c r="AT539" s="264"/>
      <c r="AU539" s="264"/>
      <c r="AV539" s="264"/>
      <c r="AW539" s="264"/>
      <c r="AX539" s="264"/>
      <c r="AY539" s="264"/>
      <c r="AZ539" s="264"/>
      <c r="BA539" s="264"/>
    </row>
    <row r="540" spans="1:53" x14ac:dyDescent="0.15">
      <c r="A540" s="264"/>
      <c r="B540" s="264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  <c r="AA540" s="264"/>
      <c r="AB540" s="264"/>
      <c r="AC540" s="264"/>
      <c r="AD540" s="264"/>
      <c r="AE540" s="264"/>
      <c r="AF540" s="264"/>
      <c r="AG540" s="264"/>
      <c r="AH540" s="263"/>
      <c r="AI540" s="264"/>
      <c r="AJ540" s="264"/>
      <c r="AK540" s="264"/>
      <c r="AL540" s="264"/>
      <c r="AM540" s="264"/>
      <c r="AN540" s="264"/>
      <c r="AO540" s="264"/>
      <c r="AP540" s="264"/>
      <c r="AQ540" s="264"/>
      <c r="AR540" s="264"/>
      <c r="AS540" s="264"/>
      <c r="AT540" s="264"/>
      <c r="AU540" s="264"/>
      <c r="AV540" s="264"/>
      <c r="AW540" s="264"/>
      <c r="AX540" s="264"/>
      <c r="AY540" s="264"/>
      <c r="AZ540" s="264"/>
      <c r="BA540" s="264"/>
    </row>
    <row r="541" spans="1:53" x14ac:dyDescent="0.15">
      <c r="A541" s="264"/>
      <c r="B541" s="264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  <c r="AA541" s="264"/>
      <c r="AB541" s="264"/>
      <c r="AC541" s="264"/>
      <c r="AD541" s="264"/>
      <c r="AE541" s="264"/>
      <c r="AF541" s="264"/>
      <c r="AG541" s="264"/>
      <c r="AH541" s="263"/>
      <c r="AI541" s="264"/>
      <c r="AJ541" s="264"/>
      <c r="AK541" s="264"/>
      <c r="AL541" s="264"/>
      <c r="AM541" s="264"/>
      <c r="AN541" s="264"/>
      <c r="AO541" s="264"/>
      <c r="AP541" s="264"/>
      <c r="AQ541" s="264"/>
      <c r="AR541" s="264"/>
      <c r="AS541" s="264"/>
      <c r="AT541" s="264"/>
      <c r="AU541" s="264"/>
      <c r="AV541" s="264"/>
      <c r="AW541" s="264"/>
      <c r="AX541" s="264"/>
      <c r="AY541" s="264"/>
      <c r="AZ541" s="264"/>
      <c r="BA541" s="264"/>
    </row>
    <row r="542" spans="1:53" x14ac:dyDescent="0.15">
      <c r="A542" s="264"/>
      <c r="B542" s="264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  <c r="AA542" s="264"/>
      <c r="AB542" s="264"/>
      <c r="AC542" s="264"/>
      <c r="AD542" s="264"/>
      <c r="AE542" s="264"/>
      <c r="AF542" s="264"/>
      <c r="AG542" s="264"/>
      <c r="AH542" s="263"/>
      <c r="AI542" s="264"/>
      <c r="AJ542" s="264"/>
      <c r="AK542" s="264"/>
      <c r="AL542" s="264"/>
      <c r="AM542" s="264"/>
      <c r="AN542" s="264"/>
      <c r="AO542" s="264"/>
      <c r="AP542" s="264"/>
      <c r="AQ542" s="264"/>
      <c r="AR542" s="264"/>
      <c r="AS542" s="264"/>
      <c r="AT542" s="264"/>
      <c r="AU542" s="264"/>
      <c r="AV542" s="264"/>
      <c r="AW542" s="264"/>
      <c r="AX542" s="264"/>
      <c r="AY542" s="264"/>
      <c r="AZ542" s="264"/>
      <c r="BA542" s="264"/>
    </row>
    <row r="543" spans="1:53" x14ac:dyDescent="0.15">
      <c r="A543" s="264"/>
      <c r="B543" s="264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  <c r="AA543" s="264"/>
      <c r="AB543" s="264"/>
      <c r="AC543" s="264"/>
      <c r="AD543" s="264"/>
      <c r="AE543" s="264"/>
      <c r="AF543" s="264"/>
      <c r="AG543" s="264"/>
      <c r="AH543" s="263"/>
      <c r="AI543" s="264"/>
      <c r="AJ543" s="264"/>
      <c r="AK543" s="264"/>
      <c r="AL543" s="264"/>
      <c r="AM543" s="264"/>
      <c r="AN543" s="264"/>
      <c r="AO543" s="264"/>
      <c r="AP543" s="264"/>
      <c r="AQ543" s="264"/>
      <c r="AR543" s="264"/>
      <c r="AS543" s="264"/>
      <c r="AT543" s="264"/>
      <c r="AU543" s="264"/>
      <c r="AV543" s="264"/>
      <c r="AW543" s="264"/>
      <c r="AX543" s="264"/>
      <c r="AY543" s="264"/>
      <c r="AZ543" s="264"/>
      <c r="BA543" s="264"/>
    </row>
    <row r="544" spans="1:53" x14ac:dyDescent="0.15">
      <c r="A544" s="264"/>
      <c r="B544" s="264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  <c r="AA544" s="264"/>
      <c r="AB544" s="264"/>
      <c r="AC544" s="264"/>
      <c r="AD544" s="264"/>
      <c r="AE544" s="264"/>
      <c r="AF544" s="264"/>
      <c r="AG544" s="264"/>
      <c r="AH544" s="263"/>
      <c r="AI544" s="264"/>
      <c r="AJ544" s="264"/>
      <c r="AK544" s="264"/>
      <c r="AL544" s="264"/>
      <c r="AM544" s="264"/>
      <c r="AN544" s="264"/>
      <c r="AO544" s="264"/>
      <c r="AP544" s="264"/>
      <c r="AQ544" s="264"/>
      <c r="AR544" s="264"/>
      <c r="AS544" s="264"/>
      <c r="AT544" s="264"/>
      <c r="AU544" s="264"/>
      <c r="AV544" s="264"/>
      <c r="AW544" s="264"/>
      <c r="AX544" s="264"/>
      <c r="AY544" s="264"/>
      <c r="AZ544" s="264"/>
      <c r="BA544" s="264"/>
    </row>
    <row r="545" spans="1:53" x14ac:dyDescent="0.15">
      <c r="A545" s="264"/>
      <c r="B545" s="264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  <c r="AA545" s="264"/>
      <c r="AB545" s="264"/>
      <c r="AC545" s="264"/>
      <c r="AD545" s="264"/>
      <c r="AE545" s="264"/>
      <c r="AF545" s="264"/>
      <c r="AG545" s="264"/>
      <c r="AH545" s="263"/>
      <c r="AI545" s="264"/>
      <c r="AJ545" s="264"/>
      <c r="AK545" s="264"/>
      <c r="AL545" s="264"/>
      <c r="AM545" s="264"/>
      <c r="AN545" s="264"/>
      <c r="AO545" s="264"/>
      <c r="AP545" s="264"/>
      <c r="AQ545" s="264"/>
      <c r="AR545" s="264"/>
      <c r="AS545" s="264"/>
      <c r="AT545" s="264"/>
      <c r="AU545" s="264"/>
      <c r="AV545" s="264"/>
      <c r="AW545" s="264"/>
      <c r="AX545" s="264"/>
      <c r="AY545" s="264"/>
      <c r="AZ545" s="264"/>
      <c r="BA545" s="264"/>
    </row>
    <row r="546" spans="1:53" x14ac:dyDescent="0.15">
      <c r="A546" s="264"/>
      <c r="B546" s="264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  <c r="AA546" s="264"/>
      <c r="AB546" s="264"/>
      <c r="AC546" s="264"/>
      <c r="AD546" s="264"/>
      <c r="AE546" s="264"/>
      <c r="AF546" s="264"/>
      <c r="AG546" s="264"/>
      <c r="AH546" s="263"/>
      <c r="AI546" s="264"/>
      <c r="AJ546" s="264"/>
      <c r="AK546" s="264"/>
      <c r="AL546" s="264"/>
      <c r="AM546" s="264"/>
      <c r="AN546" s="264"/>
      <c r="AO546" s="264"/>
      <c r="AP546" s="264"/>
      <c r="AQ546" s="264"/>
      <c r="AR546" s="264"/>
      <c r="AS546" s="264"/>
      <c r="AT546" s="264"/>
      <c r="AU546" s="264"/>
      <c r="AV546" s="264"/>
      <c r="AW546" s="264"/>
      <c r="AX546" s="264"/>
      <c r="AY546" s="264"/>
      <c r="AZ546" s="264"/>
      <c r="BA546" s="264"/>
    </row>
    <row r="547" spans="1:53" x14ac:dyDescent="0.15">
      <c r="A547" s="264"/>
      <c r="B547" s="264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  <c r="AA547" s="264"/>
      <c r="AB547" s="264"/>
      <c r="AC547" s="264"/>
      <c r="AD547" s="264"/>
      <c r="AE547" s="264"/>
      <c r="AF547" s="264"/>
      <c r="AG547" s="264"/>
      <c r="AH547" s="263"/>
      <c r="AI547" s="264"/>
      <c r="AJ547" s="264"/>
      <c r="AK547" s="264"/>
      <c r="AL547" s="264"/>
      <c r="AM547" s="264"/>
      <c r="AN547" s="264"/>
      <c r="AO547" s="264"/>
      <c r="AP547" s="264"/>
      <c r="AQ547" s="264"/>
      <c r="AR547" s="264"/>
      <c r="AS547" s="264"/>
      <c r="AT547" s="264"/>
      <c r="AU547" s="264"/>
      <c r="AV547" s="264"/>
      <c r="AW547" s="264"/>
      <c r="AX547" s="264"/>
      <c r="AY547" s="264"/>
      <c r="AZ547" s="264"/>
      <c r="BA547" s="264"/>
    </row>
    <row r="548" spans="1:53" x14ac:dyDescent="0.15">
      <c r="A548" s="264"/>
      <c r="B548" s="264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  <c r="AA548" s="264"/>
      <c r="AB548" s="264"/>
      <c r="AC548" s="264"/>
      <c r="AD548" s="264"/>
      <c r="AE548" s="264"/>
      <c r="AF548" s="264"/>
      <c r="AG548" s="264"/>
      <c r="AH548" s="263"/>
      <c r="AI548" s="264"/>
      <c r="AJ548" s="264"/>
      <c r="AK548" s="264"/>
      <c r="AL548" s="264"/>
      <c r="AM548" s="264"/>
      <c r="AN548" s="264"/>
      <c r="AO548" s="264"/>
      <c r="AP548" s="264"/>
      <c r="AQ548" s="264"/>
      <c r="AR548" s="264"/>
      <c r="AS548" s="264"/>
      <c r="AT548" s="264"/>
      <c r="AU548" s="264"/>
      <c r="AV548" s="264"/>
      <c r="AW548" s="264"/>
      <c r="AX548" s="264"/>
      <c r="AY548" s="264"/>
      <c r="AZ548" s="264"/>
      <c r="BA548" s="264"/>
    </row>
    <row r="549" spans="1:53" x14ac:dyDescent="0.15">
      <c r="A549" s="264"/>
      <c r="B549" s="264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  <c r="AA549" s="264"/>
      <c r="AB549" s="264"/>
      <c r="AC549" s="264"/>
      <c r="AD549" s="264"/>
      <c r="AE549" s="264"/>
      <c r="AF549" s="264"/>
      <c r="AG549" s="264"/>
      <c r="AH549" s="263"/>
      <c r="AI549" s="264"/>
      <c r="AJ549" s="264"/>
      <c r="AK549" s="264"/>
      <c r="AL549" s="264"/>
      <c r="AM549" s="264"/>
      <c r="AN549" s="264"/>
      <c r="AO549" s="264"/>
      <c r="AP549" s="264"/>
      <c r="AQ549" s="264"/>
      <c r="AR549" s="264"/>
      <c r="AS549" s="264"/>
      <c r="AT549" s="264"/>
      <c r="AU549" s="264"/>
      <c r="AV549" s="264"/>
      <c r="AW549" s="264"/>
      <c r="AX549" s="264"/>
      <c r="AY549" s="264"/>
      <c r="AZ549" s="264"/>
      <c r="BA549" s="264"/>
    </row>
    <row r="550" spans="1:53" x14ac:dyDescent="0.15">
      <c r="A550" s="264"/>
      <c r="B550" s="264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  <c r="AA550" s="264"/>
      <c r="AB550" s="264"/>
      <c r="AC550" s="264"/>
      <c r="AD550" s="264"/>
      <c r="AE550" s="264"/>
      <c r="AF550" s="264"/>
      <c r="AG550" s="264"/>
      <c r="AH550" s="263"/>
      <c r="AI550" s="264"/>
      <c r="AJ550" s="264"/>
      <c r="AK550" s="264"/>
      <c r="AL550" s="264"/>
      <c r="AM550" s="264"/>
      <c r="AN550" s="264"/>
      <c r="AO550" s="264"/>
      <c r="AP550" s="264"/>
      <c r="AQ550" s="264"/>
      <c r="AR550" s="264"/>
      <c r="AS550" s="264"/>
      <c r="AT550" s="264"/>
      <c r="AU550" s="264"/>
      <c r="AV550" s="264"/>
      <c r="AW550" s="264"/>
      <c r="AX550" s="264"/>
      <c r="AY550" s="264"/>
      <c r="AZ550" s="264"/>
      <c r="BA550" s="264"/>
    </row>
    <row r="551" spans="1:53" x14ac:dyDescent="0.15">
      <c r="A551" s="264"/>
      <c r="B551" s="264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  <c r="AA551" s="264"/>
      <c r="AB551" s="264"/>
      <c r="AC551" s="264"/>
      <c r="AD551" s="264"/>
      <c r="AE551" s="264"/>
      <c r="AF551" s="264"/>
      <c r="AG551" s="264"/>
      <c r="AH551" s="263"/>
      <c r="AI551" s="264"/>
      <c r="AJ551" s="264"/>
      <c r="AK551" s="264"/>
      <c r="AL551" s="264"/>
      <c r="AM551" s="264"/>
      <c r="AN551" s="264"/>
      <c r="AO551" s="264"/>
      <c r="AP551" s="264"/>
      <c r="AQ551" s="264"/>
      <c r="AR551" s="264"/>
      <c r="AS551" s="264"/>
      <c r="AT551" s="264"/>
      <c r="AU551" s="264"/>
      <c r="AV551" s="264"/>
      <c r="AW551" s="264"/>
      <c r="AX551" s="264"/>
      <c r="AY551" s="264"/>
      <c r="AZ551" s="264"/>
      <c r="BA551" s="264"/>
    </row>
    <row r="552" spans="1:53" x14ac:dyDescent="0.15">
      <c r="A552" s="264"/>
      <c r="B552" s="264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  <c r="AA552" s="264"/>
      <c r="AB552" s="264"/>
      <c r="AC552" s="264"/>
      <c r="AD552" s="264"/>
      <c r="AE552" s="264"/>
      <c r="AF552" s="264"/>
      <c r="AG552" s="264"/>
      <c r="AH552" s="263"/>
      <c r="AI552" s="264"/>
      <c r="AJ552" s="264"/>
      <c r="AK552" s="264"/>
      <c r="AL552" s="264"/>
      <c r="AM552" s="264"/>
      <c r="AN552" s="264"/>
      <c r="AO552" s="264"/>
      <c r="AP552" s="264"/>
      <c r="AQ552" s="264"/>
      <c r="AR552" s="264"/>
      <c r="AS552" s="264"/>
      <c r="AT552" s="264"/>
      <c r="AU552" s="264"/>
      <c r="AV552" s="264"/>
      <c r="AW552" s="264"/>
      <c r="AX552" s="264"/>
      <c r="AY552" s="264"/>
      <c r="AZ552" s="264"/>
      <c r="BA552" s="264"/>
    </row>
    <row r="553" spans="1:53" x14ac:dyDescent="0.15">
      <c r="A553" s="264"/>
      <c r="B553" s="264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  <c r="AA553" s="264"/>
      <c r="AB553" s="264"/>
      <c r="AC553" s="264"/>
      <c r="AD553" s="264"/>
      <c r="AE553" s="264"/>
      <c r="AF553" s="264"/>
      <c r="AG553" s="264"/>
      <c r="AH553" s="263"/>
      <c r="AI553" s="264"/>
      <c r="AJ553" s="264"/>
      <c r="AK553" s="264"/>
      <c r="AL553" s="264"/>
      <c r="AM553" s="264"/>
      <c r="AN553" s="264"/>
      <c r="AO553" s="264"/>
      <c r="AP553" s="264"/>
      <c r="AQ553" s="264"/>
      <c r="AR553" s="264"/>
      <c r="AS553" s="264"/>
      <c r="AT553" s="264"/>
      <c r="AU553" s="264"/>
      <c r="AV553" s="264"/>
      <c r="AW553" s="264"/>
      <c r="AX553" s="264"/>
      <c r="AY553" s="264"/>
      <c r="AZ553" s="264"/>
      <c r="BA553" s="264"/>
    </row>
    <row r="554" spans="1:53" x14ac:dyDescent="0.15">
      <c r="A554" s="264"/>
      <c r="B554" s="264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  <c r="AA554" s="264"/>
      <c r="AB554" s="264"/>
      <c r="AC554" s="264"/>
      <c r="AD554" s="264"/>
      <c r="AE554" s="264"/>
      <c r="AF554" s="264"/>
      <c r="AG554" s="264"/>
      <c r="AH554" s="263"/>
      <c r="AI554" s="264"/>
      <c r="AJ554" s="264"/>
      <c r="AK554" s="264"/>
      <c r="AL554" s="264"/>
      <c r="AM554" s="264"/>
      <c r="AN554" s="264"/>
      <c r="AO554" s="264"/>
      <c r="AP554" s="264"/>
      <c r="AQ554" s="264"/>
      <c r="AR554" s="264"/>
      <c r="AS554" s="264"/>
      <c r="AT554" s="264"/>
      <c r="AU554" s="264"/>
      <c r="AV554" s="264"/>
      <c r="AW554" s="264"/>
      <c r="AX554" s="264"/>
      <c r="AY554" s="264"/>
      <c r="AZ554" s="264"/>
      <c r="BA554" s="264"/>
    </row>
    <row r="555" spans="1:53" x14ac:dyDescent="0.15">
      <c r="A555" s="264"/>
      <c r="B555" s="264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  <c r="AA555" s="264"/>
      <c r="AB555" s="264"/>
      <c r="AC555" s="264"/>
      <c r="AD555" s="264"/>
      <c r="AE555" s="264"/>
      <c r="AF555" s="264"/>
      <c r="AG555" s="264"/>
      <c r="AH555" s="263"/>
      <c r="AI555" s="264"/>
      <c r="AJ555" s="264"/>
      <c r="AK555" s="264"/>
      <c r="AL555" s="264"/>
      <c r="AM555" s="264"/>
      <c r="AN555" s="264"/>
      <c r="AO555" s="264"/>
      <c r="AP555" s="264"/>
      <c r="AQ555" s="264"/>
      <c r="AR555" s="264"/>
      <c r="AS555" s="264"/>
      <c r="AT555" s="264"/>
      <c r="AU555" s="264"/>
      <c r="AV555" s="264"/>
      <c r="AW555" s="264"/>
      <c r="AX555" s="264"/>
      <c r="AY555" s="264"/>
      <c r="AZ555" s="264"/>
      <c r="BA555" s="264"/>
    </row>
    <row r="556" spans="1:53" x14ac:dyDescent="0.15">
      <c r="A556" s="264"/>
      <c r="B556" s="264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  <c r="AA556" s="264"/>
      <c r="AB556" s="264"/>
      <c r="AC556" s="264"/>
      <c r="AD556" s="264"/>
      <c r="AE556" s="264"/>
      <c r="AF556" s="264"/>
      <c r="AG556" s="264"/>
      <c r="AH556" s="263"/>
      <c r="AI556" s="264"/>
      <c r="AJ556" s="264"/>
      <c r="AK556" s="264"/>
      <c r="AL556" s="264"/>
      <c r="AM556" s="264"/>
      <c r="AN556" s="264"/>
      <c r="AO556" s="264"/>
      <c r="AP556" s="264"/>
      <c r="AQ556" s="264"/>
      <c r="AR556" s="264"/>
      <c r="AS556" s="264"/>
      <c r="AT556" s="264"/>
      <c r="AU556" s="264"/>
      <c r="AV556" s="264"/>
      <c r="AW556" s="264"/>
      <c r="AX556" s="264"/>
      <c r="AY556" s="264"/>
      <c r="AZ556" s="264"/>
      <c r="BA556" s="264"/>
    </row>
    <row r="557" spans="1:53" x14ac:dyDescent="0.15">
      <c r="A557" s="264"/>
      <c r="B557" s="264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  <c r="AA557" s="264"/>
      <c r="AB557" s="264"/>
      <c r="AC557" s="264"/>
      <c r="AD557" s="264"/>
      <c r="AE557" s="264"/>
      <c r="AF557" s="264"/>
      <c r="AG557" s="264"/>
      <c r="AH557" s="263"/>
      <c r="AI557" s="264"/>
      <c r="AJ557" s="264"/>
      <c r="AK557" s="264"/>
      <c r="AL557" s="264"/>
      <c r="AM557" s="264"/>
      <c r="AN557" s="264"/>
      <c r="AO557" s="264"/>
      <c r="AP557" s="264"/>
      <c r="AQ557" s="264"/>
      <c r="AR557" s="264"/>
      <c r="AS557" s="264"/>
      <c r="AT557" s="264"/>
      <c r="AU557" s="264"/>
      <c r="AV557" s="264"/>
      <c r="AW557" s="264"/>
      <c r="AX557" s="264"/>
      <c r="AY557" s="264"/>
      <c r="AZ557" s="264"/>
      <c r="BA557" s="264"/>
    </row>
    <row r="558" spans="1:53" x14ac:dyDescent="0.15">
      <c r="A558" s="264"/>
      <c r="B558" s="264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  <c r="AA558" s="264"/>
      <c r="AB558" s="264"/>
      <c r="AC558" s="264"/>
      <c r="AD558" s="264"/>
      <c r="AE558" s="264"/>
      <c r="AF558" s="264"/>
      <c r="AG558" s="264"/>
      <c r="AH558" s="263"/>
      <c r="AI558" s="264"/>
      <c r="AJ558" s="264"/>
      <c r="AK558" s="264"/>
      <c r="AL558" s="264"/>
      <c r="AM558" s="264"/>
      <c r="AN558" s="264"/>
      <c r="AO558" s="264"/>
      <c r="AP558" s="264"/>
      <c r="AQ558" s="264"/>
      <c r="AR558" s="264"/>
      <c r="AS558" s="264"/>
      <c r="AT558" s="264"/>
      <c r="AU558" s="264"/>
      <c r="AV558" s="264"/>
      <c r="AW558" s="264"/>
      <c r="AX558" s="264"/>
      <c r="AY558" s="264"/>
      <c r="AZ558" s="264"/>
      <c r="BA558" s="264"/>
    </row>
    <row r="559" spans="1:53" x14ac:dyDescent="0.15">
      <c r="A559" s="264"/>
      <c r="B559" s="264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  <c r="AA559" s="264"/>
      <c r="AB559" s="264"/>
      <c r="AC559" s="264"/>
      <c r="AD559" s="264"/>
      <c r="AE559" s="264"/>
      <c r="AF559" s="264"/>
      <c r="AG559" s="264"/>
      <c r="AH559" s="263"/>
      <c r="AI559" s="264"/>
      <c r="AJ559" s="264"/>
      <c r="AK559" s="264"/>
      <c r="AL559" s="264"/>
      <c r="AM559" s="264"/>
      <c r="AN559" s="264"/>
      <c r="AO559" s="264"/>
      <c r="AP559" s="264"/>
      <c r="AQ559" s="264"/>
      <c r="AR559" s="264"/>
      <c r="AS559" s="264"/>
      <c r="AT559" s="264"/>
      <c r="AU559" s="264"/>
      <c r="AV559" s="264"/>
      <c r="AW559" s="264"/>
      <c r="AX559" s="264"/>
      <c r="AY559" s="264"/>
      <c r="AZ559" s="264"/>
      <c r="BA559" s="264"/>
    </row>
    <row r="560" spans="1:53" x14ac:dyDescent="0.15">
      <c r="A560" s="264"/>
      <c r="B560" s="264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  <c r="AA560" s="264"/>
      <c r="AB560" s="264"/>
      <c r="AC560" s="264"/>
      <c r="AD560" s="264"/>
      <c r="AE560" s="264"/>
      <c r="AF560" s="264"/>
      <c r="AG560" s="264"/>
      <c r="AH560" s="263"/>
      <c r="AI560" s="264"/>
      <c r="AJ560" s="264"/>
      <c r="AK560" s="264"/>
      <c r="AL560" s="264"/>
      <c r="AM560" s="264"/>
      <c r="AN560" s="264"/>
      <c r="AO560" s="264"/>
      <c r="AP560" s="264"/>
      <c r="AQ560" s="264"/>
      <c r="AR560" s="264"/>
      <c r="AS560" s="264"/>
      <c r="AT560" s="264"/>
      <c r="AU560" s="264"/>
      <c r="AV560" s="264"/>
      <c r="AW560" s="264"/>
      <c r="AX560" s="264"/>
      <c r="AY560" s="264"/>
      <c r="AZ560" s="264"/>
      <c r="BA560" s="264"/>
    </row>
    <row r="561" spans="1:53" x14ac:dyDescent="0.15">
      <c r="A561" s="264"/>
      <c r="B561" s="264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  <c r="AA561" s="264"/>
      <c r="AB561" s="264"/>
      <c r="AC561" s="264"/>
      <c r="AD561" s="264"/>
      <c r="AE561" s="264"/>
      <c r="AF561" s="264"/>
      <c r="AG561" s="264"/>
      <c r="AH561" s="263"/>
      <c r="AI561" s="264"/>
      <c r="AJ561" s="264"/>
      <c r="AK561" s="264"/>
      <c r="AL561" s="264"/>
      <c r="AM561" s="264"/>
      <c r="AN561" s="264"/>
      <c r="AO561" s="264"/>
      <c r="AP561" s="264"/>
      <c r="AQ561" s="264"/>
      <c r="AR561" s="264"/>
      <c r="AS561" s="264"/>
      <c r="AT561" s="264"/>
      <c r="AU561" s="264"/>
      <c r="AV561" s="264"/>
      <c r="AW561" s="264"/>
      <c r="AX561" s="264"/>
      <c r="AY561" s="264"/>
      <c r="AZ561" s="264"/>
      <c r="BA561" s="264"/>
    </row>
    <row r="562" spans="1:53" x14ac:dyDescent="0.15">
      <c r="A562" s="264"/>
      <c r="B562" s="264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  <c r="AA562" s="264"/>
      <c r="AB562" s="264"/>
      <c r="AC562" s="264"/>
      <c r="AD562" s="264"/>
      <c r="AE562" s="264"/>
      <c r="AF562" s="264"/>
      <c r="AG562" s="264"/>
      <c r="AH562" s="263"/>
      <c r="AI562" s="264"/>
      <c r="AJ562" s="264"/>
      <c r="AK562" s="264"/>
      <c r="AL562" s="264"/>
      <c r="AM562" s="264"/>
      <c r="AN562" s="264"/>
      <c r="AO562" s="264"/>
      <c r="AP562" s="264"/>
      <c r="AQ562" s="264"/>
      <c r="AR562" s="264"/>
      <c r="AS562" s="264"/>
      <c r="AT562" s="264"/>
      <c r="AU562" s="264"/>
      <c r="AV562" s="264"/>
      <c r="AW562" s="264"/>
      <c r="AX562" s="264"/>
      <c r="AY562" s="264"/>
      <c r="AZ562" s="264"/>
      <c r="BA562" s="264"/>
    </row>
    <row r="563" spans="1:53" x14ac:dyDescent="0.15">
      <c r="A563" s="264"/>
      <c r="B563" s="264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  <c r="AA563" s="264"/>
      <c r="AB563" s="264"/>
      <c r="AC563" s="264"/>
      <c r="AD563" s="264"/>
      <c r="AE563" s="264"/>
      <c r="AF563" s="264"/>
      <c r="AG563" s="264"/>
      <c r="AH563" s="263"/>
      <c r="AI563" s="264"/>
      <c r="AJ563" s="264"/>
      <c r="AK563" s="264"/>
      <c r="AL563" s="264"/>
      <c r="AM563" s="264"/>
      <c r="AN563" s="264"/>
      <c r="AO563" s="264"/>
      <c r="AP563" s="264"/>
      <c r="AQ563" s="264"/>
      <c r="AR563" s="264"/>
      <c r="AS563" s="264"/>
      <c r="AT563" s="264"/>
      <c r="AU563" s="264"/>
      <c r="AV563" s="264"/>
      <c r="AW563" s="264"/>
      <c r="AX563" s="264"/>
      <c r="AY563" s="264"/>
      <c r="AZ563" s="264"/>
      <c r="BA563" s="264"/>
    </row>
    <row r="564" spans="1:53" x14ac:dyDescent="0.15">
      <c r="A564" s="264"/>
      <c r="B564" s="264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  <c r="AA564" s="264"/>
      <c r="AB564" s="264"/>
      <c r="AC564" s="264"/>
      <c r="AD564" s="264"/>
      <c r="AE564" s="264"/>
      <c r="AF564" s="264"/>
      <c r="AG564" s="264"/>
      <c r="AH564" s="263"/>
      <c r="AI564" s="264"/>
      <c r="AJ564" s="264"/>
      <c r="AK564" s="264"/>
      <c r="AL564" s="264"/>
      <c r="AM564" s="264"/>
      <c r="AN564" s="264"/>
      <c r="AO564" s="264"/>
      <c r="AP564" s="264"/>
      <c r="AQ564" s="264"/>
      <c r="AR564" s="264"/>
      <c r="AS564" s="264"/>
      <c r="AT564" s="264"/>
      <c r="AU564" s="264"/>
      <c r="AV564" s="264"/>
      <c r="AW564" s="264"/>
      <c r="AX564" s="264"/>
      <c r="AY564" s="264"/>
      <c r="AZ564" s="264"/>
      <c r="BA564" s="264"/>
    </row>
    <row r="565" spans="1:53" x14ac:dyDescent="0.15">
      <c r="A565" s="264"/>
      <c r="B565" s="264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  <c r="AA565" s="264"/>
      <c r="AB565" s="264"/>
      <c r="AC565" s="264"/>
      <c r="AD565" s="264"/>
      <c r="AE565" s="264"/>
      <c r="AF565" s="264"/>
      <c r="AG565" s="264"/>
      <c r="AH565" s="263"/>
      <c r="AI565" s="264"/>
      <c r="AJ565" s="264"/>
      <c r="AK565" s="264"/>
      <c r="AL565" s="264"/>
      <c r="AM565" s="264"/>
      <c r="AN565" s="264"/>
      <c r="AO565" s="264"/>
      <c r="AP565" s="264"/>
      <c r="AQ565" s="264"/>
      <c r="AR565" s="264"/>
      <c r="AS565" s="264"/>
      <c r="AT565" s="264"/>
      <c r="AU565" s="264"/>
      <c r="AV565" s="264"/>
      <c r="AW565" s="264"/>
      <c r="AX565" s="264"/>
      <c r="AY565" s="264"/>
      <c r="AZ565" s="264"/>
      <c r="BA565" s="264"/>
    </row>
    <row r="566" spans="1:53" x14ac:dyDescent="0.15">
      <c r="A566" s="264"/>
      <c r="B566" s="264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  <c r="AA566" s="264"/>
      <c r="AB566" s="264"/>
      <c r="AC566" s="264"/>
      <c r="AD566" s="264"/>
      <c r="AE566" s="264"/>
      <c r="AF566" s="264"/>
      <c r="AG566" s="264"/>
      <c r="AH566" s="263"/>
      <c r="AI566" s="264"/>
      <c r="AJ566" s="264"/>
      <c r="AK566" s="264"/>
      <c r="AL566" s="264"/>
      <c r="AM566" s="264"/>
      <c r="AN566" s="264"/>
      <c r="AO566" s="264"/>
      <c r="AP566" s="264"/>
      <c r="AQ566" s="264"/>
      <c r="AR566" s="264"/>
      <c r="AS566" s="264"/>
      <c r="AT566" s="264"/>
      <c r="AU566" s="264"/>
      <c r="AV566" s="264"/>
      <c r="AW566" s="264"/>
      <c r="AX566" s="264"/>
      <c r="AY566" s="264"/>
      <c r="AZ566" s="264"/>
      <c r="BA566" s="264"/>
    </row>
    <row r="567" spans="1:53" x14ac:dyDescent="0.15">
      <c r="A567" s="264"/>
      <c r="B567" s="264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  <c r="AA567" s="264"/>
      <c r="AB567" s="264"/>
      <c r="AC567" s="264"/>
      <c r="AD567" s="264"/>
      <c r="AE567" s="264"/>
      <c r="AF567" s="264"/>
      <c r="AG567" s="264"/>
      <c r="AH567" s="263"/>
      <c r="AI567" s="264"/>
      <c r="AJ567" s="264"/>
      <c r="AK567" s="264"/>
      <c r="AL567" s="264"/>
      <c r="AM567" s="264"/>
      <c r="AN567" s="264"/>
      <c r="AO567" s="264"/>
      <c r="AP567" s="264"/>
      <c r="AQ567" s="264"/>
      <c r="AR567" s="264"/>
      <c r="AS567" s="264"/>
      <c r="AT567" s="264"/>
      <c r="AU567" s="264"/>
      <c r="AV567" s="264"/>
      <c r="AW567" s="264"/>
      <c r="AX567" s="264"/>
      <c r="AY567" s="264"/>
      <c r="AZ567" s="264"/>
      <c r="BA567" s="264"/>
    </row>
    <row r="568" spans="1:53" x14ac:dyDescent="0.15">
      <c r="A568" s="264"/>
      <c r="B568" s="264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  <c r="AA568" s="264"/>
      <c r="AB568" s="264"/>
      <c r="AC568" s="264"/>
      <c r="AD568" s="264"/>
      <c r="AE568" s="264"/>
      <c r="AF568" s="264"/>
      <c r="AG568" s="264"/>
      <c r="AH568" s="263"/>
      <c r="AI568" s="264"/>
      <c r="AJ568" s="264"/>
      <c r="AK568" s="264"/>
      <c r="AL568" s="264"/>
      <c r="AM568" s="264"/>
      <c r="AN568" s="264"/>
      <c r="AO568" s="264"/>
      <c r="AP568" s="264"/>
      <c r="AQ568" s="264"/>
      <c r="AR568" s="264"/>
      <c r="AS568" s="264"/>
      <c r="AT568" s="264"/>
      <c r="AU568" s="264"/>
      <c r="AV568" s="264"/>
      <c r="AW568" s="264"/>
      <c r="AX568" s="264"/>
      <c r="AY568" s="264"/>
      <c r="AZ568" s="264"/>
      <c r="BA568" s="264"/>
    </row>
    <row r="569" spans="1:53" x14ac:dyDescent="0.15">
      <c r="A569" s="264"/>
      <c r="B569" s="264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  <c r="AA569" s="264"/>
      <c r="AB569" s="264"/>
      <c r="AC569" s="264"/>
      <c r="AD569" s="264"/>
      <c r="AE569" s="264"/>
      <c r="AF569" s="264"/>
      <c r="AG569" s="264"/>
      <c r="AH569" s="263"/>
      <c r="AI569" s="264"/>
      <c r="AJ569" s="264"/>
      <c r="AK569" s="264"/>
      <c r="AL569" s="264"/>
      <c r="AM569" s="264"/>
      <c r="AN569" s="264"/>
      <c r="AO569" s="264"/>
      <c r="AP569" s="264"/>
      <c r="AQ569" s="264"/>
      <c r="AR569" s="264"/>
      <c r="AS569" s="264"/>
      <c r="AT569" s="264"/>
      <c r="AU569" s="264"/>
      <c r="AV569" s="264"/>
      <c r="AW569" s="264"/>
      <c r="AX569" s="264"/>
      <c r="AY569" s="264"/>
      <c r="AZ569" s="264"/>
      <c r="BA569" s="264"/>
    </row>
    <row r="570" spans="1:53" x14ac:dyDescent="0.15">
      <c r="A570" s="264"/>
      <c r="B570" s="264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  <c r="AA570" s="264"/>
      <c r="AB570" s="264"/>
      <c r="AC570" s="264"/>
      <c r="AD570" s="264"/>
      <c r="AE570" s="264"/>
      <c r="AF570" s="264"/>
      <c r="AG570" s="264"/>
      <c r="AH570" s="263"/>
      <c r="AI570" s="264"/>
      <c r="AJ570" s="264"/>
      <c r="AK570" s="264"/>
      <c r="AL570" s="264"/>
      <c r="AM570" s="264"/>
      <c r="AN570" s="264"/>
      <c r="AO570" s="264"/>
      <c r="AP570" s="264"/>
      <c r="AQ570" s="264"/>
      <c r="AR570" s="264"/>
      <c r="AS570" s="264"/>
      <c r="AT570" s="264"/>
      <c r="AU570" s="264"/>
      <c r="AV570" s="264"/>
      <c r="AW570" s="264"/>
      <c r="AX570" s="264"/>
      <c r="AY570" s="264"/>
      <c r="AZ570" s="264"/>
      <c r="BA570" s="264"/>
    </row>
    <row r="571" spans="1:53" x14ac:dyDescent="0.15">
      <c r="A571" s="264"/>
      <c r="B571" s="264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  <c r="AA571" s="264"/>
      <c r="AB571" s="264"/>
      <c r="AC571" s="264"/>
      <c r="AD571" s="264"/>
      <c r="AE571" s="264"/>
      <c r="AF571" s="264"/>
      <c r="AG571" s="264"/>
      <c r="AH571" s="263"/>
      <c r="AI571" s="264"/>
      <c r="AJ571" s="264"/>
      <c r="AK571" s="264"/>
      <c r="AL571" s="264"/>
      <c r="AM571" s="264"/>
      <c r="AN571" s="264"/>
      <c r="AO571" s="264"/>
      <c r="AP571" s="264"/>
      <c r="AQ571" s="264"/>
      <c r="AR571" s="264"/>
      <c r="AS571" s="264"/>
      <c r="AT571" s="264"/>
      <c r="AU571" s="264"/>
      <c r="AV571" s="264"/>
      <c r="AW571" s="264"/>
      <c r="AX571" s="264"/>
      <c r="AY571" s="264"/>
      <c r="AZ571" s="264"/>
      <c r="BA571" s="264"/>
    </row>
    <row r="572" spans="1:53" x14ac:dyDescent="0.15">
      <c r="A572" s="264"/>
      <c r="B572" s="264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  <c r="AA572" s="264"/>
      <c r="AB572" s="264"/>
      <c r="AC572" s="264"/>
      <c r="AD572" s="264"/>
      <c r="AE572" s="264"/>
      <c r="AF572" s="264"/>
      <c r="AG572" s="264"/>
      <c r="AH572" s="263"/>
      <c r="AI572" s="264"/>
      <c r="AJ572" s="264"/>
      <c r="AK572" s="264"/>
      <c r="AL572" s="264"/>
      <c r="AM572" s="264"/>
      <c r="AN572" s="264"/>
      <c r="AO572" s="264"/>
      <c r="AP572" s="264"/>
      <c r="AQ572" s="264"/>
      <c r="AR572" s="264"/>
      <c r="AS572" s="264"/>
      <c r="AT572" s="264"/>
      <c r="AU572" s="264"/>
      <c r="AV572" s="264"/>
      <c r="AW572" s="264"/>
      <c r="AX572" s="264"/>
      <c r="AY572" s="264"/>
      <c r="AZ572" s="264"/>
      <c r="BA572" s="264"/>
    </row>
    <row r="573" spans="1:53" x14ac:dyDescent="0.15">
      <c r="A573" s="264"/>
      <c r="B573" s="264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  <c r="AA573" s="264"/>
      <c r="AB573" s="264"/>
      <c r="AC573" s="264"/>
      <c r="AD573" s="264"/>
      <c r="AE573" s="264"/>
      <c r="AF573" s="264"/>
      <c r="AG573" s="264"/>
      <c r="AH573" s="263"/>
      <c r="AI573" s="264"/>
      <c r="AJ573" s="264"/>
      <c r="AK573" s="264"/>
      <c r="AL573" s="264"/>
      <c r="AM573" s="264"/>
      <c r="AN573" s="264"/>
      <c r="AO573" s="264"/>
      <c r="AP573" s="264"/>
      <c r="AQ573" s="264"/>
      <c r="AR573" s="264"/>
      <c r="AS573" s="264"/>
      <c r="AT573" s="264"/>
      <c r="AU573" s="264"/>
      <c r="AV573" s="264"/>
      <c r="AW573" s="264"/>
      <c r="AX573" s="264"/>
      <c r="AY573" s="264"/>
      <c r="AZ573" s="264"/>
      <c r="BA573" s="264"/>
    </row>
    <row r="574" spans="1:53" x14ac:dyDescent="0.15">
      <c r="A574" s="264"/>
      <c r="B574" s="264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  <c r="AA574" s="264"/>
      <c r="AB574" s="264"/>
      <c r="AC574" s="264"/>
      <c r="AD574" s="264"/>
      <c r="AE574" s="264"/>
      <c r="AF574" s="264"/>
      <c r="AG574" s="264"/>
      <c r="AH574" s="263"/>
      <c r="AI574" s="264"/>
      <c r="AJ574" s="264"/>
      <c r="AK574" s="264"/>
      <c r="AL574" s="264"/>
      <c r="AM574" s="264"/>
      <c r="AN574" s="264"/>
      <c r="AO574" s="264"/>
      <c r="AP574" s="264"/>
      <c r="AQ574" s="264"/>
      <c r="AR574" s="264"/>
      <c r="AS574" s="264"/>
      <c r="AT574" s="264"/>
      <c r="AU574" s="264"/>
      <c r="AV574" s="264"/>
      <c r="AW574" s="264"/>
      <c r="AX574" s="264"/>
      <c r="AY574" s="264"/>
      <c r="AZ574" s="264"/>
      <c r="BA574" s="264"/>
    </row>
    <row r="575" spans="1:53" x14ac:dyDescent="0.15">
      <c r="A575" s="264"/>
      <c r="B575" s="264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  <c r="AA575" s="264"/>
      <c r="AB575" s="264"/>
      <c r="AC575" s="264"/>
      <c r="AD575" s="264"/>
      <c r="AE575" s="264"/>
      <c r="AF575" s="264"/>
      <c r="AG575" s="264"/>
      <c r="AH575" s="263"/>
      <c r="AI575" s="264"/>
      <c r="AJ575" s="264"/>
      <c r="AK575" s="264"/>
      <c r="AL575" s="264"/>
      <c r="AM575" s="264"/>
      <c r="AN575" s="264"/>
      <c r="AO575" s="264"/>
      <c r="AP575" s="264"/>
      <c r="AQ575" s="264"/>
      <c r="AR575" s="264"/>
      <c r="AS575" s="264"/>
      <c r="AT575" s="264"/>
      <c r="AU575" s="264"/>
      <c r="AV575" s="264"/>
      <c r="AW575" s="264"/>
      <c r="AX575" s="264"/>
      <c r="AY575" s="264"/>
      <c r="AZ575" s="264"/>
      <c r="BA575" s="264"/>
    </row>
    <row r="576" spans="1:53" x14ac:dyDescent="0.15">
      <c r="A576" s="264"/>
      <c r="B576" s="264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  <c r="AA576" s="264"/>
      <c r="AB576" s="264"/>
      <c r="AC576" s="264"/>
      <c r="AD576" s="264"/>
      <c r="AE576" s="264"/>
      <c r="AF576" s="264"/>
      <c r="AG576" s="264"/>
      <c r="AH576" s="263"/>
      <c r="AI576" s="264"/>
      <c r="AJ576" s="264"/>
      <c r="AK576" s="264"/>
      <c r="AL576" s="264"/>
      <c r="AM576" s="264"/>
      <c r="AN576" s="264"/>
      <c r="AO576" s="264"/>
      <c r="AP576" s="264"/>
      <c r="AQ576" s="264"/>
      <c r="AR576" s="264"/>
      <c r="AS576" s="264"/>
      <c r="AT576" s="264"/>
      <c r="AU576" s="264"/>
      <c r="AV576" s="264"/>
      <c r="AW576" s="264"/>
      <c r="AX576" s="264"/>
      <c r="AY576" s="264"/>
      <c r="AZ576" s="264"/>
      <c r="BA576" s="264"/>
    </row>
    <row r="577" spans="1:53" x14ac:dyDescent="0.15">
      <c r="A577" s="264"/>
      <c r="B577" s="264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  <c r="AA577" s="264"/>
      <c r="AB577" s="264"/>
      <c r="AC577" s="264"/>
      <c r="AD577" s="264"/>
      <c r="AE577" s="264"/>
      <c r="AF577" s="264"/>
      <c r="AG577" s="264"/>
      <c r="AH577" s="263"/>
      <c r="AI577" s="264"/>
      <c r="AJ577" s="264"/>
      <c r="AK577" s="264"/>
      <c r="AL577" s="264"/>
      <c r="AM577" s="264"/>
      <c r="AN577" s="264"/>
      <c r="AO577" s="264"/>
      <c r="AP577" s="264"/>
      <c r="AQ577" s="264"/>
      <c r="AR577" s="264"/>
      <c r="AS577" s="264"/>
      <c r="AT577" s="264"/>
      <c r="AU577" s="264"/>
      <c r="AV577" s="264"/>
      <c r="AW577" s="264"/>
      <c r="AX577" s="264"/>
      <c r="AY577" s="264"/>
      <c r="AZ577" s="264"/>
      <c r="BA577" s="264"/>
    </row>
    <row r="578" spans="1:53" x14ac:dyDescent="0.15">
      <c r="A578" s="264"/>
      <c r="B578" s="264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  <c r="AA578" s="264"/>
      <c r="AB578" s="264"/>
      <c r="AC578" s="264"/>
      <c r="AD578" s="264"/>
      <c r="AE578" s="264"/>
      <c r="AF578" s="264"/>
      <c r="AG578" s="264"/>
      <c r="AH578" s="263"/>
      <c r="AI578" s="264"/>
      <c r="AJ578" s="264"/>
      <c r="AK578" s="264"/>
      <c r="AL578" s="264"/>
      <c r="AM578" s="264"/>
      <c r="AN578" s="264"/>
      <c r="AO578" s="264"/>
      <c r="AP578" s="264"/>
      <c r="AQ578" s="264"/>
      <c r="AR578" s="264"/>
      <c r="AS578" s="264"/>
      <c r="AT578" s="264"/>
      <c r="AU578" s="264"/>
      <c r="AV578" s="264"/>
      <c r="AW578" s="264"/>
      <c r="AX578" s="264"/>
      <c r="AY578" s="264"/>
      <c r="AZ578" s="264"/>
      <c r="BA578" s="264"/>
    </row>
    <row r="579" spans="1:53" x14ac:dyDescent="0.15">
      <c r="A579" s="264"/>
      <c r="B579" s="264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  <c r="AA579" s="264"/>
      <c r="AB579" s="264"/>
      <c r="AC579" s="264"/>
      <c r="AD579" s="264"/>
      <c r="AE579" s="264"/>
      <c r="AF579" s="264"/>
      <c r="AG579" s="264"/>
      <c r="AH579" s="263"/>
      <c r="AI579" s="264"/>
      <c r="AJ579" s="264"/>
      <c r="AK579" s="264"/>
      <c r="AL579" s="264"/>
      <c r="AM579" s="264"/>
      <c r="AN579" s="264"/>
      <c r="AO579" s="264"/>
      <c r="AP579" s="264"/>
      <c r="AQ579" s="264"/>
      <c r="AR579" s="264"/>
      <c r="AS579" s="264"/>
      <c r="AT579" s="264"/>
      <c r="AU579" s="264"/>
      <c r="AV579" s="264"/>
      <c r="AW579" s="264"/>
      <c r="AX579" s="264"/>
      <c r="AY579" s="264"/>
      <c r="AZ579" s="264"/>
      <c r="BA579" s="264"/>
    </row>
    <row r="580" spans="1:53" x14ac:dyDescent="0.15">
      <c r="A580" s="264"/>
      <c r="B580" s="264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  <c r="AA580" s="264"/>
      <c r="AB580" s="264"/>
      <c r="AC580" s="264"/>
      <c r="AD580" s="264"/>
      <c r="AE580" s="264"/>
      <c r="AF580" s="264"/>
      <c r="AG580" s="264"/>
      <c r="AH580" s="263"/>
      <c r="AI580" s="264"/>
      <c r="AJ580" s="264"/>
      <c r="AK580" s="264"/>
      <c r="AL580" s="264"/>
      <c r="AM580" s="264"/>
      <c r="AN580" s="264"/>
      <c r="AO580" s="264"/>
      <c r="AP580" s="264"/>
      <c r="AQ580" s="264"/>
      <c r="AR580" s="264"/>
      <c r="AS580" s="264"/>
      <c r="AT580" s="264"/>
      <c r="AU580" s="264"/>
      <c r="AV580" s="264"/>
      <c r="AW580" s="264"/>
      <c r="AX580" s="264"/>
      <c r="AY580" s="264"/>
      <c r="AZ580" s="264"/>
      <c r="BA580" s="264"/>
    </row>
    <row r="581" spans="1:53" x14ac:dyDescent="0.15">
      <c r="A581" s="264"/>
      <c r="B581" s="264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  <c r="AA581" s="264"/>
      <c r="AB581" s="264"/>
      <c r="AC581" s="264"/>
      <c r="AD581" s="264"/>
      <c r="AE581" s="264"/>
      <c r="AF581" s="264"/>
      <c r="AG581" s="264"/>
      <c r="AH581" s="263"/>
      <c r="AI581" s="264"/>
      <c r="AJ581" s="264"/>
      <c r="AK581" s="264"/>
      <c r="AL581" s="264"/>
      <c r="AM581" s="264"/>
      <c r="AN581" s="264"/>
      <c r="AO581" s="264"/>
      <c r="AP581" s="264"/>
      <c r="AQ581" s="264"/>
      <c r="AR581" s="264"/>
      <c r="AS581" s="264"/>
      <c r="AT581" s="264"/>
      <c r="AU581" s="264"/>
      <c r="AV581" s="264"/>
      <c r="AW581" s="264"/>
      <c r="AX581" s="264"/>
      <c r="AY581" s="264"/>
      <c r="AZ581" s="264"/>
      <c r="BA581" s="264"/>
    </row>
    <row r="582" spans="1:53" x14ac:dyDescent="0.15">
      <c r="A582" s="264"/>
      <c r="B582" s="264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  <c r="AA582" s="264"/>
      <c r="AB582" s="264"/>
      <c r="AC582" s="264"/>
      <c r="AD582" s="264"/>
      <c r="AE582" s="264"/>
      <c r="AF582" s="264"/>
      <c r="AG582" s="264"/>
      <c r="AH582" s="263"/>
      <c r="AI582" s="264"/>
      <c r="AJ582" s="264"/>
      <c r="AK582" s="264"/>
      <c r="AL582" s="264"/>
      <c r="AM582" s="264"/>
      <c r="AN582" s="264"/>
      <c r="AO582" s="264"/>
      <c r="AP582" s="264"/>
      <c r="AQ582" s="264"/>
      <c r="AR582" s="264"/>
      <c r="AS582" s="264"/>
      <c r="AT582" s="264"/>
      <c r="AU582" s="264"/>
      <c r="AV582" s="264"/>
      <c r="AW582" s="264"/>
      <c r="AX582" s="264"/>
      <c r="AY582" s="264"/>
      <c r="AZ582" s="264"/>
      <c r="BA582" s="264"/>
    </row>
    <row r="583" spans="1:53" x14ac:dyDescent="0.15">
      <c r="A583" s="264"/>
      <c r="B583" s="264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  <c r="AA583" s="264"/>
      <c r="AB583" s="264"/>
      <c r="AC583" s="264"/>
      <c r="AD583" s="264"/>
      <c r="AE583" s="264"/>
      <c r="AF583" s="264"/>
      <c r="AG583" s="264"/>
      <c r="AH583" s="263"/>
      <c r="AI583" s="264"/>
      <c r="AJ583" s="264"/>
      <c r="AK583" s="264"/>
      <c r="AL583" s="264"/>
      <c r="AM583" s="264"/>
      <c r="AN583" s="264"/>
      <c r="AO583" s="264"/>
      <c r="AP583" s="264"/>
      <c r="AQ583" s="264"/>
      <c r="AR583" s="264"/>
      <c r="AS583" s="264"/>
      <c r="AT583" s="264"/>
      <c r="AU583" s="264"/>
      <c r="AV583" s="264"/>
      <c r="AW583" s="264"/>
      <c r="AX583" s="264"/>
      <c r="AY583" s="264"/>
      <c r="AZ583" s="264"/>
      <c r="BA583" s="264"/>
    </row>
    <row r="584" spans="1:53" x14ac:dyDescent="0.15">
      <c r="A584" s="264"/>
      <c r="B584" s="264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  <c r="AA584" s="264"/>
      <c r="AB584" s="264"/>
      <c r="AC584" s="264"/>
      <c r="AD584" s="264"/>
      <c r="AE584" s="264"/>
      <c r="AF584" s="264"/>
      <c r="AG584" s="264"/>
      <c r="AH584" s="263"/>
      <c r="AI584" s="264"/>
      <c r="AJ584" s="264"/>
      <c r="AK584" s="264"/>
      <c r="AL584" s="264"/>
      <c r="AM584" s="264"/>
      <c r="AN584" s="264"/>
      <c r="AO584" s="264"/>
      <c r="AP584" s="264"/>
      <c r="AQ584" s="264"/>
      <c r="AR584" s="264"/>
      <c r="AS584" s="264"/>
      <c r="AT584" s="264"/>
      <c r="AU584" s="264"/>
      <c r="AV584" s="264"/>
      <c r="AW584" s="264"/>
      <c r="AX584" s="264"/>
      <c r="AY584" s="264"/>
      <c r="AZ584" s="264"/>
      <c r="BA584" s="264"/>
    </row>
    <row r="585" spans="1:53" x14ac:dyDescent="0.15">
      <c r="A585" s="264"/>
      <c r="B585" s="264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  <c r="AA585" s="264"/>
      <c r="AB585" s="264"/>
      <c r="AC585" s="264"/>
      <c r="AD585" s="264"/>
      <c r="AE585" s="264"/>
      <c r="AF585" s="264"/>
      <c r="AG585" s="264"/>
      <c r="AH585" s="263"/>
      <c r="AI585" s="264"/>
      <c r="AJ585" s="264"/>
      <c r="AK585" s="264"/>
      <c r="AL585" s="264"/>
      <c r="AM585" s="264"/>
      <c r="AN585" s="264"/>
      <c r="AO585" s="264"/>
      <c r="AP585" s="264"/>
      <c r="AQ585" s="264"/>
      <c r="AR585" s="264"/>
      <c r="AS585" s="264"/>
      <c r="AT585" s="264"/>
      <c r="AU585" s="264"/>
      <c r="AV585" s="264"/>
      <c r="AW585" s="264"/>
      <c r="AX585" s="264"/>
      <c r="AY585" s="264"/>
      <c r="AZ585" s="264"/>
      <c r="BA585" s="264"/>
    </row>
    <row r="586" spans="1:53" x14ac:dyDescent="0.15">
      <c r="A586" s="264"/>
      <c r="B586" s="264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  <c r="AA586" s="264"/>
      <c r="AB586" s="264"/>
      <c r="AC586" s="264"/>
      <c r="AD586" s="264"/>
      <c r="AE586" s="264"/>
      <c r="AF586" s="264"/>
      <c r="AG586" s="264"/>
      <c r="AH586" s="263"/>
      <c r="AI586" s="264"/>
      <c r="AJ586" s="264"/>
      <c r="AK586" s="264"/>
      <c r="AL586" s="264"/>
      <c r="AM586" s="264"/>
      <c r="AN586" s="264"/>
      <c r="AO586" s="264"/>
      <c r="AP586" s="264"/>
      <c r="AQ586" s="264"/>
      <c r="AR586" s="264"/>
      <c r="AS586" s="264"/>
      <c r="AT586" s="264"/>
      <c r="AU586" s="264"/>
      <c r="AV586" s="264"/>
      <c r="AW586" s="264"/>
      <c r="AX586" s="264"/>
      <c r="AY586" s="264"/>
      <c r="AZ586" s="264"/>
      <c r="BA586" s="264"/>
    </row>
    <row r="587" spans="1:53" x14ac:dyDescent="0.15">
      <c r="A587" s="264"/>
      <c r="B587" s="264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  <c r="AA587" s="264"/>
      <c r="AB587" s="264"/>
      <c r="AC587" s="264"/>
      <c r="AD587" s="264"/>
      <c r="AE587" s="264"/>
      <c r="AF587" s="264"/>
      <c r="AG587" s="264"/>
      <c r="AH587" s="263"/>
      <c r="AI587" s="264"/>
      <c r="AJ587" s="264"/>
      <c r="AK587" s="264"/>
      <c r="AL587" s="264"/>
      <c r="AM587" s="264"/>
      <c r="AN587" s="264"/>
      <c r="AO587" s="264"/>
      <c r="AP587" s="264"/>
      <c r="AQ587" s="264"/>
      <c r="AR587" s="264"/>
      <c r="AS587" s="264"/>
      <c r="AT587" s="264"/>
      <c r="AU587" s="264"/>
      <c r="AV587" s="264"/>
      <c r="AW587" s="264"/>
      <c r="AX587" s="264"/>
      <c r="AY587" s="264"/>
      <c r="AZ587" s="264"/>
      <c r="BA587" s="264"/>
    </row>
    <row r="588" spans="1:53" x14ac:dyDescent="0.15">
      <c r="A588" s="264"/>
      <c r="B588" s="264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  <c r="AA588" s="264"/>
      <c r="AB588" s="264"/>
      <c r="AC588" s="264"/>
      <c r="AD588" s="264"/>
      <c r="AE588" s="264"/>
      <c r="AF588" s="264"/>
      <c r="AG588" s="264"/>
      <c r="AH588" s="263"/>
      <c r="AI588" s="264"/>
      <c r="AJ588" s="264"/>
      <c r="AK588" s="264"/>
      <c r="AL588" s="264"/>
      <c r="AM588" s="264"/>
      <c r="AN588" s="264"/>
      <c r="AO588" s="264"/>
      <c r="AP588" s="264"/>
      <c r="AQ588" s="264"/>
      <c r="AR588" s="264"/>
      <c r="AS588" s="264"/>
      <c r="AT588" s="264"/>
      <c r="AU588" s="264"/>
      <c r="AV588" s="264"/>
      <c r="AW588" s="264"/>
      <c r="AX588" s="264"/>
      <c r="AY588" s="264"/>
      <c r="AZ588" s="264"/>
      <c r="BA588" s="264"/>
    </row>
    <row r="589" spans="1:53" x14ac:dyDescent="0.15">
      <c r="A589" s="264"/>
      <c r="B589" s="264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  <c r="AA589" s="264"/>
      <c r="AB589" s="264"/>
      <c r="AC589" s="264"/>
      <c r="AD589" s="264"/>
      <c r="AE589" s="264"/>
      <c r="AF589" s="264"/>
      <c r="AG589" s="264"/>
      <c r="AH589" s="263"/>
      <c r="AI589" s="264"/>
      <c r="AJ589" s="264"/>
      <c r="AK589" s="264"/>
      <c r="AL589" s="264"/>
      <c r="AM589" s="264"/>
      <c r="AN589" s="264"/>
      <c r="AO589" s="264"/>
      <c r="AP589" s="264"/>
      <c r="AQ589" s="264"/>
      <c r="AR589" s="264"/>
      <c r="AS589" s="264"/>
      <c r="AT589" s="264"/>
      <c r="AU589" s="264"/>
      <c r="AV589" s="264"/>
      <c r="AW589" s="264"/>
      <c r="AX589" s="264"/>
      <c r="AY589" s="264"/>
      <c r="AZ589" s="264"/>
      <c r="BA589" s="264"/>
    </row>
    <row r="590" spans="1:53" x14ac:dyDescent="0.15">
      <c r="A590" s="264"/>
      <c r="B590" s="264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  <c r="AA590" s="264"/>
      <c r="AB590" s="264"/>
      <c r="AC590" s="264"/>
      <c r="AD590" s="264"/>
      <c r="AE590" s="264"/>
      <c r="AF590" s="264"/>
      <c r="AG590" s="264"/>
      <c r="AH590" s="263"/>
      <c r="AI590" s="264"/>
      <c r="AJ590" s="264"/>
      <c r="AK590" s="264"/>
      <c r="AL590" s="264"/>
      <c r="AM590" s="264"/>
      <c r="AN590" s="264"/>
      <c r="AO590" s="264"/>
      <c r="AP590" s="264"/>
      <c r="AQ590" s="264"/>
      <c r="AR590" s="264"/>
      <c r="AS590" s="264"/>
      <c r="AT590" s="264"/>
      <c r="AU590" s="264"/>
      <c r="AV590" s="264"/>
      <c r="AW590" s="264"/>
      <c r="AX590" s="264"/>
      <c r="AY590" s="264"/>
      <c r="AZ590" s="264"/>
      <c r="BA590" s="264"/>
    </row>
    <row r="591" spans="1:53" x14ac:dyDescent="0.15">
      <c r="A591" s="264"/>
      <c r="B591" s="264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  <c r="AA591" s="264"/>
      <c r="AB591" s="264"/>
      <c r="AC591" s="264"/>
      <c r="AD591" s="264"/>
      <c r="AE591" s="264"/>
      <c r="AF591" s="264"/>
      <c r="AG591" s="264"/>
      <c r="AH591" s="263"/>
      <c r="AI591" s="264"/>
      <c r="AJ591" s="264"/>
      <c r="AK591" s="264"/>
      <c r="AL591" s="264"/>
      <c r="AM591" s="264"/>
      <c r="AN591" s="264"/>
      <c r="AO591" s="264"/>
      <c r="AP591" s="264"/>
      <c r="AQ591" s="264"/>
      <c r="AR591" s="264"/>
      <c r="AS591" s="264"/>
      <c r="AT591" s="264"/>
      <c r="AU591" s="264"/>
      <c r="AV591" s="264"/>
      <c r="AW591" s="264"/>
      <c r="AX591" s="264"/>
      <c r="AY591" s="264"/>
      <c r="AZ591" s="264"/>
      <c r="BA591" s="264"/>
    </row>
    <row r="592" spans="1:53" x14ac:dyDescent="0.15">
      <c r="A592" s="264"/>
      <c r="B592" s="264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  <c r="AA592" s="264"/>
      <c r="AB592" s="264"/>
      <c r="AC592" s="264"/>
      <c r="AD592" s="264"/>
      <c r="AE592" s="264"/>
      <c r="AF592" s="264"/>
      <c r="AG592" s="264"/>
      <c r="AH592" s="263"/>
      <c r="AI592" s="264"/>
      <c r="AJ592" s="264"/>
      <c r="AK592" s="264"/>
      <c r="AL592" s="264"/>
      <c r="AM592" s="264"/>
      <c r="AN592" s="264"/>
      <c r="AO592" s="264"/>
      <c r="AP592" s="264"/>
      <c r="AQ592" s="264"/>
      <c r="AR592" s="264"/>
      <c r="AS592" s="264"/>
      <c r="AT592" s="264"/>
      <c r="AU592" s="264"/>
      <c r="AV592" s="264"/>
      <c r="AW592" s="264"/>
      <c r="AX592" s="264"/>
      <c r="AY592" s="264"/>
      <c r="AZ592" s="264"/>
      <c r="BA592" s="264"/>
    </row>
    <row r="593" spans="1:53" x14ac:dyDescent="0.15">
      <c r="A593" s="264"/>
      <c r="B593" s="264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  <c r="AA593" s="264"/>
      <c r="AB593" s="264"/>
      <c r="AC593" s="264"/>
      <c r="AD593" s="264"/>
      <c r="AE593" s="264"/>
      <c r="AF593" s="264"/>
      <c r="AG593" s="264"/>
      <c r="AH593" s="263"/>
      <c r="AI593" s="264"/>
      <c r="AJ593" s="264"/>
      <c r="AK593" s="264"/>
      <c r="AL593" s="264"/>
      <c r="AM593" s="264"/>
      <c r="AN593" s="264"/>
      <c r="AO593" s="264"/>
      <c r="AP593" s="264"/>
      <c r="AQ593" s="264"/>
      <c r="AR593" s="264"/>
      <c r="AS593" s="264"/>
      <c r="AT593" s="264"/>
      <c r="AU593" s="264"/>
      <c r="AV593" s="264"/>
      <c r="AW593" s="264"/>
      <c r="AX593" s="264"/>
      <c r="AY593" s="264"/>
      <c r="AZ593" s="264"/>
      <c r="BA593" s="264"/>
    </row>
    <row r="594" spans="1:53" x14ac:dyDescent="0.15">
      <c r="A594" s="264"/>
      <c r="B594" s="264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  <c r="AA594" s="264"/>
      <c r="AB594" s="264"/>
      <c r="AC594" s="264"/>
      <c r="AD594" s="264"/>
      <c r="AE594" s="264"/>
      <c r="AF594" s="264"/>
      <c r="AG594" s="264"/>
      <c r="AH594" s="263"/>
      <c r="AI594" s="264"/>
      <c r="AJ594" s="264"/>
      <c r="AK594" s="264"/>
      <c r="AL594" s="264"/>
      <c r="AM594" s="264"/>
      <c r="AN594" s="264"/>
      <c r="AO594" s="264"/>
      <c r="AP594" s="264"/>
      <c r="AQ594" s="264"/>
      <c r="AR594" s="264"/>
      <c r="AS594" s="264"/>
      <c r="AT594" s="264"/>
      <c r="AU594" s="264"/>
      <c r="AV594" s="264"/>
      <c r="AW594" s="264"/>
      <c r="AX594" s="264"/>
      <c r="AY594" s="264"/>
      <c r="AZ594" s="264"/>
      <c r="BA594" s="264"/>
    </row>
    <row r="595" spans="1:53" x14ac:dyDescent="0.15">
      <c r="A595" s="264"/>
      <c r="B595" s="264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  <c r="AA595" s="264"/>
      <c r="AB595" s="264"/>
      <c r="AC595" s="264"/>
      <c r="AD595" s="264"/>
      <c r="AE595" s="264"/>
      <c r="AF595" s="264"/>
      <c r="AG595" s="264"/>
      <c r="AH595" s="263"/>
      <c r="AI595" s="264"/>
      <c r="AJ595" s="264"/>
      <c r="AK595" s="264"/>
      <c r="AL595" s="264"/>
      <c r="AM595" s="264"/>
      <c r="AN595" s="264"/>
      <c r="AO595" s="264"/>
      <c r="AP595" s="264"/>
      <c r="AQ595" s="264"/>
      <c r="AR595" s="264"/>
      <c r="AS595" s="264"/>
      <c r="AT595" s="264"/>
      <c r="AU595" s="264"/>
      <c r="AV595" s="264"/>
      <c r="AW595" s="264"/>
      <c r="AX595" s="264"/>
      <c r="AY595" s="264"/>
      <c r="AZ595" s="264"/>
      <c r="BA595" s="264"/>
    </row>
    <row r="596" spans="1:53" x14ac:dyDescent="0.15">
      <c r="A596" s="264"/>
      <c r="B596" s="264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  <c r="AA596" s="264"/>
      <c r="AB596" s="264"/>
      <c r="AC596" s="264"/>
      <c r="AD596" s="264"/>
      <c r="AE596" s="264"/>
      <c r="AF596" s="264"/>
      <c r="AG596" s="264"/>
      <c r="AH596" s="263"/>
      <c r="AI596" s="264"/>
      <c r="AJ596" s="264"/>
      <c r="AK596" s="264"/>
      <c r="AL596" s="264"/>
      <c r="AM596" s="264"/>
      <c r="AN596" s="264"/>
      <c r="AO596" s="264"/>
      <c r="AP596" s="264"/>
      <c r="AQ596" s="264"/>
      <c r="AR596" s="264"/>
      <c r="AS596" s="264"/>
      <c r="AT596" s="264"/>
      <c r="AU596" s="264"/>
      <c r="AV596" s="264"/>
      <c r="AW596" s="264"/>
      <c r="AX596" s="264"/>
      <c r="AY596" s="264"/>
      <c r="AZ596" s="264"/>
      <c r="BA596" s="264"/>
    </row>
    <row r="597" spans="1:53" x14ac:dyDescent="0.15">
      <c r="A597" s="264"/>
      <c r="B597" s="264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  <c r="AA597" s="264"/>
      <c r="AB597" s="264"/>
      <c r="AC597" s="264"/>
      <c r="AD597" s="264"/>
      <c r="AE597" s="264"/>
      <c r="AF597" s="264"/>
      <c r="AG597" s="264"/>
      <c r="AH597" s="263"/>
      <c r="AI597" s="264"/>
      <c r="AJ597" s="264"/>
      <c r="AK597" s="264"/>
      <c r="AL597" s="264"/>
      <c r="AM597" s="264"/>
      <c r="AN597" s="264"/>
      <c r="AO597" s="264"/>
      <c r="AP597" s="264"/>
      <c r="AQ597" s="264"/>
      <c r="AR597" s="264"/>
      <c r="AS597" s="264"/>
      <c r="AT597" s="264"/>
      <c r="AU597" s="264"/>
      <c r="AV597" s="264"/>
      <c r="AW597" s="264"/>
      <c r="AX597" s="264"/>
      <c r="AY597" s="264"/>
      <c r="AZ597" s="264"/>
      <c r="BA597" s="264"/>
    </row>
    <row r="598" spans="1:53" x14ac:dyDescent="0.15">
      <c r="A598" s="264"/>
      <c r="B598" s="264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  <c r="AA598" s="264"/>
      <c r="AB598" s="264"/>
      <c r="AC598" s="264"/>
      <c r="AD598" s="264"/>
      <c r="AE598" s="264"/>
      <c r="AF598" s="264"/>
      <c r="AG598" s="264"/>
      <c r="AH598" s="263"/>
      <c r="AI598" s="264"/>
      <c r="AJ598" s="264"/>
      <c r="AK598" s="264"/>
      <c r="AL598" s="264"/>
      <c r="AM598" s="264"/>
      <c r="AN598" s="264"/>
      <c r="AO598" s="264"/>
      <c r="AP598" s="264"/>
      <c r="AQ598" s="264"/>
      <c r="AR598" s="264"/>
      <c r="AS598" s="264"/>
      <c r="AT598" s="264"/>
      <c r="AU598" s="264"/>
      <c r="AV598" s="264"/>
      <c r="AW598" s="264"/>
      <c r="AX598" s="264"/>
      <c r="AY598" s="264"/>
      <c r="AZ598" s="264"/>
      <c r="BA598" s="264"/>
    </row>
    <row r="599" spans="1:53" x14ac:dyDescent="0.15">
      <c r="A599" s="264"/>
      <c r="B599" s="264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  <c r="AA599" s="264"/>
      <c r="AB599" s="264"/>
      <c r="AC599" s="264"/>
      <c r="AD599" s="264"/>
      <c r="AE599" s="264"/>
      <c r="AF599" s="264"/>
      <c r="AG599" s="264"/>
      <c r="AH599" s="263"/>
      <c r="AI599" s="264"/>
      <c r="AJ599" s="264"/>
      <c r="AK599" s="264"/>
      <c r="AL599" s="264"/>
      <c r="AM599" s="264"/>
      <c r="AN599" s="264"/>
      <c r="AO599" s="264"/>
      <c r="AP599" s="264"/>
      <c r="AQ599" s="264"/>
      <c r="AR599" s="264"/>
      <c r="AS599" s="264"/>
      <c r="AT599" s="264"/>
      <c r="AU599" s="264"/>
      <c r="AV599" s="264"/>
      <c r="AW599" s="264"/>
      <c r="AX599" s="264"/>
      <c r="AY599" s="264"/>
      <c r="AZ599" s="264"/>
      <c r="BA599" s="264"/>
    </row>
    <row r="600" spans="1:53" x14ac:dyDescent="0.15">
      <c r="A600" s="264"/>
      <c r="B600" s="264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  <c r="AA600" s="264"/>
      <c r="AB600" s="264"/>
      <c r="AC600" s="264"/>
      <c r="AD600" s="264"/>
      <c r="AE600" s="264"/>
      <c r="AF600" s="264"/>
      <c r="AG600" s="264"/>
      <c r="AH600" s="263"/>
      <c r="AI600" s="264"/>
      <c r="AJ600" s="264"/>
      <c r="AK600" s="264"/>
      <c r="AL600" s="264"/>
      <c r="AM600" s="264"/>
      <c r="AN600" s="264"/>
      <c r="AO600" s="264"/>
      <c r="AP600" s="264"/>
      <c r="AQ600" s="264"/>
      <c r="AR600" s="264"/>
      <c r="AS600" s="264"/>
      <c r="AT600" s="264"/>
      <c r="AU600" s="264"/>
      <c r="AV600" s="264"/>
      <c r="AW600" s="264"/>
      <c r="AX600" s="264"/>
      <c r="AY600" s="264"/>
      <c r="AZ600" s="264"/>
      <c r="BA600" s="264"/>
    </row>
    <row r="601" spans="1:53" x14ac:dyDescent="0.15">
      <c r="A601" s="264"/>
      <c r="B601" s="264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  <c r="AA601" s="264"/>
      <c r="AB601" s="264"/>
      <c r="AC601" s="264"/>
      <c r="AD601" s="264"/>
      <c r="AE601" s="264"/>
      <c r="AF601" s="264"/>
      <c r="AG601" s="264"/>
      <c r="AH601" s="263"/>
      <c r="AI601" s="264"/>
      <c r="AJ601" s="264"/>
      <c r="AK601" s="264"/>
      <c r="AL601" s="264"/>
      <c r="AM601" s="264"/>
      <c r="AN601" s="264"/>
      <c r="AO601" s="264"/>
      <c r="AP601" s="264"/>
      <c r="AQ601" s="264"/>
      <c r="AR601" s="264"/>
      <c r="AS601" s="264"/>
      <c r="AT601" s="264"/>
      <c r="AU601" s="264"/>
      <c r="AV601" s="264"/>
      <c r="AW601" s="264"/>
      <c r="AX601" s="264"/>
      <c r="AY601" s="264"/>
      <c r="AZ601" s="264"/>
      <c r="BA601" s="264"/>
    </row>
    <row r="602" spans="1:53" x14ac:dyDescent="0.15">
      <c r="A602" s="264"/>
      <c r="B602" s="264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  <c r="AA602" s="264"/>
      <c r="AB602" s="264"/>
      <c r="AC602" s="264"/>
      <c r="AD602" s="264"/>
      <c r="AE602" s="264"/>
      <c r="AF602" s="264"/>
      <c r="AG602" s="264"/>
      <c r="AH602" s="263"/>
      <c r="AI602" s="264"/>
      <c r="AJ602" s="264"/>
      <c r="AK602" s="264"/>
      <c r="AL602" s="264"/>
      <c r="AM602" s="264"/>
      <c r="AN602" s="264"/>
      <c r="AO602" s="264"/>
      <c r="AP602" s="264"/>
      <c r="AQ602" s="264"/>
      <c r="AR602" s="264"/>
      <c r="AS602" s="264"/>
      <c r="AT602" s="264"/>
      <c r="AU602" s="264"/>
      <c r="AV602" s="264"/>
      <c r="AW602" s="264"/>
      <c r="AX602" s="264"/>
      <c r="AY602" s="264"/>
      <c r="AZ602" s="264"/>
      <c r="BA602" s="264"/>
    </row>
    <row r="603" spans="1:53" x14ac:dyDescent="0.15">
      <c r="A603" s="264"/>
      <c r="B603" s="264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  <c r="AA603" s="264"/>
      <c r="AB603" s="264"/>
      <c r="AC603" s="264"/>
      <c r="AD603" s="264"/>
      <c r="AE603" s="264"/>
      <c r="AF603" s="264"/>
      <c r="AG603" s="264"/>
      <c r="AH603" s="263"/>
      <c r="AI603" s="264"/>
      <c r="AJ603" s="264"/>
      <c r="AK603" s="264"/>
      <c r="AL603" s="264"/>
      <c r="AM603" s="264"/>
      <c r="AN603" s="264"/>
      <c r="AO603" s="264"/>
      <c r="AP603" s="264"/>
      <c r="AQ603" s="264"/>
      <c r="AR603" s="264"/>
      <c r="AS603" s="264"/>
      <c r="AT603" s="264"/>
      <c r="AU603" s="264"/>
      <c r="AV603" s="264"/>
      <c r="AW603" s="264"/>
      <c r="AX603" s="264"/>
      <c r="AY603" s="264"/>
      <c r="AZ603" s="264"/>
      <c r="BA603" s="264"/>
    </row>
    <row r="604" spans="1:53" x14ac:dyDescent="0.15">
      <c r="A604" s="264"/>
      <c r="B604" s="264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  <c r="AA604" s="264"/>
      <c r="AB604" s="264"/>
      <c r="AC604" s="264"/>
      <c r="AD604" s="264"/>
      <c r="AE604" s="264"/>
      <c r="AF604" s="264"/>
      <c r="AG604" s="264"/>
      <c r="AH604" s="263"/>
      <c r="AI604" s="264"/>
      <c r="AJ604" s="264"/>
      <c r="AK604" s="264"/>
      <c r="AL604" s="264"/>
      <c r="AM604" s="264"/>
      <c r="AN604" s="264"/>
      <c r="AO604" s="264"/>
      <c r="AP604" s="264"/>
      <c r="AQ604" s="264"/>
      <c r="AR604" s="264"/>
      <c r="AS604" s="264"/>
      <c r="AT604" s="264"/>
      <c r="AU604" s="264"/>
      <c r="AV604" s="264"/>
      <c r="AW604" s="264"/>
      <c r="AX604" s="264"/>
      <c r="AY604" s="264"/>
      <c r="AZ604" s="264"/>
      <c r="BA604" s="264"/>
    </row>
    <row r="605" spans="1:53" x14ac:dyDescent="0.15">
      <c r="A605" s="264"/>
      <c r="B605" s="264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  <c r="AA605" s="264"/>
      <c r="AB605" s="264"/>
      <c r="AC605" s="264"/>
      <c r="AD605" s="264"/>
      <c r="AE605" s="264"/>
      <c r="AF605" s="264"/>
      <c r="AG605" s="264"/>
      <c r="AH605" s="263"/>
      <c r="AI605" s="264"/>
      <c r="AJ605" s="264"/>
      <c r="AK605" s="264"/>
      <c r="AL605" s="264"/>
      <c r="AM605" s="264"/>
      <c r="AN605" s="264"/>
      <c r="AO605" s="264"/>
      <c r="AP605" s="264"/>
      <c r="AQ605" s="264"/>
      <c r="AR605" s="264"/>
      <c r="AS605" s="264"/>
      <c r="AT605" s="264"/>
      <c r="AU605" s="264"/>
      <c r="AV605" s="264"/>
      <c r="AW605" s="264"/>
      <c r="AX605" s="264"/>
      <c r="AY605" s="264"/>
      <c r="AZ605" s="264"/>
      <c r="BA605" s="264"/>
    </row>
    <row r="606" spans="1:53" x14ac:dyDescent="0.15">
      <c r="A606" s="264"/>
      <c r="B606" s="264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  <c r="AA606" s="264"/>
      <c r="AB606" s="264"/>
      <c r="AC606" s="264"/>
      <c r="AD606" s="264"/>
      <c r="AE606" s="264"/>
      <c r="AF606" s="264"/>
      <c r="AG606" s="264"/>
      <c r="AH606" s="263"/>
      <c r="AI606" s="264"/>
      <c r="AJ606" s="264"/>
      <c r="AK606" s="264"/>
      <c r="AL606" s="264"/>
      <c r="AM606" s="264"/>
      <c r="AN606" s="264"/>
      <c r="AO606" s="264"/>
      <c r="AP606" s="264"/>
      <c r="AQ606" s="264"/>
      <c r="AR606" s="264"/>
      <c r="AS606" s="264"/>
      <c r="AT606" s="264"/>
      <c r="AU606" s="264"/>
      <c r="AV606" s="264"/>
      <c r="AW606" s="264"/>
      <c r="AX606" s="264"/>
      <c r="AY606" s="264"/>
      <c r="AZ606" s="264"/>
      <c r="BA606" s="264"/>
    </row>
    <row r="607" spans="1:53" x14ac:dyDescent="0.15">
      <c r="A607" s="264"/>
      <c r="B607" s="264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  <c r="AA607" s="264"/>
      <c r="AB607" s="264"/>
      <c r="AC607" s="264"/>
      <c r="AD607" s="264"/>
      <c r="AE607" s="264"/>
      <c r="AF607" s="264"/>
      <c r="AG607" s="264"/>
      <c r="AH607" s="263"/>
      <c r="AI607" s="264"/>
      <c r="AJ607" s="264"/>
      <c r="AK607" s="264"/>
      <c r="AL607" s="264"/>
      <c r="AM607" s="264"/>
      <c r="AN607" s="264"/>
      <c r="AO607" s="264"/>
      <c r="AP607" s="264"/>
      <c r="AQ607" s="264"/>
      <c r="AR607" s="264"/>
      <c r="AS607" s="264"/>
      <c r="AT607" s="264"/>
      <c r="AU607" s="264"/>
      <c r="AV607" s="264"/>
      <c r="AW607" s="264"/>
      <c r="AX607" s="264"/>
      <c r="AY607" s="264"/>
      <c r="AZ607" s="264"/>
      <c r="BA607" s="264"/>
    </row>
    <row r="608" spans="1:53" x14ac:dyDescent="0.15">
      <c r="A608" s="264"/>
      <c r="B608" s="264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  <c r="AA608" s="264"/>
      <c r="AB608" s="264"/>
      <c r="AC608" s="264"/>
      <c r="AD608" s="264"/>
      <c r="AE608" s="264"/>
      <c r="AF608" s="264"/>
      <c r="AG608" s="264"/>
      <c r="AH608" s="263"/>
      <c r="AI608" s="264"/>
      <c r="AJ608" s="264"/>
      <c r="AK608" s="264"/>
      <c r="AL608" s="264"/>
      <c r="AM608" s="264"/>
      <c r="AN608" s="264"/>
      <c r="AO608" s="264"/>
      <c r="AP608" s="264"/>
      <c r="AQ608" s="264"/>
      <c r="AR608" s="264"/>
      <c r="AS608" s="264"/>
      <c r="AT608" s="264"/>
      <c r="AU608" s="264"/>
      <c r="AV608" s="264"/>
      <c r="AW608" s="264"/>
      <c r="AX608" s="264"/>
      <c r="AY608" s="264"/>
      <c r="AZ608" s="264"/>
      <c r="BA608" s="264"/>
    </row>
    <row r="609" spans="1:53" x14ac:dyDescent="0.15">
      <c r="A609" s="264"/>
      <c r="B609" s="264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  <c r="AA609" s="264"/>
      <c r="AB609" s="264"/>
      <c r="AC609" s="264"/>
      <c r="AD609" s="264"/>
      <c r="AE609" s="264"/>
      <c r="AF609" s="264"/>
      <c r="AG609" s="264"/>
      <c r="AH609" s="263"/>
      <c r="AI609" s="264"/>
      <c r="AJ609" s="264"/>
      <c r="AK609" s="264"/>
      <c r="AL609" s="264"/>
      <c r="AM609" s="264"/>
      <c r="AN609" s="264"/>
      <c r="AO609" s="264"/>
      <c r="AP609" s="264"/>
      <c r="AQ609" s="264"/>
      <c r="AR609" s="264"/>
      <c r="AS609" s="264"/>
      <c r="AT609" s="264"/>
      <c r="AU609" s="264"/>
      <c r="AV609" s="264"/>
      <c r="AW609" s="264"/>
      <c r="AX609" s="264"/>
      <c r="AY609" s="264"/>
      <c r="AZ609" s="264"/>
      <c r="BA609" s="264"/>
    </row>
    <row r="610" spans="1:53" x14ac:dyDescent="0.15">
      <c r="A610" s="264"/>
      <c r="B610" s="264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  <c r="AA610" s="264"/>
      <c r="AB610" s="264"/>
      <c r="AC610" s="264"/>
      <c r="AD610" s="264"/>
      <c r="AE610" s="264"/>
      <c r="AF610" s="264"/>
      <c r="AG610" s="264"/>
      <c r="AH610" s="263"/>
      <c r="AI610" s="264"/>
      <c r="AJ610" s="264"/>
      <c r="AK610" s="264"/>
      <c r="AL610" s="264"/>
      <c r="AM610" s="264"/>
      <c r="AN610" s="264"/>
      <c r="AO610" s="264"/>
      <c r="AP610" s="264"/>
      <c r="AQ610" s="264"/>
      <c r="AR610" s="264"/>
      <c r="AS610" s="264"/>
      <c r="AT610" s="264"/>
      <c r="AU610" s="264"/>
      <c r="AV610" s="264"/>
      <c r="AW610" s="264"/>
      <c r="AX610" s="264"/>
      <c r="AY610" s="264"/>
      <c r="AZ610" s="264"/>
      <c r="BA610" s="264"/>
    </row>
    <row r="611" spans="1:53" x14ac:dyDescent="0.15">
      <c r="A611" s="264"/>
      <c r="B611" s="264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  <c r="AA611" s="264"/>
      <c r="AB611" s="264"/>
      <c r="AC611" s="264"/>
      <c r="AD611" s="264"/>
      <c r="AE611" s="264"/>
      <c r="AF611" s="264"/>
      <c r="AG611" s="264"/>
      <c r="AH611" s="263"/>
      <c r="AI611" s="264"/>
      <c r="AJ611" s="264"/>
      <c r="AK611" s="264"/>
      <c r="AL611" s="264"/>
      <c r="AM611" s="264"/>
      <c r="AN611" s="264"/>
      <c r="AO611" s="264"/>
      <c r="AP611" s="264"/>
      <c r="AQ611" s="264"/>
      <c r="AR611" s="264"/>
      <c r="AS611" s="264"/>
      <c r="AT611" s="264"/>
      <c r="AU611" s="264"/>
      <c r="AV611" s="264"/>
      <c r="AW611" s="264"/>
      <c r="AX611" s="264"/>
      <c r="AY611" s="264"/>
      <c r="AZ611" s="264"/>
      <c r="BA611" s="264"/>
    </row>
    <row r="612" spans="1:53" x14ac:dyDescent="0.15">
      <c r="A612" s="264"/>
      <c r="B612" s="264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  <c r="AA612" s="264"/>
      <c r="AB612" s="264"/>
      <c r="AC612" s="264"/>
      <c r="AD612" s="264"/>
      <c r="AE612" s="264"/>
      <c r="AF612" s="264"/>
      <c r="AG612" s="264"/>
      <c r="AH612" s="263"/>
      <c r="AI612" s="264"/>
      <c r="AJ612" s="264"/>
      <c r="AK612" s="264"/>
      <c r="AL612" s="264"/>
      <c r="AM612" s="264"/>
      <c r="AN612" s="264"/>
      <c r="AO612" s="264"/>
      <c r="AP612" s="264"/>
      <c r="AQ612" s="264"/>
      <c r="AR612" s="264"/>
      <c r="AS612" s="264"/>
      <c r="AT612" s="264"/>
      <c r="AU612" s="264"/>
      <c r="AV612" s="264"/>
      <c r="AW612" s="264"/>
      <c r="AX612" s="264"/>
      <c r="AY612" s="264"/>
      <c r="AZ612" s="264"/>
      <c r="BA612" s="264"/>
    </row>
    <row r="613" spans="1:53" x14ac:dyDescent="0.15">
      <c r="A613" s="264"/>
      <c r="B613" s="264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  <c r="AA613" s="264"/>
      <c r="AB613" s="264"/>
      <c r="AC613" s="264"/>
      <c r="AD613" s="264"/>
      <c r="AE613" s="264"/>
      <c r="AF613" s="264"/>
      <c r="AG613" s="264"/>
      <c r="AH613" s="263"/>
      <c r="AI613" s="264"/>
      <c r="AJ613" s="264"/>
      <c r="AK613" s="264"/>
      <c r="AL613" s="264"/>
      <c r="AM613" s="264"/>
      <c r="AN613" s="264"/>
      <c r="AO613" s="264"/>
      <c r="AP613" s="264"/>
      <c r="AQ613" s="264"/>
      <c r="AR613" s="264"/>
      <c r="AS613" s="264"/>
      <c r="AT613" s="264"/>
      <c r="AU613" s="264"/>
      <c r="AV613" s="264"/>
      <c r="AW613" s="264"/>
      <c r="AX613" s="264"/>
      <c r="AY613" s="264"/>
      <c r="AZ613" s="264"/>
      <c r="BA613" s="264"/>
    </row>
    <row r="614" spans="1:53" x14ac:dyDescent="0.15">
      <c r="A614" s="264"/>
      <c r="B614" s="264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  <c r="AA614" s="264"/>
      <c r="AB614" s="264"/>
      <c r="AC614" s="264"/>
      <c r="AD614" s="264"/>
      <c r="AE614" s="264"/>
      <c r="AF614" s="264"/>
      <c r="AG614" s="264"/>
      <c r="AH614" s="263"/>
      <c r="AI614" s="264"/>
      <c r="AJ614" s="264"/>
      <c r="AK614" s="264"/>
      <c r="AL614" s="264"/>
      <c r="AM614" s="264"/>
      <c r="AN614" s="264"/>
      <c r="AO614" s="264"/>
      <c r="AP614" s="264"/>
      <c r="AQ614" s="264"/>
      <c r="AR614" s="264"/>
      <c r="AS614" s="264"/>
      <c r="AT614" s="264"/>
      <c r="AU614" s="264"/>
      <c r="AV614" s="264"/>
      <c r="AW614" s="264"/>
      <c r="AX614" s="264"/>
      <c r="AY614" s="264"/>
      <c r="AZ614" s="264"/>
      <c r="BA614" s="264"/>
    </row>
    <row r="615" spans="1:53" x14ac:dyDescent="0.15">
      <c r="A615" s="264"/>
      <c r="B615" s="264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  <c r="AA615" s="264"/>
      <c r="AB615" s="264"/>
      <c r="AC615" s="264"/>
      <c r="AD615" s="264"/>
      <c r="AE615" s="264"/>
      <c r="AF615" s="264"/>
      <c r="AG615" s="264"/>
      <c r="AH615" s="263"/>
      <c r="AI615" s="264"/>
      <c r="AJ615" s="264"/>
      <c r="AK615" s="264"/>
      <c r="AL615" s="264"/>
      <c r="AM615" s="264"/>
      <c r="AN615" s="264"/>
      <c r="AO615" s="264"/>
      <c r="AP615" s="264"/>
      <c r="AQ615" s="264"/>
      <c r="AR615" s="264"/>
      <c r="AS615" s="264"/>
      <c r="AT615" s="264"/>
      <c r="AU615" s="264"/>
      <c r="AV615" s="264"/>
      <c r="AW615" s="264"/>
      <c r="AX615" s="264"/>
      <c r="AY615" s="264"/>
      <c r="AZ615" s="264"/>
      <c r="BA615" s="264"/>
    </row>
    <row r="616" spans="1:53" x14ac:dyDescent="0.15">
      <c r="A616" s="264"/>
      <c r="B616" s="264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  <c r="AA616" s="264"/>
      <c r="AB616" s="264"/>
      <c r="AC616" s="264"/>
      <c r="AD616" s="264"/>
      <c r="AE616" s="264"/>
      <c r="AF616" s="264"/>
      <c r="AG616" s="264"/>
      <c r="AH616" s="263"/>
      <c r="AI616" s="264"/>
      <c r="AJ616" s="264"/>
      <c r="AK616" s="264"/>
      <c r="AL616" s="264"/>
      <c r="AM616" s="264"/>
      <c r="AN616" s="264"/>
      <c r="AO616" s="264"/>
      <c r="AP616" s="264"/>
      <c r="AQ616" s="264"/>
      <c r="AR616" s="264"/>
      <c r="AS616" s="264"/>
      <c r="AT616" s="264"/>
      <c r="AU616" s="264"/>
      <c r="AV616" s="264"/>
      <c r="AW616" s="264"/>
      <c r="AX616" s="264"/>
      <c r="AY616" s="264"/>
      <c r="AZ616" s="264"/>
      <c r="BA616" s="264"/>
    </row>
    <row r="617" spans="1:53" x14ac:dyDescent="0.15">
      <c r="A617" s="264"/>
      <c r="B617" s="264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  <c r="AA617" s="264"/>
      <c r="AB617" s="264"/>
      <c r="AC617" s="264"/>
      <c r="AD617" s="264"/>
      <c r="AE617" s="264"/>
      <c r="AF617" s="264"/>
      <c r="AG617" s="264"/>
      <c r="AH617" s="263"/>
      <c r="AI617" s="264"/>
      <c r="AJ617" s="264"/>
      <c r="AK617" s="264"/>
      <c r="AL617" s="264"/>
      <c r="AM617" s="264"/>
      <c r="AN617" s="264"/>
      <c r="AO617" s="264"/>
      <c r="AP617" s="264"/>
      <c r="AQ617" s="264"/>
      <c r="AR617" s="264"/>
      <c r="AS617" s="264"/>
      <c r="AT617" s="264"/>
      <c r="AU617" s="264"/>
      <c r="AV617" s="264"/>
      <c r="AW617" s="264"/>
      <c r="AX617" s="264"/>
      <c r="AY617" s="264"/>
      <c r="AZ617" s="264"/>
      <c r="BA617" s="264"/>
    </row>
    <row r="618" spans="1:53" x14ac:dyDescent="0.15">
      <c r="A618" s="264"/>
      <c r="B618" s="264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  <c r="AA618" s="264"/>
      <c r="AB618" s="264"/>
      <c r="AC618" s="264"/>
      <c r="AD618" s="264"/>
      <c r="AE618" s="264"/>
      <c r="AF618" s="264"/>
      <c r="AG618" s="264"/>
      <c r="AH618" s="263"/>
      <c r="AI618" s="264"/>
      <c r="AJ618" s="264"/>
      <c r="AK618" s="264"/>
      <c r="AL618" s="264"/>
      <c r="AM618" s="264"/>
      <c r="AN618" s="264"/>
      <c r="AO618" s="264"/>
      <c r="AP618" s="264"/>
      <c r="AQ618" s="264"/>
      <c r="AR618" s="264"/>
      <c r="AS618" s="264"/>
      <c r="AT618" s="264"/>
      <c r="AU618" s="264"/>
      <c r="AV618" s="264"/>
      <c r="AW618" s="264"/>
      <c r="AX618" s="264"/>
      <c r="AY618" s="264"/>
      <c r="AZ618" s="264"/>
      <c r="BA618" s="264"/>
    </row>
    <row r="619" spans="1:53" x14ac:dyDescent="0.15">
      <c r="A619" s="264"/>
      <c r="B619" s="264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  <c r="AA619" s="264"/>
      <c r="AB619" s="264"/>
      <c r="AC619" s="264"/>
      <c r="AD619" s="264"/>
      <c r="AE619" s="264"/>
      <c r="AF619" s="264"/>
      <c r="AG619" s="264"/>
      <c r="AH619" s="263"/>
      <c r="AI619" s="264"/>
      <c r="AJ619" s="264"/>
      <c r="AK619" s="264"/>
      <c r="AL619" s="264"/>
      <c r="AM619" s="264"/>
      <c r="AN619" s="264"/>
      <c r="AO619" s="264"/>
      <c r="AP619" s="264"/>
      <c r="AQ619" s="264"/>
      <c r="AR619" s="264"/>
      <c r="AS619" s="264"/>
      <c r="AT619" s="264"/>
      <c r="AU619" s="264"/>
      <c r="AV619" s="264"/>
      <c r="AW619" s="264"/>
      <c r="AX619" s="264"/>
      <c r="AY619" s="264"/>
      <c r="AZ619" s="264"/>
      <c r="BA619" s="264"/>
    </row>
    <row r="620" spans="1:53" x14ac:dyDescent="0.15">
      <c r="A620" s="264"/>
      <c r="B620" s="264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  <c r="AA620" s="264"/>
      <c r="AB620" s="264"/>
      <c r="AC620" s="264"/>
      <c r="AD620" s="264"/>
      <c r="AE620" s="264"/>
      <c r="AF620" s="264"/>
      <c r="AG620" s="264"/>
      <c r="AH620" s="263"/>
      <c r="AI620" s="264"/>
      <c r="AJ620" s="264"/>
      <c r="AK620" s="264"/>
      <c r="AL620" s="264"/>
      <c r="AM620" s="264"/>
      <c r="AN620" s="264"/>
      <c r="AO620" s="264"/>
      <c r="AP620" s="264"/>
      <c r="AQ620" s="264"/>
      <c r="AR620" s="264"/>
      <c r="AS620" s="264"/>
      <c r="AT620" s="264"/>
      <c r="AU620" s="264"/>
      <c r="AV620" s="264"/>
      <c r="AW620" s="264"/>
      <c r="AX620" s="264"/>
      <c r="AY620" s="264"/>
      <c r="AZ620" s="264"/>
      <c r="BA620" s="264"/>
    </row>
    <row r="621" spans="1:53" x14ac:dyDescent="0.15">
      <c r="A621" s="264"/>
      <c r="B621" s="264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  <c r="AA621" s="264"/>
      <c r="AB621" s="264"/>
      <c r="AC621" s="264"/>
      <c r="AD621" s="264"/>
      <c r="AE621" s="264"/>
      <c r="AF621" s="264"/>
      <c r="AG621" s="264"/>
      <c r="AH621" s="263"/>
      <c r="AI621" s="264"/>
      <c r="AJ621" s="264"/>
      <c r="AK621" s="264"/>
      <c r="AL621" s="264"/>
      <c r="AM621" s="264"/>
      <c r="AN621" s="264"/>
      <c r="AO621" s="264"/>
      <c r="AP621" s="264"/>
      <c r="AQ621" s="264"/>
      <c r="AR621" s="264"/>
      <c r="AS621" s="264"/>
      <c r="AT621" s="264"/>
      <c r="AU621" s="264"/>
      <c r="AV621" s="264"/>
      <c r="AW621" s="264"/>
      <c r="AX621" s="264"/>
      <c r="AY621" s="264"/>
      <c r="AZ621" s="264"/>
      <c r="BA621" s="264"/>
    </row>
    <row r="622" spans="1:53" x14ac:dyDescent="0.15">
      <c r="A622" s="264"/>
      <c r="B622" s="264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  <c r="AA622" s="264"/>
      <c r="AB622" s="264"/>
      <c r="AC622" s="264"/>
      <c r="AD622" s="264"/>
      <c r="AE622" s="264"/>
      <c r="AF622" s="264"/>
      <c r="AG622" s="264"/>
      <c r="AH622" s="263"/>
      <c r="AI622" s="264"/>
      <c r="AJ622" s="264"/>
      <c r="AK622" s="264"/>
      <c r="AL622" s="264"/>
      <c r="AM622" s="264"/>
      <c r="AN622" s="264"/>
      <c r="AO622" s="264"/>
      <c r="AP622" s="264"/>
      <c r="AQ622" s="264"/>
      <c r="AR622" s="264"/>
      <c r="AS622" s="264"/>
      <c r="AT622" s="264"/>
      <c r="AU622" s="264"/>
      <c r="AV622" s="264"/>
      <c r="AW622" s="264"/>
      <c r="AX622" s="264"/>
      <c r="AY622" s="264"/>
      <c r="AZ622" s="264"/>
      <c r="BA622" s="264"/>
    </row>
    <row r="623" spans="1:53" x14ac:dyDescent="0.15">
      <c r="A623" s="264"/>
      <c r="B623" s="264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  <c r="AA623" s="264"/>
      <c r="AB623" s="264"/>
      <c r="AC623" s="264"/>
      <c r="AD623" s="264"/>
      <c r="AE623" s="264"/>
      <c r="AF623" s="264"/>
      <c r="AG623" s="264"/>
      <c r="AH623" s="263"/>
      <c r="AI623" s="264"/>
      <c r="AJ623" s="264"/>
      <c r="AK623" s="264"/>
      <c r="AL623" s="264"/>
      <c r="AM623" s="264"/>
      <c r="AN623" s="264"/>
      <c r="AO623" s="264"/>
      <c r="AP623" s="264"/>
      <c r="AQ623" s="264"/>
      <c r="AR623" s="264"/>
      <c r="AS623" s="264"/>
      <c r="AT623" s="264"/>
      <c r="AU623" s="264"/>
      <c r="AV623" s="264"/>
      <c r="AW623" s="264"/>
      <c r="AX623" s="264"/>
      <c r="AY623" s="264"/>
      <c r="AZ623" s="264"/>
      <c r="BA623" s="264"/>
    </row>
    <row r="624" spans="1:53" x14ac:dyDescent="0.15">
      <c r="A624" s="264"/>
      <c r="B624" s="264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  <c r="AA624" s="264"/>
      <c r="AB624" s="264"/>
      <c r="AC624" s="264"/>
      <c r="AD624" s="264"/>
      <c r="AE624" s="264"/>
      <c r="AF624" s="264"/>
      <c r="AG624" s="264"/>
      <c r="AH624" s="263"/>
      <c r="AI624" s="264"/>
      <c r="AJ624" s="264"/>
      <c r="AK624" s="264"/>
      <c r="AL624" s="264"/>
      <c r="AM624" s="264"/>
      <c r="AN624" s="264"/>
      <c r="AO624" s="264"/>
      <c r="AP624" s="264"/>
      <c r="AQ624" s="264"/>
      <c r="AR624" s="264"/>
      <c r="AS624" s="264"/>
      <c r="AT624" s="264"/>
      <c r="AU624" s="264"/>
      <c r="AV624" s="264"/>
      <c r="AW624" s="264"/>
      <c r="AX624" s="264"/>
      <c r="AY624" s="264"/>
      <c r="AZ624" s="264"/>
      <c r="BA624" s="264"/>
    </row>
    <row r="625" spans="1:53" x14ac:dyDescent="0.15">
      <c r="A625" s="264"/>
      <c r="B625" s="264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  <c r="AA625" s="264"/>
      <c r="AB625" s="264"/>
      <c r="AC625" s="264"/>
      <c r="AD625" s="264"/>
      <c r="AE625" s="264"/>
      <c r="AF625" s="264"/>
      <c r="AG625" s="264"/>
      <c r="AH625" s="263"/>
      <c r="AI625" s="264"/>
      <c r="AJ625" s="264"/>
      <c r="AK625" s="264"/>
      <c r="AL625" s="264"/>
      <c r="AM625" s="264"/>
      <c r="AN625" s="264"/>
      <c r="AO625" s="264"/>
      <c r="AP625" s="264"/>
      <c r="AQ625" s="264"/>
      <c r="AR625" s="264"/>
      <c r="AS625" s="264"/>
      <c r="AT625" s="264"/>
      <c r="AU625" s="264"/>
      <c r="AV625" s="264"/>
      <c r="AW625" s="264"/>
      <c r="AX625" s="264"/>
      <c r="AY625" s="264"/>
      <c r="AZ625" s="264"/>
      <c r="BA625" s="264"/>
    </row>
    <row r="626" spans="1:53" x14ac:dyDescent="0.15">
      <c r="A626" s="264"/>
      <c r="B626" s="264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  <c r="AA626" s="264"/>
      <c r="AB626" s="264"/>
      <c r="AC626" s="264"/>
      <c r="AD626" s="264"/>
      <c r="AE626" s="264"/>
      <c r="AF626" s="264"/>
      <c r="AG626" s="264"/>
      <c r="AH626" s="263"/>
      <c r="AI626" s="264"/>
      <c r="AJ626" s="264"/>
      <c r="AK626" s="264"/>
      <c r="AL626" s="264"/>
      <c r="AM626" s="264"/>
      <c r="AN626" s="264"/>
      <c r="AO626" s="264"/>
      <c r="AP626" s="264"/>
      <c r="AQ626" s="264"/>
      <c r="AR626" s="264"/>
      <c r="AS626" s="264"/>
      <c r="AT626" s="264"/>
      <c r="AU626" s="264"/>
      <c r="AV626" s="264"/>
      <c r="AW626" s="264"/>
      <c r="AX626" s="264"/>
      <c r="AY626" s="264"/>
      <c r="AZ626" s="264"/>
      <c r="BA626" s="264"/>
    </row>
    <row r="627" spans="1:53" x14ac:dyDescent="0.15">
      <c r="A627" s="264"/>
      <c r="B627" s="264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  <c r="AA627" s="264"/>
      <c r="AB627" s="264"/>
      <c r="AC627" s="264"/>
      <c r="AD627" s="264"/>
      <c r="AE627" s="264"/>
      <c r="AF627" s="264"/>
      <c r="AG627" s="264"/>
      <c r="AH627" s="263"/>
      <c r="AI627" s="264"/>
      <c r="AJ627" s="264"/>
      <c r="AK627" s="264"/>
      <c r="AL627" s="264"/>
      <c r="AM627" s="264"/>
      <c r="AN627" s="264"/>
      <c r="AO627" s="264"/>
      <c r="AP627" s="264"/>
      <c r="AQ627" s="264"/>
      <c r="AR627" s="264"/>
      <c r="AS627" s="264"/>
      <c r="AT627" s="264"/>
      <c r="AU627" s="264"/>
      <c r="AV627" s="264"/>
      <c r="AW627" s="264"/>
      <c r="AX627" s="264"/>
      <c r="AY627" s="264"/>
      <c r="AZ627" s="264"/>
      <c r="BA627" s="264"/>
    </row>
    <row r="628" spans="1:53" x14ac:dyDescent="0.15">
      <c r="A628" s="264"/>
      <c r="B628" s="264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  <c r="AA628" s="264"/>
      <c r="AB628" s="264"/>
      <c r="AC628" s="264"/>
      <c r="AD628" s="264"/>
      <c r="AE628" s="264"/>
      <c r="AF628" s="264"/>
      <c r="AG628" s="264"/>
      <c r="AH628" s="263"/>
      <c r="AI628" s="264"/>
      <c r="AJ628" s="264"/>
      <c r="AK628" s="264"/>
      <c r="AL628" s="264"/>
      <c r="AM628" s="264"/>
      <c r="AN628" s="264"/>
      <c r="AO628" s="264"/>
      <c r="AP628" s="264"/>
      <c r="AQ628" s="264"/>
      <c r="AR628" s="264"/>
      <c r="AS628" s="264"/>
      <c r="AT628" s="264"/>
      <c r="AU628" s="264"/>
      <c r="AV628" s="264"/>
      <c r="AW628" s="264"/>
      <c r="AX628" s="264"/>
      <c r="AY628" s="264"/>
      <c r="AZ628" s="264"/>
      <c r="BA628" s="264"/>
    </row>
    <row r="629" spans="1:53" x14ac:dyDescent="0.15">
      <c r="A629" s="264"/>
      <c r="B629" s="264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  <c r="AA629" s="264"/>
      <c r="AB629" s="264"/>
      <c r="AC629" s="264"/>
      <c r="AD629" s="264"/>
      <c r="AE629" s="264"/>
      <c r="AF629" s="264"/>
      <c r="AG629" s="264"/>
      <c r="AH629" s="263"/>
      <c r="AI629" s="264"/>
      <c r="AJ629" s="264"/>
      <c r="AK629" s="264"/>
      <c r="AL629" s="264"/>
      <c r="AM629" s="264"/>
      <c r="AN629" s="264"/>
      <c r="AO629" s="264"/>
      <c r="AP629" s="264"/>
      <c r="AQ629" s="264"/>
      <c r="AR629" s="264"/>
      <c r="AS629" s="264"/>
      <c r="AT629" s="264"/>
      <c r="AU629" s="264"/>
      <c r="AV629" s="264"/>
      <c r="AW629" s="264"/>
      <c r="AX629" s="264"/>
      <c r="AY629" s="264"/>
      <c r="AZ629" s="264"/>
      <c r="BA629" s="264"/>
    </row>
    <row r="630" spans="1:53" x14ac:dyDescent="0.15">
      <c r="A630" s="264"/>
      <c r="B630" s="264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  <c r="AA630" s="264"/>
      <c r="AB630" s="264"/>
      <c r="AC630" s="264"/>
      <c r="AD630" s="264"/>
      <c r="AE630" s="264"/>
      <c r="AF630" s="264"/>
      <c r="AG630" s="264"/>
      <c r="AH630" s="263"/>
      <c r="AI630" s="264"/>
      <c r="AJ630" s="264"/>
      <c r="AK630" s="264"/>
      <c r="AL630" s="264"/>
      <c r="AM630" s="264"/>
      <c r="AN630" s="264"/>
      <c r="AO630" s="264"/>
      <c r="AP630" s="264"/>
      <c r="AQ630" s="264"/>
      <c r="AR630" s="264"/>
      <c r="AS630" s="264"/>
      <c r="AT630" s="264"/>
      <c r="AU630" s="264"/>
      <c r="AV630" s="264"/>
      <c r="AW630" s="264"/>
      <c r="AX630" s="264"/>
      <c r="AY630" s="264"/>
      <c r="AZ630" s="264"/>
      <c r="BA630" s="264"/>
    </row>
    <row r="631" spans="1:53" x14ac:dyDescent="0.15">
      <c r="A631" s="264"/>
      <c r="B631" s="264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  <c r="AA631" s="264"/>
      <c r="AB631" s="264"/>
      <c r="AC631" s="264"/>
      <c r="AD631" s="264"/>
      <c r="AE631" s="264"/>
      <c r="AF631" s="264"/>
      <c r="AG631" s="264"/>
      <c r="AH631" s="263"/>
      <c r="AI631" s="264"/>
      <c r="AJ631" s="264"/>
      <c r="AK631" s="264"/>
      <c r="AL631" s="264"/>
      <c r="AM631" s="264"/>
      <c r="AN631" s="264"/>
      <c r="AO631" s="264"/>
      <c r="AP631" s="264"/>
      <c r="AQ631" s="264"/>
      <c r="AR631" s="264"/>
      <c r="AS631" s="264"/>
      <c r="AT631" s="264"/>
      <c r="AU631" s="264"/>
      <c r="AV631" s="264"/>
      <c r="AW631" s="264"/>
      <c r="AX631" s="264"/>
      <c r="AY631" s="264"/>
      <c r="AZ631" s="264"/>
      <c r="BA631" s="264"/>
    </row>
    <row r="632" spans="1:53" x14ac:dyDescent="0.15">
      <c r="A632" s="264"/>
      <c r="B632" s="264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  <c r="AA632" s="264"/>
      <c r="AB632" s="264"/>
      <c r="AC632" s="264"/>
      <c r="AD632" s="264"/>
      <c r="AE632" s="264"/>
      <c r="AF632" s="264"/>
      <c r="AG632" s="264"/>
      <c r="AH632" s="263"/>
      <c r="AI632" s="264"/>
      <c r="AJ632" s="264"/>
      <c r="AK632" s="264"/>
      <c r="AL632" s="264"/>
      <c r="AM632" s="264"/>
      <c r="AN632" s="264"/>
      <c r="AO632" s="264"/>
      <c r="AP632" s="264"/>
      <c r="AQ632" s="264"/>
      <c r="AR632" s="264"/>
      <c r="AS632" s="264"/>
      <c r="AT632" s="264"/>
      <c r="AU632" s="264"/>
      <c r="AV632" s="264"/>
      <c r="AW632" s="264"/>
      <c r="AX632" s="264"/>
      <c r="AY632" s="264"/>
      <c r="AZ632" s="264"/>
      <c r="BA632" s="264"/>
    </row>
    <row r="633" spans="1:53" x14ac:dyDescent="0.15">
      <c r="A633" s="264"/>
      <c r="B633" s="264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  <c r="AA633" s="264"/>
      <c r="AB633" s="264"/>
      <c r="AC633" s="264"/>
      <c r="AD633" s="264"/>
      <c r="AE633" s="264"/>
      <c r="AF633" s="264"/>
      <c r="AG633" s="264"/>
      <c r="AH633" s="263"/>
      <c r="AI633" s="264"/>
      <c r="AJ633" s="264"/>
      <c r="AK633" s="264"/>
      <c r="AL633" s="264"/>
      <c r="AM633" s="264"/>
      <c r="AN633" s="264"/>
      <c r="AO633" s="264"/>
      <c r="AP633" s="264"/>
      <c r="AQ633" s="264"/>
      <c r="AR633" s="264"/>
      <c r="AS633" s="264"/>
      <c r="AT633" s="264"/>
      <c r="AU633" s="264"/>
      <c r="AV633" s="264"/>
      <c r="AW633" s="264"/>
      <c r="AX633" s="264"/>
      <c r="AY633" s="264"/>
      <c r="AZ633" s="264"/>
      <c r="BA633" s="264"/>
    </row>
    <row r="634" spans="1:53" x14ac:dyDescent="0.15">
      <c r="A634" s="264"/>
      <c r="B634" s="264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  <c r="AA634" s="264"/>
      <c r="AB634" s="264"/>
      <c r="AC634" s="264"/>
      <c r="AD634" s="264"/>
      <c r="AE634" s="264"/>
      <c r="AF634" s="264"/>
      <c r="AG634" s="264"/>
      <c r="AH634" s="263"/>
      <c r="AI634" s="264"/>
      <c r="AJ634" s="264"/>
      <c r="AK634" s="264"/>
      <c r="AL634" s="264"/>
      <c r="AM634" s="264"/>
      <c r="AN634" s="264"/>
      <c r="AO634" s="264"/>
      <c r="AP634" s="264"/>
      <c r="AQ634" s="264"/>
      <c r="AR634" s="264"/>
      <c r="AS634" s="264"/>
      <c r="AT634" s="264"/>
      <c r="AU634" s="264"/>
      <c r="AV634" s="264"/>
      <c r="AW634" s="264"/>
      <c r="AX634" s="264"/>
      <c r="AY634" s="264"/>
      <c r="AZ634" s="264"/>
      <c r="BA634" s="264"/>
    </row>
    <row r="635" spans="1:53" x14ac:dyDescent="0.15">
      <c r="A635" s="264"/>
      <c r="B635" s="264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  <c r="AA635" s="264"/>
      <c r="AB635" s="264"/>
      <c r="AC635" s="264"/>
      <c r="AD635" s="264"/>
      <c r="AE635" s="264"/>
      <c r="AF635" s="264"/>
      <c r="AG635" s="264"/>
      <c r="AH635" s="263"/>
      <c r="AI635" s="264"/>
      <c r="AJ635" s="264"/>
      <c r="AK635" s="264"/>
      <c r="AL635" s="264"/>
      <c r="AM635" s="264"/>
      <c r="AN635" s="264"/>
      <c r="AO635" s="264"/>
      <c r="AP635" s="264"/>
      <c r="AQ635" s="264"/>
      <c r="AR635" s="264"/>
      <c r="AS635" s="264"/>
      <c r="AT635" s="264"/>
      <c r="AU635" s="264"/>
      <c r="AV635" s="264"/>
      <c r="AW635" s="264"/>
      <c r="AX635" s="264"/>
      <c r="AY635" s="264"/>
      <c r="AZ635" s="264"/>
      <c r="BA635" s="264"/>
    </row>
    <row r="636" spans="1:53" x14ac:dyDescent="0.15">
      <c r="A636" s="264"/>
      <c r="B636" s="264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  <c r="AA636" s="264"/>
      <c r="AB636" s="264"/>
      <c r="AC636" s="264"/>
      <c r="AD636" s="264"/>
      <c r="AE636" s="264"/>
      <c r="AF636" s="264"/>
      <c r="AG636" s="264"/>
      <c r="AH636" s="263"/>
      <c r="AI636" s="264"/>
      <c r="AJ636" s="264"/>
      <c r="AK636" s="264"/>
      <c r="AL636" s="264"/>
      <c r="AM636" s="264"/>
      <c r="AN636" s="264"/>
      <c r="AO636" s="264"/>
      <c r="AP636" s="264"/>
      <c r="AQ636" s="264"/>
      <c r="AR636" s="264"/>
      <c r="AS636" s="264"/>
      <c r="AT636" s="264"/>
      <c r="AU636" s="264"/>
      <c r="AV636" s="264"/>
      <c r="AW636" s="264"/>
      <c r="AX636" s="264"/>
      <c r="AY636" s="264"/>
      <c r="AZ636" s="264"/>
      <c r="BA636" s="264"/>
    </row>
    <row r="637" spans="1:53" x14ac:dyDescent="0.15">
      <c r="A637" s="264"/>
      <c r="B637" s="264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  <c r="AA637" s="264"/>
      <c r="AB637" s="264"/>
      <c r="AC637" s="264"/>
      <c r="AD637" s="264"/>
      <c r="AE637" s="264"/>
      <c r="AF637" s="264"/>
      <c r="AG637" s="264"/>
      <c r="AH637" s="263"/>
      <c r="AI637" s="264"/>
      <c r="AJ637" s="264"/>
      <c r="AK637" s="264"/>
      <c r="AL637" s="264"/>
      <c r="AM637" s="264"/>
      <c r="AN637" s="264"/>
      <c r="AO637" s="264"/>
      <c r="AP637" s="264"/>
      <c r="AQ637" s="264"/>
      <c r="AR637" s="264"/>
      <c r="AS637" s="264"/>
      <c r="AT637" s="264"/>
      <c r="AU637" s="264"/>
      <c r="AV637" s="264"/>
      <c r="AW637" s="264"/>
      <c r="AX637" s="264"/>
      <c r="AY637" s="264"/>
      <c r="AZ637" s="264"/>
      <c r="BA637" s="264"/>
    </row>
    <row r="638" spans="1:53" x14ac:dyDescent="0.15">
      <c r="A638" s="264"/>
      <c r="B638" s="264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E638" s="264"/>
      <c r="AF638" s="264"/>
      <c r="AG638" s="264"/>
      <c r="AH638" s="263"/>
      <c r="AI638" s="264"/>
      <c r="AJ638" s="264"/>
      <c r="AK638" s="264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</row>
    <row r="639" spans="1:53" x14ac:dyDescent="0.15">
      <c r="A639" s="264"/>
      <c r="B639" s="264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E639" s="264"/>
      <c r="AF639" s="264"/>
      <c r="AG639" s="264"/>
      <c r="AH639" s="263"/>
      <c r="AI639" s="264"/>
      <c r="AJ639" s="264"/>
      <c r="AK639" s="264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</row>
    <row r="640" spans="1:53" x14ac:dyDescent="0.15">
      <c r="A640" s="264"/>
      <c r="B640" s="264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  <c r="AA640" s="264"/>
      <c r="AB640" s="264"/>
      <c r="AC640" s="264"/>
      <c r="AD640" s="264"/>
      <c r="AE640" s="264"/>
      <c r="AF640" s="264"/>
      <c r="AG640" s="264"/>
      <c r="AH640" s="263"/>
      <c r="AI640" s="264"/>
      <c r="AJ640" s="264"/>
      <c r="AK640" s="264"/>
      <c r="AL640" s="264"/>
      <c r="AM640" s="264"/>
      <c r="AN640" s="264"/>
      <c r="AO640" s="264"/>
      <c r="AP640" s="264"/>
      <c r="AQ640" s="264"/>
      <c r="AR640" s="264"/>
      <c r="AS640" s="264"/>
      <c r="AT640" s="264"/>
      <c r="AU640" s="264"/>
      <c r="AV640" s="264"/>
      <c r="AW640" s="264"/>
      <c r="AX640" s="264"/>
      <c r="AY640" s="264"/>
      <c r="AZ640" s="264"/>
      <c r="BA640" s="264"/>
    </row>
    <row r="641" spans="1:53" x14ac:dyDescent="0.15">
      <c r="A641" s="264"/>
      <c r="B641" s="264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  <c r="AA641" s="264"/>
      <c r="AB641" s="264"/>
      <c r="AC641" s="264"/>
      <c r="AD641" s="264"/>
      <c r="AE641" s="264"/>
      <c r="AF641" s="264"/>
      <c r="AG641" s="264"/>
      <c r="AH641" s="263"/>
      <c r="AI641" s="264"/>
      <c r="AJ641" s="264"/>
      <c r="AK641" s="264"/>
      <c r="AL641" s="264"/>
      <c r="AM641" s="264"/>
      <c r="AN641" s="264"/>
      <c r="AO641" s="264"/>
      <c r="AP641" s="264"/>
      <c r="AQ641" s="264"/>
      <c r="AR641" s="264"/>
      <c r="AS641" s="264"/>
      <c r="AT641" s="264"/>
      <c r="AU641" s="264"/>
      <c r="AV641" s="264"/>
      <c r="AW641" s="264"/>
      <c r="AX641" s="264"/>
      <c r="AY641" s="264"/>
      <c r="AZ641" s="264"/>
      <c r="BA641" s="264"/>
    </row>
    <row r="642" spans="1:53" x14ac:dyDescent="0.15">
      <c r="A642" s="264"/>
      <c r="B642" s="264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  <c r="AA642" s="264"/>
      <c r="AB642" s="264"/>
      <c r="AC642" s="264"/>
      <c r="AD642" s="264"/>
      <c r="AE642" s="264"/>
      <c r="AF642" s="264"/>
      <c r="AG642" s="264"/>
      <c r="AH642" s="263"/>
      <c r="AI642" s="264"/>
      <c r="AJ642" s="264"/>
      <c r="AK642" s="264"/>
      <c r="AL642" s="264"/>
      <c r="AM642" s="264"/>
      <c r="AN642" s="264"/>
      <c r="AO642" s="264"/>
      <c r="AP642" s="264"/>
      <c r="AQ642" s="264"/>
      <c r="AR642" s="264"/>
      <c r="AS642" s="264"/>
      <c r="AT642" s="264"/>
      <c r="AU642" s="264"/>
      <c r="AV642" s="264"/>
      <c r="AW642" s="264"/>
      <c r="AX642" s="264"/>
      <c r="AY642" s="264"/>
      <c r="AZ642" s="264"/>
      <c r="BA642" s="264"/>
    </row>
    <row r="643" spans="1:53" x14ac:dyDescent="0.15">
      <c r="A643" s="264"/>
      <c r="B643" s="264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3"/>
      <c r="AI643" s="264"/>
      <c r="AJ643" s="264"/>
      <c r="AK643" s="264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</row>
    <row r="644" spans="1:53" x14ac:dyDescent="0.15">
      <c r="A644" s="264"/>
      <c r="B644" s="264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3"/>
      <c r="AI644" s="264"/>
      <c r="AJ644" s="264"/>
      <c r="AK644" s="264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</row>
    <row r="645" spans="1:53" x14ac:dyDescent="0.15">
      <c r="A645" s="264"/>
      <c r="B645" s="264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3"/>
      <c r="AI645" s="264"/>
      <c r="AJ645" s="264"/>
      <c r="AK645" s="264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264"/>
    </row>
    <row r="646" spans="1:53" x14ac:dyDescent="0.15">
      <c r="A646" s="264"/>
      <c r="B646" s="264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  <c r="AA646" s="264"/>
      <c r="AB646" s="264"/>
      <c r="AC646" s="264"/>
      <c r="AD646" s="264"/>
      <c r="AE646" s="264"/>
      <c r="AF646" s="264"/>
      <c r="AG646" s="264"/>
      <c r="AH646" s="263"/>
      <c r="AI646" s="264"/>
      <c r="AJ646" s="264"/>
      <c r="AK646" s="264"/>
      <c r="AL646" s="264"/>
      <c r="AM646" s="264"/>
      <c r="AN646" s="264"/>
      <c r="AO646" s="264"/>
      <c r="AP646" s="264"/>
      <c r="AQ646" s="264"/>
      <c r="AR646" s="264"/>
      <c r="AS646" s="264"/>
      <c r="AT646" s="264"/>
      <c r="AU646" s="264"/>
      <c r="AV646" s="264"/>
      <c r="AW646" s="264"/>
      <c r="AX646" s="264"/>
      <c r="AY646" s="264"/>
      <c r="AZ646" s="264"/>
      <c r="BA646" s="264"/>
    </row>
    <row r="647" spans="1:53" x14ac:dyDescent="0.15">
      <c r="A647" s="264"/>
      <c r="B647" s="264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  <c r="AA647" s="264"/>
      <c r="AB647" s="264"/>
      <c r="AC647" s="264"/>
      <c r="AD647" s="264"/>
      <c r="AE647" s="264"/>
      <c r="AF647" s="264"/>
      <c r="AG647" s="264"/>
      <c r="AH647" s="263"/>
      <c r="AI647" s="264"/>
      <c r="AJ647" s="264"/>
      <c r="AK647" s="264"/>
      <c r="AL647" s="264"/>
      <c r="AM647" s="264"/>
      <c r="AN647" s="264"/>
      <c r="AO647" s="264"/>
      <c r="AP647" s="264"/>
      <c r="AQ647" s="264"/>
      <c r="AR647" s="264"/>
      <c r="AS647" s="264"/>
      <c r="AT647" s="264"/>
      <c r="AU647" s="264"/>
      <c r="AV647" s="264"/>
      <c r="AW647" s="264"/>
      <c r="AX647" s="264"/>
      <c r="AY647" s="264"/>
      <c r="AZ647" s="264"/>
      <c r="BA647" s="264"/>
    </row>
    <row r="648" spans="1:53" x14ac:dyDescent="0.15">
      <c r="A648" s="264"/>
      <c r="B648" s="264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  <c r="AA648" s="264"/>
      <c r="AB648" s="264"/>
      <c r="AC648" s="264"/>
      <c r="AD648" s="264"/>
      <c r="AE648" s="264"/>
      <c r="AF648" s="264"/>
      <c r="AG648" s="264"/>
      <c r="AH648" s="263"/>
      <c r="AI648" s="264"/>
      <c r="AJ648" s="264"/>
      <c r="AK648" s="264"/>
      <c r="AL648" s="264"/>
      <c r="AM648" s="264"/>
      <c r="AN648" s="264"/>
      <c r="AO648" s="264"/>
      <c r="AP648" s="264"/>
      <c r="AQ648" s="264"/>
      <c r="AR648" s="264"/>
      <c r="AS648" s="264"/>
      <c r="AT648" s="264"/>
      <c r="AU648" s="264"/>
      <c r="AV648" s="264"/>
      <c r="AW648" s="264"/>
      <c r="AX648" s="264"/>
      <c r="AY648" s="264"/>
      <c r="AZ648" s="264"/>
      <c r="BA648" s="264"/>
    </row>
    <row r="649" spans="1:53" x14ac:dyDescent="0.15">
      <c r="A649" s="264"/>
      <c r="B649" s="264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264"/>
      <c r="AF649" s="264"/>
      <c r="AG649" s="264"/>
      <c r="AH649" s="263"/>
      <c r="AI649" s="264"/>
      <c r="AJ649" s="264"/>
      <c r="AK649" s="264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</row>
    <row r="650" spans="1:53" x14ac:dyDescent="0.15">
      <c r="A650" s="264"/>
      <c r="B650" s="264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264"/>
      <c r="AF650" s="264"/>
      <c r="AG650" s="264"/>
      <c r="AH650" s="263"/>
      <c r="AI650" s="264"/>
      <c r="AJ650" s="264"/>
      <c r="AK650" s="264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</row>
    <row r="651" spans="1:53" x14ac:dyDescent="0.15">
      <c r="A651" s="264"/>
      <c r="B651" s="264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264"/>
      <c r="AF651" s="264"/>
      <c r="AG651" s="264"/>
      <c r="AH651" s="263"/>
      <c r="AI651" s="264"/>
      <c r="AJ651" s="264"/>
      <c r="AK651" s="264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</row>
    <row r="652" spans="1:53" x14ac:dyDescent="0.15">
      <c r="A652" s="264"/>
      <c r="B652" s="264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  <c r="AA652" s="264"/>
      <c r="AB652" s="264"/>
      <c r="AC652" s="264"/>
      <c r="AD652" s="264"/>
      <c r="AE652" s="264"/>
      <c r="AF652" s="264"/>
      <c r="AG652" s="264"/>
      <c r="AH652" s="263"/>
      <c r="AI652" s="264"/>
      <c r="AJ652" s="264"/>
      <c r="AK652" s="264"/>
      <c r="AL652" s="264"/>
      <c r="AM652" s="264"/>
      <c r="AN652" s="264"/>
      <c r="AO652" s="264"/>
      <c r="AP652" s="264"/>
      <c r="AQ652" s="264"/>
      <c r="AR652" s="264"/>
      <c r="AS652" s="264"/>
      <c r="AT652" s="264"/>
      <c r="AU652" s="264"/>
      <c r="AV652" s="264"/>
      <c r="AW652" s="264"/>
      <c r="AX652" s="264"/>
      <c r="AY652" s="264"/>
      <c r="AZ652" s="264"/>
      <c r="BA652" s="264"/>
    </row>
    <row r="653" spans="1:53" x14ac:dyDescent="0.15">
      <c r="A653" s="264"/>
      <c r="B653" s="264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  <c r="AA653" s="264"/>
      <c r="AB653" s="264"/>
      <c r="AC653" s="264"/>
      <c r="AD653" s="264"/>
      <c r="AE653" s="264"/>
      <c r="AF653" s="264"/>
      <c r="AG653" s="264"/>
      <c r="AH653" s="263"/>
      <c r="AI653" s="264"/>
      <c r="AJ653" s="264"/>
      <c r="AK653" s="264"/>
      <c r="AL653" s="264"/>
      <c r="AM653" s="264"/>
      <c r="AN653" s="264"/>
      <c r="AO653" s="264"/>
      <c r="AP653" s="264"/>
      <c r="AQ653" s="264"/>
      <c r="AR653" s="264"/>
      <c r="AS653" s="264"/>
      <c r="AT653" s="264"/>
      <c r="AU653" s="264"/>
      <c r="AV653" s="264"/>
      <c r="AW653" s="264"/>
      <c r="AX653" s="264"/>
      <c r="AY653" s="264"/>
      <c r="AZ653" s="264"/>
      <c r="BA653" s="264"/>
    </row>
    <row r="654" spans="1:53" x14ac:dyDescent="0.15">
      <c r="A654" s="264"/>
      <c r="B654" s="264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  <c r="AA654" s="264"/>
      <c r="AB654" s="264"/>
      <c r="AC654" s="264"/>
      <c r="AD654" s="264"/>
      <c r="AE654" s="264"/>
      <c r="AF654" s="264"/>
      <c r="AG654" s="264"/>
      <c r="AH654" s="263"/>
      <c r="AI654" s="264"/>
      <c r="AJ654" s="264"/>
      <c r="AK654" s="264"/>
      <c r="AL654" s="264"/>
      <c r="AM654" s="264"/>
      <c r="AN654" s="264"/>
      <c r="AO654" s="264"/>
      <c r="AP654" s="264"/>
      <c r="AQ654" s="264"/>
      <c r="AR654" s="264"/>
      <c r="AS654" s="264"/>
      <c r="AT654" s="264"/>
      <c r="AU654" s="264"/>
      <c r="AV654" s="264"/>
      <c r="AW654" s="264"/>
      <c r="AX654" s="264"/>
      <c r="AY654" s="264"/>
      <c r="AZ654" s="264"/>
      <c r="BA654" s="264"/>
    </row>
    <row r="655" spans="1:53" x14ac:dyDescent="0.15">
      <c r="A655" s="264"/>
      <c r="B655" s="264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  <c r="AA655" s="264"/>
      <c r="AB655" s="264"/>
      <c r="AC655" s="264"/>
      <c r="AD655" s="264"/>
      <c r="AE655" s="264"/>
      <c r="AF655" s="264"/>
      <c r="AG655" s="264"/>
      <c r="AH655" s="263"/>
      <c r="AI655" s="264"/>
      <c r="AJ655" s="264"/>
      <c r="AK655" s="264"/>
      <c r="AL655" s="264"/>
      <c r="AM655" s="264"/>
      <c r="AN655" s="264"/>
      <c r="AO655" s="264"/>
      <c r="AP655" s="264"/>
      <c r="AQ655" s="264"/>
      <c r="AR655" s="264"/>
      <c r="AS655" s="264"/>
      <c r="AT655" s="264"/>
      <c r="AU655" s="264"/>
      <c r="AV655" s="264"/>
      <c r="AW655" s="264"/>
      <c r="AX655" s="264"/>
      <c r="AY655" s="264"/>
      <c r="AZ655" s="264"/>
      <c r="BA655" s="264"/>
    </row>
    <row r="656" spans="1:53" x14ac:dyDescent="0.15">
      <c r="A656" s="264"/>
      <c r="B656" s="264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  <c r="AA656" s="264"/>
      <c r="AB656" s="264"/>
      <c r="AC656" s="264"/>
      <c r="AD656" s="264"/>
      <c r="AE656" s="264"/>
      <c r="AF656" s="264"/>
      <c r="AG656" s="264"/>
      <c r="AH656" s="263"/>
      <c r="AI656" s="264"/>
      <c r="AJ656" s="264"/>
      <c r="AK656" s="264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</row>
    <row r="657" spans="1:53" x14ac:dyDescent="0.15">
      <c r="A657" s="264"/>
      <c r="B657" s="264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264"/>
      <c r="AF657" s="264"/>
      <c r="AG657" s="264"/>
      <c r="AH657" s="263"/>
      <c r="AI657" s="264"/>
      <c r="AJ657" s="264"/>
      <c r="AK657" s="264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</row>
    <row r="658" spans="1:53" x14ac:dyDescent="0.15">
      <c r="A658" s="264"/>
      <c r="B658" s="264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  <c r="AA658" s="264"/>
      <c r="AB658" s="264"/>
      <c r="AC658" s="264"/>
      <c r="AD658" s="264"/>
      <c r="AE658" s="264"/>
      <c r="AF658" s="264"/>
      <c r="AG658" s="264"/>
      <c r="AH658" s="263"/>
      <c r="AI658" s="264"/>
      <c r="AJ658" s="264"/>
      <c r="AK658" s="264"/>
      <c r="AL658" s="264"/>
      <c r="AM658" s="264"/>
      <c r="AN658" s="264"/>
      <c r="AO658" s="264"/>
      <c r="AP658" s="264"/>
      <c r="AQ658" s="264"/>
      <c r="AR658" s="264"/>
      <c r="AS658" s="264"/>
      <c r="AT658" s="264"/>
      <c r="AU658" s="264"/>
      <c r="AV658" s="264"/>
      <c r="AW658" s="264"/>
      <c r="AX658" s="264"/>
      <c r="AY658" s="264"/>
      <c r="AZ658" s="264"/>
      <c r="BA658" s="264"/>
    </row>
    <row r="659" spans="1:53" x14ac:dyDescent="0.15">
      <c r="A659" s="264"/>
      <c r="B659" s="264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  <c r="AA659" s="264"/>
      <c r="AB659" s="264"/>
      <c r="AC659" s="264"/>
      <c r="AD659" s="264"/>
      <c r="AE659" s="264"/>
      <c r="AF659" s="264"/>
      <c r="AG659" s="264"/>
      <c r="AH659" s="263"/>
      <c r="AI659" s="264"/>
      <c r="AJ659" s="264"/>
      <c r="AK659" s="264"/>
      <c r="AL659" s="264"/>
      <c r="AM659" s="264"/>
      <c r="AN659" s="264"/>
      <c r="AO659" s="264"/>
      <c r="AP659" s="264"/>
      <c r="AQ659" s="264"/>
      <c r="AR659" s="264"/>
      <c r="AS659" s="264"/>
      <c r="AT659" s="264"/>
      <c r="AU659" s="264"/>
      <c r="AV659" s="264"/>
      <c r="AW659" s="264"/>
      <c r="AX659" s="264"/>
      <c r="AY659" s="264"/>
      <c r="AZ659" s="264"/>
      <c r="BA659" s="264"/>
    </row>
    <row r="660" spans="1:53" x14ac:dyDescent="0.15">
      <c r="A660" s="264"/>
      <c r="B660" s="264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  <c r="AA660" s="264"/>
      <c r="AB660" s="264"/>
      <c r="AC660" s="264"/>
      <c r="AD660" s="264"/>
      <c r="AE660" s="264"/>
      <c r="AF660" s="264"/>
      <c r="AG660" s="264"/>
      <c r="AH660" s="263"/>
      <c r="AI660" s="264"/>
      <c r="AJ660" s="264"/>
      <c r="AK660" s="264"/>
      <c r="AL660" s="264"/>
      <c r="AM660" s="264"/>
      <c r="AN660" s="264"/>
      <c r="AO660" s="264"/>
      <c r="AP660" s="264"/>
      <c r="AQ660" s="264"/>
      <c r="AR660" s="264"/>
      <c r="AS660" s="264"/>
      <c r="AT660" s="264"/>
      <c r="AU660" s="264"/>
      <c r="AV660" s="264"/>
      <c r="AW660" s="264"/>
      <c r="AX660" s="264"/>
      <c r="AY660" s="264"/>
      <c r="AZ660" s="264"/>
      <c r="BA660" s="264"/>
    </row>
    <row r="661" spans="1:53" x14ac:dyDescent="0.15">
      <c r="A661" s="264"/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3"/>
      <c r="AI661" s="264"/>
      <c r="AJ661" s="264"/>
      <c r="AK661" s="264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</row>
    <row r="662" spans="1:53" x14ac:dyDescent="0.15">
      <c r="A662" s="264"/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3"/>
      <c r="AI662" s="264"/>
      <c r="AJ662" s="264"/>
      <c r="AK662" s="264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</row>
    <row r="663" spans="1:53" x14ac:dyDescent="0.15">
      <c r="A663" s="264"/>
      <c r="B663" s="264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  <c r="AA663" s="264"/>
      <c r="AB663" s="264"/>
      <c r="AC663" s="264"/>
      <c r="AD663" s="264"/>
      <c r="AE663" s="264"/>
      <c r="AF663" s="264"/>
      <c r="AG663" s="264"/>
      <c r="AH663" s="263"/>
      <c r="AI663" s="264"/>
      <c r="AJ663" s="264"/>
      <c r="AK663" s="264"/>
      <c r="AL663" s="264"/>
      <c r="AM663" s="264"/>
      <c r="AN663" s="264"/>
      <c r="AO663" s="264"/>
      <c r="AP663" s="264"/>
      <c r="AQ663" s="264"/>
      <c r="AR663" s="264"/>
      <c r="AS663" s="264"/>
      <c r="AT663" s="264"/>
      <c r="AU663" s="264"/>
      <c r="AV663" s="264"/>
      <c r="AW663" s="264"/>
      <c r="AX663" s="264"/>
      <c r="AY663" s="264"/>
      <c r="AZ663" s="264"/>
      <c r="BA663" s="264"/>
    </row>
    <row r="664" spans="1:53" x14ac:dyDescent="0.15">
      <c r="A664" s="264"/>
      <c r="B664" s="264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  <c r="AA664" s="264"/>
      <c r="AB664" s="264"/>
      <c r="AC664" s="264"/>
      <c r="AD664" s="264"/>
      <c r="AE664" s="264"/>
      <c r="AF664" s="264"/>
      <c r="AG664" s="264"/>
      <c r="AH664" s="263"/>
      <c r="AI664" s="264"/>
      <c r="AJ664" s="264"/>
      <c r="AK664" s="264"/>
      <c r="AL664" s="264"/>
      <c r="AM664" s="264"/>
      <c r="AN664" s="264"/>
      <c r="AO664" s="264"/>
      <c r="AP664" s="264"/>
      <c r="AQ664" s="264"/>
      <c r="AR664" s="264"/>
      <c r="AS664" s="264"/>
      <c r="AT664" s="264"/>
      <c r="AU664" s="264"/>
      <c r="AV664" s="264"/>
      <c r="AW664" s="264"/>
      <c r="AX664" s="264"/>
      <c r="AY664" s="264"/>
      <c r="AZ664" s="264"/>
      <c r="BA664" s="264"/>
    </row>
    <row r="665" spans="1:53" x14ac:dyDescent="0.15">
      <c r="A665" s="264"/>
      <c r="B665" s="264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  <c r="AA665" s="264"/>
      <c r="AB665" s="264"/>
      <c r="AC665" s="264"/>
      <c r="AD665" s="264"/>
      <c r="AE665" s="264"/>
      <c r="AF665" s="264"/>
      <c r="AG665" s="264"/>
      <c r="AH665" s="263"/>
      <c r="AI665" s="264"/>
      <c r="AJ665" s="264"/>
      <c r="AK665" s="264"/>
      <c r="AL665" s="264"/>
      <c r="AM665" s="264"/>
      <c r="AN665" s="264"/>
      <c r="AO665" s="264"/>
      <c r="AP665" s="264"/>
      <c r="AQ665" s="264"/>
      <c r="AR665" s="264"/>
      <c r="AS665" s="264"/>
      <c r="AT665" s="264"/>
      <c r="AU665" s="264"/>
      <c r="AV665" s="264"/>
      <c r="AW665" s="264"/>
      <c r="AX665" s="264"/>
      <c r="AY665" s="264"/>
      <c r="AZ665" s="264"/>
      <c r="BA665" s="264"/>
    </row>
    <row r="666" spans="1:53" x14ac:dyDescent="0.15">
      <c r="A666" s="264"/>
      <c r="B666" s="264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  <c r="AA666" s="264"/>
      <c r="AB666" s="264"/>
      <c r="AC666" s="264"/>
      <c r="AD666" s="264"/>
      <c r="AE666" s="264"/>
      <c r="AF666" s="264"/>
      <c r="AG666" s="264"/>
      <c r="AH666" s="263"/>
      <c r="AI666" s="264"/>
      <c r="AJ666" s="264"/>
      <c r="AK666" s="264"/>
      <c r="AL666" s="264"/>
      <c r="AM666" s="264"/>
      <c r="AN666" s="264"/>
      <c r="AO666" s="264"/>
      <c r="AP666" s="264"/>
      <c r="AQ666" s="264"/>
      <c r="AR666" s="264"/>
      <c r="AS666" s="264"/>
      <c r="AT666" s="264"/>
      <c r="AU666" s="264"/>
      <c r="AV666" s="264"/>
      <c r="AW666" s="264"/>
      <c r="AX666" s="264"/>
      <c r="AY666" s="264"/>
      <c r="AZ666" s="264"/>
      <c r="BA666" s="264"/>
    </row>
    <row r="667" spans="1:53" x14ac:dyDescent="0.15">
      <c r="A667" s="264"/>
      <c r="B667" s="264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  <c r="AA667" s="264"/>
      <c r="AB667" s="264"/>
      <c r="AC667" s="264"/>
      <c r="AD667" s="264"/>
      <c r="AE667" s="264"/>
      <c r="AF667" s="264"/>
      <c r="AG667" s="264"/>
      <c r="AH667" s="263"/>
      <c r="AI667" s="264"/>
      <c r="AJ667" s="264"/>
      <c r="AK667" s="264"/>
      <c r="AL667" s="264"/>
      <c r="AM667" s="264"/>
      <c r="AN667" s="264"/>
      <c r="AO667" s="264"/>
      <c r="AP667" s="264"/>
      <c r="AQ667" s="264"/>
      <c r="AR667" s="264"/>
      <c r="AS667" s="264"/>
      <c r="AT667" s="264"/>
      <c r="AU667" s="264"/>
      <c r="AV667" s="264"/>
      <c r="AW667" s="264"/>
      <c r="AX667" s="264"/>
      <c r="AY667" s="264"/>
      <c r="AZ667" s="264"/>
      <c r="BA667" s="264"/>
    </row>
    <row r="668" spans="1:53" x14ac:dyDescent="0.15">
      <c r="A668" s="264"/>
      <c r="B668" s="264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  <c r="AA668" s="264"/>
      <c r="AB668" s="264"/>
      <c r="AC668" s="264"/>
      <c r="AD668" s="264"/>
      <c r="AE668" s="264"/>
      <c r="AF668" s="264"/>
      <c r="AG668" s="264"/>
      <c r="AH668" s="263"/>
      <c r="AI668" s="264"/>
      <c r="AJ668" s="264"/>
      <c r="AK668" s="264"/>
      <c r="AL668" s="264"/>
      <c r="AM668" s="264"/>
      <c r="AN668" s="264"/>
      <c r="AO668" s="264"/>
      <c r="AP668" s="264"/>
      <c r="AQ668" s="264"/>
      <c r="AR668" s="264"/>
      <c r="AS668" s="264"/>
      <c r="AT668" s="264"/>
      <c r="AU668" s="264"/>
      <c r="AV668" s="264"/>
      <c r="AW668" s="264"/>
      <c r="AX668" s="264"/>
      <c r="AY668" s="264"/>
      <c r="AZ668" s="264"/>
      <c r="BA668" s="264"/>
    </row>
    <row r="669" spans="1:53" x14ac:dyDescent="0.15">
      <c r="A669" s="264"/>
      <c r="B669" s="264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  <c r="AA669" s="264"/>
      <c r="AB669" s="264"/>
      <c r="AC669" s="264"/>
      <c r="AD669" s="264"/>
      <c r="AE669" s="264"/>
      <c r="AF669" s="264"/>
      <c r="AG669" s="264"/>
      <c r="AH669" s="263"/>
      <c r="AI669" s="264"/>
      <c r="AJ669" s="264"/>
      <c r="AK669" s="264"/>
      <c r="AL669" s="264"/>
      <c r="AM669" s="264"/>
      <c r="AN669" s="264"/>
      <c r="AO669" s="264"/>
      <c r="AP669" s="264"/>
      <c r="AQ669" s="264"/>
      <c r="AR669" s="264"/>
      <c r="AS669" s="264"/>
      <c r="AT669" s="264"/>
      <c r="AU669" s="264"/>
      <c r="AV669" s="264"/>
      <c r="AW669" s="264"/>
      <c r="AX669" s="264"/>
      <c r="AY669" s="264"/>
      <c r="AZ669" s="264"/>
      <c r="BA669" s="264"/>
    </row>
    <row r="670" spans="1:53" x14ac:dyDescent="0.15">
      <c r="A670" s="264"/>
      <c r="B670" s="264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  <c r="AA670" s="264"/>
      <c r="AB670" s="264"/>
      <c r="AC670" s="264"/>
      <c r="AD670" s="264"/>
      <c r="AE670" s="264"/>
      <c r="AF670" s="264"/>
      <c r="AG670" s="264"/>
      <c r="AH670" s="263"/>
      <c r="AI670" s="264"/>
      <c r="AJ670" s="264"/>
      <c r="AK670" s="264"/>
      <c r="AL670" s="264"/>
      <c r="AM670" s="264"/>
      <c r="AN670" s="264"/>
      <c r="AO670" s="264"/>
      <c r="AP670" s="264"/>
      <c r="AQ670" s="264"/>
      <c r="AR670" s="264"/>
      <c r="AS670" s="264"/>
      <c r="AT670" s="264"/>
      <c r="AU670" s="264"/>
      <c r="AV670" s="264"/>
      <c r="AW670" s="264"/>
      <c r="AX670" s="264"/>
      <c r="AY670" s="264"/>
      <c r="AZ670" s="264"/>
      <c r="BA670" s="264"/>
    </row>
    <row r="671" spans="1:53" x14ac:dyDescent="0.15">
      <c r="A671" s="264"/>
      <c r="B671" s="264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  <c r="AA671" s="264"/>
      <c r="AB671" s="264"/>
      <c r="AC671" s="264"/>
      <c r="AD671" s="264"/>
      <c r="AE671" s="264"/>
      <c r="AF671" s="264"/>
      <c r="AG671" s="264"/>
      <c r="AH671" s="263"/>
      <c r="AI671" s="264"/>
      <c r="AJ671" s="264"/>
      <c r="AK671" s="264"/>
      <c r="AL671" s="264"/>
      <c r="AM671" s="264"/>
      <c r="AN671" s="264"/>
      <c r="AO671" s="264"/>
      <c r="AP671" s="264"/>
      <c r="AQ671" s="264"/>
      <c r="AR671" s="264"/>
      <c r="AS671" s="264"/>
      <c r="AT671" s="264"/>
      <c r="AU671" s="264"/>
      <c r="AV671" s="264"/>
      <c r="AW671" s="264"/>
      <c r="AX671" s="264"/>
      <c r="AY671" s="264"/>
      <c r="AZ671" s="264"/>
      <c r="BA671" s="264"/>
    </row>
    <row r="672" spans="1:53" x14ac:dyDescent="0.15">
      <c r="A672" s="264"/>
      <c r="B672" s="264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  <c r="AA672" s="264"/>
      <c r="AB672" s="264"/>
      <c r="AC672" s="264"/>
      <c r="AD672" s="264"/>
      <c r="AE672" s="264"/>
      <c r="AF672" s="264"/>
      <c r="AG672" s="264"/>
      <c r="AH672" s="263"/>
      <c r="AI672" s="264"/>
      <c r="AJ672" s="264"/>
      <c r="AK672" s="264"/>
      <c r="AL672" s="264"/>
      <c r="AM672" s="264"/>
      <c r="AN672" s="264"/>
      <c r="AO672" s="264"/>
      <c r="AP672" s="264"/>
      <c r="AQ672" s="264"/>
      <c r="AR672" s="264"/>
      <c r="AS672" s="264"/>
      <c r="AT672" s="264"/>
      <c r="AU672" s="264"/>
      <c r="AV672" s="264"/>
      <c r="AW672" s="264"/>
      <c r="AX672" s="264"/>
      <c r="AY672" s="264"/>
      <c r="AZ672" s="264"/>
      <c r="BA672" s="264"/>
    </row>
    <row r="673" spans="1:53" x14ac:dyDescent="0.15">
      <c r="A673" s="264"/>
      <c r="B673" s="264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  <c r="AA673" s="264"/>
      <c r="AB673" s="264"/>
      <c r="AC673" s="264"/>
      <c r="AD673" s="264"/>
      <c r="AE673" s="264"/>
      <c r="AF673" s="264"/>
      <c r="AG673" s="264"/>
      <c r="AH673" s="263"/>
      <c r="AI673" s="264"/>
      <c r="AJ673" s="264"/>
      <c r="AK673" s="264"/>
      <c r="AL673" s="264"/>
      <c r="AM673" s="264"/>
      <c r="AN673" s="264"/>
      <c r="AO673" s="264"/>
      <c r="AP673" s="264"/>
      <c r="AQ673" s="264"/>
      <c r="AR673" s="264"/>
      <c r="AS673" s="264"/>
      <c r="AT673" s="264"/>
      <c r="AU673" s="264"/>
      <c r="AV673" s="264"/>
      <c r="AW673" s="264"/>
      <c r="AX673" s="264"/>
      <c r="AY673" s="264"/>
      <c r="AZ673" s="264"/>
      <c r="BA673" s="264"/>
    </row>
    <row r="674" spans="1:53" x14ac:dyDescent="0.15">
      <c r="A674" s="264"/>
      <c r="B674" s="264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  <c r="AA674" s="264"/>
      <c r="AB674" s="264"/>
      <c r="AC674" s="264"/>
      <c r="AD674" s="264"/>
      <c r="AE674" s="264"/>
      <c r="AF674" s="264"/>
      <c r="AG674" s="264"/>
      <c r="AH674" s="263"/>
      <c r="AI674" s="264"/>
      <c r="AJ674" s="264"/>
      <c r="AK674" s="264"/>
      <c r="AL674" s="264"/>
      <c r="AM674" s="264"/>
      <c r="AN674" s="264"/>
      <c r="AO674" s="264"/>
      <c r="AP674" s="264"/>
      <c r="AQ674" s="264"/>
      <c r="AR674" s="264"/>
      <c r="AS674" s="264"/>
      <c r="AT674" s="264"/>
      <c r="AU674" s="264"/>
      <c r="AV674" s="264"/>
      <c r="AW674" s="264"/>
      <c r="AX674" s="264"/>
      <c r="AY674" s="264"/>
      <c r="AZ674" s="264"/>
      <c r="BA674" s="264"/>
    </row>
    <row r="675" spans="1:53" x14ac:dyDescent="0.15">
      <c r="A675" s="264"/>
      <c r="B675" s="264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  <c r="AA675" s="264"/>
      <c r="AB675" s="264"/>
      <c r="AC675" s="264"/>
      <c r="AD675" s="264"/>
      <c r="AE675" s="264"/>
      <c r="AF675" s="264"/>
      <c r="AG675" s="264"/>
      <c r="AH675" s="263"/>
      <c r="AI675" s="264"/>
      <c r="AJ675" s="264"/>
      <c r="AK675" s="264"/>
      <c r="AL675" s="264"/>
      <c r="AM675" s="264"/>
      <c r="AN675" s="264"/>
      <c r="AO675" s="264"/>
      <c r="AP675" s="264"/>
      <c r="AQ675" s="264"/>
      <c r="AR675" s="264"/>
      <c r="AS675" s="264"/>
      <c r="AT675" s="264"/>
      <c r="AU675" s="264"/>
      <c r="AV675" s="264"/>
      <c r="AW675" s="264"/>
      <c r="AX675" s="264"/>
      <c r="AY675" s="264"/>
      <c r="AZ675" s="264"/>
      <c r="BA675" s="264"/>
    </row>
    <row r="676" spans="1:53" x14ac:dyDescent="0.15">
      <c r="A676" s="264"/>
      <c r="B676" s="264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  <c r="AA676" s="264"/>
      <c r="AB676" s="264"/>
      <c r="AC676" s="264"/>
      <c r="AD676" s="264"/>
      <c r="AE676" s="264"/>
      <c r="AF676" s="264"/>
      <c r="AG676" s="264"/>
      <c r="AH676" s="263"/>
      <c r="AI676" s="264"/>
      <c r="AJ676" s="264"/>
      <c r="AK676" s="264"/>
      <c r="AL676" s="264"/>
      <c r="AM676" s="264"/>
      <c r="AN676" s="264"/>
      <c r="AO676" s="264"/>
      <c r="AP676" s="264"/>
      <c r="AQ676" s="264"/>
      <c r="AR676" s="264"/>
      <c r="AS676" s="264"/>
      <c r="AT676" s="264"/>
      <c r="AU676" s="264"/>
      <c r="AV676" s="264"/>
      <c r="AW676" s="264"/>
      <c r="AX676" s="264"/>
      <c r="AY676" s="264"/>
      <c r="AZ676" s="264"/>
      <c r="BA676" s="264"/>
    </row>
    <row r="677" spans="1:53" x14ac:dyDescent="0.15">
      <c r="A677" s="264"/>
      <c r="B677" s="264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  <c r="AA677" s="264"/>
      <c r="AB677" s="264"/>
      <c r="AC677" s="264"/>
      <c r="AD677" s="264"/>
      <c r="AE677" s="264"/>
      <c r="AF677" s="264"/>
      <c r="AG677" s="264"/>
      <c r="AH677" s="263"/>
      <c r="AI677" s="264"/>
      <c r="AJ677" s="264"/>
      <c r="AK677" s="264"/>
      <c r="AL677" s="264"/>
      <c r="AM677" s="264"/>
      <c r="AN677" s="264"/>
      <c r="AO677" s="264"/>
      <c r="AP677" s="264"/>
      <c r="AQ677" s="264"/>
      <c r="AR677" s="264"/>
      <c r="AS677" s="264"/>
      <c r="AT677" s="264"/>
      <c r="AU677" s="264"/>
      <c r="AV677" s="264"/>
      <c r="AW677" s="264"/>
      <c r="AX677" s="264"/>
      <c r="AY677" s="264"/>
      <c r="AZ677" s="264"/>
      <c r="BA677" s="264"/>
    </row>
    <row r="678" spans="1:53" x14ac:dyDescent="0.15">
      <c r="A678" s="264"/>
      <c r="B678" s="264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  <c r="AA678" s="264"/>
      <c r="AB678" s="264"/>
      <c r="AC678" s="264"/>
      <c r="AD678" s="264"/>
      <c r="AE678" s="264"/>
      <c r="AF678" s="264"/>
      <c r="AG678" s="264"/>
      <c r="AH678" s="263"/>
      <c r="AI678" s="264"/>
      <c r="AJ678" s="264"/>
      <c r="AK678" s="264"/>
      <c r="AL678" s="264"/>
      <c r="AM678" s="264"/>
      <c r="AN678" s="264"/>
      <c r="AO678" s="264"/>
      <c r="AP678" s="264"/>
      <c r="AQ678" s="264"/>
      <c r="AR678" s="264"/>
      <c r="AS678" s="264"/>
      <c r="AT678" s="264"/>
      <c r="AU678" s="264"/>
      <c r="AV678" s="264"/>
      <c r="AW678" s="264"/>
      <c r="AX678" s="264"/>
      <c r="AY678" s="264"/>
      <c r="AZ678" s="264"/>
      <c r="BA678" s="264"/>
    </row>
    <row r="679" spans="1:53" x14ac:dyDescent="0.15">
      <c r="A679" s="264"/>
      <c r="B679" s="264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  <c r="AA679" s="264"/>
      <c r="AB679" s="264"/>
      <c r="AC679" s="264"/>
      <c r="AD679" s="264"/>
      <c r="AE679" s="264"/>
      <c r="AF679" s="264"/>
      <c r="AG679" s="264"/>
      <c r="AH679" s="263"/>
      <c r="AI679" s="264"/>
      <c r="AJ679" s="264"/>
      <c r="AK679" s="264"/>
      <c r="AL679" s="264"/>
      <c r="AM679" s="264"/>
      <c r="AN679" s="264"/>
      <c r="AO679" s="264"/>
      <c r="AP679" s="264"/>
      <c r="AQ679" s="264"/>
      <c r="AR679" s="264"/>
      <c r="AS679" s="264"/>
      <c r="AT679" s="264"/>
      <c r="AU679" s="264"/>
      <c r="AV679" s="264"/>
      <c r="AW679" s="264"/>
      <c r="AX679" s="264"/>
      <c r="AY679" s="264"/>
      <c r="AZ679" s="264"/>
      <c r="BA679" s="264"/>
    </row>
    <row r="680" spans="1:53" x14ac:dyDescent="0.15">
      <c r="A680" s="264"/>
      <c r="B680" s="264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  <c r="AA680" s="264"/>
      <c r="AB680" s="264"/>
      <c r="AC680" s="264"/>
      <c r="AD680" s="264"/>
      <c r="AE680" s="264"/>
      <c r="AF680" s="264"/>
      <c r="AG680" s="264"/>
      <c r="AH680" s="263"/>
      <c r="AI680" s="264"/>
      <c r="AJ680" s="264"/>
      <c r="AK680" s="264"/>
      <c r="AL680" s="264"/>
      <c r="AM680" s="264"/>
      <c r="AN680" s="264"/>
      <c r="AO680" s="264"/>
      <c r="AP680" s="264"/>
      <c r="AQ680" s="264"/>
      <c r="AR680" s="264"/>
      <c r="AS680" s="264"/>
      <c r="AT680" s="264"/>
      <c r="AU680" s="264"/>
      <c r="AV680" s="264"/>
      <c r="AW680" s="264"/>
      <c r="AX680" s="264"/>
      <c r="AY680" s="264"/>
      <c r="AZ680" s="264"/>
      <c r="BA680" s="264"/>
    </row>
    <row r="681" spans="1:53" x14ac:dyDescent="0.15">
      <c r="A681" s="264"/>
      <c r="B681" s="264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  <c r="AA681" s="264"/>
      <c r="AB681" s="264"/>
      <c r="AC681" s="264"/>
      <c r="AD681" s="264"/>
      <c r="AE681" s="264"/>
      <c r="AF681" s="264"/>
      <c r="AG681" s="264"/>
      <c r="AH681" s="263"/>
      <c r="AI681" s="264"/>
      <c r="AJ681" s="264"/>
      <c r="AK681" s="264"/>
      <c r="AL681" s="264"/>
      <c r="AM681" s="264"/>
      <c r="AN681" s="264"/>
      <c r="AO681" s="264"/>
      <c r="AP681" s="264"/>
      <c r="AQ681" s="264"/>
      <c r="AR681" s="264"/>
      <c r="AS681" s="264"/>
      <c r="AT681" s="264"/>
      <c r="AU681" s="264"/>
      <c r="AV681" s="264"/>
      <c r="AW681" s="264"/>
      <c r="AX681" s="264"/>
      <c r="AY681" s="264"/>
      <c r="AZ681" s="264"/>
      <c r="BA681" s="264"/>
    </row>
    <row r="682" spans="1:53" x14ac:dyDescent="0.15">
      <c r="A682" s="264"/>
      <c r="B682" s="264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  <c r="AA682" s="264"/>
      <c r="AB682" s="264"/>
      <c r="AC682" s="264"/>
      <c r="AD682" s="264"/>
      <c r="AE682" s="264"/>
      <c r="AF682" s="264"/>
      <c r="AG682" s="264"/>
      <c r="AH682" s="263"/>
      <c r="AI682" s="264"/>
      <c r="AJ682" s="264"/>
      <c r="AK682" s="264"/>
      <c r="AL682" s="264"/>
      <c r="AM682" s="264"/>
      <c r="AN682" s="264"/>
      <c r="AO682" s="264"/>
      <c r="AP682" s="264"/>
      <c r="AQ682" s="264"/>
      <c r="AR682" s="264"/>
      <c r="AS682" s="264"/>
      <c r="AT682" s="264"/>
      <c r="AU682" s="264"/>
      <c r="AV682" s="264"/>
      <c r="AW682" s="264"/>
      <c r="AX682" s="264"/>
      <c r="AY682" s="264"/>
      <c r="AZ682" s="264"/>
      <c r="BA682" s="264"/>
    </row>
    <row r="683" spans="1:53" x14ac:dyDescent="0.15">
      <c r="A683" s="264"/>
      <c r="B683" s="264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  <c r="AA683" s="264"/>
      <c r="AB683" s="264"/>
      <c r="AC683" s="264"/>
      <c r="AD683" s="264"/>
      <c r="AE683" s="264"/>
      <c r="AF683" s="264"/>
      <c r="AG683" s="264"/>
      <c r="AH683" s="263"/>
      <c r="AI683" s="264"/>
      <c r="AJ683" s="264"/>
      <c r="AK683" s="264"/>
      <c r="AL683" s="264"/>
      <c r="AM683" s="264"/>
      <c r="AN683" s="264"/>
      <c r="AO683" s="264"/>
      <c r="AP683" s="264"/>
      <c r="AQ683" s="264"/>
      <c r="AR683" s="264"/>
      <c r="AS683" s="264"/>
      <c r="AT683" s="264"/>
      <c r="AU683" s="264"/>
      <c r="AV683" s="264"/>
      <c r="AW683" s="264"/>
      <c r="AX683" s="264"/>
      <c r="AY683" s="264"/>
      <c r="AZ683" s="264"/>
      <c r="BA683" s="264"/>
    </row>
    <row r="684" spans="1:53" x14ac:dyDescent="0.15">
      <c r="A684" s="264"/>
      <c r="B684" s="264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  <c r="AA684" s="264"/>
      <c r="AB684" s="264"/>
      <c r="AC684" s="264"/>
      <c r="AD684" s="264"/>
      <c r="AE684" s="264"/>
      <c r="AF684" s="264"/>
      <c r="AG684" s="264"/>
      <c r="AH684" s="263"/>
      <c r="AI684" s="264"/>
      <c r="AJ684" s="264"/>
      <c r="AK684" s="264"/>
      <c r="AL684" s="264"/>
      <c r="AM684" s="264"/>
      <c r="AN684" s="264"/>
      <c r="AO684" s="264"/>
      <c r="AP684" s="264"/>
      <c r="AQ684" s="264"/>
      <c r="AR684" s="264"/>
      <c r="AS684" s="264"/>
      <c r="AT684" s="264"/>
      <c r="AU684" s="264"/>
      <c r="AV684" s="264"/>
      <c r="AW684" s="264"/>
      <c r="AX684" s="264"/>
      <c r="AY684" s="264"/>
      <c r="AZ684" s="264"/>
      <c r="BA684" s="264"/>
    </row>
    <row r="685" spans="1:53" x14ac:dyDescent="0.15">
      <c r="A685" s="264"/>
      <c r="B685" s="264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  <c r="AA685" s="264"/>
      <c r="AB685" s="264"/>
      <c r="AC685" s="264"/>
      <c r="AD685" s="264"/>
      <c r="AE685" s="264"/>
      <c r="AF685" s="264"/>
      <c r="AG685" s="264"/>
      <c r="AH685" s="263"/>
      <c r="AI685" s="264"/>
      <c r="AJ685" s="264"/>
      <c r="AK685" s="264"/>
      <c r="AL685" s="264"/>
      <c r="AM685" s="264"/>
      <c r="AN685" s="264"/>
      <c r="AO685" s="264"/>
      <c r="AP685" s="264"/>
      <c r="AQ685" s="264"/>
      <c r="AR685" s="264"/>
      <c r="AS685" s="264"/>
      <c r="AT685" s="264"/>
      <c r="AU685" s="264"/>
      <c r="AV685" s="264"/>
      <c r="AW685" s="264"/>
      <c r="AX685" s="264"/>
      <c r="AY685" s="264"/>
      <c r="AZ685" s="264"/>
      <c r="BA685" s="264"/>
    </row>
    <row r="686" spans="1:53" x14ac:dyDescent="0.15">
      <c r="A686" s="264"/>
      <c r="B686" s="264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  <c r="AA686" s="264"/>
      <c r="AB686" s="264"/>
      <c r="AC686" s="264"/>
      <c r="AD686" s="264"/>
      <c r="AE686" s="264"/>
      <c r="AF686" s="264"/>
      <c r="AG686" s="264"/>
      <c r="AH686" s="263"/>
      <c r="AI686" s="264"/>
      <c r="AJ686" s="264"/>
      <c r="AK686" s="264"/>
      <c r="AL686" s="264"/>
      <c r="AM686" s="264"/>
      <c r="AN686" s="264"/>
      <c r="AO686" s="264"/>
      <c r="AP686" s="264"/>
      <c r="AQ686" s="264"/>
      <c r="AR686" s="264"/>
      <c r="AS686" s="264"/>
      <c r="AT686" s="264"/>
      <c r="AU686" s="264"/>
      <c r="AV686" s="264"/>
      <c r="AW686" s="264"/>
      <c r="AX686" s="264"/>
      <c r="AY686" s="264"/>
      <c r="AZ686" s="264"/>
      <c r="BA686" s="264"/>
    </row>
    <row r="687" spans="1:53" x14ac:dyDescent="0.15">
      <c r="A687" s="264"/>
      <c r="B687" s="264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  <c r="AA687" s="264"/>
      <c r="AB687" s="264"/>
      <c r="AC687" s="264"/>
      <c r="AD687" s="264"/>
      <c r="AE687" s="264"/>
      <c r="AF687" s="264"/>
      <c r="AG687" s="264"/>
      <c r="AH687" s="263"/>
      <c r="AI687" s="264"/>
      <c r="AJ687" s="264"/>
      <c r="AK687" s="264"/>
      <c r="AL687" s="264"/>
      <c r="AM687" s="264"/>
      <c r="AN687" s="264"/>
      <c r="AO687" s="264"/>
      <c r="AP687" s="264"/>
      <c r="AQ687" s="264"/>
      <c r="AR687" s="264"/>
      <c r="AS687" s="264"/>
      <c r="AT687" s="264"/>
      <c r="AU687" s="264"/>
      <c r="AV687" s="264"/>
      <c r="AW687" s="264"/>
      <c r="AX687" s="264"/>
      <c r="AY687" s="264"/>
      <c r="AZ687" s="264"/>
      <c r="BA687" s="264"/>
    </row>
    <row r="688" spans="1:53" x14ac:dyDescent="0.15">
      <c r="A688" s="264"/>
      <c r="B688" s="264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  <c r="AA688" s="264"/>
      <c r="AB688" s="264"/>
      <c r="AC688" s="264"/>
      <c r="AD688" s="264"/>
      <c r="AE688" s="264"/>
      <c r="AF688" s="264"/>
      <c r="AG688" s="264"/>
      <c r="AH688" s="263"/>
      <c r="AI688" s="264"/>
      <c r="AJ688" s="264"/>
      <c r="AK688" s="264"/>
      <c r="AL688" s="264"/>
      <c r="AM688" s="264"/>
      <c r="AN688" s="264"/>
      <c r="AO688" s="264"/>
      <c r="AP688" s="264"/>
      <c r="AQ688" s="264"/>
      <c r="AR688" s="264"/>
      <c r="AS688" s="264"/>
      <c r="AT688" s="264"/>
      <c r="AU688" s="264"/>
      <c r="AV688" s="264"/>
      <c r="AW688" s="264"/>
      <c r="AX688" s="264"/>
      <c r="AY688" s="264"/>
      <c r="AZ688" s="264"/>
      <c r="BA688" s="264"/>
    </row>
    <row r="689" spans="1:53" x14ac:dyDescent="0.15">
      <c r="A689" s="264"/>
      <c r="B689" s="264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  <c r="AA689" s="264"/>
      <c r="AB689" s="264"/>
      <c r="AC689" s="264"/>
      <c r="AD689" s="264"/>
      <c r="AE689" s="264"/>
      <c r="AF689" s="264"/>
      <c r="AG689" s="264"/>
      <c r="AH689" s="263"/>
      <c r="AI689" s="264"/>
      <c r="AJ689" s="264"/>
      <c r="AK689" s="264"/>
      <c r="AL689" s="264"/>
      <c r="AM689" s="264"/>
      <c r="AN689" s="264"/>
      <c r="AO689" s="264"/>
      <c r="AP689" s="264"/>
      <c r="AQ689" s="264"/>
      <c r="AR689" s="264"/>
      <c r="AS689" s="264"/>
      <c r="AT689" s="264"/>
      <c r="AU689" s="264"/>
      <c r="AV689" s="264"/>
      <c r="AW689" s="264"/>
      <c r="AX689" s="264"/>
      <c r="AY689" s="264"/>
      <c r="AZ689" s="264"/>
      <c r="BA689" s="264"/>
    </row>
    <row r="690" spans="1:53" x14ac:dyDescent="0.15">
      <c r="A690" s="264"/>
      <c r="B690" s="264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  <c r="AA690" s="264"/>
      <c r="AB690" s="264"/>
      <c r="AC690" s="264"/>
      <c r="AD690" s="264"/>
      <c r="AE690" s="264"/>
      <c r="AF690" s="264"/>
      <c r="AG690" s="264"/>
      <c r="AH690" s="263"/>
      <c r="AI690" s="264"/>
      <c r="AJ690" s="264"/>
      <c r="AK690" s="264"/>
      <c r="AL690" s="264"/>
      <c r="AM690" s="264"/>
      <c r="AN690" s="264"/>
      <c r="AO690" s="264"/>
      <c r="AP690" s="264"/>
      <c r="AQ690" s="264"/>
      <c r="AR690" s="264"/>
      <c r="AS690" s="264"/>
      <c r="AT690" s="264"/>
      <c r="AU690" s="264"/>
      <c r="AV690" s="264"/>
      <c r="AW690" s="264"/>
      <c r="AX690" s="264"/>
      <c r="AY690" s="264"/>
      <c r="AZ690" s="264"/>
      <c r="BA690" s="264"/>
    </row>
    <row r="691" spans="1:53" x14ac:dyDescent="0.15">
      <c r="A691" s="264"/>
      <c r="B691" s="264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  <c r="AA691" s="264"/>
      <c r="AB691" s="264"/>
      <c r="AC691" s="264"/>
      <c r="AD691" s="264"/>
      <c r="AE691" s="264"/>
      <c r="AF691" s="264"/>
      <c r="AG691" s="264"/>
      <c r="AH691" s="263"/>
      <c r="AI691" s="264"/>
      <c r="AJ691" s="264"/>
      <c r="AK691" s="264"/>
      <c r="AL691" s="264"/>
      <c r="AM691" s="264"/>
      <c r="AN691" s="264"/>
      <c r="AO691" s="264"/>
      <c r="AP691" s="264"/>
      <c r="AQ691" s="264"/>
      <c r="AR691" s="264"/>
      <c r="AS691" s="264"/>
      <c r="AT691" s="264"/>
      <c r="AU691" s="264"/>
      <c r="AV691" s="264"/>
      <c r="AW691" s="264"/>
      <c r="AX691" s="264"/>
      <c r="AY691" s="264"/>
      <c r="AZ691" s="264"/>
      <c r="BA691" s="264"/>
    </row>
    <row r="692" spans="1:53" x14ac:dyDescent="0.15">
      <c r="A692" s="264"/>
      <c r="B692" s="264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  <c r="AA692" s="264"/>
      <c r="AB692" s="264"/>
      <c r="AC692" s="264"/>
      <c r="AD692" s="264"/>
      <c r="AE692" s="264"/>
      <c r="AF692" s="264"/>
      <c r="AG692" s="264"/>
      <c r="AH692" s="263"/>
      <c r="AI692" s="264"/>
      <c r="AJ692" s="264"/>
      <c r="AK692" s="264"/>
      <c r="AL692" s="264"/>
      <c r="AM692" s="264"/>
      <c r="AN692" s="264"/>
      <c r="AO692" s="264"/>
      <c r="AP692" s="264"/>
      <c r="AQ692" s="264"/>
      <c r="AR692" s="264"/>
      <c r="AS692" s="264"/>
      <c r="AT692" s="264"/>
      <c r="AU692" s="264"/>
      <c r="AV692" s="264"/>
      <c r="AW692" s="264"/>
      <c r="AX692" s="264"/>
      <c r="AY692" s="264"/>
      <c r="AZ692" s="264"/>
      <c r="BA692" s="264"/>
    </row>
    <row r="693" spans="1:53" x14ac:dyDescent="0.15">
      <c r="A693" s="264"/>
      <c r="B693" s="264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  <c r="AA693" s="264"/>
      <c r="AB693" s="264"/>
      <c r="AC693" s="264"/>
      <c r="AD693" s="264"/>
      <c r="AE693" s="264"/>
      <c r="AF693" s="264"/>
      <c r="AG693" s="264"/>
      <c r="AH693" s="263"/>
      <c r="AI693" s="264"/>
      <c r="AJ693" s="264"/>
      <c r="AK693" s="264"/>
      <c r="AL693" s="264"/>
      <c r="AM693" s="264"/>
      <c r="AN693" s="264"/>
      <c r="AO693" s="264"/>
      <c r="AP693" s="264"/>
      <c r="AQ693" s="264"/>
      <c r="AR693" s="264"/>
      <c r="AS693" s="264"/>
      <c r="AT693" s="264"/>
      <c r="AU693" s="264"/>
      <c r="AV693" s="264"/>
      <c r="AW693" s="264"/>
      <c r="AX693" s="264"/>
      <c r="AY693" s="264"/>
      <c r="AZ693" s="264"/>
      <c r="BA693" s="264"/>
    </row>
    <row r="694" spans="1:53" x14ac:dyDescent="0.15">
      <c r="A694" s="264"/>
      <c r="B694" s="264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  <c r="AA694" s="264"/>
      <c r="AB694" s="264"/>
      <c r="AC694" s="264"/>
      <c r="AD694" s="264"/>
      <c r="AE694" s="264"/>
      <c r="AF694" s="264"/>
      <c r="AG694" s="264"/>
      <c r="AH694" s="263"/>
      <c r="AI694" s="264"/>
      <c r="AJ694" s="264"/>
      <c r="AK694" s="264"/>
      <c r="AL694" s="264"/>
      <c r="AM694" s="264"/>
      <c r="AN694" s="264"/>
      <c r="AO694" s="264"/>
      <c r="AP694" s="264"/>
      <c r="AQ694" s="264"/>
      <c r="AR694" s="264"/>
      <c r="AS694" s="264"/>
      <c r="AT694" s="264"/>
      <c r="AU694" s="264"/>
      <c r="AV694" s="264"/>
      <c r="AW694" s="264"/>
      <c r="AX694" s="264"/>
      <c r="AY694" s="264"/>
      <c r="AZ694" s="264"/>
      <c r="BA694" s="264"/>
    </row>
    <row r="695" spans="1:53" x14ac:dyDescent="0.15">
      <c r="A695" s="264"/>
      <c r="B695" s="264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  <c r="AA695" s="264"/>
      <c r="AB695" s="264"/>
      <c r="AC695" s="264"/>
      <c r="AD695" s="264"/>
      <c r="AE695" s="264"/>
      <c r="AF695" s="264"/>
      <c r="AG695" s="264"/>
      <c r="AH695" s="263"/>
      <c r="AI695" s="264"/>
      <c r="AJ695" s="264"/>
      <c r="AK695" s="264"/>
      <c r="AL695" s="264"/>
      <c r="AM695" s="264"/>
      <c r="AN695" s="264"/>
      <c r="AO695" s="264"/>
      <c r="AP695" s="264"/>
      <c r="AQ695" s="264"/>
      <c r="AR695" s="264"/>
      <c r="AS695" s="264"/>
      <c r="AT695" s="264"/>
      <c r="AU695" s="264"/>
      <c r="AV695" s="264"/>
      <c r="AW695" s="264"/>
      <c r="AX695" s="264"/>
      <c r="AY695" s="264"/>
      <c r="AZ695" s="264"/>
      <c r="BA695" s="264"/>
    </row>
    <row r="696" spans="1:53" x14ac:dyDescent="0.15">
      <c r="A696" s="264"/>
      <c r="B696" s="264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  <c r="AA696" s="264"/>
      <c r="AB696" s="264"/>
      <c r="AC696" s="264"/>
      <c r="AD696" s="264"/>
      <c r="AE696" s="264"/>
      <c r="AF696" s="264"/>
      <c r="AG696" s="264"/>
      <c r="AH696" s="263"/>
      <c r="AI696" s="264"/>
      <c r="AJ696" s="264"/>
      <c r="AK696" s="264"/>
      <c r="AL696" s="264"/>
      <c r="AM696" s="264"/>
      <c r="AN696" s="264"/>
      <c r="AO696" s="264"/>
      <c r="AP696" s="264"/>
      <c r="AQ696" s="264"/>
      <c r="AR696" s="264"/>
      <c r="AS696" s="264"/>
      <c r="AT696" s="264"/>
      <c r="AU696" s="264"/>
      <c r="AV696" s="264"/>
      <c r="AW696" s="264"/>
      <c r="AX696" s="264"/>
      <c r="AY696" s="264"/>
      <c r="AZ696" s="264"/>
      <c r="BA696" s="264"/>
    </row>
    <row r="697" spans="1:53" x14ac:dyDescent="0.15">
      <c r="A697" s="264"/>
      <c r="B697" s="264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  <c r="AA697" s="264"/>
      <c r="AB697" s="264"/>
      <c r="AC697" s="264"/>
      <c r="AD697" s="264"/>
      <c r="AE697" s="264"/>
      <c r="AF697" s="264"/>
      <c r="AG697" s="264"/>
      <c r="AH697" s="263"/>
      <c r="AI697" s="264"/>
      <c r="AJ697" s="264"/>
      <c r="AK697" s="264"/>
      <c r="AL697" s="264"/>
      <c r="AM697" s="264"/>
      <c r="AN697" s="264"/>
      <c r="AO697" s="264"/>
      <c r="AP697" s="264"/>
      <c r="AQ697" s="264"/>
      <c r="AR697" s="264"/>
      <c r="AS697" s="264"/>
      <c r="AT697" s="264"/>
      <c r="AU697" s="264"/>
      <c r="AV697" s="264"/>
      <c r="AW697" s="264"/>
      <c r="AX697" s="264"/>
      <c r="AY697" s="264"/>
      <c r="AZ697" s="264"/>
      <c r="BA697" s="264"/>
    </row>
    <row r="698" spans="1:53" x14ac:dyDescent="0.15">
      <c r="A698" s="264"/>
      <c r="B698" s="264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  <c r="AA698" s="264"/>
      <c r="AB698" s="264"/>
      <c r="AC698" s="264"/>
      <c r="AD698" s="264"/>
      <c r="AE698" s="264"/>
      <c r="AF698" s="264"/>
      <c r="AG698" s="264"/>
      <c r="AH698" s="263"/>
      <c r="AI698" s="264"/>
      <c r="AJ698" s="264"/>
      <c r="AK698" s="264"/>
      <c r="AL698" s="264"/>
      <c r="AM698" s="264"/>
      <c r="AN698" s="264"/>
      <c r="AO698" s="264"/>
      <c r="AP698" s="264"/>
      <c r="AQ698" s="264"/>
      <c r="AR698" s="264"/>
      <c r="AS698" s="264"/>
      <c r="AT698" s="264"/>
      <c r="AU698" s="264"/>
      <c r="AV698" s="264"/>
      <c r="AW698" s="264"/>
      <c r="AX698" s="264"/>
      <c r="AY698" s="264"/>
      <c r="AZ698" s="264"/>
      <c r="BA698" s="264"/>
    </row>
    <row r="699" spans="1:53" x14ac:dyDescent="0.15">
      <c r="A699" s="264"/>
      <c r="B699" s="264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3"/>
      <c r="AI699" s="264"/>
      <c r="AJ699" s="264"/>
      <c r="AK699" s="264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</row>
    <row r="700" spans="1:53" x14ac:dyDescent="0.15">
      <c r="A700" s="264"/>
      <c r="B700" s="264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3"/>
      <c r="AI700" s="264"/>
      <c r="AJ700" s="264"/>
      <c r="AK700" s="264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</row>
    <row r="701" spans="1:53" x14ac:dyDescent="0.15">
      <c r="A701" s="264"/>
      <c r="B701" s="264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  <c r="AA701" s="264"/>
      <c r="AB701" s="264"/>
      <c r="AC701" s="264"/>
      <c r="AD701" s="264"/>
      <c r="AE701" s="264"/>
      <c r="AF701" s="264"/>
      <c r="AG701" s="264"/>
      <c r="AH701" s="263"/>
      <c r="AI701" s="264"/>
      <c r="AJ701" s="264"/>
      <c r="AK701" s="264"/>
      <c r="AL701" s="264"/>
      <c r="AM701" s="264"/>
      <c r="AN701" s="264"/>
      <c r="AO701" s="264"/>
      <c r="AP701" s="264"/>
      <c r="AQ701" s="264"/>
      <c r="AR701" s="264"/>
      <c r="AS701" s="264"/>
      <c r="AT701" s="264"/>
      <c r="AU701" s="264"/>
      <c r="AV701" s="264"/>
      <c r="AW701" s="264"/>
      <c r="AX701" s="264"/>
      <c r="AY701" s="264"/>
      <c r="AZ701" s="264"/>
      <c r="BA701" s="264"/>
    </row>
    <row r="702" spans="1:53" x14ac:dyDescent="0.15">
      <c r="A702" s="264"/>
      <c r="B702" s="264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  <c r="AA702" s="264"/>
      <c r="AB702" s="264"/>
      <c r="AC702" s="264"/>
      <c r="AD702" s="264"/>
      <c r="AE702" s="264"/>
      <c r="AF702" s="264"/>
      <c r="AG702" s="264"/>
      <c r="AH702" s="263"/>
      <c r="AI702" s="264"/>
      <c r="AJ702" s="264"/>
      <c r="AK702" s="264"/>
      <c r="AL702" s="264"/>
      <c r="AM702" s="264"/>
      <c r="AN702" s="264"/>
      <c r="AO702" s="264"/>
      <c r="AP702" s="264"/>
      <c r="AQ702" s="264"/>
      <c r="AR702" s="264"/>
      <c r="AS702" s="264"/>
      <c r="AT702" s="264"/>
      <c r="AU702" s="264"/>
      <c r="AV702" s="264"/>
      <c r="AW702" s="264"/>
      <c r="AX702" s="264"/>
      <c r="AY702" s="264"/>
      <c r="AZ702" s="264"/>
      <c r="BA702" s="264"/>
    </row>
    <row r="703" spans="1:53" x14ac:dyDescent="0.15">
      <c r="A703" s="264"/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3"/>
      <c r="AI703" s="264"/>
      <c r="AJ703" s="264"/>
      <c r="AK703" s="264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</row>
    <row r="704" spans="1:53" x14ac:dyDescent="0.15">
      <c r="A704" s="264"/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3"/>
      <c r="AI704" s="264"/>
      <c r="AJ704" s="264"/>
      <c r="AK704" s="264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</row>
    <row r="705" spans="1:53" x14ac:dyDescent="0.15">
      <c r="A705" s="264"/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  <c r="AA705" s="264"/>
      <c r="AB705" s="264"/>
      <c r="AC705" s="264"/>
      <c r="AD705" s="264"/>
      <c r="AE705" s="264"/>
      <c r="AF705" s="264"/>
      <c r="AG705" s="264"/>
      <c r="AH705" s="263"/>
      <c r="AI705" s="264"/>
      <c r="AJ705" s="264"/>
      <c r="AK705" s="264"/>
      <c r="AL705" s="264"/>
      <c r="AM705" s="264"/>
      <c r="AN705" s="264"/>
      <c r="AO705" s="264"/>
      <c r="AP705" s="264"/>
      <c r="AQ705" s="264"/>
      <c r="AR705" s="264"/>
      <c r="AS705" s="264"/>
      <c r="AT705" s="264"/>
      <c r="AU705" s="264"/>
      <c r="AV705" s="264"/>
      <c r="AW705" s="264"/>
      <c r="AX705" s="264"/>
      <c r="AY705" s="264"/>
      <c r="AZ705" s="264"/>
      <c r="BA705" s="264"/>
    </row>
    <row r="706" spans="1:53" x14ac:dyDescent="0.15">
      <c r="A706" s="264"/>
      <c r="B706" s="264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  <c r="AA706" s="264"/>
      <c r="AB706" s="264"/>
      <c r="AC706" s="264"/>
      <c r="AD706" s="264"/>
      <c r="AE706" s="264"/>
      <c r="AF706" s="264"/>
      <c r="AG706" s="264"/>
      <c r="AH706" s="263"/>
      <c r="AI706" s="264"/>
      <c r="AJ706" s="264"/>
      <c r="AK706" s="264"/>
      <c r="AL706" s="264"/>
      <c r="AM706" s="264"/>
      <c r="AN706" s="264"/>
      <c r="AO706" s="264"/>
      <c r="AP706" s="264"/>
      <c r="AQ706" s="264"/>
      <c r="AR706" s="264"/>
      <c r="AS706" s="264"/>
      <c r="AT706" s="264"/>
      <c r="AU706" s="264"/>
      <c r="AV706" s="264"/>
      <c r="AW706" s="264"/>
      <c r="AX706" s="264"/>
      <c r="AY706" s="264"/>
      <c r="AZ706" s="264"/>
      <c r="BA706" s="264"/>
    </row>
    <row r="707" spans="1:53" x14ac:dyDescent="0.15">
      <c r="A707" s="264"/>
      <c r="B707" s="264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  <c r="AA707" s="264"/>
      <c r="AB707" s="264"/>
      <c r="AC707" s="264"/>
      <c r="AD707" s="264"/>
      <c r="AE707" s="264"/>
      <c r="AF707" s="264"/>
      <c r="AG707" s="264"/>
      <c r="AH707" s="263"/>
      <c r="AI707" s="264"/>
      <c r="AJ707" s="264"/>
      <c r="AK707" s="264"/>
      <c r="AL707" s="264"/>
      <c r="AM707" s="264"/>
      <c r="AN707" s="264"/>
      <c r="AO707" s="264"/>
      <c r="AP707" s="264"/>
      <c r="AQ707" s="264"/>
      <c r="AR707" s="264"/>
      <c r="AS707" s="264"/>
      <c r="AT707" s="264"/>
      <c r="AU707" s="264"/>
      <c r="AV707" s="264"/>
      <c r="AW707" s="264"/>
      <c r="AX707" s="264"/>
      <c r="AY707" s="264"/>
      <c r="AZ707" s="264"/>
      <c r="BA707" s="264"/>
    </row>
    <row r="708" spans="1:53" x14ac:dyDescent="0.15">
      <c r="A708" s="264"/>
      <c r="B708" s="264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  <c r="AA708" s="264"/>
      <c r="AB708" s="264"/>
      <c r="AC708" s="264"/>
      <c r="AD708" s="264"/>
      <c r="AE708" s="264"/>
      <c r="AF708" s="264"/>
      <c r="AG708" s="264"/>
      <c r="AH708" s="263"/>
      <c r="AI708" s="264"/>
      <c r="AJ708" s="264"/>
      <c r="AK708" s="264"/>
      <c r="AL708" s="264"/>
      <c r="AM708" s="264"/>
      <c r="AN708" s="264"/>
      <c r="AO708" s="264"/>
      <c r="AP708" s="264"/>
      <c r="AQ708" s="264"/>
      <c r="AR708" s="264"/>
      <c r="AS708" s="264"/>
      <c r="AT708" s="264"/>
      <c r="AU708" s="264"/>
      <c r="AV708" s="264"/>
      <c r="AW708" s="264"/>
      <c r="AX708" s="264"/>
      <c r="AY708" s="264"/>
      <c r="AZ708" s="264"/>
      <c r="BA708" s="264"/>
    </row>
    <row r="709" spans="1:53" x14ac:dyDescent="0.15">
      <c r="A709" s="264"/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3"/>
      <c r="AI709" s="264"/>
      <c r="AJ709" s="264"/>
      <c r="AK709" s="264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</row>
    <row r="710" spans="1:53" x14ac:dyDescent="0.15">
      <c r="A710" s="264"/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3"/>
      <c r="AI710" s="264"/>
      <c r="AJ710" s="264"/>
      <c r="AK710" s="264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</row>
    <row r="711" spans="1:53" x14ac:dyDescent="0.15">
      <c r="A711" s="264"/>
      <c r="B711" s="264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  <c r="AA711" s="264"/>
      <c r="AB711" s="264"/>
      <c r="AC711" s="264"/>
      <c r="AD711" s="264"/>
      <c r="AE711" s="264"/>
      <c r="AF711" s="264"/>
      <c r="AG711" s="264"/>
      <c r="AH711" s="263"/>
      <c r="AI711" s="264"/>
      <c r="AJ711" s="264"/>
      <c r="AK711" s="264"/>
      <c r="AL711" s="264"/>
      <c r="AM711" s="264"/>
      <c r="AN711" s="264"/>
      <c r="AO711" s="264"/>
      <c r="AP711" s="264"/>
      <c r="AQ711" s="264"/>
      <c r="AR711" s="264"/>
      <c r="AS711" s="264"/>
      <c r="AT711" s="264"/>
      <c r="AU711" s="264"/>
      <c r="AV711" s="264"/>
      <c r="AW711" s="264"/>
      <c r="AX711" s="264"/>
      <c r="AY711" s="264"/>
      <c r="AZ711" s="264"/>
      <c r="BA711" s="264"/>
    </row>
    <row r="712" spans="1:53" x14ac:dyDescent="0.15">
      <c r="A712" s="264"/>
      <c r="B712" s="264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  <c r="AA712" s="264"/>
      <c r="AB712" s="264"/>
      <c r="AC712" s="264"/>
      <c r="AD712" s="264"/>
      <c r="AE712" s="264"/>
      <c r="AF712" s="264"/>
      <c r="AG712" s="264"/>
      <c r="AH712" s="263"/>
      <c r="AI712" s="264"/>
      <c r="AJ712" s="264"/>
      <c r="AK712" s="264"/>
      <c r="AL712" s="264"/>
      <c r="AM712" s="264"/>
      <c r="AN712" s="264"/>
      <c r="AO712" s="264"/>
      <c r="AP712" s="264"/>
      <c r="AQ712" s="264"/>
      <c r="AR712" s="264"/>
      <c r="AS712" s="264"/>
      <c r="AT712" s="264"/>
      <c r="AU712" s="264"/>
      <c r="AV712" s="264"/>
      <c r="AW712" s="264"/>
      <c r="AX712" s="264"/>
      <c r="AY712" s="264"/>
      <c r="AZ712" s="264"/>
      <c r="BA712" s="264"/>
    </row>
    <row r="713" spans="1:53" x14ac:dyDescent="0.15">
      <c r="A713" s="264"/>
      <c r="B713" s="264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  <c r="AA713" s="264"/>
      <c r="AB713" s="264"/>
      <c r="AC713" s="264"/>
      <c r="AD713" s="264"/>
      <c r="AE713" s="264"/>
      <c r="AF713" s="264"/>
      <c r="AG713" s="264"/>
      <c r="AH713" s="263"/>
      <c r="AI713" s="264"/>
      <c r="AJ713" s="264"/>
      <c r="AK713" s="264"/>
      <c r="AL713" s="264"/>
      <c r="AM713" s="264"/>
      <c r="AN713" s="264"/>
      <c r="AO713" s="264"/>
      <c r="AP713" s="264"/>
      <c r="AQ713" s="264"/>
      <c r="AR713" s="264"/>
      <c r="AS713" s="264"/>
      <c r="AT713" s="264"/>
      <c r="AU713" s="264"/>
      <c r="AV713" s="264"/>
      <c r="AW713" s="264"/>
      <c r="AX713" s="264"/>
      <c r="AY713" s="264"/>
      <c r="AZ713" s="264"/>
      <c r="BA713" s="264"/>
    </row>
    <row r="714" spans="1:53" x14ac:dyDescent="0.15">
      <c r="A714" s="264"/>
      <c r="B714" s="264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  <c r="AA714" s="264"/>
      <c r="AB714" s="264"/>
      <c r="AC714" s="264"/>
      <c r="AD714" s="264"/>
      <c r="AE714" s="264"/>
      <c r="AF714" s="264"/>
      <c r="AG714" s="264"/>
      <c r="AH714" s="263"/>
      <c r="AI714" s="264"/>
      <c r="AJ714" s="264"/>
      <c r="AK714" s="264"/>
      <c r="AL714" s="264"/>
      <c r="AM714" s="264"/>
      <c r="AN714" s="264"/>
      <c r="AO714" s="264"/>
      <c r="AP714" s="264"/>
      <c r="AQ714" s="264"/>
      <c r="AR714" s="264"/>
      <c r="AS714" s="264"/>
      <c r="AT714" s="264"/>
      <c r="AU714" s="264"/>
      <c r="AV714" s="264"/>
      <c r="AW714" s="264"/>
      <c r="AX714" s="264"/>
      <c r="AY714" s="264"/>
      <c r="AZ714" s="264"/>
      <c r="BA714" s="264"/>
    </row>
    <row r="715" spans="1:53" x14ac:dyDescent="0.15">
      <c r="A715" s="264"/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3"/>
      <c r="AI715" s="264"/>
      <c r="AJ715" s="264"/>
      <c r="AK715" s="264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</row>
    <row r="716" spans="1:53" x14ac:dyDescent="0.15">
      <c r="A716" s="264"/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3"/>
      <c r="AI716" s="264"/>
      <c r="AJ716" s="264"/>
      <c r="AK716" s="264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</row>
    <row r="717" spans="1:53" x14ac:dyDescent="0.15">
      <c r="A717" s="264"/>
      <c r="B717" s="264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  <c r="AA717" s="264"/>
      <c r="AB717" s="264"/>
      <c r="AC717" s="264"/>
      <c r="AD717" s="264"/>
      <c r="AE717" s="264"/>
      <c r="AF717" s="264"/>
      <c r="AG717" s="264"/>
      <c r="AH717" s="263"/>
      <c r="AI717" s="264"/>
      <c r="AJ717" s="264"/>
      <c r="AK717" s="264"/>
      <c r="AL717" s="264"/>
      <c r="AM717" s="264"/>
      <c r="AN717" s="264"/>
      <c r="AO717" s="264"/>
      <c r="AP717" s="264"/>
      <c r="AQ717" s="264"/>
      <c r="AR717" s="264"/>
      <c r="AS717" s="264"/>
      <c r="AT717" s="264"/>
      <c r="AU717" s="264"/>
      <c r="AV717" s="264"/>
      <c r="AW717" s="264"/>
      <c r="AX717" s="264"/>
      <c r="AY717" s="264"/>
      <c r="AZ717" s="264"/>
      <c r="BA717" s="264"/>
    </row>
    <row r="718" spans="1:53" x14ac:dyDescent="0.15">
      <c r="A718" s="264"/>
      <c r="B718" s="264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  <c r="AA718" s="264"/>
      <c r="AB718" s="264"/>
      <c r="AC718" s="264"/>
      <c r="AD718" s="264"/>
      <c r="AE718" s="264"/>
      <c r="AF718" s="264"/>
      <c r="AG718" s="264"/>
      <c r="AH718" s="263"/>
      <c r="AI718" s="264"/>
      <c r="AJ718" s="264"/>
      <c r="AK718" s="264"/>
      <c r="AL718" s="264"/>
      <c r="AM718" s="264"/>
      <c r="AN718" s="264"/>
      <c r="AO718" s="264"/>
      <c r="AP718" s="264"/>
      <c r="AQ718" s="264"/>
      <c r="AR718" s="264"/>
      <c r="AS718" s="264"/>
      <c r="AT718" s="264"/>
      <c r="AU718" s="264"/>
      <c r="AV718" s="264"/>
      <c r="AW718" s="264"/>
      <c r="AX718" s="264"/>
      <c r="AY718" s="264"/>
      <c r="AZ718" s="264"/>
      <c r="BA718" s="264"/>
    </row>
    <row r="719" spans="1:53" x14ac:dyDescent="0.15">
      <c r="A719" s="264"/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  <c r="AA719" s="264"/>
      <c r="AB719" s="264"/>
      <c r="AC719" s="264"/>
      <c r="AD719" s="264"/>
      <c r="AE719" s="264"/>
      <c r="AF719" s="264"/>
      <c r="AG719" s="264"/>
      <c r="AH719" s="263"/>
      <c r="AI719" s="264"/>
      <c r="AJ719" s="264"/>
      <c r="AK719" s="264"/>
      <c r="AL719" s="264"/>
      <c r="AM719" s="264"/>
      <c r="AN719" s="264"/>
      <c r="AO719" s="264"/>
      <c r="AP719" s="264"/>
      <c r="AQ719" s="264"/>
      <c r="AR719" s="264"/>
      <c r="AS719" s="264"/>
      <c r="AT719" s="264"/>
      <c r="AU719" s="264"/>
      <c r="AV719" s="264"/>
      <c r="AW719" s="264"/>
      <c r="AX719" s="264"/>
      <c r="AY719" s="264"/>
      <c r="AZ719" s="264"/>
      <c r="BA719" s="264"/>
    </row>
    <row r="720" spans="1:53" x14ac:dyDescent="0.15">
      <c r="A720" s="264"/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3"/>
      <c r="AI720" s="264"/>
      <c r="AJ720" s="264"/>
      <c r="AK720" s="264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</row>
    <row r="721" spans="1:53" x14ac:dyDescent="0.15">
      <c r="A721" s="264"/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3"/>
      <c r="AI721" s="264"/>
      <c r="AJ721" s="264"/>
      <c r="AK721" s="264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</row>
    <row r="722" spans="1:53" x14ac:dyDescent="0.15">
      <c r="A722" s="264"/>
      <c r="B722" s="264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  <c r="AA722" s="264"/>
      <c r="AB722" s="264"/>
      <c r="AC722" s="264"/>
      <c r="AD722" s="264"/>
      <c r="AE722" s="264"/>
      <c r="AF722" s="264"/>
      <c r="AG722" s="264"/>
      <c r="AH722" s="263"/>
      <c r="AI722" s="264"/>
      <c r="AJ722" s="264"/>
      <c r="AK722" s="264"/>
      <c r="AL722" s="264"/>
      <c r="AM722" s="264"/>
      <c r="AN722" s="264"/>
      <c r="AO722" s="264"/>
      <c r="AP722" s="264"/>
      <c r="AQ722" s="264"/>
      <c r="AR722" s="264"/>
      <c r="AS722" s="264"/>
      <c r="AT722" s="264"/>
      <c r="AU722" s="264"/>
      <c r="AV722" s="264"/>
      <c r="AW722" s="264"/>
      <c r="AX722" s="264"/>
      <c r="AY722" s="264"/>
      <c r="AZ722" s="264"/>
      <c r="BA722" s="264"/>
    </row>
    <row r="723" spans="1:53" x14ac:dyDescent="0.15">
      <c r="A723" s="264"/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  <c r="AA723" s="264"/>
      <c r="AB723" s="264"/>
      <c r="AC723" s="264"/>
      <c r="AD723" s="264"/>
      <c r="AE723" s="264"/>
      <c r="AF723" s="264"/>
      <c r="AG723" s="264"/>
      <c r="AH723" s="263"/>
      <c r="AI723" s="264"/>
      <c r="AJ723" s="264"/>
      <c r="AK723" s="264"/>
      <c r="AL723" s="264"/>
      <c r="AM723" s="264"/>
      <c r="AN723" s="264"/>
      <c r="AO723" s="264"/>
      <c r="AP723" s="264"/>
      <c r="AQ723" s="264"/>
      <c r="AR723" s="264"/>
      <c r="AS723" s="264"/>
      <c r="AT723" s="264"/>
      <c r="AU723" s="264"/>
      <c r="AV723" s="264"/>
      <c r="AW723" s="264"/>
      <c r="AX723" s="264"/>
      <c r="AY723" s="264"/>
      <c r="AZ723" s="264"/>
      <c r="BA723" s="264"/>
    </row>
    <row r="724" spans="1:53" x14ac:dyDescent="0.15">
      <c r="A724" s="264"/>
      <c r="B724" s="264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  <c r="AA724" s="264"/>
      <c r="AB724" s="264"/>
      <c r="AC724" s="264"/>
      <c r="AD724" s="264"/>
      <c r="AE724" s="264"/>
      <c r="AF724" s="264"/>
      <c r="AG724" s="264"/>
      <c r="AH724" s="263"/>
      <c r="AI724" s="264"/>
      <c r="AJ724" s="264"/>
      <c r="AK724" s="264"/>
      <c r="AL724" s="264"/>
      <c r="AM724" s="264"/>
      <c r="AN724" s="264"/>
      <c r="AO724" s="264"/>
      <c r="AP724" s="264"/>
      <c r="AQ724" s="264"/>
      <c r="AR724" s="264"/>
      <c r="AS724" s="264"/>
      <c r="AT724" s="264"/>
      <c r="AU724" s="264"/>
      <c r="AV724" s="264"/>
      <c r="AW724" s="264"/>
      <c r="AX724" s="264"/>
      <c r="AY724" s="264"/>
      <c r="AZ724" s="264"/>
      <c r="BA724" s="264"/>
    </row>
    <row r="725" spans="1:53" x14ac:dyDescent="0.15">
      <c r="A725" s="264"/>
      <c r="B725" s="264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3"/>
      <c r="AI725" s="264"/>
      <c r="AJ725" s="264"/>
      <c r="AK725" s="264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</row>
    <row r="726" spans="1:53" x14ac:dyDescent="0.15">
      <c r="A726" s="264"/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3"/>
      <c r="AI726" s="264"/>
      <c r="AJ726" s="264"/>
      <c r="AK726" s="264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</row>
    <row r="727" spans="1:53" x14ac:dyDescent="0.15">
      <c r="A727" s="264"/>
      <c r="B727" s="264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  <c r="AA727" s="264"/>
      <c r="AB727" s="264"/>
      <c r="AC727" s="264"/>
      <c r="AD727" s="264"/>
      <c r="AE727" s="264"/>
      <c r="AF727" s="264"/>
      <c r="AG727" s="264"/>
      <c r="AH727" s="263"/>
      <c r="AI727" s="264"/>
      <c r="AJ727" s="264"/>
      <c r="AK727" s="264"/>
      <c r="AL727" s="264"/>
      <c r="AM727" s="264"/>
      <c r="AN727" s="264"/>
      <c r="AO727" s="264"/>
      <c r="AP727" s="264"/>
      <c r="AQ727" s="264"/>
      <c r="AR727" s="264"/>
      <c r="AS727" s="264"/>
      <c r="AT727" s="264"/>
      <c r="AU727" s="264"/>
      <c r="AV727" s="264"/>
      <c r="AW727" s="264"/>
      <c r="AX727" s="264"/>
      <c r="AY727" s="264"/>
      <c r="AZ727" s="264"/>
      <c r="BA727" s="264"/>
    </row>
    <row r="728" spans="1:53" x14ac:dyDescent="0.15">
      <c r="A728" s="264"/>
      <c r="B728" s="264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  <c r="AA728" s="264"/>
      <c r="AB728" s="264"/>
      <c r="AC728" s="264"/>
      <c r="AD728" s="264"/>
      <c r="AE728" s="264"/>
      <c r="AF728" s="264"/>
      <c r="AG728" s="264"/>
      <c r="AH728" s="263"/>
      <c r="AI728" s="264"/>
      <c r="AJ728" s="264"/>
      <c r="AK728" s="264"/>
      <c r="AL728" s="264"/>
      <c r="AM728" s="264"/>
      <c r="AN728" s="264"/>
      <c r="AO728" s="264"/>
      <c r="AP728" s="264"/>
      <c r="AQ728" s="264"/>
      <c r="AR728" s="264"/>
      <c r="AS728" s="264"/>
      <c r="AT728" s="264"/>
      <c r="AU728" s="264"/>
      <c r="AV728" s="264"/>
      <c r="AW728" s="264"/>
      <c r="AX728" s="264"/>
      <c r="AY728" s="264"/>
      <c r="AZ728" s="264"/>
      <c r="BA728" s="264"/>
    </row>
    <row r="729" spans="1:53" x14ac:dyDescent="0.15">
      <c r="A729" s="264"/>
      <c r="B729" s="264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  <c r="AA729" s="264"/>
      <c r="AB729" s="264"/>
      <c r="AC729" s="264"/>
      <c r="AD729" s="264"/>
      <c r="AE729" s="264"/>
      <c r="AF729" s="264"/>
      <c r="AG729" s="264"/>
      <c r="AH729" s="263"/>
      <c r="AI729" s="264"/>
      <c r="AJ729" s="264"/>
      <c r="AK729" s="264"/>
      <c r="AL729" s="264"/>
      <c r="AM729" s="264"/>
      <c r="AN729" s="264"/>
      <c r="AO729" s="264"/>
      <c r="AP729" s="264"/>
      <c r="AQ729" s="264"/>
      <c r="AR729" s="264"/>
      <c r="AS729" s="264"/>
      <c r="AT729" s="264"/>
      <c r="AU729" s="264"/>
      <c r="AV729" s="264"/>
      <c r="AW729" s="264"/>
      <c r="AX729" s="264"/>
      <c r="AY729" s="264"/>
      <c r="AZ729" s="264"/>
      <c r="BA729" s="264"/>
    </row>
    <row r="730" spans="1:53" x14ac:dyDescent="0.15">
      <c r="A730" s="264"/>
      <c r="B730" s="264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  <c r="AA730" s="264"/>
      <c r="AB730" s="264"/>
      <c r="AC730" s="264"/>
      <c r="AD730" s="264"/>
      <c r="AE730" s="264"/>
      <c r="AF730" s="264"/>
      <c r="AG730" s="264"/>
      <c r="AH730" s="263"/>
      <c r="AI730" s="264"/>
      <c r="AJ730" s="264"/>
      <c r="AK730" s="264"/>
      <c r="AL730" s="264"/>
      <c r="AM730" s="264"/>
      <c r="AN730" s="264"/>
      <c r="AO730" s="264"/>
      <c r="AP730" s="264"/>
      <c r="AQ730" s="264"/>
      <c r="AR730" s="264"/>
      <c r="AS730" s="264"/>
      <c r="AT730" s="264"/>
      <c r="AU730" s="264"/>
      <c r="AV730" s="264"/>
      <c r="AW730" s="264"/>
      <c r="AX730" s="264"/>
      <c r="AY730" s="264"/>
      <c r="AZ730" s="264"/>
      <c r="BA730" s="264"/>
    </row>
    <row r="731" spans="1:53" x14ac:dyDescent="0.15">
      <c r="A731" s="264"/>
      <c r="B731" s="264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  <c r="AA731" s="264"/>
      <c r="AB731" s="264"/>
      <c r="AC731" s="264"/>
      <c r="AD731" s="264"/>
      <c r="AE731" s="264"/>
      <c r="AF731" s="264"/>
      <c r="AG731" s="264"/>
      <c r="AH731" s="263"/>
      <c r="AI731" s="264"/>
      <c r="AJ731" s="264"/>
      <c r="AK731" s="264"/>
      <c r="AL731" s="264"/>
      <c r="AM731" s="264"/>
      <c r="AN731" s="264"/>
      <c r="AO731" s="264"/>
      <c r="AP731" s="264"/>
      <c r="AQ731" s="264"/>
      <c r="AR731" s="264"/>
      <c r="AS731" s="264"/>
      <c r="AT731" s="264"/>
      <c r="AU731" s="264"/>
      <c r="AV731" s="264"/>
      <c r="AW731" s="264"/>
      <c r="AX731" s="264"/>
      <c r="AY731" s="264"/>
      <c r="AZ731" s="264"/>
      <c r="BA731" s="264"/>
    </row>
    <row r="732" spans="1:53" x14ac:dyDescent="0.15">
      <c r="A732" s="264"/>
      <c r="B732" s="264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  <c r="AA732" s="264"/>
      <c r="AB732" s="264"/>
      <c r="AC732" s="264"/>
      <c r="AD732" s="264"/>
      <c r="AE732" s="264"/>
      <c r="AF732" s="264"/>
      <c r="AG732" s="264"/>
      <c r="AH732" s="263"/>
      <c r="AI732" s="264"/>
      <c r="AJ732" s="264"/>
      <c r="AK732" s="264"/>
      <c r="AL732" s="264"/>
      <c r="AM732" s="264"/>
      <c r="AN732" s="264"/>
      <c r="AO732" s="264"/>
      <c r="AP732" s="264"/>
      <c r="AQ732" s="264"/>
      <c r="AR732" s="264"/>
      <c r="AS732" s="264"/>
      <c r="AT732" s="264"/>
      <c r="AU732" s="264"/>
      <c r="AV732" s="264"/>
      <c r="AW732" s="264"/>
      <c r="AX732" s="264"/>
      <c r="AY732" s="264"/>
      <c r="AZ732" s="264"/>
      <c r="BA732" s="264"/>
    </row>
    <row r="733" spans="1:53" x14ac:dyDescent="0.15">
      <c r="A733" s="264"/>
      <c r="B733" s="264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  <c r="AA733" s="264"/>
      <c r="AB733" s="264"/>
      <c r="AC733" s="264"/>
      <c r="AD733" s="264"/>
      <c r="AE733" s="264"/>
      <c r="AF733" s="264"/>
      <c r="AG733" s="264"/>
      <c r="AH733" s="263"/>
      <c r="AI733" s="264"/>
      <c r="AJ733" s="264"/>
      <c r="AK733" s="264"/>
      <c r="AL733" s="264"/>
      <c r="AM733" s="264"/>
      <c r="AN733" s="264"/>
      <c r="AO733" s="264"/>
      <c r="AP733" s="264"/>
      <c r="AQ733" s="264"/>
      <c r="AR733" s="264"/>
      <c r="AS733" s="264"/>
      <c r="AT733" s="264"/>
      <c r="AU733" s="264"/>
      <c r="AV733" s="264"/>
      <c r="AW733" s="264"/>
      <c r="AX733" s="264"/>
      <c r="AY733" s="264"/>
      <c r="AZ733" s="264"/>
      <c r="BA733" s="264"/>
    </row>
    <row r="734" spans="1:53" x14ac:dyDescent="0.15">
      <c r="A734" s="264"/>
      <c r="B734" s="264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  <c r="AA734" s="264"/>
      <c r="AB734" s="264"/>
      <c r="AC734" s="264"/>
      <c r="AD734" s="264"/>
      <c r="AE734" s="264"/>
      <c r="AF734" s="264"/>
      <c r="AG734" s="264"/>
      <c r="AH734" s="263"/>
      <c r="AI734" s="264"/>
      <c r="AJ734" s="264"/>
      <c r="AK734" s="264"/>
      <c r="AL734" s="264"/>
      <c r="AM734" s="264"/>
      <c r="AN734" s="264"/>
      <c r="AO734" s="264"/>
      <c r="AP734" s="264"/>
      <c r="AQ734" s="264"/>
      <c r="AR734" s="264"/>
      <c r="AS734" s="264"/>
      <c r="AT734" s="264"/>
      <c r="AU734" s="264"/>
      <c r="AV734" s="264"/>
      <c r="AW734" s="264"/>
      <c r="AX734" s="264"/>
      <c r="AY734" s="264"/>
      <c r="AZ734" s="264"/>
      <c r="BA734" s="264"/>
    </row>
    <row r="735" spans="1:53" x14ac:dyDescent="0.15">
      <c r="A735" s="264"/>
      <c r="B735" s="264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  <c r="AA735" s="264"/>
      <c r="AB735" s="264"/>
      <c r="AC735" s="264"/>
      <c r="AD735" s="264"/>
      <c r="AE735" s="264"/>
      <c r="AF735" s="264"/>
      <c r="AG735" s="264"/>
      <c r="AH735" s="263"/>
      <c r="AI735" s="264"/>
      <c r="AJ735" s="264"/>
      <c r="AK735" s="264"/>
      <c r="AL735" s="264"/>
      <c r="AM735" s="264"/>
      <c r="AN735" s="264"/>
      <c r="AO735" s="264"/>
      <c r="AP735" s="264"/>
      <c r="AQ735" s="264"/>
      <c r="AR735" s="264"/>
      <c r="AS735" s="264"/>
      <c r="AT735" s="264"/>
      <c r="AU735" s="264"/>
      <c r="AV735" s="264"/>
      <c r="AW735" s="264"/>
      <c r="AX735" s="264"/>
      <c r="AY735" s="264"/>
      <c r="AZ735" s="264"/>
      <c r="BA735" s="264"/>
    </row>
    <row r="736" spans="1:53" x14ac:dyDescent="0.15">
      <c r="A736" s="264"/>
      <c r="B736" s="264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  <c r="AA736" s="264"/>
      <c r="AB736" s="264"/>
      <c r="AC736" s="264"/>
      <c r="AD736" s="264"/>
      <c r="AE736" s="264"/>
      <c r="AF736" s="264"/>
      <c r="AG736" s="264"/>
      <c r="AH736" s="263"/>
      <c r="AI736" s="264"/>
      <c r="AJ736" s="264"/>
      <c r="AK736" s="264"/>
      <c r="AL736" s="264"/>
      <c r="AM736" s="264"/>
      <c r="AN736" s="264"/>
      <c r="AO736" s="264"/>
      <c r="AP736" s="264"/>
      <c r="AQ736" s="264"/>
      <c r="AR736" s="264"/>
      <c r="AS736" s="264"/>
      <c r="AT736" s="264"/>
      <c r="AU736" s="264"/>
      <c r="AV736" s="264"/>
      <c r="AW736" s="264"/>
      <c r="AX736" s="264"/>
      <c r="AY736" s="264"/>
      <c r="AZ736" s="264"/>
      <c r="BA736" s="264"/>
    </row>
    <row r="737" spans="1:53" x14ac:dyDescent="0.15">
      <c r="A737" s="264"/>
      <c r="B737" s="264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  <c r="AA737" s="264"/>
      <c r="AB737" s="264"/>
      <c r="AC737" s="264"/>
      <c r="AD737" s="264"/>
      <c r="AE737" s="264"/>
      <c r="AF737" s="264"/>
      <c r="AG737" s="264"/>
      <c r="AH737" s="263"/>
      <c r="AI737" s="264"/>
      <c r="AJ737" s="264"/>
      <c r="AK737" s="264"/>
      <c r="AL737" s="264"/>
      <c r="AM737" s="264"/>
      <c r="AN737" s="264"/>
      <c r="AO737" s="264"/>
      <c r="AP737" s="264"/>
      <c r="AQ737" s="264"/>
      <c r="AR737" s="264"/>
      <c r="AS737" s="264"/>
      <c r="AT737" s="264"/>
      <c r="AU737" s="264"/>
      <c r="AV737" s="264"/>
      <c r="AW737" s="264"/>
      <c r="AX737" s="264"/>
      <c r="AY737" s="264"/>
      <c r="AZ737" s="264"/>
      <c r="BA737" s="264"/>
    </row>
    <row r="738" spans="1:53" x14ac:dyDescent="0.15">
      <c r="A738" s="264"/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3"/>
      <c r="AI738" s="264"/>
      <c r="AJ738" s="264"/>
      <c r="AK738" s="264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</row>
    <row r="739" spans="1:53" x14ac:dyDescent="0.15">
      <c r="A739" s="264"/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3"/>
      <c r="AI739" s="264"/>
      <c r="AJ739" s="264"/>
      <c r="AK739" s="264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</row>
    <row r="740" spans="1:53" x14ac:dyDescent="0.15">
      <c r="A740" s="264"/>
      <c r="B740" s="264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  <c r="AA740" s="264"/>
      <c r="AB740" s="264"/>
      <c r="AC740" s="264"/>
      <c r="AD740" s="264"/>
      <c r="AE740" s="264"/>
      <c r="AF740" s="264"/>
      <c r="AG740" s="264"/>
      <c r="AH740" s="263"/>
      <c r="AI740" s="264"/>
      <c r="AJ740" s="264"/>
      <c r="AK740" s="264"/>
      <c r="AL740" s="264"/>
      <c r="AM740" s="264"/>
      <c r="AN740" s="264"/>
      <c r="AO740" s="264"/>
      <c r="AP740" s="264"/>
      <c r="AQ740" s="264"/>
      <c r="AR740" s="264"/>
      <c r="AS740" s="264"/>
      <c r="AT740" s="264"/>
      <c r="AU740" s="264"/>
      <c r="AV740" s="264"/>
      <c r="AW740" s="264"/>
      <c r="AX740" s="264"/>
      <c r="AY740" s="264"/>
      <c r="AZ740" s="264"/>
      <c r="BA740" s="264"/>
    </row>
    <row r="741" spans="1:53" x14ac:dyDescent="0.15">
      <c r="A741" s="264"/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  <c r="AA741" s="264"/>
      <c r="AB741" s="264"/>
      <c r="AC741" s="264"/>
      <c r="AD741" s="264"/>
      <c r="AE741" s="264"/>
      <c r="AF741" s="264"/>
      <c r="AG741" s="264"/>
      <c r="AH741" s="263"/>
      <c r="AI741" s="264"/>
      <c r="AJ741" s="264"/>
      <c r="AK741" s="264"/>
      <c r="AL741" s="264"/>
      <c r="AM741" s="264"/>
      <c r="AN741" s="264"/>
      <c r="AO741" s="264"/>
      <c r="AP741" s="264"/>
      <c r="AQ741" s="264"/>
      <c r="AR741" s="264"/>
      <c r="AS741" s="264"/>
      <c r="AT741" s="264"/>
      <c r="AU741" s="264"/>
      <c r="AV741" s="264"/>
      <c r="AW741" s="264"/>
      <c r="AX741" s="264"/>
      <c r="AY741" s="264"/>
      <c r="AZ741" s="264"/>
      <c r="BA741" s="264"/>
    </row>
    <row r="742" spans="1:53" x14ac:dyDescent="0.15">
      <c r="A742" s="264"/>
      <c r="B742" s="264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  <c r="AA742" s="264"/>
      <c r="AB742" s="264"/>
      <c r="AC742" s="264"/>
      <c r="AD742" s="264"/>
      <c r="AE742" s="264"/>
      <c r="AF742" s="264"/>
      <c r="AG742" s="264"/>
      <c r="AH742" s="263"/>
      <c r="AI742" s="264"/>
      <c r="AJ742" s="264"/>
      <c r="AK742" s="264"/>
      <c r="AL742" s="264"/>
      <c r="AM742" s="264"/>
      <c r="AN742" s="264"/>
      <c r="AO742" s="264"/>
      <c r="AP742" s="264"/>
      <c r="AQ742" s="264"/>
      <c r="AR742" s="264"/>
      <c r="AS742" s="264"/>
      <c r="AT742" s="264"/>
      <c r="AU742" s="264"/>
      <c r="AV742" s="264"/>
      <c r="AW742" s="264"/>
      <c r="AX742" s="264"/>
      <c r="AY742" s="264"/>
      <c r="AZ742" s="264"/>
      <c r="BA742" s="264"/>
    </row>
    <row r="743" spans="1:53" x14ac:dyDescent="0.15">
      <c r="A743" s="264"/>
      <c r="B743" s="264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  <c r="AA743" s="264"/>
      <c r="AB743" s="264"/>
      <c r="AC743" s="264"/>
      <c r="AD743" s="264"/>
      <c r="AE743" s="264"/>
      <c r="AF743" s="264"/>
      <c r="AG743" s="264"/>
      <c r="AH743" s="263"/>
      <c r="AI743" s="264"/>
      <c r="AJ743" s="264"/>
      <c r="AK743" s="264"/>
      <c r="AL743" s="264"/>
      <c r="AM743" s="264"/>
      <c r="AN743" s="264"/>
      <c r="AO743" s="264"/>
      <c r="AP743" s="264"/>
      <c r="AQ743" s="264"/>
      <c r="AR743" s="264"/>
      <c r="AS743" s="264"/>
      <c r="AT743" s="264"/>
      <c r="AU743" s="264"/>
      <c r="AV743" s="264"/>
      <c r="AW743" s="264"/>
      <c r="AX743" s="264"/>
      <c r="AY743" s="264"/>
      <c r="AZ743" s="264"/>
      <c r="BA743" s="264"/>
    </row>
    <row r="744" spans="1:53" x14ac:dyDescent="0.15">
      <c r="A744" s="264"/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3"/>
      <c r="AI744" s="264"/>
      <c r="AJ744" s="264"/>
      <c r="AK744" s="264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</row>
    <row r="745" spans="1:53" x14ac:dyDescent="0.15">
      <c r="A745" s="264"/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3"/>
      <c r="AI745" s="264"/>
      <c r="AJ745" s="264"/>
      <c r="AK745" s="264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</row>
    <row r="746" spans="1:53" x14ac:dyDescent="0.15">
      <c r="A746" s="264"/>
      <c r="B746" s="264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  <c r="AA746" s="264"/>
      <c r="AB746" s="264"/>
      <c r="AC746" s="264"/>
      <c r="AD746" s="264"/>
      <c r="AE746" s="264"/>
      <c r="AF746" s="264"/>
      <c r="AG746" s="264"/>
      <c r="AH746" s="263"/>
      <c r="AI746" s="264"/>
      <c r="AJ746" s="264"/>
      <c r="AK746" s="264"/>
      <c r="AL746" s="264"/>
      <c r="AM746" s="264"/>
      <c r="AN746" s="264"/>
      <c r="AO746" s="264"/>
      <c r="AP746" s="264"/>
      <c r="AQ746" s="264"/>
      <c r="AR746" s="264"/>
      <c r="AS746" s="264"/>
      <c r="AT746" s="264"/>
      <c r="AU746" s="264"/>
      <c r="AV746" s="264"/>
      <c r="AW746" s="264"/>
      <c r="AX746" s="264"/>
      <c r="AY746" s="264"/>
      <c r="AZ746" s="264"/>
      <c r="BA746" s="264"/>
    </row>
    <row r="747" spans="1:53" x14ac:dyDescent="0.15">
      <c r="A747" s="264"/>
      <c r="B747" s="264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  <c r="AA747" s="264"/>
      <c r="AB747" s="264"/>
      <c r="AC747" s="264"/>
      <c r="AD747" s="264"/>
      <c r="AE747" s="264"/>
      <c r="AF747" s="264"/>
      <c r="AG747" s="264"/>
      <c r="AH747" s="263"/>
      <c r="AI747" s="264"/>
      <c r="AJ747" s="264"/>
      <c r="AK747" s="264"/>
      <c r="AL747" s="264"/>
      <c r="AM747" s="264"/>
      <c r="AN747" s="264"/>
      <c r="AO747" s="264"/>
      <c r="AP747" s="264"/>
      <c r="AQ747" s="264"/>
      <c r="AR747" s="264"/>
      <c r="AS747" s="264"/>
      <c r="AT747" s="264"/>
      <c r="AU747" s="264"/>
      <c r="AV747" s="264"/>
      <c r="AW747" s="264"/>
      <c r="AX747" s="264"/>
      <c r="AY747" s="264"/>
      <c r="AZ747" s="264"/>
      <c r="BA747" s="264"/>
    </row>
    <row r="748" spans="1:53" x14ac:dyDescent="0.15">
      <c r="A748" s="264"/>
      <c r="B748" s="264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  <c r="AA748" s="264"/>
      <c r="AB748" s="264"/>
      <c r="AC748" s="264"/>
      <c r="AD748" s="264"/>
      <c r="AE748" s="264"/>
      <c r="AF748" s="264"/>
      <c r="AG748" s="264"/>
      <c r="AH748" s="263"/>
      <c r="AI748" s="264"/>
      <c r="AJ748" s="264"/>
      <c r="AK748" s="264"/>
      <c r="AL748" s="264"/>
      <c r="AM748" s="264"/>
      <c r="AN748" s="264"/>
      <c r="AO748" s="264"/>
      <c r="AP748" s="264"/>
      <c r="AQ748" s="264"/>
      <c r="AR748" s="264"/>
      <c r="AS748" s="264"/>
      <c r="AT748" s="264"/>
      <c r="AU748" s="264"/>
      <c r="AV748" s="264"/>
      <c r="AW748" s="264"/>
      <c r="AX748" s="264"/>
      <c r="AY748" s="264"/>
      <c r="AZ748" s="264"/>
      <c r="BA748" s="264"/>
    </row>
    <row r="749" spans="1:53" x14ac:dyDescent="0.15">
      <c r="A749" s="264"/>
      <c r="B749" s="264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  <c r="AA749" s="264"/>
      <c r="AB749" s="264"/>
      <c r="AC749" s="264"/>
      <c r="AD749" s="264"/>
      <c r="AE749" s="264"/>
      <c r="AF749" s="264"/>
      <c r="AG749" s="264"/>
      <c r="AH749" s="263"/>
      <c r="AI749" s="264"/>
      <c r="AJ749" s="264"/>
      <c r="AK749" s="264"/>
      <c r="AL749" s="264"/>
      <c r="AM749" s="264"/>
      <c r="AN749" s="264"/>
      <c r="AO749" s="264"/>
      <c r="AP749" s="264"/>
      <c r="AQ749" s="264"/>
      <c r="AR749" s="264"/>
      <c r="AS749" s="264"/>
      <c r="AT749" s="264"/>
      <c r="AU749" s="264"/>
      <c r="AV749" s="264"/>
      <c r="AW749" s="264"/>
      <c r="AX749" s="264"/>
      <c r="AY749" s="264"/>
      <c r="AZ749" s="264"/>
      <c r="BA749" s="264"/>
    </row>
    <row r="750" spans="1:53" x14ac:dyDescent="0.15">
      <c r="A750" s="264"/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3"/>
      <c r="AI750" s="264"/>
      <c r="AJ750" s="264"/>
      <c r="AK750" s="264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</row>
    <row r="751" spans="1:53" x14ac:dyDescent="0.15">
      <c r="A751" s="264"/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3"/>
      <c r="AI751" s="264"/>
      <c r="AJ751" s="264"/>
      <c r="AK751" s="264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</row>
    <row r="752" spans="1:53" x14ac:dyDescent="0.15">
      <c r="A752" s="264"/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  <c r="AA752" s="264"/>
      <c r="AB752" s="264"/>
      <c r="AC752" s="264"/>
      <c r="AD752" s="264"/>
      <c r="AE752" s="264"/>
      <c r="AF752" s="264"/>
      <c r="AG752" s="264"/>
      <c r="AH752" s="263"/>
      <c r="AI752" s="264"/>
      <c r="AJ752" s="264"/>
      <c r="AK752" s="264"/>
      <c r="AL752" s="264"/>
      <c r="AM752" s="264"/>
      <c r="AN752" s="264"/>
      <c r="AO752" s="264"/>
      <c r="AP752" s="264"/>
      <c r="AQ752" s="264"/>
      <c r="AR752" s="264"/>
      <c r="AS752" s="264"/>
      <c r="AT752" s="264"/>
      <c r="AU752" s="264"/>
      <c r="AV752" s="264"/>
      <c r="AW752" s="264"/>
      <c r="AX752" s="264"/>
      <c r="AY752" s="264"/>
      <c r="AZ752" s="264"/>
      <c r="BA752" s="264"/>
    </row>
    <row r="753" spans="1:53" x14ac:dyDescent="0.15">
      <c r="A753" s="264"/>
      <c r="B753" s="264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  <c r="AA753" s="264"/>
      <c r="AB753" s="264"/>
      <c r="AC753" s="264"/>
      <c r="AD753" s="264"/>
      <c r="AE753" s="264"/>
      <c r="AF753" s="264"/>
      <c r="AG753" s="264"/>
      <c r="AH753" s="263"/>
      <c r="AI753" s="264"/>
      <c r="AJ753" s="264"/>
      <c r="AK753" s="264"/>
      <c r="AL753" s="264"/>
      <c r="AM753" s="264"/>
      <c r="AN753" s="264"/>
      <c r="AO753" s="264"/>
      <c r="AP753" s="264"/>
      <c r="AQ753" s="264"/>
      <c r="AR753" s="264"/>
      <c r="AS753" s="264"/>
      <c r="AT753" s="264"/>
      <c r="AU753" s="264"/>
      <c r="AV753" s="264"/>
      <c r="AW753" s="264"/>
      <c r="AX753" s="264"/>
      <c r="AY753" s="264"/>
      <c r="AZ753" s="264"/>
      <c r="BA753" s="264"/>
    </row>
    <row r="754" spans="1:53" x14ac:dyDescent="0.15">
      <c r="A754" s="264"/>
      <c r="B754" s="264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  <c r="AA754" s="264"/>
      <c r="AB754" s="264"/>
      <c r="AC754" s="264"/>
      <c r="AD754" s="264"/>
      <c r="AE754" s="264"/>
      <c r="AF754" s="264"/>
      <c r="AG754" s="264"/>
      <c r="AH754" s="263"/>
      <c r="AI754" s="264"/>
      <c r="AJ754" s="264"/>
      <c r="AK754" s="264"/>
      <c r="AL754" s="264"/>
      <c r="AM754" s="264"/>
      <c r="AN754" s="264"/>
      <c r="AO754" s="264"/>
      <c r="AP754" s="264"/>
      <c r="AQ754" s="264"/>
      <c r="AR754" s="264"/>
      <c r="AS754" s="264"/>
      <c r="AT754" s="264"/>
      <c r="AU754" s="264"/>
      <c r="AV754" s="264"/>
      <c r="AW754" s="264"/>
      <c r="AX754" s="264"/>
      <c r="AY754" s="264"/>
      <c r="AZ754" s="264"/>
      <c r="BA754" s="264"/>
    </row>
    <row r="755" spans="1:53" x14ac:dyDescent="0.15">
      <c r="A755" s="264"/>
      <c r="B755" s="264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  <c r="AA755" s="264"/>
      <c r="AB755" s="264"/>
      <c r="AC755" s="264"/>
      <c r="AD755" s="264"/>
      <c r="AE755" s="264"/>
      <c r="AF755" s="264"/>
      <c r="AG755" s="264"/>
      <c r="AH755" s="263"/>
      <c r="AI755" s="264"/>
      <c r="AJ755" s="264"/>
      <c r="AK755" s="264"/>
      <c r="AL755" s="264"/>
      <c r="AM755" s="264"/>
      <c r="AN755" s="264"/>
      <c r="AO755" s="264"/>
      <c r="AP755" s="264"/>
      <c r="AQ755" s="264"/>
      <c r="AR755" s="264"/>
      <c r="AS755" s="264"/>
      <c r="AT755" s="264"/>
      <c r="AU755" s="264"/>
      <c r="AV755" s="264"/>
      <c r="AW755" s="264"/>
      <c r="AX755" s="264"/>
      <c r="AY755" s="264"/>
      <c r="AZ755" s="264"/>
      <c r="BA755" s="264"/>
    </row>
    <row r="756" spans="1:53" x14ac:dyDescent="0.15">
      <c r="A756" s="264"/>
      <c r="B756" s="264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  <c r="AA756" s="264"/>
      <c r="AB756" s="264"/>
      <c r="AC756" s="264"/>
      <c r="AD756" s="264"/>
      <c r="AE756" s="264"/>
      <c r="AF756" s="264"/>
      <c r="AG756" s="264"/>
      <c r="AH756" s="263"/>
      <c r="AI756" s="264"/>
      <c r="AJ756" s="264"/>
      <c r="AK756" s="264"/>
      <c r="AL756" s="264"/>
      <c r="AM756" s="264"/>
      <c r="AN756" s="264"/>
      <c r="AO756" s="264"/>
      <c r="AP756" s="264"/>
      <c r="AQ756" s="264"/>
      <c r="AR756" s="264"/>
      <c r="AS756" s="264"/>
      <c r="AT756" s="264"/>
      <c r="AU756" s="264"/>
      <c r="AV756" s="264"/>
      <c r="AW756" s="264"/>
      <c r="AX756" s="264"/>
      <c r="AY756" s="264"/>
      <c r="AZ756" s="264"/>
      <c r="BA756" s="264"/>
    </row>
    <row r="757" spans="1:53" x14ac:dyDescent="0.15">
      <c r="A757" s="264"/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  <c r="AA757" s="264"/>
      <c r="AB757" s="264"/>
      <c r="AC757" s="264"/>
      <c r="AD757" s="264"/>
      <c r="AE757" s="264"/>
      <c r="AF757" s="264"/>
      <c r="AG757" s="264"/>
      <c r="AH757" s="263"/>
      <c r="AI757" s="264"/>
      <c r="AJ757" s="264"/>
      <c r="AK757" s="264"/>
      <c r="AL757" s="264"/>
      <c r="AM757" s="264"/>
      <c r="AN757" s="264"/>
      <c r="AO757" s="264"/>
      <c r="AP757" s="264"/>
      <c r="AQ757" s="264"/>
      <c r="AR757" s="264"/>
      <c r="AS757" s="264"/>
      <c r="AT757" s="264"/>
      <c r="AU757" s="264"/>
      <c r="AV757" s="264"/>
      <c r="AW757" s="264"/>
      <c r="AX757" s="264"/>
      <c r="AY757" s="264"/>
      <c r="AZ757" s="264"/>
      <c r="BA757" s="264"/>
    </row>
    <row r="758" spans="1:53" x14ac:dyDescent="0.15">
      <c r="A758" s="264"/>
      <c r="B758" s="264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  <c r="AA758" s="264"/>
      <c r="AB758" s="264"/>
      <c r="AC758" s="264"/>
      <c r="AD758" s="264"/>
      <c r="AE758" s="264"/>
      <c r="AF758" s="264"/>
      <c r="AG758" s="264"/>
      <c r="AH758" s="263"/>
      <c r="AI758" s="264"/>
      <c r="AJ758" s="264"/>
      <c r="AK758" s="264"/>
      <c r="AL758" s="264"/>
      <c r="AM758" s="264"/>
      <c r="AN758" s="264"/>
      <c r="AO758" s="264"/>
      <c r="AP758" s="264"/>
      <c r="AQ758" s="264"/>
      <c r="AR758" s="264"/>
      <c r="AS758" s="264"/>
      <c r="AT758" s="264"/>
      <c r="AU758" s="264"/>
      <c r="AV758" s="264"/>
      <c r="AW758" s="264"/>
      <c r="AX758" s="264"/>
      <c r="AY758" s="264"/>
      <c r="AZ758" s="264"/>
      <c r="BA758" s="264"/>
    </row>
    <row r="759" spans="1:53" x14ac:dyDescent="0.15">
      <c r="A759" s="264"/>
      <c r="B759" s="264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  <c r="AA759" s="264"/>
      <c r="AB759" s="264"/>
      <c r="AC759" s="264"/>
      <c r="AD759" s="264"/>
      <c r="AE759" s="264"/>
      <c r="AF759" s="264"/>
      <c r="AG759" s="264"/>
      <c r="AH759" s="263"/>
      <c r="AI759" s="264"/>
      <c r="AJ759" s="264"/>
      <c r="AK759" s="264"/>
      <c r="AL759" s="264"/>
      <c r="AM759" s="264"/>
      <c r="AN759" s="264"/>
      <c r="AO759" s="264"/>
      <c r="AP759" s="264"/>
      <c r="AQ759" s="264"/>
      <c r="AR759" s="264"/>
      <c r="AS759" s="264"/>
      <c r="AT759" s="264"/>
      <c r="AU759" s="264"/>
      <c r="AV759" s="264"/>
      <c r="AW759" s="264"/>
      <c r="AX759" s="264"/>
      <c r="AY759" s="264"/>
      <c r="AZ759" s="264"/>
      <c r="BA759" s="264"/>
    </row>
    <row r="760" spans="1:53" x14ac:dyDescent="0.15">
      <c r="A760" s="264"/>
      <c r="B760" s="264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  <c r="AA760" s="264"/>
      <c r="AB760" s="264"/>
      <c r="AC760" s="264"/>
      <c r="AD760" s="264"/>
      <c r="AE760" s="264"/>
      <c r="AF760" s="264"/>
      <c r="AG760" s="264"/>
      <c r="AH760" s="263"/>
      <c r="AI760" s="264"/>
      <c r="AJ760" s="264"/>
      <c r="AK760" s="264"/>
      <c r="AL760" s="264"/>
      <c r="AM760" s="264"/>
      <c r="AN760" s="264"/>
      <c r="AO760" s="264"/>
      <c r="AP760" s="264"/>
      <c r="AQ760" s="264"/>
      <c r="AR760" s="264"/>
      <c r="AS760" s="264"/>
      <c r="AT760" s="264"/>
      <c r="AU760" s="264"/>
      <c r="AV760" s="264"/>
      <c r="AW760" s="264"/>
      <c r="AX760" s="264"/>
      <c r="AY760" s="264"/>
      <c r="AZ760" s="264"/>
      <c r="BA760" s="264"/>
    </row>
    <row r="761" spans="1:53" x14ac:dyDescent="0.15">
      <c r="A761" s="264"/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3"/>
      <c r="AI761" s="264"/>
      <c r="AJ761" s="264"/>
      <c r="AK761" s="264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</row>
    <row r="762" spans="1:53" x14ac:dyDescent="0.15">
      <c r="A762" s="264"/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3"/>
      <c r="AI762" s="264"/>
      <c r="AJ762" s="264"/>
      <c r="AK762" s="264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</row>
    <row r="763" spans="1:53" x14ac:dyDescent="0.15">
      <c r="A763" s="264"/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3"/>
      <c r="AI763" s="264"/>
      <c r="AJ763" s="264"/>
      <c r="AK763" s="264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</row>
    <row r="764" spans="1:53" x14ac:dyDescent="0.15">
      <c r="A764" s="264"/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3"/>
      <c r="AI764" s="264"/>
      <c r="AJ764" s="264"/>
      <c r="AK764" s="264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</row>
    <row r="765" spans="1:53" x14ac:dyDescent="0.15">
      <c r="A765" s="264"/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3"/>
      <c r="AI765" s="264"/>
      <c r="AJ765" s="264"/>
      <c r="AK765" s="264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</row>
    <row r="766" spans="1:53" x14ac:dyDescent="0.15">
      <c r="A766" s="264"/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3"/>
      <c r="AI766" s="264"/>
      <c r="AJ766" s="264"/>
      <c r="AK766" s="264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</row>
    <row r="767" spans="1:53" x14ac:dyDescent="0.15">
      <c r="A767" s="264"/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3"/>
      <c r="AI767" s="264"/>
      <c r="AJ767" s="264"/>
      <c r="AK767" s="264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</row>
    <row r="768" spans="1:53" x14ac:dyDescent="0.15">
      <c r="A768" s="264"/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3"/>
      <c r="AI768" s="264"/>
      <c r="AJ768" s="264"/>
      <c r="AK768" s="264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</row>
    <row r="769" spans="1:53" x14ac:dyDescent="0.15">
      <c r="A769" s="264"/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3"/>
      <c r="AI769" s="264"/>
      <c r="AJ769" s="264"/>
      <c r="AK769" s="264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</row>
    <row r="770" spans="1:53" x14ac:dyDescent="0.15">
      <c r="A770" s="264"/>
      <c r="B770" s="264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  <c r="AA770" s="264"/>
      <c r="AB770" s="264"/>
      <c r="AC770" s="264"/>
      <c r="AD770" s="264"/>
      <c r="AE770" s="264"/>
      <c r="AF770" s="264"/>
      <c r="AG770" s="264"/>
      <c r="AH770" s="263"/>
      <c r="AI770" s="264"/>
      <c r="AJ770" s="264"/>
      <c r="AK770" s="264"/>
      <c r="AL770" s="264"/>
      <c r="AM770" s="264"/>
      <c r="AN770" s="264"/>
      <c r="AO770" s="264"/>
      <c r="AP770" s="264"/>
      <c r="AQ770" s="264"/>
      <c r="AR770" s="264"/>
      <c r="AS770" s="264"/>
      <c r="AT770" s="264"/>
      <c r="AU770" s="264"/>
      <c r="AV770" s="264"/>
      <c r="AW770" s="264"/>
      <c r="AX770" s="264"/>
      <c r="AY770" s="264"/>
      <c r="AZ770" s="264"/>
      <c r="BA770" s="264"/>
    </row>
    <row r="771" spans="1:53" x14ac:dyDescent="0.15">
      <c r="A771" s="264"/>
      <c r="B771" s="264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  <c r="AA771" s="264"/>
      <c r="AB771" s="264"/>
      <c r="AC771" s="264"/>
      <c r="AD771" s="264"/>
      <c r="AE771" s="264"/>
      <c r="AF771" s="264"/>
      <c r="AG771" s="264"/>
      <c r="AH771" s="263"/>
      <c r="AI771" s="264"/>
      <c r="AJ771" s="264"/>
      <c r="AK771" s="264"/>
      <c r="AL771" s="264"/>
      <c r="AM771" s="264"/>
      <c r="AN771" s="264"/>
      <c r="AO771" s="264"/>
      <c r="AP771" s="264"/>
      <c r="AQ771" s="264"/>
      <c r="AR771" s="264"/>
      <c r="AS771" s="264"/>
      <c r="AT771" s="264"/>
      <c r="AU771" s="264"/>
      <c r="AV771" s="264"/>
      <c r="AW771" s="264"/>
      <c r="AX771" s="264"/>
      <c r="AY771" s="264"/>
      <c r="AZ771" s="264"/>
      <c r="BA771" s="264"/>
    </row>
    <row r="772" spans="1:53" x14ac:dyDescent="0.15">
      <c r="A772" s="264"/>
      <c r="B772" s="264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  <c r="AA772" s="264"/>
      <c r="AB772" s="264"/>
      <c r="AC772" s="264"/>
      <c r="AD772" s="264"/>
      <c r="AE772" s="264"/>
      <c r="AF772" s="264"/>
      <c r="AG772" s="264"/>
      <c r="AH772" s="263"/>
      <c r="AI772" s="264"/>
      <c r="AJ772" s="264"/>
      <c r="AK772" s="264"/>
      <c r="AL772" s="264"/>
      <c r="AM772" s="264"/>
      <c r="AN772" s="264"/>
      <c r="AO772" s="264"/>
      <c r="AP772" s="264"/>
      <c r="AQ772" s="264"/>
      <c r="AR772" s="264"/>
      <c r="AS772" s="264"/>
      <c r="AT772" s="264"/>
      <c r="AU772" s="264"/>
      <c r="AV772" s="264"/>
      <c r="AW772" s="264"/>
      <c r="AX772" s="264"/>
      <c r="AY772" s="264"/>
      <c r="AZ772" s="264"/>
      <c r="BA772" s="264"/>
    </row>
    <row r="773" spans="1:53" x14ac:dyDescent="0.15">
      <c r="A773" s="264"/>
      <c r="B773" s="264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  <c r="AA773" s="264"/>
      <c r="AB773" s="264"/>
      <c r="AC773" s="264"/>
      <c r="AD773" s="264"/>
      <c r="AE773" s="264"/>
      <c r="AF773" s="264"/>
      <c r="AG773" s="264"/>
      <c r="AH773" s="263"/>
      <c r="AI773" s="264"/>
      <c r="AJ773" s="264"/>
      <c r="AK773" s="264"/>
      <c r="AL773" s="264"/>
      <c r="AM773" s="264"/>
      <c r="AN773" s="264"/>
      <c r="AO773" s="264"/>
      <c r="AP773" s="264"/>
      <c r="AQ773" s="264"/>
      <c r="AR773" s="264"/>
      <c r="AS773" s="264"/>
      <c r="AT773" s="264"/>
      <c r="AU773" s="264"/>
      <c r="AV773" s="264"/>
      <c r="AW773" s="264"/>
      <c r="AX773" s="264"/>
      <c r="AY773" s="264"/>
      <c r="AZ773" s="264"/>
      <c r="BA773" s="264"/>
    </row>
    <row r="774" spans="1:53" x14ac:dyDescent="0.15">
      <c r="A774" s="264"/>
      <c r="B774" s="264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  <c r="AA774" s="264"/>
      <c r="AB774" s="264"/>
      <c r="AC774" s="264"/>
      <c r="AD774" s="264"/>
      <c r="AE774" s="264"/>
      <c r="AF774" s="264"/>
      <c r="AG774" s="264"/>
      <c r="AH774" s="263"/>
      <c r="AI774" s="264"/>
      <c r="AJ774" s="264"/>
      <c r="AK774" s="264"/>
      <c r="AL774" s="264"/>
      <c r="AM774" s="264"/>
      <c r="AN774" s="264"/>
      <c r="AO774" s="264"/>
      <c r="AP774" s="264"/>
      <c r="AQ774" s="264"/>
      <c r="AR774" s="264"/>
      <c r="AS774" s="264"/>
      <c r="AT774" s="264"/>
      <c r="AU774" s="264"/>
      <c r="AV774" s="264"/>
      <c r="AW774" s="264"/>
      <c r="AX774" s="264"/>
      <c r="AY774" s="264"/>
      <c r="AZ774" s="264"/>
      <c r="BA774" s="264"/>
    </row>
    <row r="775" spans="1:53" x14ac:dyDescent="0.15">
      <c r="A775" s="264"/>
      <c r="B775" s="264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  <c r="AA775" s="264"/>
      <c r="AB775" s="264"/>
      <c r="AC775" s="264"/>
      <c r="AD775" s="264"/>
      <c r="AE775" s="264"/>
      <c r="AF775" s="264"/>
      <c r="AG775" s="264"/>
      <c r="AH775" s="263"/>
      <c r="AI775" s="264"/>
      <c r="AJ775" s="264"/>
      <c r="AK775" s="264"/>
      <c r="AL775" s="264"/>
      <c r="AM775" s="264"/>
      <c r="AN775" s="264"/>
      <c r="AO775" s="264"/>
      <c r="AP775" s="264"/>
      <c r="AQ775" s="264"/>
      <c r="AR775" s="264"/>
      <c r="AS775" s="264"/>
      <c r="AT775" s="264"/>
      <c r="AU775" s="264"/>
      <c r="AV775" s="264"/>
      <c r="AW775" s="264"/>
      <c r="AX775" s="264"/>
      <c r="AY775" s="264"/>
      <c r="AZ775" s="264"/>
      <c r="BA775" s="264"/>
    </row>
    <row r="776" spans="1:53" x14ac:dyDescent="0.15">
      <c r="A776" s="264"/>
      <c r="B776" s="264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  <c r="AA776" s="264"/>
      <c r="AB776" s="264"/>
      <c r="AC776" s="264"/>
      <c r="AD776" s="264"/>
      <c r="AE776" s="264"/>
      <c r="AF776" s="264"/>
      <c r="AG776" s="264"/>
      <c r="AH776" s="263"/>
      <c r="AI776" s="264"/>
      <c r="AJ776" s="264"/>
      <c r="AK776" s="264"/>
      <c r="AL776" s="264"/>
      <c r="AM776" s="264"/>
      <c r="AN776" s="264"/>
      <c r="AO776" s="264"/>
      <c r="AP776" s="264"/>
      <c r="AQ776" s="264"/>
      <c r="AR776" s="264"/>
      <c r="AS776" s="264"/>
      <c r="AT776" s="264"/>
      <c r="AU776" s="264"/>
      <c r="AV776" s="264"/>
      <c r="AW776" s="264"/>
      <c r="AX776" s="264"/>
      <c r="AY776" s="264"/>
      <c r="AZ776" s="264"/>
      <c r="BA776" s="264"/>
    </row>
    <row r="777" spans="1:53" x14ac:dyDescent="0.15">
      <c r="A777" s="264"/>
      <c r="B777" s="264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  <c r="AA777" s="264"/>
      <c r="AB777" s="264"/>
      <c r="AC777" s="264"/>
      <c r="AD777" s="264"/>
      <c r="AE777" s="264"/>
      <c r="AF777" s="264"/>
      <c r="AG777" s="264"/>
      <c r="AH777" s="263"/>
      <c r="AI777" s="264"/>
      <c r="AJ777" s="264"/>
      <c r="AK777" s="264"/>
      <c r="AL777" s="264"/>
      <c r="AM777" s="264"/>
      <c r="AN777" s="264"/>
      <c r="AO777" s="264"/>
      <c r="AP777" s="264"/>
      <c r="AQ777" s="264"/>
      <c r="AR777" s="264"/>
      <c r="AS777" s="264"/>
      <c r="AT777" s="264"/>
      <c r="AU777" s="264"/>
      <c r="AV777" s="264"/>
      <c r="AW777" s="264"/>
      <c r="AX777" s="264"/>
      <c r="AY777" s="264"/>
      <c r="AZ777" s="264"/>
      <c r="BA777" s="264"/>
    </row>
    <row r="778" spans="1:53" x14ac:dyDescent="0.15">
      <c r="A778" s="264"/>
      <c r="B778" s="264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  <c r="AA778" s="264"/>
      <c r="AB778" s="264"/>
      <c r="AC778" s="264"/>
      <c r="AD778" s="264"/>
      <c r="AE778" s="264"/>
      <c r="AF778" s="264"/>
      <c r="AG778" s="264"/>
      <c r="AH778" s="263"/>
      <c r="AI778" s="264"/>
      <c r="AJ778" s="264"/>
      <c r="AK778" s="264"/>
      <c r="AL778" s="264"/>
      <c r="AM778" s="264"/>
      <c r="AN778" s="264"/>
      <c r="AO778" s="264"/>
      <c r="AP778" s="264"/>
      <c r="AQ778" s="264"/>
      <c r="AR778" s="264"/>
      <c r="AS778" s="264"/>
      <c r="AT778" s="264"/>
      <c r="AU778" s="264"/>
      <c r="AV778" s="264"/>
      <c r="AW778" s="264"/>
      <c r="AX778" s="264"/>
      <c r="AY778" s="264"/>
      <c r="AZ778" s="264"/>
      <c r="BA778" s="264"/>
    </row>
    <row r="779" spans="1:53" x14ac:dyDescent="0.15">
      <c r="A779" s="264"/>
      <c r="B779" s="264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  <c r="AA779" s="264"/>
      <c r="AB779" s="264"/>
      <c r="AC779" s="264"/>
      <c r="AD779" s="264"/>
      <c r="AE779" s="264"/>
      <c r="AF779" s="264"/>
      <c r="AG779" s="264"/>
      <c r="AH779" s="263"/>
      <c r="AI779" s="264"/>
      <c r="AJ779" s="264"/>
      <c r="AK779" s="264"/>
      <c r="AL779" s="264"/>
      <c r="AM779" s="264"/>
      <c r="AN779" s="264"/>
      <c r="AO779" s="264"/>
      <c r="AP779" s="264"/>
      <c r="AQ779" s="264"/>
      <c r="AR779" s="264"/>
      <c r="AS779" s="264"/>
      <c r="AT779" s="264"/>
      <c r="AU779" s="264"/>
      <c r="AV779" s="264"/>
      <c r="AW779" s="264"/>
      <c r="AX779" s="264"/>
      <c r="AY779" s="264"/>
      <c r="AZ779" s="264"/>
      <c r="BA779" s="264"/>
    </row>
    <row r="780" spans="1:53" x14ac:dyDescent="0.15">
      <c r="A780" s="264"/>
      <c r="B780" s="264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  <c r="AA780" s="264"/>
      <c r="AB780" s="264"/>
      <c r="AC780" s="264"/>
      <c r="AD780" s="264"/>
      <c r="AE780" s="264"/>
      <c r="AF780" s="264"/>
      <c r="AG780" s="264"/>
      <c r="AH780" s="263"/>
      <c r="AI780" s="264"/>
      <c r="AJ780" s="264"/>
      <c r="AK780" s="264"/>
      <c r="AL780" s="264"/>
      <c r="AM780" s="264"/>
      <c r="AN780" s="264"/>
      <c r="AO780" s="264"/>
      <c r="AP780" s="264"/>
      <c r="AQ780" s="264"/>
      <c r="AR780" s="264"/>
      <c r="AS780" s="264"/>
      <c r="AT780" s="264"/>
      <c r="AU780" s="264"/>
      <c r="AV780" s="264"/>
      <c r="AW780" s="264"/>
      <c r="AX780" s="264"/>
      <c r="AY780" s="264"/>
      <c r="AZ780" s="264"/>
      <c r="BA780" s="264"/>
    </row>
    <row r="781" spans="1:53" x14ac:dyDescent="0.15">
      <c r="A781" s="264"/>
      <c r="B781" s="264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  <c r="AA781" s="264"/>
      <c r="AB781" s="264"/>
      <c r="AC781" s="264"/>
      <c r="AD781" s="264"/>
      <c r="AE781" s="264"/>
      <c r="AF781" s="264"/>
      <c r="AG781" s="264"/>
      <c r="AH781" s="263"/>
      <c r="AI781" s="264"/>
      <c r="AJ781" s="264"/>
      <c r="AK781" s="264"/>
      <c r="AL781" s="264"/>
      <c r="AM781" s="264"/>
      <c r="AN781" s="264"/>
      <c r="AO781" s="264"/>
      <c r="AP781" s="264"/>
      <c r="AQ781" s="264"/>
      <c r="AR781" s="264"/>
      <c r="AS781" s="264"/>
      <c r="AT781" s="264"/>
      <c r="AU781" s="264"/>
      <c r="AV781" s="264"/>
      <c r="AW781" s="264"/>
      <c r="AX781" s="264"/>
      <c r="AY781" s="264"/>
      <c r="AZ781" s="264"/>
      <c r="BA781" s="264"/>
    </row>
    <row r="782" spans="1:53" x14ac:dyDescent="0.15">
      <c r="A782" s="264"/>
      <c r="B782" s="264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  <c r="AA782" s="264"/>
      <c r="AB782" s="264"/>
      <c r="AC782" s="264"/>
      <c r="AD782" s="264"/>
      <c r="AE782" s="264"/>
      <c r="AF782" s="264"/>
      <c r="AG782" s="264"/>
      <c r="AH782" s="263"/>
      <c r="AI782" s="264"/>
      <c r="AJ782" s="264"/>
      <c r="AK782" s="264"/>
      <c r="AL782" s="264"/>
      <c r="AM782" s="264"/>
      <c r="AN782" s="264"/>
      <c r="AO782" s="264"/>
      <c r="AP782" s="264"/>
      <c r="AQ782" s="264"/>
      <c r="AR782" s="264"/>
      <c r="AS782" s="264"/>
      <c r="AT782" s="264"/>
      <c r="AU782" s="264"/>
      <c r="AV782" s="264"/>
      <c r="AW782" s="264"/>
      <c r="AX782" s="264"/>
      <c r="AY782" s="264"/>
      <c r="AZ782" s="264"/>
      <c r="BA782" s="264"/>
    </row>
    <row r="783" spans="1:53" x14ac:dyDescent="0.15">
      <c r="A783" s="264"/>
      <c r="B783" s="264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  <c r="AA783" s="264"/>
      <c r="AB783" s="264"/>
      <c r="AC783" s="264"/>
      <c r="AD783" s="264"/>
      <c r="AE783" s="264"/>
      <c r="AF783" s="264"/>
      <c r="AG783" s="264"/>
      <c r="AH783" s="263"/>
      <c r="AI783" s="264"/>
      <c r="AJ783" s="264"/>
      <c r="AK783" s="264"/>
      <c r="AL783" s="264"/>
      <c r="AM783" s="264"/>
      <c r="AN783" s="264"/>
      <c r="AO783" s="264"/>
      <c r="AP783" s="264"/>
      <c r="AQ783" s="264"/>
      <c r="AR783" s="264"/>
      <c r="AS783" s="264"/>
      <c r="AT783" s="264"/>
      <c r="AU783" s="264"/>
      <c r="AV783" s="264"/>
      <c r="AW783" s="264"/>
      <c r="AX783" s="264"/>
      <c r="AY783" s="264"/>
      <c r="AZ783" s="264"/>
      <c r="BA783" s="264"/>
    </row>
    <row r="784" spans="1:53" x14ac:dyDescent="0.15">
      <c r="A784" s="264"/>
      <c r="B784" s="264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  <c r="AA784" s="264"/>
      <c r="AB784" s="264"/>
      <c r="AC784" s="264"/>
      <c r="AD784" s="264"/>
      <c r="AE784" s="264"/>
      <c r="AF784" s="264"/>
      <c r="AG784" s="264"/>
      <c r="AH784" s="263"/>
      <c r="AI784" s="264"/>
      <c r="AJ784" s="264"/>
      <c r="AK784" s="264"/>
      <c r="AL784" s="264"/>
      <c r="AM784" s="264"/>
      <c r="AN784" s="264"/>
      <c r="AO784" s="264"/>
      <c r="AP784" s="264"/>
      <c r="AQ784" s="264"/>
      <c r="AR784" s="264"/>
      <c r="AS784" s="264"/>
      <c r="AT784" s="264"/>
      <c r="AU784" s="264"/>
      <c r="AV784" s="264"/>
      <c r="AW784" s="264"/>
      <c r="AX784" s="264"/>
      <c r="AY784" s="264"/>
      <c r="AZ784" s="264"/>
      <c r="BA784" s="264"/>
    </row>
    <row r="785" spans="1:53" x14ac:dyDescent="0.15">
      <c r="A785" s="264"/>
      <c r="B785" s="264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  <c r="AA785" s="264"/>
      <c r="AB785" s="264"/>
      <c r="AC785" s="264"/>
      <c r="AD785" s="264"/>
      <c r="AE785" s="264"/>
      <c r="AF785" s="264"/>
      <c r="AG785" s="264"/>
      <c r="AH785" s="263"/>
      <c r="AI785" s="264"/>
      <c r="AJ785" s="264"/>
      <c r="AK785" s="264"/>
      <c r="AL785" s="264"/>
      <c r="AM785" s="264"/>
      <c r="AN785" s="264"/>
      <c r="AO785" s="264"/>
      <c r="AP785" s="264"/>
      <c r="AQ785" s="264"/>
      <c r="AR785" s="264"/>
      <c r="AS785" s="264"/>
      <c r="AT785" s="264"/>
      <c r="AU785" s="264"/>
      <c r="AV785" s="264"/>
      <c r="AW785" s="264"/>
      <c r="AX785" s="264"/>
      <c r="AY785" s="264"/>
      <c r="AZ785" s="264"/>
      <c r="BA785" s="264"/>
    </row>
    <row r="786" spans="1:53" x14ac:dyDescent="0.15">
      <c r="A786" s="264"/>
      <c r="B786" s="264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  <c r="AA786" s="264"/>
      <c r="AB786" s="264"/>
      <c r="AC786" s="264"/>
      <c r="AD786" s="264"/>
      <c r="AE786" s="264"/>
      <c r="AF786" s="264"/>
      <c r="AG786" s="264"/>
      <c r="AH786" s="263"/>
      <c r="AI786" s="264"/>
      <c r="AJ786" s="264"/>
      <c r="AK786" s="264"/>
      <c r="AL786" s="264"/>
      <c r="AM786" s="264"/>
      <c r="AN786" s="264"/>
      <c r="AO786" s="264"/>
      <c r="AP786" s="264"/>
      <c r="AQ786" s="264"/>
      <c r="AR786" s="264"/>
      <c r="AS786" s="264"/>
      <c r="AT786" s="264"/>
      <c r="AU786" s="264"/>
      <c r="AV786" s="264"/>
      <c r="AW786" s="264"/>
      <c r="AX786" s="264"/>
      <c r="AY786" s="264"/>
      <c r="AZ786" s="264"/>
      <c r="BA786" s="264"/>
    </row>
    <row r="787" spans="1:53" x14ac:dyDescent="0.15">
      <c r="A787" s="264"/>
      <c r="B787" s="264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  <c r="AA787" s="264"/>
      <c r="AB787" s="264"/>
      <c r="AC787" s="264"/>
      <c r="AD787" s="264"/>
      <c r="AE787" s="264"/>
      <c r="AF787" s="264"/>
      <c r="AG787" s="264"/>
      <c r="AH787" s="263"/>
      <c r="AI787" s="264"/>
      <c r="AJ787" s="264"/>
      <c r="AK787" s="264"/>
      <c r="AL787" s="264"/>
      <c r="AM787" s="264"/>
      <c r="AN787" s="264"/>
      <c r="AO787" s="264"/>
      <c r="AP787" s="264"/>
      <c r="AQ787" s="264"/>
      <c r="AR787" s="264"/>
      <c r="AS787" s="264"/>
      <c r="AT787" s="264"/>
      <c r="AU787" s="264"/>
      <c r="AV787" s="264"/>
      <c r="AW787" s="264"/>
      <c r="AX787" s="264"/>
      <c r="AY787" s="264"/>
      <c r="AZ787" s="264"/>
      <c r="BA787" s="264"/>
    </row>
    <row r="788" spans="1:53" x14ac:dyDescent="0.15">
      <c r="A788" s="264"/>
      <c r="B788" s="264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  <c r="AA788" s="264"/>
      <c r="AB788" s="264"/>
      <c r="AC788" s="264"/>
      <c r="AD788" s="264"/>
      <c r="AE788" s="264"/>
      <c r="AF788" s="264"/>
      <c r="AG788" s="264"/>
      <c r="AH788" s="263"/>
      <c r="AI788" s="264"/>
      <c r="AJ788" s="264"/>
      <c r="AK788" s="264"/>
      <c r="AL788" s="264"/>
      <c r="AM788" s="264"/>
      <c r="AN788" s="264"/>
      <c r="AO788" s="264"/>
      <c r="AP788" s="264"/>
      <c r="AQ788" s="264"/>
      <c r="AR788" s="264"/>
      <c r="AS788" s="264"/>
      <c r="AT788" s="264"/>
      <c r="AU788" s="264"/>
      <c r="AV788" s="264"/>
      <c r="AW788" s="264"/>
      <c r="AX788" s="264"/>
      <c r="AY788" s="264"/>
      <c r="AZ788" s="264"/>
      <c r="BA788" s="264"/>
    </row>
    <row r="789" spans="1:53" x14ac:dyDescent="0.15">
      <c r="A789" s="264"/>
      <c r="B789" s="264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  <c r="AA789" s="264"/>
      <c r="AB789" s="264"/>
      <c r="AC789" s="264"/>
      <c r="AD789" s="264"/>
      <c r="AE789" s="264"/>
      <c r="AF789" s="264"/>
      <c r="AG789" s="264"/>
      <c r="AH789" s="263"/>
      <c r="AI789" s="264"/>
      <c r="AJ789" s="264"/>
      <c r="AK789" s="264"/>
      <c r="AL789" s="264"/>
      <c r="AM789" s="264"/>
      <c r="AN789" s="264"/>
      <c r="AO789" s="264"/>
      <c r="AP789" s="264"/>
      <c r="AQ789" s="264"/>
      <c r="AR789" s="264"/>
      <c r="AS789" s="264"/>
      <c r="AT789" s="264"/>
      <c r="AU789" s="264"/>
      <c r="AV789" s="264"/>
      <c r="AW789" s="264"/>
      <c r="AX789" s="264"/>
      <c r="AY789" s="264"/>
      <c r="AZ789" s="264"/>
      <c r="BA789" s="264"/>
    </row>
    <row r="790" spans="1:53" x14ac:dyDescent="0.15">
      <c r="A790" s="264"/>
      <c r="B790" s="264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  <c r="AA790" s="264"/>
      <c r="AB790" s="264"/>
      <c r="AC790" s="264"/>
      <c r="AD790" s="264"/>
      <c r="AE790" s="264"/>
      <c r="AF790" s="264"/>
      <c r="AG790" s="264"/>
      <c r="AH790" s="263"/>
      <c r="AI790" s="264"/>
      <c r="AJ790" s="264"/>
      <c r="AK790" s="264"/>
      <c r="AL790" s="264"/>
      <c r="AM790" s="264"/>
      <c r="AN790" s="264"/>
      <c r="AO790" s="264"/>
      <c r="AP790" s="264"/>
      <c r="AQ790" s="264"/>
      <c r="AR790" s="264"/>
      <c r="AS790" s="264"/>
      <c r="AT790" s="264"/>
      <c r="AU790" s="264"/>
      <c r="AV790" s="264"/>
      <c r="AW790" s="264"/>
      <c r="AX790" s="264"/>
      <c r="AY790" s="264"/>
      <c r="AZ790" s="264"/>
      <c r="BA790" s="264"/>
    </row>
    <row r="791" spans="1:53" x14ac:dyDescent="0.15">
      <c r="A791" s="264"/>
      <c r="B791" s="264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  <c r="AA791" s="264"/>
      <c r="AB791" s="264"/>
      <c r="AC791" s="264"/>
      <c r="AD791" s="264"/>
      <c r="AE791" s="264"/>
      <c r="AF791" s="264"/>
      <c r="AG791" s="264"/>
      <c r="AH791" s="263"/>
      <c r="AI791" s="264"/>
      <c r="AJ791" s="264"/>
      <c r="AK791" s="264"/>
      <c r="AL791" s="264"/>
      <c r="AM791" s="264"/>
      <c r="AN791" s="264"/>
      <c r="AO791" s="264"/>
      <c r="AP791" s="264"/>
      <c r="AQ791" s="264"/>
      <c r="AR791" s="264"/>
      <c r="AS791" s="264"/>
      <c r="AT791" s="264"/>
      <c r="AU791" s="264"/>
      <c r="AV791" s="264"/>
      <c r="AW791" s="264"/>
      <c r="AX791" s="264"/>
      <c r="AY791" s="264"/>
      <c r="AZ791" s="264"/>
      <c r="BA791" s="264"/>
    </row>
    <row r="792" spans="1:53" x14ac:dyDescent="0.15">
      <c r="A792" s="264"/>
      <c r="B792" s="264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  <c r="AA792" s="264"/>
      <c r="AB792" s="264"/>
      <c r="AC792" s="264"/>
      <c r="AD792" s="264"/>
      <c r="AE792" s="264"/>
      <c r="AF792" s="264"/>
      <c r="AG792" s="264"/>
      <c r="AH792" s="263"/>
      <c r="AI792" s="264"/>
      <c r="AJ792" s="264"/>
      <c r="AK792" s="264"/>
      <c r="AL792" s="264"/>
      <c r="AM792" s="264"/>
      <c r="AN792" s="264"/>
      <c r="AO792" s="264"/>
      <c r="AP792" s="264"/>
      <c r="AQ792" s="264"/>
      <c r="AR792" s="264"/>
      <c r="AS792" s="264"/>
      <c r="AT792" s="264"/>
      <c r="AU792" s="264"/>
      <c r="AV792" s="264"/>
      <c r="AW792" s="264"/>
      <c r="AX792" s="264"/>
      <c r="AY792" s="264"/>
      <c r="AZ792" s="264"/>
      <c r="BA792" s="264"/>
    </row>
    <row r="793" spans="1:53" x14ac:dyDescent="0.15">
      <c r="A793" s="264"/>
      <c r="B793" s="264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  <c r="AA793" s="264"/>
      <c r="AB793" s="264"/>
      <c r="AC793" s="264"/>
      <c r="AD793" s="264"/>
      <c r="AE793" s="264"/>
      <c r="AF793" s="264"/>
      <c r="AG793" s="264"/>
      <c r="AH793" s="263"/>
      <c r="AI793" s="264"/>
      <c r="AJ793" s="264"/>
      <c r="AK793" s="264"/>
      <c r="AL793" s="264"/>
      <c r="AM793" s="264"/>
      <c r="AN793" s="264"/>
      <c r="AO793" s="264"/>
      <c r="AP793" s="264"/>
      <c r="AQ793" s="264"/>
      <c r="AR793" s="264"/>
      <c r="AS793" s="264"/>
      <c r="AT793" s="264"/>
      <c r="AU793" s="264"/>
      <c r="AV793" s="264"/>
      <c r="AW793" s="264"/>
      <c r="AX793" s="264"/>
      <c r="AY793" s="264"/>
      <c r="AZ793" s="264"/>
      <c r="BA793" s="264"/>
    </row>
    <row r="794" spans="1:53" x14ac:dyDescent="0.15">
      <c r="A794" s="264"/>
      <c r="B794" s="264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  <c r="AA794" s="264"/>
      <c r="AB794" s="264"/>
      <c r="AC794" s="264"/>
      <c r="AD794" s="264"/>
      <c r="AE794" s="264"/>
      <c r="AF794" s="264"/>
      <c r="AG794" s="264"/>
      <c r="AH794" s="263"/>
      <c r="AI794" s="264"/>
      <c r="AJ794" s="264"/>
      <c r="AK794" s="264"/>
      <c r="AL794" s="264"/>
      <c r="AM794" s="264"/>
      <c r="AN794" s="264"/>
      <c r="AO794" s="264"/>
      <c r="AP794" s="264"/>
      <c r="AQ794" s="264"/>
      <c r="AR794" s="264"/>
      <c r="AS794" s="264"/>
      <c r="AT794" s="264"/>
      <c r="AU794" s="264"/>
      <c r="AV794" s="264"/>
      <c r="AW794" s="264"/>
      <c r="AX794" s="264"/>
      <c r="AY794" s="264"/>
      <c r="AZ794" s="264"/>
      <c r="BA794" s="264"/>
    </row>
    <row r="795" spans="1:53" x14ac:dyDescent="0.15">
      <c r="A795" s="264"/>
      <c r="B795" s="264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  <c r="AA795" s="264"/>
      <c r="AB795" s="264"/>
      <c r="AC795" s="264"/>
      <c r="AD795" s="264"/>
      <c r="AE795" s="264"/>
      <c r="AF795" s="264"/>
      <c r="AG795" s="264"/>
      <c r="AH795" s="263"/>
      <c r="AI795" s="264"/>
      <c r="AJ795" s="264"/>
      <c r="AK795" s="264"/>
      <c r="AL795" s="264"/>
      <c r="AM795" s="264"/>
      <c r="AN795" s="264"/>
      <c r="AO795" s="264"/>
      <c r="AP795" s="264"/>
      <c r="AQ795" s="264"/>
      <c r="AR795" s="264"/>
      <c r="AS795" s="264"/>
      <c r="AT795" s="264"/>
      <c r="AU795" s="264"/>
      <c r="AV795" s="264"/>
      <c r="AW795" s="264"/>
      <c r="AX795" s="264"/>
      <c r="AY795" s="264"/>
      <c r="AZ795" s="264"/>
      <c r="BA795" s="264"/>
    </row>
    <row r="796" spans="1:53" x14ac:dyDescent="0.15">
      <c r="A796" s="264"/>
      <c r="B796" s="264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  <c r="AA796" s="264"/>
      <c r="AB796" s="264"/>
      <c r="AC796" s="264"/>
      <c r="AD796" s="264"/>
      <c r="AE796" s="264"/>
      <c r="AF796" s="264"/>
      <c r="AG796" s="264"/>
      <c r="AH796" s="263"/>
      <c r="AI796" s="264"/>
      <c r="AJ796" s="264"/>
      <c r="AK796" s="264"/>
      <c r="AL796" s="264"/>
      <c r="AM796" s="264"/>
      <c r="AN796" s="264"/>
      <c r="AO796" s="264"/>
      <c r="AP796" s="264"/>
      <c r="AQ796" s="264"/>
      <c r="AR796" s="264"/>
      <c r="AS796" s="264"/>
      <c r="AT796" s="264"/>
      <c r="AU796" s="264"/>
      <c r="AV796" s="264"/>
      <c r="AW796" s="264"/>
      <c r="AX796" s="264"/>
      <c r="AY796" s="264"/>
      <c r="AZ796" s="264"/>
      <c r="BA796" s="264"/>
    </row>
    <row r="797" spans="1:53" x14ac:dyDescent="0.15">
      <c r="A797" s="264"/>
      <c r="B797" s="264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  <c r="AA797" s="264"/>
      <c r="AB797" s="264"/>
      <c r="AC797" s="264"/>
      <c r="AD797" s="264"/>
      <c r="AE797" s="264"/>
      <c r="AF797" s="264"/>
      <c r="AG797" s="264"/>
      <c r="AH797" s="263"/>
      <c r="AI797" s="264"/>
      <c r="AJ797" s="264"/>
      <c r="AK797" s="264"/>
      <c r="AL797" s="264"/>
      <c r="AM797" s="264"/>
      <c r="AN797" s="264"/>
      <c r="AO797" s="264"/>
      <c r="AP797" s="264"/>
      <c r="AQ797" s="264"/>
      <c r="AR797" s="264"/>
      <c r="AS797" s="264"/>
      <c r="AT797" s="264"/>
      <c r="AU797" s="264"/>
      <c r="AV797" s="264"/>
      <c r="AW797" s="264"/>
      <c r="AX797" s="264"/>
      <c r="AY797" s="264"/>
      <c r="AZ797" s="264"/>
      <c r="BA797" s="264"/>
    </row>
    <row r="798" spans="1:53" x14ac:dyDescent="0.15">
      <c r="A798" s="264"/>
      <c r="B798" s="264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  <c r="AA798" s="264"/>
      <c r="AB798" s="264"/>
      <c r="AC798" s="264"/>
      <c r="AD798" s="264"/>
      <c r="AE798" s="264"/>
      <c r="AF798" s="264"/>
      <c r="AG798" s="264"/>
      <c r="AH798" s="263"/>
      <c r="AI798" s="264"/>
      <c r="AJ798" s="264"/>
      <c r="AK798" s="264"/>
      <c r="AL798" s="264"/>
      <c r="AM798" s="264"/>
      <c r="AN798" s="264"/>
      <c r="AO798" s="264"/>
      <c r="AP798" s="264"/>
      <c r="AQ798" s="264"/>
      <c r="AR798" s="264"/>
      <c r="AS798" s="264"/>
      <c r="AT798" s="264"/>
      <c r="AU798" s="264"/>
      <c r="AV798" s="264"/>
      <c r="AW798" s="264"/>
      <c r="AX798" s="264"/>
      <c r="AY798" s="264"/>
      <c r="AZ798" s="264"/>
      <c r="BA798" s="264"/>
    </row>
    <row r="799" spans="1:53" x14ac:dyDescent="0.15">
      <c r="A799" s="264"/>
      <c r="B799" s="264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  <c r="AA799" s="264"/>
      <c r="AB799" s="264"/>
      <c r="AC799" s="264"/>
      <c r="AD799" s="264"/>
      <c r="AE799" s="264"/>
      <c r="AF799" s="264"/>
      <c r="AG799" s="264"/>
      <c r="AH799" s="263"/>
      <c r="AI799" s="264"/>
      <c r="AJ799" s="264"/>
      <c r="AK799" s="264"/>
      <c r="AL799" s="264"/>
      <c r="AM799" s="264"/>
      <c r="AN799" s="264"/>
      <c r="AO799" s="264"/>
      <c r="AP799" s="264"/>
      <c r="AQ799" s="264"/>
      <c r="AR799" s="264"/>
      <c r="AS799" s="264"/>
      <c r="AT799" s="264"/>
      <c r="AU799" s="264"/>
      <c r="AV799" s="264"/>
      <c r="AW799" s="264"/>
      <c r="AX799" s="264"/>
      <c r="AY799" s="264"/>
      <c r="AZ799" s="264"/>
      <c r="BA799" s="264"/>
    </row>
    <row r="800" spans="1:53" x14ac:dyDescent="0.15">
      <c r="A800" s="264"/>
      <c r="B800" s="264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  <c r="AA800" s="264"/>
      <c r="AB800" s="264"/>
      <c r="AC800" s="264"/>
      <c r="AD800" s="264"/>
      <c r="AE800" s="264"/>
      <c r="AF800" s="264"/>
      <c r="AG800" s="264"/>
      <c r="AH800" s="263"/>
      <c r="AI800" s="264"/>
      <c r="AJ800" s="264"/>
      <c r="AK800" s="264"/>
      <c r="AL800" s="264"/>
      <c r="AM800" s="264"/>
      <c r="AN800" s="264"/>
      <c r="AO800" s="264"/>
      <c r="AP800" s="264"/>
      <c r="AQ800" s="264"/>
      <c r="AR800" s="264"/>
      <c r="AS800" s="264"/>
      <c r="AT800" s="264"/>
      <c r="AU800" s="264"/>
      <c r="AV800" s="264"/>
      <c r="AW800" s="264"/>
      <c r="AX800" s="264"/>
      <c r="AY800" s="264"/>
      <c r="AZ800" s="264"/>
      <c r="BA800" s="264"/>
    </row>
    <row r="801" spans="1:53" x14ac:dyDescent="0.15">
      <c r="A801" s="264"/>
      <c r="B801" s="264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  <c r="AA801" s="264"/>
      <c r="AB801" s="264"/>
      <c r="AC801" s="264"/>
      <c r="AD801" s="264"/>
      <c r="AE801" s="264"/>
      <c r="AF801" s="264"/>
      <c r="AG801" s="264"/>
      <c r="AH801" s="263"/>
      <c r="AI801" s="264"/>
      <c r="AJ801" s="264"/>
      <c r="AK801" s="264"/>
      <c r="AL801" s="264"/>
      <c r="AM801" s="264"/>
      <c r="AN801" s="264"/>
      <c r="AO801" s="264"/>
      <c r="AP801" s="264"/>
      <c r="AQ801" s="264"/>
      <c r="AR801" s="264"/>
      <c r="AS801" s="264"/>
      <c r="AT801" s="264"/>
      <c r="AU801" s="264"/>
      <c r="AV801" s="264"/>
      <c r="AW801" s="264"/>
      <c r="AX801" s="264"/>
      <c r="AY801" s="264"/>
      <c r="AZ801" s="264"/>
      <c r="BA801" s="264"/>
    </row>
    <row r="802" spans="1:53" x14ac:dyDescent="0.15">
      <c r="A802" s="264"/>
      <c r="B802" s="264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  <c r="AA802" s="264"/>
      <c r="AB802" s="264"/>
      <c r="AC802" s="264"/>
      <c r="AD802" s="264"/>
      <c r="AE802" s="264"/>
      <c r="AF802" s="264"/>
      <c r="AG802" s="264"/>
      <c r="AH802" s="263"/>
      <c r="AI802" s="264"/>
      <c r="AJ802" s="264"/>
      <c r="AK802" s="264"/>
      <c r="AL802" s="264"/>
      <c r="AM802" s="264"/>
      <c r="AN802" s="264"/>
      <c r="AO802" s="264"/>
      <c r="AP802" s="264"/>
      <c r="AQ802" s="264"/>
      <c r="AR802" s="264"/>
      <c r="AS802" s="264"/>
      <c r="AT802" s="264"/>
      <c r="AU802" s="264"/>
      <c r="AV802" s="264"/>
      <c r="AW802" s="264"/>
      <c r="AX802" s="264"/>
      <c r="AY802" s="264"/>
      <c r="AZ802" s="264"/>
      <c r="BA802" s="264"/>
    </row>
    <row r="803" spans="1:53" x14ac:dyDescent="0.15">
      <c r="A803" s="264"/>
      <c r="B803" s="264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  <c r="AA803" s="264"/>
      <c r="AB803" s="264"/>
      <c r="AC803" s="264"/>
      <c r="AD803" s="264"/>
      <c r="AE803" s="264"/>
      <c r="AF803" s="264"/>
      <c r="AG803" s="264"/>
      <c r="AH803" s="263"/>
      <c r="AI803" s="264"/>
      <c r="AJ803" s="264"/>
      <c r="AK803" s="264"/>
      <c r="AL803" s="264"/>
      <c r="AM803" s="264"/>
      <c r="AN803" s="264"/>
      <c r="AO803" s="264"/>
      <c r="AP803" s="264"/>
      <c r="AQ803" s="264"/>
      <c r="AR803" s="264"/>
      <c r="AS803" s="264"/>
      <c r="AT803" s="264"/>
      <c r="AU803" s="264"/>
      <c r="AV803" s="264"/>
      <c r="AW803" s="264"/>
      <c r="AX803" s="264"/>
      <c r="AY803" s="264"/>
      <c r="AZ803" s="264"/>
      <c r="BA803" s="264"/>
    </row>
    <row r="804" spans="1:53" x14ac:dyDescent="0.15">
      <c r="A804" s="264"/>
      <c r="B804" s="264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  <c r="AA804" s="264"/>
      <c r="AB804" s="264"/>
      <c r="AC804" s="264"/>
      <c r="AD804" s="264"/>
      <c r="AE804" s="264"/>
      <c r="AF804" s="264"/>
      <c r="AG804" s="264"/>
      <c r="AH804" s="263"/>
      <c r="AI804" s="264"/>
      <c r="AJ804" s="264"/>
      <c r="AK804" s="264"/>
      <c r="AL804" s="264"/>
      <c r="AM804" s="264"/>
      <c r="AN804" s="264"/>
      <c r="AO804" s="264"/>
      <c r="AP804" s="264"/>
      <c r="AQ804" s="264"/>
      <c r="AR804" s="264"/>
      <c r="AS804" s="264"/>
      <c r="AT804" s="264"/>
      <c r="AU804" s="264"/>
      <c r="AV804" s="264"/>
      <c r="AW804" s="264"/>
      <c r="AX804" s="264"/>
      <c r="AY804" s="264"/>
      <c r="AZ804" s="264"/>
      <c r="BA804" s="264"/>
    </row>
    <row r="805" spans="1:53" x14ac:dyDescent="0.15">
      <c r="A805" s="264"/>
      <c r="B805" s="264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  <c r="AA805" s="264"/>
      <c r="AB805" s="264"/>
      <c r="AC805" s="264"/>
      <c r="AD805" s="264"/>
      <c r="AE805" s="264"/>
      <c r="AF805" s="264"/>
      <c r="AG805" s="264"/>
      <c r="AH805" s="263"/>
      <c r="AI805" s="264"/>
      <c r="AJ805" s="264"/>
      <c r="AK805" s="264"/>
      <c r="AL805" s="264"/>
      <c r="AM805" s="264"/>
      <c r="AN805" s="264"/>
      <c r="AO805" s="264"/>
      <c r="AP805" s="264"/>
      <c r="AQ805" s="264"/>
      <c r="AR805" s="264"/>
      <c r="AS805" s="264"/>
      <c r="AT805" s="264"/>
      <c r="AU805" s="264"/>
      <c r="AV805" s="264"/>
      <c r="AW805" s="264"/>
      <c r="AX805" s="264"/>
      <c r="AY805" s="264"/>
      <c r="AZ805" s="264"/>
      <c r="BA805" s="264"/>
    </row>
    <row r="806" spans="1:53" x14ac:dyDescent="0.15">
      <c r="A806" s="264"/>
      <c r="B806" s="264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  <c r="AA806" s="264"/>
      <c r="AB806" s="264"/>
      <c r="AC806" s="264"/>
      <c r="AD806" s="264"/>
      <c r="AE806" s="264"/>
      <c r="AF806" s="264"/>
      <c r="AG806" s="264"/>
      <c r="AH806" s="263"/>
      <c r="AI806" s="264"/>
      <c r="AJ806" s="264"/>
      <c r="AK806" s="264"/>
      <c r="AL806" s="264"/>
      <c r="AM806" s="264"/>
      <c r="AN806" s="264"/>
      <c r="AO806" s="264"/>
      <c r="AP806" s="264"/>
      <c r="AQ806" s="264"/>
      <c r="AR806" s="264"/>
      <c r="AS806" s="264"/>
      <c r="AT806" s="264"/>
      <c r="AU806" s="264"/>
      <c r="AV806" s="264"/>
      <c r="AW806" s="264"/>
      <c r="AX806" s="264"/>
      <c r="AY806" s="264"/>
      <c r="AZ806" s="264"/>
      <c r="BA806" s="264"/>
    </row>
    <row r="807" spans="1:53" x14ac:dyDescent="0.15">
      <c r="A807" s="264"/>
      <c r="B807" s="264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  <c r="AA807" s="264"/>
      <c r="AB807" s="264"/>
      <c r="AC807" s="264"/>
      <c r="AD807" s="264"/>
      <c r="AE807" s="264"/>
      <c r="AF807" s="264"/>
      <c r="AG807" s="264"/>
      <c r="AH807" s="263"/>
      <c r="AI807" s="264"/>
      <c r="AJ807" s="264"/>
      <c r="AK807" s="264"/>
      <c r="AL807" s="264"/>
      <c r="AM807" s="264"/>
      <c r="AN807" s="264"/>
      <c r="AO807" s="264"/>
      <c r="AP807" s="264"/>
      <c r="AQ807" s="264"/>
      <c r="AR807" s="264"/>
      <c r="AS807" s="264"/>
      <c r="AT807" s="264"/>
      <c r="AU807" s="264"/>
      <c r="AV807" s="264"/>
      <c r="AW807" s="264"/>
      <c r="AX807" s="264"/>
      <c r="AY807" s="264"/>
      <c r="AZ807" s="264"/>
      <c r="BA807" s="264"/>
    </row>
    <row r="808" spans="1:53" x14ac:dyDescent="0.15">
      <c r="A808" s="264"/>
      <c r="B808" s="264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  <c r="AA808" s="264"/>
      <c r="AB808" s="264"/>
      <c r="AC808" s="264"/>
      <c r="AD808" s="264"/>
      <c r="AE808" s="264"/>
      <c r="AF808" s="264"/>
      <c r="AG808" s="264"/>
      <c r="AH808" s="263"/>
      <c r="AI808" s="264"/>
      <c r="AJ808" s="264"/>
      <c r="AK808" s="264"/>
      <c r="AL808" s="264"/>
      <c r="AM808" s="264"/>
      <c r="AN808" s="264"/>
      <c r="AO808" s="264"/>
      <c r="AP808" s="264"/>
      <c r="AQ808" s="264"/>
      <c r="AR808" s="264"/>
      <c r="AS808" s="264"/>
      <c r="AT808" s="264"/>
      <c r="AU808" s="264"/>
      <c r="AV808" s="264"/>
      <c r="AW808" s="264"/>
      <c r="AX808" s="264"/>
      <c r="AY808" s="264"/>
      <c r="AZ808" s="264"/>
      <c r="BA808" s="264"/>
    </row>
    <row r="809" spans="1:53" x14ac:dyDescent="0.15">
      <c r="A809" s="264"/>
      <c r="B809" s="264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  <c r="AA809" s="264"/>
      <c r="AB809" s="264"/>
      <c r="AC809" s="264"/>
      <c r="AD809" s="264"/>
      <c r="AE809" s="264"/>
      <c r="AF809" s="264"/>
      <c r="AG809" s="264"/>
      <c r="AH809" s="263"/>
      <c r="AI809" s="264"/>
      <c r="AJ809" s="264"/>
      <c r="AK809" s="264"/>
      <c r="AL809" s="264"/>
      <c r="AM809" s="264"/>
      <c r="AN809" s="264"/>
      <c r="AO809" s="264"/>
      <c r="AP809" s="264"/>
      <c r="AQ809" s="264"/>
      <c r="AR809" s="264"/>
      <c r="AS809" s="264"/>
      <c r="AT809" s="264"/>
      <c r="AU809" s="264"/>
      <c r="AV809" s="264"/>
      <c r="AW809" s="264"/>
      <c r="AX809" s="264"/>
      <c r="AY809" s="264"/>
      <c r="AZ809" s="264"/>
      <c r="BA809" s="264"/>
    </row>
    <row r="810" spans="1:53" x14ac:dyDescent="0.15">
      <c r="A810" s="264"/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  <c r="AA810" s="264"/>
      <c r="AB810" s="264"/>
      <c r="AC810" s="264"/>
      <c r="AD810" s="264"/>
      <c r="AE810" s="264"/>
      <c r="AF810" s="264"/>
      <c r="AG810" s="264"/>
      <c r="AH810" s="263"/>
      <c r="AI810" s="264"/>
      <c r="AJ810" s="264"/>
      <c r="AK810" s="264"/>
      <c r="AL810" s="264"/>
      <c r="AM810" s="264"/>
      <c r="AN810" s="264"/>
      <c r="AO810" s="264"/>
      <c r="AP810" s="264"/>
      <c r="AQ810" s="264"/>
      <c r="AR810" s="264"/>
      <c r="AS810" s="264"/>
      <c r="AT810" s="264"/>
      <c r="AU810" s="264"/>
      <c r="AV810" s="264"/>
      <c r="AW810" s="264"/>
      <c r="AX810" s="264"/>
      <c r="AY810" s="264"/>
      <c r="AZ810" s="264"/>
      <c r="BA810" s="264"/>
    </row>
    <row r="811" spans="1:53" x14ac:dyDescent="0.15">
      <c r="A811" s="264"/>
      <c r="B811" s="264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  <c r="AA811" s="264"/>
      <c r="AB811" s="264"/>
      <c r="AC811" s="264"/>
      <c r="AD811" s="264"/>
      <c r="AE811" s="264"/>
      <c r="AF811" s="264"/>
      <c r="AG811" s="264"/>
      <c r="AH811" s="263"/>
      <c r="AI811" s="264"/>
      <c r="AJ811" s="264"/>
      <c r="AK811" s="264"/>
      <c r="AL811" s="264"/>
      <c r="AM811" s="264"/>
      <c r="AN811" s="264"/>
      <c r="AO811" s="264"/>
      <c r="AP811" s="264"/>
      <c r="AQ811" s="264"/>
      <c r="AR811" s="264"/>
      <c r="AS811" s="264"/>
      <c r="AT811" s="264"/>
      <c r="AU811" s="264"/>
      <c r="AV811" s="264"/>
      <c r="AW811" s="264"/>
      <c r="AX811" s="264"/>
      <c r="AY811" s="264"/>
      <c r="AZ811" s="264"/>
      <c r="BA811" s="264"/>
    </row>
    <row r="812" spans="1:53" x14ac:dyDescent="0.15">
      <c r="A812" s="264"/>
      <c r="B812" s="264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  <c r="AA812" s="264"/>
      <c r="AB812" s="264"/>
      <c r="AC812" s="264"/>
      <c r="AD812" s="264"/>
      <c r="AE812" s="264"/>
      <c r="AF812" s="264"/>
      <c r="AG812" s="264"/>
      <c r="AH812" s="263"/>
      <c r="AI812" s="264"/>
      <c r="AJ812" s="264"/>
      <c r="AK812" s="264"/>
      <c r="AL812" s="264"/>
      <c r="AM812" s="264"/>
      <c r="AN812" s="264"/>
      <c r="AO812" s="264"/>
      <c r="AP812" s="264"/>
      <c r="AQ812" s="264"/>
      <c r="AR812" s="264"/>
      <c r="AS812" s="264"/>
      <c r="AT812" s="264"/>
      <c r="AU812" s="264"/>
      <c r="AV812" s="264"/>
      <c r="AW812" s="264"/>
      <c r="AX812" s="264"/>
      <c r="AY812" s="264"/>
      <c r="AZ812" s="264"/>
      <c r="BA812" s="264"/>
    </row>
    <row r="813" spans="1:53" x14ac:dyDescent="0.15">
      <c r="A813" s="264"/>
      <c r="B813" s="264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  <c r="AA813" s="264"/>
      <c r="AB813" s="264"/>
      <c r="AC813" s="264"/>
      <c r="AD813" s="264"/>
      <c r="AE813" s="264"/>
      <c r="AF813" s="264"/>
      <c r="AG813" s="264"/>
      <c r="AH813" s="263"/>
      <c r="AI813" s="264"/>
      <c r="AJ813" s="264"/>
      <c r="AK813" s="264"/>
      <c r="AL813" s="264"/>
      <c r="AM813" s="264"/>
      <c r="AN813" s="264"/>
      <c r="AO813" s="264"/>
      <c r="AP813" s="264"/>
      <c r="AQ813" s="264"/>
      <c r="AR813" s="264"/>
      <c r="AS813" s="264"/>
      <c r="AT813" s="264"/>
      <c r="AU813" s="264"/>
      <c r="AV813" s="264"/>
      <c r="AW813" s="264"/>
      <c r="AX813" s="264"/>
      <c r="AY813" s="264"/>
      <c r="AZ813" s="264"/>
      <c r="BA813" s="264"/>
    </row>
    <row r="814" spans="1:53" x14ac:dyDescent="0.15">
      <c r="A814" s="264"/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  <c r="AA814" s="264"/>
      <c r="AB814" s="264"/>
      <c r="AC814" s="264"/>
      <c r="AD814" s="264"/>
      <c r="AE814" s="264"/>
      <c r="AF814" s="264"/>
      <c r="AG814" s="264"/>
      <c r="AH814" s="263"/>
      <c r="AI814" s="264"/>
      <c r="AJ814" s="264"/>
      <c r="AK814" s="264"/>
      <c r="AL814" s="264"/>
      <c r="AM814" s="264"/>
      <c r="AN814" s="264"/>
      <c r="AO814" s="264"/>
      <c r="AP814" s="264"/>
      <c r="AQ814" s="264"/>
      <c r="AR814" s="264"/>
      <c r="AS814" s="264"/>
      <c r="AT814" s="264"/>
      <c r="AU814" s="264"/>
      <c r="AV814" s="264"/>
      <c r="AW814" s="264"/>
      <c r="AX814" s="264"/>
      <c r="AY814" s="264"/>
      <c r="AZ814" s="264"/>
      <c r="BA814" s="264"/>
    </row>
    <row r="815" spans="1:53" x14ac:dyDescent="0.15">
      <c r="A815" s="264"/>
      <c r="B815" s="264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  <c r="AA815" s="264"/>
      <c r="AB815" s="264"/>
      <c r="AC815" s="264"/>
      <c r="AD815" s="264"/>
      <c r="AE815" s="264"/>
      <c r="AF815" s="264"/>
      <c r="AG815" s="264"/>
      <c r="AH815" s="263"/>
      <c r="AI815" s="264"/>
      <c r="AJ815" s="264"/>
      <c r="AK815" s="264"/>
      <c r="AL815" s="264"/>
      <c r="AM815" s="264"/>
      <c r="AN815" s="264"/>
      <c r="AO815" s="264"/>
      <c r="AP815" s="264"/>
      <c r="AQ815" s="264"/>
      <c r="AR815" s="264"/>
      <c r="AS815" s="264"/>
      <c r="AT815" s="264"/>
      <c r="AU815" s="264"/>
      <c r="AV815" s="264"/>
      <c r="AW815" s="264"/>
      <c r="AX815" s="264"/>
      <c r="AY815" s="264"/>
      <c r="AZ815" s="264"/>
      <c r="BA815" s="264"/>
    </row>
    <row r="816" spans="1:53" x14ac:dyDescent="0.15">
      <c r="A816" s="264"/>
      <c r="B816" s="264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  <c r="AA816" s="264"/>
      <c r="AB816" s="264"/>
      <c r="AC816" s="264"/>
      <c r="AD816" s="264"/>
      <c r="AE816" s="264"/>
      <c r="AF816" s="264"/>
      <c r="AG816" s="264"/>
      <c r="AH816" s="263"/>
      <c r="AI816" s="264"/>
      <c r="AJ816" s="264"/>
      <c r="AK816" s="264"/>
      <c r="AL816" s="264"/>
      <c r="AM816" s="264"/>
      <c r="AN816" s="264"/>
      <c r="AO816" s="264"/>
      <c r="AP816" s="264"/>
      <c r="AQ816" s="264"/>
      <c r="AR816" s="264"/>
      <c r="AS816" s="264"/>
      <c r="AT816" s="264"/>
      <c r="AU816" s="264"/>
      <c r="AV816" s="264"/>
      <c r="AW816" s="264"/>
      <c r="AX816" s="264"/>
      <c r="AY816" s="264"/>
      <c r="AZ816" s="264"/>
      <c r="BA816" s="264"/>
    </row>
    <row r="817" spans="1:53" x14ac:dyDescent="0.15">
      <c r="A817" s="264"/>
      <c r="B817" s="264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  <c r="AA817" s="264"/>
      <c r="AB817" s="264"/>
      <c r="AC817" s="264"/>
      <c r="AD817" s="264"/>
      <c r="AE817" s="264"/>
      <c r="AF817" s="264"/>
      <c r="AG817" s="264"/>
      <c r="AH817" s="263"/>
      <c r="AI817" s="264"/>
      <c r="AJ817" s="264"/>
      <c r="AK817" s="264"/>
      <c r="AL817" s="264"/>
      <c r="AM817" s="264"/>
      <c r="AN817" s="264"/>
      <c r="AO817" s="264"/>
      <c r="AP817" s="264"/>
      <c r="AQ817" s="264"/>
      <c r="AR817" s="264"/>
      <c r="AS817" s="264"/>
      <c r="AT817" s="264"/>
      <c r="AU817" s="264"/>
      <c r="AV817" s="264"/>
      <c r="AW817" s="264"/>
      <c r="AX817" s="264"/>
      <c r="AY817" s="264"/>
      <c r="AZ817" s="264"/>
      <c r="BA817" s="264"/>
    </row>
    <row r="818" spans="1:53" x14ac:dyDescent="0.15">
      <c r="A818" s="264"/>
      <c r="B818" s="264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  <c r="AA818" s="264"/>
      <c r="AB818" s="264"/>
      <c r="AC818" s="264"/>
      <c r="AD818" s="264"/>
      <c r="AE818" s="264"/>
      <c r="AF818" s="264"/>
      <c r="AG818" s="264"/>
      <c r="AH818" s="263"/>
      <c r="AI818" s="264"/>
      <c r="AJ818" s="264"/>
      <c r="AK818" s="264"/>
      <c r="AL818" s="264"/>
      <c r="AM818" s="264"/>
      <c r="AN818" s="264"/>
      <c r="AO818" s="264"/>
      <c r="AP818" s="264"/>
      <c r="AQ818" s="264"/>
      <c r="AR818" s="264"/>
      <c r="AS818" s="264"/>
      <c r="AT818" s="264"/>
      <c r="AU818" s="264"/>
      <c r="AV818" s="264"/>
      <c r="AW818" s="264"/>
      <c r="AX818" s="264"/>
      <c r="AY818" s="264"/>
      <c r="AZ818" s="264"/>
      <c r="BA818" s="264"/>
    </row>
    <row r="819" spans="1:53" x14ac:dyDescent="0.15">
      <c r="A819" s="264"/>
      <c r="B819" s="264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  <c r="AA819" s="264"/>
      <c r="AB819" s="264"/>
      <c r="AC819" s="264"/>
      <c r="AD819" s="264"/>
      <c r="AE819" s="264"/>
      <c r="AF819" s="264"/>
      <c r="AG819" s="264"/>
      <c r="AH819" s="263"/>
      <c r="AI819" s="264"/>
      <c r="AJ819" s="264"/>
      <c r="AK819" s="264"/>
      <c r="AL819" s="264"/>
      <c r="AM819" s="264"/>
      <c r="AN819" s="264"/>
      <c r="AO819" s="264"/>
      <c r="AP819" s="264"/>
      <c r="AQ819" s="264"/>
      <c r="AR819" s="264"/>
      <c r="AS819" s="264"/>
      <c r="AT819" s="264"/>
      <c r="AU819" s="264"/>
      <c r="AV819" s="264"/>
      <c r="AW819" s="264"/>
      <c r="AX819" s="264"/>
      <c r="AY819" s="264"/>
      <c r="AZ819" s="264"/>
      <c r="BA819" s="264"/>
    </row>
    <row r="820" spans="1:53" x14ac:dyDescent="0.15">
      <c r="A820" s="264"/>
      <c r="B820" s="264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  <c r="AA820" s="264"/>
      <c r="AB820" s="264"/>
      <c r="AC820" s="264"/>
      <c r="AD820" s="264"/>
      <c r="AE820" s="264"/>
      <c r="AF820" s="264"/>
      <c r="AG820" s="264"/>
      <c r="AH820" s="263"/>
      <c r="AI820" s="264"/>
      <c r="AJ820" s="264"/>
      <c r="AK820" s="264"/>
      <c r="AL820" s="264"/>
      <c r="AM820" s="264"/>
      <c r="AN820" s="264"/>
      <c r="AO820" s="264"/>
      <c r="AP820" s="264"/>
      <c r="AQ820" s="264"/>
      <c r="AR820" s="264"/>
      <c r="AS820" s="264"/>
      <c r="AT820" s="264"/>
      <c r="AU820" s="264"/>
      <c r="AV820" s="264"/>
      <c r="AW820" s="264"/>
      <c r="AX820" s="264"/>
      <c r="AY820" s="264"/>
      <c r="AZ820" s="264"/>
      <c r="BA820" s="264"/>
    </row>
    <row r="821" spans="1:53" x14ac:dyDescent="0.15">
      <c r="A821" s="264"/>
      <c r="B821" s="264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  <c r="AA821" s="264"/>
      <c r="AB821" s="264"/>
      <c r="AC821" s="264"/>
      <c r="AD821" s="264"/>
      <c r="AE821" s="264"/>
      <c r="AF821" s="264"/>
      <c r="AG821" s="264"/>
      <c r="AH821" s="263"/>
      <c r="AI821" s="264"/>
      <c r="AJ821" s="264"/>
      <c r="AK821" s="264"/>
      <c r="AL821" s="264"/>
      <c r="AM821" s="264"/>
      <c r="AN821" s="264"/>
      <c r="AO821" s="264"/>
      <c r="AP821" s="264"/>
      <c r="AQ821" s="264"/>
      <c r="AR821" s="264"/>
      <c r="AS821" s="264"/>
      <c r="AT821" s="264"/>
      <c r="AU821" s="264"/>
      <c r="AV821" s="264"/>
      <c r="AW821" s="264"/>
      <c r="AX821" s="264"/>
      <c r="AY821" s="264"/>
      <c r="AZ821" s="264"/>
      <c r="BA821" s="264"/>
    </row>
  </sheetData>
  <mergeCells count="10">
    <mergeCell ref="A1:AG1"/>
    <mergeCell ref="A2:B2"/>
    <mergeCell ref="C2:M2"/>
    <mergeCell ref="N2:P2"/>
    <mergeCell ref="Q2:S2"/>
    <mergeCell ref="T2:V2"/>
    <mergeCell ref="W2:Y2"/>
    <mergeCell ref="Z2:AA2"/>
    <mergeCell ref="AB2:AC2"/>
    <mergeCell ref="AD2:AG2"/>
  </mergeCells>
  <phoneticPr fontId="16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033"/>
  <sheetViews>
    <sheetView workbookViewId="0">
      <pane xSplit="2" ySplit="4" topLeftCell="C341" activePane="bottomRight" state="frozen"/>
      <selection pane="topRight"/>
      <selection pane="bottomLeft"/>
      <selection pane="bottomRight" activeCell="N373" sqref="N373"/>
    </sheetView>
  </sheetViews>
  <sheetFormatPr defaultColWidth="9" defaultRowHeight="14.25" x14ac:dyDescent="0.15"/>
  <cols>
    <col min="1" max="1" width="9.625" style="2" customWidth="1"/>
    <col min="2" max="2" width="6" style="2" customWidth="1"/>
    <col min="3" max="3" width="10.375" style="2" customWidth="1"/>
    <col min="4" max="4" width="8.75" style="2" customWidth="1"/>
    <col min="5" max="5" width="10.5" style="2" customWidth="1"/>
    <col min="6" max="6" width="9.5" style="113" customWidth="1"/>
    <col min="7" max="7" width="9.5" style="2" customWidth="1"/>
    <col min="8" max="8" width="7.5" style="2" hidden="1" customWidth="1"/>
    <col min="9" max="9" width="8.5" style="2" hidden="1" customWidth="1"/>
    <col min="10" max="10" width="11.25" style="2" customWidth="1"/>
    <col min="11" max="12" width="9" style="2"/>
    <col min="13" max="13" width="9" style="114"/>
    <col min="14" max="14" width="11" style="2" customWidth="1"/>
    <col min="15" max="15" width="12.75" style="2" customWidth="1"/>
    <col min="16" max="16" width="10.625" style="2" customWidth="1"/>
    <col min="17" max="17" width="11.875" style="3" customWidth="1"/>
    <col min="18" max="18" width="10.125" style="2" customWidth="1"/>
    <col min="19" max="19" width="12.25" style="2" customWidth="1"/>
    <col min="20" max="25" width="10.625" style="2" customWidth="1"/>
    <col min="26" max="26" width="8.75" style="115" customWidth="1"/>
    <col min="27" max="27" width="10.75" style="115" customWidth="1"/>
    <col min="28" max="28" width="9.75" style="2" customWidth="1"/>
    <col min="29" max="29" width="15.125" style="2" customWidth="1"/>
    <col min="30" max="30" width="13.25" style="2" customWidth="1"/>
    <col min="31" max="16384" width="9" style="2"/>
  </cols>
  <sheetData>
    <row r="1" spans="1:33" ht="15" customHeight="1" x14ac:dyDescent="0.15">
      <c r="A1" s="478" t="s">
        <v>53</v>
      </c>
      <c r="B1" s="478"/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478"/>
      <c r="U1" s="478"/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478"/>
    </row>
    <row r="2" spans="1:33" ht="15" customHeight="1" x14ac:dyDescent="0.15">
      <c r="A2" s="479"/>
      <c r="B2" s="479"/>
      <c r="C2" s="480" t="s">
        <v>1</v>
      </c>
      <c r="D2" s="479"/>
      <c r="E2" s="479"/>
      <c r="F2" s="479"/>
      <c r="G2" s="479"/>
      <c r="H2" s="479"/>
      <c r="I2" s="479"/>
      <c r="J2" s="479"/>
      <c r="K2" s="479"/>
      <c r="L2" s="479"/>
      <c r="M2" s="479"/>
      <c r="N2" s="479" t="s">
        <v>2</v>
      </c>
      <c r="O2" s="479"/>
      <c r="P2" s="479"/>
      <c r="Q2" s="479" t="s">
        <v>3</v>
      </c>
      <c r="R2" s="479"/>
      <c r="S2" s="479"/>
      <c r="T2" s="479" t="s">
        <v>4</v>
      </c>
      <c r="U2" s="479"/>
      <c r="V2" s="479"/>
      <c r="W2" s="481" t="s">
        <v>5</v>
      </c>
      <c r="X2" s="481"/>
      <c r="Y2" s="481"/>
      <c r="Z2" s="132"/>
      <c r="AA2" s="132"/>
      <c r="AB2" s="133"/>
      <c r="AC2" s="133"/>
      <c r="AD2" s="8"/>
      <c r="AE2" s="8"/>
      <c r="AF2" s="8"/>
      <c r="AG2" s="8"/>
    </row>
    <row r="3" spans="1:33" ht="24.75" customHeight="1" x14ac:dyDescent="0.15">
      <c r="A3" s="8" t="s">
        <v>6</v>
      </c>
      <c r="B3" s="8" t="s">
        <v>7</v>
      </c>
      <c r="C3" s="116" t="s">
        <v>8</v>
      </c>
      <c r="D3" s="116" t="s">
        <v>9</v>
      </c>
      <c r="E3" s="116" t="s">
        <v>10</v>
      </c>
      <c r="F3" s="117" t="s">
        <v>11</v>
      </c>
      <c r="G3" s="118" t="s">
        <v>12</v>
      </c>
      <c r="H3" s="11" t="s">
        <v>13</v>
      </c>
      <c r="I3" s="11" t="s">
        <v>14</v>
      </c>
      <c r="J3" s="7" t="s">
        <v>15</v>
      </c>
      <c r="K3" s="118" t="s">
        <v>16</v>
      </c>
      <c r="L3" s="118" t="s">
        <v>17</v>
      </c>
      <c r="M3" s="125" t="s">
        <v>18</v>
      </c>
      <c r="N3" s="65" t="s">
        <v>8</v>
      </c>
      <c r="O3" s="65" t="s">
        <v>9</v>
      </c>
      <c r="P3" s="65" t="s">
        <v>10</v>
      </c>
      <c r="Q3" s="65" t="s">
        <v>8</v>
      </c>
      <c r="R3" s="65" t="s">
        <v>9</v>
      </c>
      <c r="S3" s="65" t="s">
        <v>10</v>
      </c>
      <c r="T3" s="65" t="s">
        <v>8</v>
      </c>
      <c r="U3" s="65" t="s">
        <v>9</v>
      </c>
      <c r="V3" s="65" t="s">
        <v>10</v>
      </c>
      <c r="W3" s="65" t="s">
        <v>8</v>
      </c>
      <c r="X3" s="65" t="s">
        <v>9</v>
      </c>
      <c r="Y3" s="65" t="s">
        <v>10</v>
      </c>
      <c r="Z3" s="118" t="s">
        <v>19</v>
      </c>
      <c r="AA3" s="134" t="s">
        <v>20</v>
      </c>
      <c r="AB3" s="103" t="s">
        <v>21</v>
      </c>
      <c r="AC3" s="103" t="s">
        <v>22</v>
      </c>
      <c r="AD3" s="48" t="s">
        <v>23</v>
      </c>
      <c r="AE3" s="48" t="s">
        <v>24</v>
      </c>
      <c r="AF3" s="48" t="s">
        <v>25</v>
      </c>
      <c r="AG3" s="48" t="s">
        <v>26</v>
      </c>
    </row>
    <row r="4" spans="1:33" s="110" customFormat="1" ht="15" customHeight="1" x14ac:dyDescent="0.15">
      <c r="A4" s="7"/>
      <c r="B4" s="7"/>
      <c r="C4" s="7" t="s">
        <v>29</v>
      </c>
      <c r="D4" s="7" t="s">
        <v>29</v>
      </c>
      <c r="E4" s="7" t="s">
        <v>29</v>
      </c>
      <c r="F4" s="10" t="s">
        <v>30</v>
      </c>
      <c r="G4" s="7" t="s">
        <v>30</v>
      </c>
      <c r="H4" s="7" t="s">
        <v>30</v>
      </c>
      <c r="I4" s="7" t="s">
        <v>30</v>
      </c>
      <c r="J4" s="7" t="s">
        <v>29</v>
      </c>
      <c r="K4" s="7" t="s">
        <v>29</v>
      </c>
      <c r="L4" s="7" t="s">
        <v>29</v>
      </c>
      <c r="M4" s="126"/>
      <c r="N4" s="7" t="s">
        <v>29</v>
      </c>
      <c r="O4" s="7" t="s">
        <v>29</v>
      </c>
      <c r="P4" s="7" t="s">
        <v>29</v>
      </c>
      <c r="Q4" s="7" t="s">
        <v>29</v>
      </c>
      <c r="R4" s="7" t="s">
        <v>29</v>
      </c>
      <c r="S4" s="7" t="s">
        <v>29</v>
      </c>
      <c r="T4" s="7" t="s">
        <v>31</v>
      </c>
      <c r="U4" s="7" t="s">
        <v>31</v>
      </c>
      <c r="V4" s="7" t="s">
        <v>31</v>
      </c>
      <c r="W4" s="7" t="s">
        <v>31</v>
      </c>
      <c r="X4" s="7" t="s">
        <v>31</v>
      </c>
      <c r="Y4" s="7" t="s">
        <v>31</v>
      </c>
      <c r="Z4" s="135" t="s">
        <v>32</v>
      </c>
      <c r="AA4" s="135" t="s">
        <v>32</v>
      </c>
      <c r="AB4" s="104" t="s">
        <v>30</v>
      </c>
      <c r="AC4" s="104" t="s">
        <v>33</v>
      </c>
      <c r="AD4" s="7" t="s">
        <v>29</v>
      </c>
      <c r="AE4" s="7" t="s">
        <v>29</v>
      </c>
      <c r="AF4" s="7" t="s">
        <v>29</v>
      </c>
      <c r="AG4" s="7" t="s">
        <v>29</v>
      </c>
    </row>
    <row r="5" spans="1:33" ht="15" customHeight="1" x14ac:dyDescent="0.15">
      <c r="A5" s="13">
        <v>42736</v>
      </c>
      <c r="B5" s="20" t="s">
        <v>1</v>
      </c>
      <c r="C5" s="8">
        <v>52873</v>
      </c>
      <c r="D5" s="37">
        <f>16818+7465</f>
        <v>24283</v>
      </c>
      <c r="E5" s="37">
        <v>78761</v>
      </c>
      <c r="F5" s="12">
        <v>3630.6</v>
      </c>
      <c r="G5" s="37">
        <v>2942.9</v>
      </c>
      <c r="H5" s="24"/>
      <c r="I5" s="36"/>
      <c r="J5" s="8">
        <f t="shared" ref="J5:J68" si="0">E5-D5</f>
        <v>54478</v>
      </c>
      <c r="K5" s="37">
        <v>596</v>
      </c>
      <c r="L5" s="37">
        <v>791</v>
      </c>
      <c r="M5" s="127">
        <f>J5-K5-L5-C5</f>
        <v>218</v>
      </c>
      <c r="N5" s="74">
        <f>C5</f>
        <v>52873</v>
      </c>
      <c r="O5" s="75">
        <f>D5</f>
        <v>24283</v>
      </c>
      <c r="P5" s="75">
        <f>E5</f>
        <v>78761</v>
      </c>
      <c r="Q5" s="76">
        <f>N5</f>
        <v>52873</v>
      </c>
      <c r="R5" s="76">
        <f>O5</f>
        <v>24283</v>
      </c>
      <c r="S5" s="76">
        <f>P5</f>
        <v>78761</v>
      </c>
      <c r="T5" s="80">
        <f>N5/'2016'!N5-1</f>
        <v>0.1375430292598967</v>
      </c>
      <c r="U5" s="80">
        <f>O5/'2016'!O5-1</f>
        <v>0.20804935077856812</v>
      </c>
      <c r="V5" s="80">
        <f>P5/'2016'!P5-1</f>
        <v>0.14361841149992749</v>
      </c>
      <c r="W5" s="81">
        <f>Q5/'2016'!Q5-1</f>
        <v>0.1375430292598967</v>
      </c>
      <c r="X5" s="81">
        <f>R5/'2016'!R5-1</f>
        <v>0.20804935077856812</v>
      </c>
      <c r="Y5" s="81">
        <f>S5/'2016'!S5-1</f>
        <v>0.14361841149992749</v>
      </c>
      <c r="Z5" s="136"/>
      <c r="AA5" s="136"/>
      <c r="AB5" s="105"/>
      <c r="AC5" s="105"/>
      <c r="AD5" s="37">
        <f>S5-R5</f>
        <v>54478</v>
      </c>
      <c r="AE5" s="37">
        <f>K5</f>
        <v>596</v>
      </c>
      <c r="AF5" s="37">
        <f>L5</f>
        <v>791</v>
      </c>
      <c r="AG5" s="37">
        <f>AD5-Q5-AE5-AF5</f>
        <v>218</v>
      </c>
    </row>
    <row r="6" spans="1:33" ht="15" customHeight="1" x14ac:dyDescent="0.15">
      <c r="A6" s="13">
        <v>42737</v>
      </c>
      <c r="B6" s="20" t="s">
        <v>34</v>
      </c>
      <c r="C6" s="8">
        <v>64061</v>
      </c>
      <c r="D6" s="37">
        <f>16943+7266</f>
        <v>24209</v>
      </c>
      <c r="E6" s="37">
        <v>89926</v>
      </c>
      <c r="F6" s="12">
        <v>4668</v>
      </c>
      <c r="G6" s="37">
        <v>2618.4</v>
      </c>
      <c r="H6" s="24"/>
      <c r="I6" s="36"/>
      <c r="J6" s="8">
        <f t="shared" si="0"/>
        <v>65717</v>
      </c>
      <c r="K6" s="37">
        <v>763</v>
      </c>
      <c r="L6" s="37">
        <v>789</v>
      </c>
      <c r="M6" s="127">
        <f t="shared" ref="M6:M69" si="1">J6-K6-L6-C6</f>
        <v>104</v>
      </c>
      <c r="N6" s="74">
        <f t="shared" ref="N6:P21" si="2">N5+C6</f>
        <v>116934</v>
      </c>
      <c r="O6" s="75">
        <f t="shared" si="2"/>
        <v>48492</v>
      </c>
      <c r="P6" s="75">
        <f t="shared" si="2"/>
        <v>168687</v>
      </c>
      <c r="Q6" s="76">
        <f t="shared" ref="Q6:S35" si="3">N6</f>
        <v>116934</v>
      </c>
      <c r="R6" s="76">
        <f t="shared" si="3"/>
        <v>48492</v>
      </c>
      <c r="S6" s="76">
        <f t="shared" si="3"/>
        <v>168687</v>
      </c>
      <c r="T6" s="80">
        <f>N6/'2016'!N6-1</f>
        <v>0.16730888254437271</v>
      </c>
      <c r="U6" s="80">
        <f>O6/'2016'!O6-1</f>
        <v>0.20378323362212347</v>
      </c>
      <c r="V6" s="80">
        <f>P6/'2016'!P6-1</f>
        <v>0.16285338094483093</v>
      </c>
      <c r="W6" s="81">
        <f>Q6/'2016'!Q6-1</f>
        <v>0.16730888254437271</v>
      </c>
      <c r="X6" s="81">
        <f>R6/'2016'!R6-1</f>
        <v>0.20378323362212347</v>
      </c>
      <c r="Y6" s="81">
        <f>S6/'2016'!S6-1</f>
        <v>0.16285338094483093</v>
      </c>
      <c r="Z6" s="136"/>
      <c r="AA6" s="136"/>
      <c r="AB6" s="105"/>
      <c r="AC6" s="105"/>
      <c r="AD6" s="37">
        <f t="shared" ref="AD6:AD69" si="4">S6-R6</f>
        <v>120195</v>
      </c>
      <c r="AE6" s="37">
        <f>AE5+K6</f>
        <v>1359</v>
      </c>
      <c r="AF6" s="37">
        <f>AF5+L6</f>
        <v>1580</v>
      </c>
      <c r="AG6" s="37">
        <f t="shared" ref="AG6:AG69" si="5">AD6-Q6-AE6-AF6</f>
        <v>322</v>
      </c>
    </row>
    <row r="7" spans="1:33" ht="15" customHeight="1" x14ac:dyDescent="0.15">
      <c r="A7" s="20">
        <v>42738</v>
      </c>
      <c r="B7" s="20" t="s">
        <v>35</v>
      </c>
      <c r="C7" s="8">
        <v>67546</v>
      </c>
      <c r="D7" s="37">
        <f>19005+7173</f>
        <v>26178</v>
      </c>
      <c r="E7" s="37">
        <v>95609</v>
      </c>
      <c r="F7" s="12">
        <v>4888.5</v>
      </c>
      <c r="G7" s="37">
        <v>2973</v>
      </c>
      <c r="H7" s="24"/>
      <c r="I7" s="36"/>
      <c r="J7" s="8">
        <f t="shared" si="0"/>
        <v>69431</v>
      </c>
      <c r="K7" s="37">
        <v>934</v>
      </c>
      <c r="L7" s="37">
        <v>791</v>
      </c>
      <c r="M7" s="127">
        <f t="shared" si="1"/>
        <v>160</v>
      </c>
      <c r="N7" s="74">
        <f t="shared" si="2"/>
        <v>184480</v>
      </c>
      <c r="O7" s="75">
        <f t="shared" si="2"/>
        <v>74670</v>
      </c>
      <c r="P7" s="75">
        <f t="shared" si="2"/>
        <v>264296</v>
      </c>
      <c r="Q7" s="76">
        <f t="shared" si="3"/>
        <v>184480</v>
      </c>
      <c r="R7" s="76">
        <f t="shared" si="3"/>
        <v>74670</v>
      </c>
      <c r="S7" s="76">
        <f t="shared" si="3"/>
        <v>264296</v>
      </c>
      <c r="T7" s="80">
        <f>N7/'2016'!N7-1</f>
        <v>0.16200554295792391</v>
      </c>
      <c r="U7" s="80">
        <f>O7/'2016'!O7-1</f>
        <v>0.22626946068449061</v>
      </c>
      <c r="V7" s="80">
        <f>P7/'2016'!P7-1</f>
        <v>0.16588146030737749</v>
      </c>
      <c r="W7" s="81">
        <f>Q7/'2016'!Q7-1</f>
        <v>0.16200554295792391</v>
      </c>
      <c r="X7" s="81">
        <f>R7/'2016'!R7-1</f>
        <v>0.22626946068449061</v>
      </c>
      <c r="Y7" s="81">
        <f>S7/'2016'!S7-1</f>
        <v>0.16588146030737749</v>
      </c>
      <c r="Z7" s="136"/>
      <c r="AA7" s="136"/>
      <c r="AB7" s="105"/>
      <c r="AC7" s="105"/>
      <c r="AD7" s="37">
        <f t="shared" si="4"/>
        <v>189626</v>
      </c>
      <c r="AE7" s="37">
        <f t="shared" ref="AE7:AE70" si="6">AE6+K7</f>
        <v>2293</v>
      </c>
      <c r="AF7" s="37">
        <f t="shared" ref="AF7:AF70" si="7">AF6+L7</f>
        <v>2371</v>
      </c>
      <c r="AG7" s="37">
        <f t="shared" si="5"/>
        <v>482</v>
      </c>
    </row>
    <row r="8" spans="1:33" ht="15" customHeight="1" x14ac:dyDescent="0.15">
      <c r="A8" s="102">
        <v>42739</v>
      </c>
      <c r="B8" s="20" t="s">
        <v>36</v>
      </c>
      <c r="C8" s="8">
        <v>68925</v>
      </c>
      <c r="D8" s="37">
        <f>19049+7202</f>
        <v>26251</v>
      </c>
      <c r="E8" s="37">
        <v>96403</v>
      </c>
      <c r="F8" s="12">
        <v>4916.5</v>
      </c>
      <c r="G8" s="37">
        <v>3024.6</v>
      </c>
      <c r="H8" s="24"/>
      <c r="I8" s="36"/>
      <c r="J8" s="8">
        <f t="shared" si="0"/>
        <v>70152</v>
      </c>
      <c r="K8" s="37">
        <v>342</v>
      </c>
      <c r="L8" s="37">
        <v>790</v>
      </c>
      <c r="M8" s="127">
        <f t="shared" si="1"/>
        <v>95</v>
      </c>
      <c r="N8" s="74">
        <f t="shared" si="2"/>
        <v>253405</v>
      </c>
      <c r="O8" s="75">
        <f t="shared" si="2"/>
        <v>100921</v>
      </c>
      <c r="P8" s="75">
        <f t="shared" si="2"/>
        <v>360699</v>
      </c>
      <c r="Q8" s="76">
        <f t="shared" si="3"/>
        <v>253405</v>
      </c>
      <c r="R8" s="76">
        <f t="shared" si="3"/>
        <v>100921</v>
      </c>
      <c r="S8" s="76">
        <f t="shared" si="3"/>
        <v>360699</v>
      </c>
      <c r="T8" s="80">
        <f>N8/'2016'!N8-1</f>
        <v>0.15622404935072054</v>
      </c>
      <c r="U8" s="80">
        <f>O8/'2016'!O8-1</f>
        <v>0.21986921468373399</v>
      </c>
      <c r="V8" s="80">
        <f>P8/'2016'!P8-1</f>
        <v>0.15670567258757084</v>
      </c>
      <c r="W8" s="81">
        <f>Q8/'2016'!Q8-1</f>
        <v>0.15622404935072054</v>
      </c>
      <c r="X8" s="81">
        <f>R8/'2016'!R8-1</f>
        <v>0.21986921468373399</v>
      </c>
      <c r="Y8" s="81">
        <f>S8/'2016'!S8-1</f>
        <v>0.15670567258757084</v>
      </c>
      <c r="Z8" s="136">
        <f>Z9/7*4</f>
        <v>0.61714285714285722</v>
      </c>
      <c r="AA8" s="136">
        <f>Q8/10000-Z8</f>
        <v>24.723357142857143</v>
      </c>
      <c r="AB8" s="105"/>
      <c r="AC8" s="105"/>
      <c r="AD8" s="37">
        <f t="shared" si="4"/>
        <v>259778</v>
      </c>
      <c r="AE8" s="37">
        <f t="shared" si="6"/>
        <v>2635</v>
      </c>
      <c r="AF8" s="37">
        <f t="shared" si="7"/>
        <v>3161</v>
      </c>
      <c r="AG8" s="37">
        <f t="shared" si="5"/>
        <v>577</v>
      </c>
    </row>
    <row r="9" spans="1:33" ht="15" customHeight="1" x14ac:dyDescent="0.15">
      <c r="A9" s="102">
        <v>42740</v>
      </c>
      <c r="B9" s="14" t="s">
        <v>37</v>
      </c>
      <c r="C9" s="32">
        <v>68805</v>
      </c>
      <c r="D9" s="33">
        <f>19030+7517</f>
        <v>26547</v>
      </c>
      <c r="E9" s="33">
        <v>96573</v>
      </c>
      <c r="F9" s="119">
        <v>4925.1000000000004</v>
      </c>
      <c r="G9" s="33">
        <v>3013.9</v>
      </c>
      <c r="H9" s="19"/>
      <c r="I9" s="19"/>
      <c r="J9" s="32">
        <f t="shared" si="0"/>
        <v>70026</v>
      </c>
      <c r="K9" s="33">
        <v>301</v>
      </c>
      <c r="L9" s="33">
        <v>791</v>
      </c>
      <c r="M9" s="128">
        <f t="shared" si="1"/>
        <v>129</v>
      </c>
      <c r="N9" s="77">
        <f t="shared" si="2"/>
        <v>322210</v>
      </c>
      <c r="O9" s="78">
        <f t="shared" si="2"/>
        <v>127468</v>
      </c>
      <c r="P9" s="78">
        <f t="shared" si="2"/>
        <v>457272</v>
      </c>
      <c r="Q9" s="77">
        <f t="shared" si="3"/>
        <v>322210</v>
      </c>
      <c r="R9" s="77">
        <f t="shared" si="3"/>
        <v>127468</v>
      </c>
      <c r="S9" s="77">
        <f t="shared" si="3"/>
        <v>457272</v>
      </c>
      <c r="T9" s="82">
        <f>N9/'2016'!N9-1</f>
        <v>0.14910022039785731</v>
      </c>
      <c r="U9" s="82">
        <f>O9/'2016'!O9-1</f>
        <v>0.19267188143268843</v>
      </c>
      <c r="V9" s="82">
        <f>P9/'2016'!P9-1</f>
        <v>0.14340868173634735</v>
      </c>
      <c r="W9" s="82">
        <f>Q9/'2016'!Q9-1</f>
        <v>0.14910022039785731</v>
      </c>
      <c r="X9" s="82">
        <f>R9/'2016'!R9-1</f>
        <v>0.19267188143268843</v>
      </c>
      <c r="Y9" s="137">
        <f>S9/'2016'!S9-1</f>
        <v>0.14340868173634735</v>
      </c>
      <c r="Z9" s="138">
        <v>1.08</v>
      </c>
      <c r="AA9" s="138">
        <f>Q9/10000-Z9</f>
        <v>31.140999999999998</v>
      </c>
      <c r="AB9" s="33">
        <v>4258</v>
      </c>
      <c r="AC9" s="33">
        <f>AA9*10000/AB9</f>
        <v>73.135274776890554</v>
      </c>
      <c r="AD9" s="33">
        <f t="shared" si="4"/>
        <v>329804</v>
      </c>
      <c r="AE9" s="33">
        <f t="shared" si="6"/>
        <v>2936</v>
      </c>
      <c r="AF9" s="33">
        <f t="shared" si="7"/>
        <v>3952</v>
      </c>
      <c r="AG9" s="33">
        <f t="shared" si="5"/>
        <v>706</v>
      </c>
    </row>
    <row r="10" spans="1:33" ht="15" customHeight="1" x14ac:dyDescent="0.15">
      <c r="A10" s="102">
        <v>42741</v>
      </c>
      <c r="B10" s="20" t="s">
        <v>38</v>
      </c>
      <c r="C10" s="8">
        <v>69308</v>
      </c>
      <c r="D10" s="37">
        <f>19374+7469</f>
        <v>26843</v>
      </c>
      <c r="E10" s="37">
        <v>97429</v>
      </c>
      <c r="F10" s="12">
        <v>4980.8</v>
      </c>
      <c r="G10" s="37">
        <v>3041.1</v>
      </c>
      <c r="H10" s="24"/>
      <c r="I10" s="36"/>
      <c r="J10" s="8">
        <f t="shared" si="0"/>
        <v>70586</v>
      </c>
      <c r="K10" s="37">
        <v>431</v>
      </c>
      <c r="L10" s="37">
        <v>791</v>
      </c>
      <c r="M10" s="127">
        <f t="shared" si="1"/>
        <v>56</v>
      </c>
      <c r="N10" s="74">
        <f t="shared" si="2"/>
        <v>391518</v>
      </c>
      <c r="O10" s="75">
        <f t="shared" si="2"/>
        <v>154311</v>
      </c>
      <c r="P10" s="75">
        <f t="shared" si="2"/>
        <v>554701</v>
      </c>
      <c r="Q10" s="76">
        <f t="shared" si="3"/>
        <v>391518</v>
      </c>
      <c r="R10" s="76">
        <f t="shared" si="3"/>
        <v>154311</v>
      </c>
      <c r="S10" s="76">
        <f t="shared" si="3"/>
        <v>554701</v>
      </c>
      <c r="T10" s="80">
        <f>N10/'2016'!N10-1</f>
        <v>0.14266785354677713</v>
      </c>
      <c r="U10" s="80">
        <f>O10/'2016'!O10-1</f>
        <v>0.18189825523506076</v>
      </c>
      <c r="V10" s="80">
        <f>P10/'2016'!P10-1</f>
        <v>0.13374578959416583</v>
      </c>
      <c r="W10" s="81">
        <f>Q10/'2016'!Q10-1</f>
        <v>0.14266785354677713</v>
      </c>
      <c r="X10" s="81">
        <f>R10/'2016'!R10-1</f>
        <v>0.18189825523506076</v>
      </c>
      <c r="Y10" s="81">
        <f>S10/'2016'!S10-1</f>
        <v>0.13374578959416583</v>
      </c>
      <c r="Z10" s="136"/>
      <c r="AA10" s="136"/>
      <c r="AB10" s="105"/>
      <c r="AC10" s="105"/>
      <c r="AD10" s="37">
        <f t="shared" si="4"/>
        <v>400390</v>
      </c>
      <c r="AE10" s="37">
        <f t="shared" si="6"/>
        <v>3367</v>
      </c>
      <c r="AF10" s="37">
        <f t="shared" si="7"/>
        <v>4743</v>
      </c>
      <c r="AG10" s="37">
        <f t="shared" si="5"/>
        <v>762</v>
      </c>
    </row>
    <row r="11" spans="1:33" ht="15" customHeight="1" x14ac:dyDescent="0.15">
      <c r="A11" s="102">
        <v>42742</v>
      </c>
      <c r="B11" s="20" t="s">
        <v>39</v>
      </c>
      <c r="C11" s="70">
        <v>66721</v>
      </c>
      <c r="D11" s="71">
        <f>19151+7533</f>
        <v>26684</v>
      </c>
      <c r="E11" s="71">
        <v>94687</v>
      </c>
      <c r="F11" s="120">
        <v>4844.8999999999996</v>
      </c>
      <c r="G11" s="71">
        <v>3025.2</v>
      </c>
      <c r="H11" s="24"/>
      <c r="I11" s="24"/>
      <c r="J11" s="70">
        <f t="shared" si="0"/>
        <v>68003</v>
      </c>
      <c r="K11" s="71">
        <v>398</v>
      </c>
      <c r="L11" s="71">
        <v>788</v>
      </c>
      <c r="M11" s="129">
        <f t="shared" si="1"/>
        <v>96</v>
      </c>
      <c r="N11" s="74">
        <f t="shared" si="2"/>
        <v>458239</v>
      </c>
      <c r="O11" s="75">
        <f t="shared" si="2"/>
        <v>180995</v>
      </c>
      <c r="P11" s="75">
        <f t="shared" si="2"/>
        <v>649388</v>
      </c>
      <c r="Q11" s="76">
        <f t="shared" si="3"/>
        <v>458239</v>
      </c>
      <c r="R11" s="76">
        <f t="shared" si="3"/>
        <v>180995</v>
      </c>
      <c r="S11" s="76">
        <f t="shared" si="3"/>
        <v>649388</v>
      </c>
      <c r="T11" s="80">
        <f>N11/'2016'!N11-1</f>
        <v>0.12397227345865547</v>
      </c>
      <c r="U11" s="80">
        <f>O11/'2016'!O11-1</f>
        <v>0.17550593614423393</v>
      </c>
      <c r="V11" s="80">
        <f>P11/'2016'!P11-1</f>
        <v>0.11865276851866202</v>
      </c>
      <c r="W11" s="81">
        <f>Q11/'2016'!Q11-1</f>
        <v>0.12397227345865547</v>
      </c>
      <c r="X11" s="81">
        <f>R11/'2016'!R11-1</f>
        <v>0.17550593614423393</v>
      </c>
      <c r="Y11" s="81">
        <f>S11/'2016'!S11-1</f>
        <v>0.11865276851866202</v>
      </c>
      <c r="Z11" s="139"/>
      <c r="AA11" s="139"/>
      <c r="AB11" s="105"/>
      <c r="AC11" s="105"/>
      <c r="AD11" s="37">
        <f t="shared" si="4"/>
        <v>468393</v>
      </c>
      <c r="AE11" s="71">
        <f t="shared" si="6"/>
        <v>3765</v>
      </c>
      <c r="AF11" s="71">
        <f t="shared" si="7"/>
        <v>5531</v>
      </c>
      <c r="AG11" s="71">
        <f t="shared" si="5"/>
        <v>858</v>
      </c>
    </row>
    <row r="12" spans="1:33" ht="15" customHeight="1" x14ac:dyDescent="0.15">
      <c r="A12" s="102">
        <v>42743</v>
      </c>
      <c r="B12" s="20" t="s">
        <v>1</v>
      </c>
      <c r="C12" s="8">
        <v>63087</v>
      </c>
      <c r="D12" s="37">
        <f>19189+7509</f>
        <v>26698</v>
      </c>
      <c r="E12" s="37">
        <v>90939</v>
      </c>
      <c r="F12" s="12">
        <v>4610.5</v>
      </c>
      <c r="G12" s="37">
        <v>2925.3</v>
      </c>
      <c r="H12" s="24"/>
      <c r="I12" s="36"/>
      <c r="J12" s="8">
        <f t="shared" si="0"/>
        <v>64241</v>
      </c>
      <c r="K12" s="37">
        <v>137</v>
      </c>
      <c r="L12" s="37">
        <v>793</v>
      </c>
      <c r="M12" s="127">
        <f t="shared" si="1"/>
        <v>224</v>
      </c>
      <c r="N12" s="74">
        <f t="shared" si="2"/>
        <v>521326</v>
      </c>
      <c r="O12" s="75">
        <f t="shared" si="2"/>
        <v>207693</v>
      </c>
      <c r="P12" s="75">
        <f t="shared" si="2"/>
        <v>740327</v>
      </c>
      <c r="Q12" s="76">
        <f t="shared" si="3"/>
        <v>521326</v>
      </c>
      <c r="R12" s="76">
        <f t="shared" si="3"/>
        <v>207693</v>
      </c>
      <c r="S12" s="76">
        <f t="shared" si="3"/>
        <v>740327</v>
      </c>
      <c r="T12" s="80">
        <f>N12/'2016'!N12-1</f>
        <v>0.10150310805728457</v>
      </c>
      <c r="U12" s="80">
        <f>O12/'2016'!O12-1</f>
        <v>0.15960291892555856</v>
      </c>
      <c r="V12" s="80">
        <f>P12/'2016'!P12-1</f>
        <v>9.8034940650728375E-2</v>
      </c>
      <c r="W12" s="81">
        <f>Q12/'2016'!Q12-1</f>
        <v>0.10150310805728457</v>
      </c>
      <c r="X12" s="81">
        <f>R12/'2016'!R12-1</f>
        <v>0.15960291892555856</v>
      </c>
      <c r="Y12" s="81">
        <f>S12/'2016'!S12-1</f>
        <v>9.8034940650728375E-2</v>
      </c>
      <c r="Z12" s="136"/>
      <c r="AA12" s="136"/>
      <c r="AB12" s="105"/>
      <c r="AC12" s="105"/>
      <c r="AD12" s="37">
        <f t="shared" si="4"/>
        <v>532634</v>
      </c>
      <c r="AE12" s="37">
        <f t="shared" si="6"/>
        <v>3902</v>
      </c>
      <c r="AF12" s="37">
        <f t="shared" si="7"/>
        <v>6324</v>
      </c>
      <c r="AG12" s="37">
        <f t="shared" si="5"/>
        <v>1082</v>
      </c>
    </row>
    <row r="13" spans="1:33" ht="15" customHeight="1" x14ac:dyDescent="0.15">
      <c r="A13" s="102">
        <v>42744</v>
      </c>
      <c r="B13" s="20" t="s">
        <v>34</v>
      </c>
      <c r="C13" s="8">
        <v>68983</v>
      </c>
      <c r="D13" s="37">
        <f>18566+7502</f>
        <v>26068</v>
      </c>
      <c r="E13" s="37">
        <v>96205</v>
      </c>
      <c r="F13" s="12">
        <v>4923.3999999999996</v>
      </c>
      <c r="G13" s="37">
        <v>2888.6</v>
      </c>
      <c r="H13" s="24"/>
      <c r="I13" s="36"/>
      <c r="J13" s="8">
        <f t="shared" si="0"/>
        <v>70137</v>
      </c>
      <c r="K13" s="37">
        <v>193</v>
      </c>
      <c r="L13" s="37">
        <v>790</v>
      </c>
      <c r="M13" s="127">
        <f t="shared" si="1"/>
        <v>171</v>
      </c>
      <c r="N13" s="74">
        <f t="shared" si="2"/>
        <v>590309</v>
      </c>
      <c r="O13" s="75">
        <f t="shared" si="2"/>
        <v>233761</v>
      </c>
      <c r="P13" s="75">
        <f t="shared" si="2"/>
        <v>836532</v>
      </c>
      <c r="Q13" s="76">
        <f t="shared" si="3"/>
        <v>590309</v>
      </c>
      <c r="R13" s="76">
        <f t="shared" si="3"/>
        <v>233761</v>
      </c>
      <c r="S13" s="76">
        <f t="shared" si="3"/>
        <v>836532</v>
      </c>
      <c r="T13" s="80">
        <f>N13/'2016'!N13-1</f>
        <v>0.10275881651852603</v>
      </c>
      <c r="U13" s="80">
        <f>O13/'2016'!O13-1</f>
        <v>0.13152684799287484</v>
      </c>
      <c r="V13" s="80">
        <f>P13/'2016'!P13-1</f>
        <v>9.2012751192487086E-2</v>
      </c>
      <c r="W13" s="81">
        <f>Q13/'2016'!Q13-1</f>
        <v>0.10275881651852603</v>
      </c>
      <c r="X13" s="81">
        <f>R13/'2016'!R13-1</f>
        <v>0.13152684799287484</v>
      </c>
      <c r="Y13" s="81">
        <f>S13/'2016'!S13-1</f>
        <v>9.2012751192487086E-2</v>
      </c>
      <c r="Z13" s="136"/>
      <c r="AA13" s="136"/>
      <c r="AB13" s="105"/>
      <c r="AC13" s="105"/>
      <c r="AD13" s="37">
        <f t="shared" si="4"/>
        <v>602771</v>
      </c>
      <c r="AE13" s="37">
        <f t="shared" si="6"/>
        <v>4095</v>
      </c>
      <c r="AF13" s="37">
        <f t="shared" si="7"/>
        <v>7114</v>
      </c>
      <c r="AG13" s="37">
        <f t="shared" si="5"/>
        <v>1253</v>
      </c>
    </row>
    <row r="14" spans="1:33" ht="15" customHeight="1" x14ac:dyDescent="0.15">
      <c r="A14" s="102">
        <v>42745</v>
      </c>
      <c r="B14" s="20" t="s">
        <v>35</v>
      </c>
      <c r="C14" s="8">
        <v>69743</v>
      </c>
      <c r="D14" s="37">
        <f>19481+7487</f>
        <v>26968</v>
      </c>
      <c r="E14" s="37">
        <v>98208</v>
      </c>
      <c r="F14" s="12">
        <v>4975.8999999999996</v>
      </c>
      <c r="G14" s="37">
        <v>3038</v>
      </c>
      <c r="H14" s="24"/>
      <c r="I14" s="36"/>
      <c r="J14" s="8">
        <f t="shared" si="0"/>
        <v>71240</v>
      </c>
      <c r="K14" s="37">
        <v>601</v>
      </c>
      <c r="L14" s="37">
        <v>791</v>
      </c>
      <c r="M14" s="127">
        <f t="shared" si="1"/>
        <v>105</v>
      </c>
      <c r="N14" s="74">
        <f t="shared" si="2"/>
        <v>660052</v>
      </c>
      <c r="O14" s="75">
        <f t="shared" si="2"/>
        <v>260729</v>
      </c>
      <c r="P14" s="75">
        <f t="shared" si="2"/>
        <v>934740</v>
      </c>
      <c r="Q14" s="76">
        <f t="shared" si="3"/>
        <v>660052</v>
      </c>
      <c r="R14" s="76">
        <f t="shared" si="3"/>
        <v>260729</v>
      </c>
      <c r="S14" s="76">
        <f t="shared" si="3"/>
        <v>934740</v>
      </c>
      <c r="T14" s="80">
        <f>N14/'2016'!N14-1</f>
        <v>0.11045274302278441</v>
      </c>
      <c r="U14" s="80">
        <f>O14/'2016'!O14-1</f>
        <v>0.11578573476610488</v>
      </c>
      <c r="V14" s="80">
        <f>P14/'2016'!P14-1</f>
        <v>9.4722788279109071E-2</v>
      </c>
      <c r="W14" s="81">
        <f>Q14/'2016'!Q14-1</f>
        <v>0.11045274302278441</v>
      </c>
      <c r="X14" s="81">
        <f>R14/'2016'!R14-1</f>
        <v>0.11578573476610488</v>
      </c>
      <c r="Y14" s="81">
        <f>S14/'2016'!S14-1</f>
        <v>9.4722788279109071E-2</v>
      </c>
      <c r="Z14" s="136">
        <v>3.47</v>
      </c>
      <c r="AA14" s="136"/>
      <c r="AB14" s="105"/>
      <c r="AC14" s="105"/>
      <c r="AD14" s="37">
        <f t="shared" si="4"/>
        <v>674011</v>
      </c>
      <c r="AE14" s="37">
        <f t="shared" si="6"/>
        <v>4696</v>
      </c>
      <c r="AF14" s="37">
        <f t="shared" si="7"/>
        <v>7905</v>
      </c>
      <c r="AG14" s="37">
        <f t="shared" si="5"/>
        <v>1358</v>
      </c>
    </row>
    <row r="15" spans="1:33" ht="15" customHeight="1" x14ac:dyDescent="0.15">
      <c r="A15" s="102">
        <v>42746</v>
      </c>
      <c r="B15" s="20" t="s">
        <v>36</v>
      </c>
      <c r="C15" s="8">
        <v>69855</v>
      </c>
      <c r="D15" s="37">
        <f>19937+7559</f>
        <v>27496</v>
      </c>
      <c r="E15" s="37">
        <v>98864</v>
      </c>
      <c r="F15" s="12">
        <v>5062.7</v>
      </c>
      <c r="G15" s="37">
        <v>3009.7</v>
      </c>
      <c r="H15" s="24"/>
      <c r="I15" s="36"/>
      <c r="J15" s="8">
        <f t="shared" si="0"/>
        <v>71368</v>
      </c>
      <c r="K15" s="37">
        <v>676</v>
      </c>
      <c r="L15" s="37">
        <v>791</v>
      </c>
      <c r="M15" s="127">
        <f t="shared" si="1"/>
        <v>46</v>
      </c>
      <c r="N15" s="74">
        <f t="shared" si="2"/>
        <v>729907</v>
      </c>
      <c r="O15" s="75">
        <f t="shared" si="2"/>
        <v>288225</v>
      </c>
      <c r="P15" s="75">
        <f t="shared" si="2"/>
        <v>1033604</v>
      </c>
      <c r="Q15" s="76">
        <f t="shared" si="3"/>
        <v>729907</v>
      </c>
      <c r="R15" s="76">
        <f t="shared" si="3"/>
        <v>288225</v>
      </c>
      <c r="S15" s="76">
        <f t="shared" si="3"/>
        <v>1033604</v>
      </c>
      <c r="T15" s="80">
        <f>N15/'2016'!N15-1</f>
        <v>0.11174625804024418</v>
      </c>
      <c r="U15" s="80">
        <f>O15/'2016'!O15-1</f>
        <v>0.10340141262944313</v>
      </c>
      <c r="V15" s="80">
        <f>P15/'2016'!P15-1</f>
        <v>9.2824140154999402E-2</v>
      </c>
      <c r="W15" s="81">
        <f>Q15/'2016'!Q15-1</f>
        <v>0.11174625804024418</v>
      </c>
      <c r="X15" s="81">
        <f>R15/'2016'!R15-1</f>
        <v>0.10340141262944313</v>
      </c>
      <c r="Y15" s="81">
        <f>S15/'2016'!S15-1</f>
        <v>9.2824140154999402E-2</v>
      </c>
      <c r="Z15" s="140">
        <f>(Z16-Z9)/7*6+Z9</f>
        <v>4.0714285714285712</v>
      </c>
      <c r="AA15" s="136">
        <f>Q15/10000-Z15</f>
        <v>68.919271428571435</v>
      </c>
      <c r="AB15" s="105"/>
      <c r="AC15" s="105"/>
      <c r="AD15" s="37">
        <f t="shared" si="4"/>
        <v>745379</v>
      </c>
      <c r="AE15" s="37">
        <f t="shared" si="6"/>
        <v>5372</v>
      </c>
      <c r="AF15" s="37">
        <f t="shared" si="7"/>
        <v>8696</v>
      </c>
      <c r="AG15" s="37">
        <f t="shared" si="5"/>
        <v>1404</v>
      </c>
    </row>
    <row r="16" spans="1:33" ht="15" customHeight="1" x14ac:dyDescent="0.15">
      <c r="A16" s="102">
        <v>42747</v>
      </c>
      <c r="B16" s="14" t="s">
        <v>37</v>
      </c>
      <c r="C16" s="32">
        <v>70123</v>
      </c>
      <c r="D16" s="33">
        <f>19234+7538</f>
        <v>26772</v>
      </c>
      <c r="E16" s="33">
        <v>98473</v>
      </c>
      <c r="F16" s="119">
        <v>5075.8</v>
      </c>
      <c r="G16" s="33">
        <v>3003.1</v>
      </c>
      <c r="H16" s="19"/>
      <c r="I16" s="19"/>
      <c r="J16" s="32">
        <f t="shared" si="0"/>
        <v>71701</v>
      </c>
      <c r="K16" s="33">
        <v>728</v>
      </c>
      <c r="L16" s="33">
        <v>790</v>
      </c>
      <c r="M16" s="128">
        <f t="shared" si="1"/>
        <v>60</v>
      </c>
      <c r="N16" s="77">
        <f t="shared" si="2"/>
        <v>800030</v>
      </c>
      <c r="O16" s="78">
        <f t="shared" si="2"/>
        <v>314997</v>
      </c>
      <c r="P16" s="78">
        <f t="shared" si="2"/>
        <v>1132077</v>
      </c>
      <c r="Q16" s="77">
        <f t="shared" si="3"/>
        <v>800030</v>
      </c>
      <c r="R16" s="77">
        <f t="shared" si="3"/>
        <v>314997</v>
      </c>
      <c r="S16" s="77">
        <f t="shared" si="3"/>
        <v>1132077</v>
      </c>
      <c r="T16" s="82">
        <f>N16/'2016'!N16-1</f>
        <v>0.10989951624068928</v>
      </c>
      <c r="U16" s="82">
        <f>O16/'2016'!O16-1</f>
        <v>8.9921075122228133E-2</v>
      </c>
      <c r="V16" s="82">
        <f>P16/'2016'!P16-1</f>
        <v>8.7899574095144484E-2</v>
      </c>
      <c r="W16" s="82">
        <f>Q16/'2016'!Q16-1</f>
        <v>0.10989951624068928</v>
      </c>
      <c r="X16" s="82">
        <f>R16/'2016'!R16-1</f>
        <v>8.9921075122228133E-2</v>
      </c>
      <c r="Y16" s="82">
        <f>S16/'2016'!S16-1</f>
        <v>8.7899574095144484E-2</v>
      </c>
      <c r="Z16" s="138">
        <v>4.57</v>
      </c>
      <c r="AA16" s="138">
        <f>Q16/10000-Z16</f>
        <v>75.432999999999993</v>
      </c>
      <c r="AB16" s="33">
        <v>4258</v>
      </c>
      <c r="AC16" s="33">
        <f>AA16*10000/AB16</f>
        <v>177.15594175669327</v>
      </c>
      <c r="AD16" s="33">
        <f t="shared" si="4"/>
        <v>817080</v>
      </c>
      <c r="AE16" s="33">
        <f t="shared" si="6"/>
        <v>6100</v>
      </c>
      <c r="AF16" s="33">
        <f t="shared" si="7"/>
        <v>9486</v>
      </c>
      <c r="AG16" s="33">
        <f t="shared" si="5"/>
        <v>1464</v>
      </c>
    </row>
    <row r="17" spans="1:33" x14ac:dyDescent="0.15">
      <c r="A17" s="102">
        <v>42748</v>
      </c>
      <c r="B17" s="20" t="s">
        <v>38</v>
      </c>
      <c r="C17" s="8">
        <v>67115</v>
      </c>
      <c r="D17" s="37">
        <f>17005+7294</f>
        <v>24299</v>
      </c>
      <c r="E17" s="37">
        <v>92599</v>
      </c>
      <c r="F17" s="12">
        <v>4658.3</v>
      </c>
      <c r="G17" s="37">
        <v>2955.4</v>
      </c>
      <c r="H17" s="24"/>
      <c r="I17" s="36"/>
      <c r="J17" s="8">
        <f t="shared" si="0"/>
        <v>68300</v>
      </c>
      <c r="K17" s="37">
        <v>85</v>
      </c>
      <c r="L17" s="37">
        <v>792</v>
      </c>
      <c r="M17" s="127">
        <f t="shared" si="1"/>
        <v>308</v>
      </c>
      <c r="N17" s="74">
        <f t="shared" si="2"/>
        <v>867145</v>
      </c>
      <c r="O17" s="75">
        <f t="shared" si="2"/>
        <v>339296</v>
      </c>
      <c r="P17" s="75">
        <f t="shared" si="2"/>
        <v>1224676</v>
      </c>
      <c r="Q17" s="76">
        <f t="shared" si="3"/>
        <v>867145</v>
      </c>
      <c r="R17" s="76">
        <f t="shared" si="3"/>
        <v>339296</v>
      </c>
      <c r="S17" s="76">
        <f t="shared" si="3"/>
        <v>1224676</v>
      </c>
      <c r="T17" s="80">
        <f>N17/'2016'!N17-1</f>
        <v>0.1031116029971122</v>
      </c>
      <c r="U17" s="80">
        <f>O17/'2016'!O17-1</f>
        <v>7.0732954222707534E-2</v>
      </c>
      <c r="V17" s="80">
        <f>P17/'2016'!P17-1</f>
        <v>7.7519202512823737E-2</v>
      </c>
      <c r="W17" s="81">
        <f>Q17/'2016'!Q17-1</f>
        <v>0.1031116029971122</v>
      </c>
      <c r="X17" s="81">
        <f>R17/'2016'!R17-1</f>
        <v>7.0732954222707534E-2</v>
      </c>
      <c r="Y17" s="81">
        <f>S17/'2016'!S17-1</f>
        <v>7.7519202512823737E-2</v>
      </c>
      <c r="Z17" s="136"/>
      <c r="AA17" s="136"/>
      <c r="AB17" s="105"/>
      <c r="AC17" s="105"/>
      <c r="AD17" s="37">
        <f t="shared" si="4"/>
        <v>885380</v>
      </c>
      <c r="AE17" s="37">
        <f t="shared" si="6"/>
        <v>6185</v>
      </c>
      <c r="AF17" s="37">
        <f t="shared" si="7"/>
        <v>10278</v>
      </c>
      <c r="AG17" s="37">
        <f t="shared" si="5"/>
        <v>1772</v>
      </c>
    </row>
    <row r="18" spans="1:33" x14ac:dyDescent="0.15">
      <c r="A18" s="102">
        <v>42749</v>
      </c>
      <c r="B18" s="20" t="s">
        <v>39</v>
      </c>
      <c r="C18" s="70">
        <v>64168</v>
      </c>
      <c r="D18" s="71">
        <f>16596+7325</f>
        <v>23921</v>
      </c>
      <c r="E18" s="71">
        <v>89321</v>
      </c>
      <c r="F18" s="120">
        <v>4419.8999999999996</v>
      </c>
      <c r="G18" s="71">
        <v>2858</v>
      </c>
      <c r="H18" s="24"/>
      <c r="I18" s="24"/>
      <c r="J18" s="70">
        <f t="shared" si="0"/>
        <v>65400</v>
      </c>
      <c r="K18" s="71">
        <v>134</v>
      </c>
      <c r="L18" s="71">
        <v>789</v>
      </c>
      <c r="M18" s="129">
        <f t="shared" si="1"/>
        <v>309</v>
      </c>
      <c r="N18" s="74">
        <f t="shared" si="2"/>
        <v>931313</v>
      </c>
      <c r="O18" s="75">
        <f t="shared" si="2"/>
        <v>363217</v>
      </c>
      <c r="P18" s="75">
        <f t="shared" si="2"/>
        <v>1313997</v>
      </c>
      <c r="Q18" s="76">
        <f t="shared" si="3"/>
        <v>931313</v>
      </c>
      <c r="R18" s="76">
        <f t="shared" si="3"/>
        <v>363217</v>
      </c>
      <c r="S18" s="76">
        <f t="shared" si="3"/>
        <v>1313997</v>
      </c>
      <c r="T18" s="80">
        <f>N18/'2016'!N18-1</f>
        <v>9.4901074664556662E-2</v>
      </c>
      <c r="U18" s="80">
        <f>O18/'2016'!O18-1</f>
        <v>5.1248878469508874E-2</v>
      </c>
      <c r="V18" s="80">
        <f>P18/'2016'!P18-1</f>
        <v>6.6472039133282479E-2</v>
      </c>
      <c r="W18" s="81">
        <f>Q18/'2016'!Q18-1</f>
        <v>9.4901074664556662E-2</v>
      </c>
      <c r="X18" s="81">
        <f>R18/'2016'!R18-1</f>
        <v>5.1248878469508874E-2</v>
      </c>
      <c r="Y18" s="81">
        <f>S18/'2016'!S18-1</f>
        <v>6.6472039133282479E-2</v>
      </c>
      <c r="Z18" s="139"/>
      <c r="AA18" s="139"/>
      <c r="AB18" s="105"/>
      <c r="AC18" s="105"/>
      <c r="AD18" s="37">
        <f t="shared" si="4"/>
        <v>950780</v>
      </c>
      <c r="AE18" s="71">
        <f t="shared" si="6"/>
        <v>6319</v>
      </c>
      <c r="AF18" s="71">
        <f t="shared" si="7"/>
        <v>11067</v>
      </c>
      <c r="AG18" s="71">
        <f t="shared" si="5"/>
        <v>2081</v>
      </c>
    </row>
    <row r="19" spans="1:33" x14ac:dyDescent="0.15">
      <c r="A19" s="102">
        <v>42750</v>
      </c>
      <c r="B19" s="20" t="s">
        <v>1</v>
      </c>
      <c r="C19" s="8">
        <v>60329</v>
      </c>
      <c r="D19" s="37">
        <f>16044+7490</f>
        <v>23534</v>
      </c>
      <c r="E19" s="37">
        <v>85348</v>
      </c>
      <c r="F19" s="12">
        <v>4140.2</v>
      </c>
      <c r="G19" s="37">
        <v>2770</v>
      </c>
      <c r="H19" s="24"/>
      <c r="I19" s="36"/>
      <c r="J19" s="8">
        <f t="shared" si="0"/>
        <v>61814</v>
      </c>
      <c r="K19" s="37">
        <v>487</v>
      </c>
      <c r="L19" s="37">
        <v>790</v>
      </c>
      <c r="M19" s="127">
        <f t="shared" si="1"/>
        <v>208</v>
      </c>
      <c r="N19" s="74">
        <f t="shared" si="2"/>
        <v>991642</v>
      </c>
      <c r="O19" s="75">
        <f t="shared" si="2"/>
        <v>386751</v>
      </c>
      <c r="P19" s="75">
        <f t="shared" si="2"/>
        <v>1399345</v>
      </c>
      <c r="Q19" s="76">
        <f t="shared" si="3"/>
        <v>991642</v>
      </c>
      <c r="R19" s="76">
        <f t="shared" si="3"/>
        <v>386751</v>
      </c>
      <c r="S19" s="76">
        <f t="shared" si="3"/>
        <v>1399345</v>
      </c>
      <c r="T19" s="80">
        <f>N19/'2016'!N19-1</f>
        <v>8.6353562652755178E-2</v>
      </c>
      <c r="U19" s="80">
        <f>O19/'2016'!O19-1</f>
        <v>3.3811634260175083E-2</v>
      </c>
      <c r="V19" s="80">
        <f>P19/'2016'!P19-1</f>
        <v>5.6038500055467955E-2</v>
      </c>
      <c r="W19" s="81">
        <f>Q19/'2016'!Q19-1</f>
        <v>8.6353562652755178E-2</v>
      </c>
      <c r="X19" s="81">
        <f>R19/'2016'!R19-1</f>
        <v>3.3811634260175083E-2</v>
      </c>
      <c r="Y19" s="81">
        <f>S19/'2016'!S19-1</f>
        <v>5.6038500055467955E-2</v>
      </c>
      <c r="Z19" s="136"/>
      <c r="AA19" s="136"/>
      <c r="AB19" s="105"/>
      <c r="AC19" s="105"/>
      <c r="AD19" s="37">
        <f t="shared" si="4"/>
        <v>1012594</v>
      </c>
      <c r="AE19" s="37">
        <f t="shared" si="6"/>
        <v>6806</v>
      </c>
      <c r="AF19" s="37">
        <f t="shared" si="7"/>
        <v>11857</v>
      </c>
      <c r="AG19" s="37">
        <f t="shared" si="5"/>
        <v>2289</v>
      </c>
    </row>
    <row r="20" spans="1:33" x14ac:dyDescent="0.15">
      <c r="A20" s="102">
        <v>42751</v>
      </c>
      <c r="B20" s="20" t="s">
        <v>34</v>
      </c>
      <c r="C20" s="8">
        <v>59121</v>
      </c>
      <c r="D20" s="37">
        <f>16265+7419</f>
        <v>23684</v>
      </c>
      <c r="E20" s="37">
        <v>84369</v>
      </c>
      <c r="F20" s="12">
        <v>4193</v>
      </c>
      <c r="G20" s="37">
        <v>2642.2</v>
      </c>
      <c r="H20" s="24"/>
      <c r="I20" s="36"/>
      <c r="J20" s="8">
        <f t="shared" si="0"/>
        <v>60685</v>
      </c>
      <c r="K20" s="37">
        <v>526</v>
      </c>
      <c r="L20" s="37">
        <v>791</v>
      </c>
      <c r="M20" s="127">
        <f t="shared" si="1"/>
        <v>247</v>
      </c>
      <c r="N20" s="74">
        <f t="shared" si="2"/>
        <v>1050763</v>
      </c>
      <c r="O20" s="75">
        <f t="shared" si="2"/>
        <v>410435</v>
      </c>
      <c r="P20" s="75">
        <f t="shared" si="2"/>
        <v>1483714</v>
      </c>
      <c r="Q20" s="76">
        <f t="shared" si="3"/>
        <v>1050763</v>
      </c>
      <c r="R20" s="76">
        <f t="shared" si="3"/>
        <v>410435</v>
      </c>
      <c r="S20" s="76">
        <f t="shared" si="3"/>
        <v>1483714</v>
      </c>
      <c r="T20" s="80">
        <f>N20/'2016'!N20-1</f>
        <v>7.6707340066235918E-2</v>
      </c>
      <c r="U20" s="80">
        <f>O20/'2016'!O20-1</f>
        <v>2.9985996998639797E-2</v>
      </c>
      <c r="V20" s="80">
        <f>P20/'2016'!P20-1</f>
        <v>4.8788677119346646E-2</v>
      </c>
      <c r="W20" s="81">
        <f>Q20/'2016'!Q20-1</f>
        <v>7.6707340066235918E-2</v>
      </c>
      <c r="X20" s="81">
        <f>R20/'2016'!R20-1</f>
        <v>2.9985996998639797E-2</v>
      </c>
      <c r="Y20" s="81">
        <f>S20/'2016'!S20-1</f>
        <v>4.8788677119346646E-2</v>
      </c>
      <c r="Z20" s="136">
        <v>6.82</v>
      </c>
      <c r="AA20" s="136"/>
      <c r="AB20" s="105"/>
      <c r="AC20" s="105"/>
      <c r="AD20" s="37">
        <f t="shared" si="4"/>
        <v>1073279</v>
      </c>
      <c r="AE20" s="37">
        <f t="shared" si="6"/>
        <v>7332</v>
      </c>
      <c r="AF20" s="37">
        <f t="shared" si="7"/>
        <v>12648</v>
      </c>
      <c r="AG20" s="37">
        <f t="shared" si="5"/>
        <v>2536</v>
      </c>
    </row>
    <row r="21" spans="1:33" x14ac:dyDescent="0.15">
      <c r="A21" s="102">
        <v>42752</v>
      </c>
      <c r="B21" s="20" t="s">
        <v>35</v>
      </c>
      <c r="C21" s="8">
        <v>57805</v>
      </c>
      <c r="D21" s="37">
        <f>16386+7434</f>
        <v>23820</v>
      </c>
      <c r="E21" s="37">
        <v>83160</v>
      </c>
      <c r="F21" s="12">
        <v>4183.3999999999996</v>
      </c>
      <c r="G21" s="37">
        <v>2566.8000000000002</v>
      </c>
      <c r="H21" s="24"/>
      <c r="I21" s="36"/>
      <c r="J21" s="8">
        <f t="shared" si="0"/>
        <v>59340</v>
      </c>
      <c r="K21" s="37">
        <v>595</v>
      </c>
      <c r="L21" s="37">
        <v>790</v>
      </c>
      <c r="M21" s="127">
        <f t="shared" si="1"/>
        <v>150</v>
      </c>
      <c r="N21" s="74">
        <f t="shared" si="2"/>
        <v>1108568</v>
      </c>
      <c r="O21" s="75">
        <f t="shared" si="2"/>
        <v>434255</v>
      </c>
      <c r="P21" s="75">
        <f t="shared" si="2"/>
        <v>1566874</v>
      </c>
      <c r="Q21" s="76">
        <f t="shared" si="3"/>
        <v>1108568</v>
      </c>
      <c r="R21" s="76">
        <f t="shared" si="3"/>
        <v>434255</v>
      </c>
      <c r="S21" s="76">
        <f t="shared" si="3"/>
        <v>1566874</v>
      </c>
      <c r="T21" s="80">
        <f>N21/'2016'!N21-1</f>
        <v>7.1481869531766495E-2</v>
      </c>
      <c r="U21" s="80">
        <f>O21/'2016'!O21-1</f>
        <v>2.8901309538758913E-2</v>
      </c>
      <c r="V21" s="80">
        <f>P21/'2016'!P21-1</f>
        <v>4.4744950382292759E-2</v>
      </c>
      <c r="W21" s="81">
        <f>Q21/'2016'!Q21-1</f>
        <v>7.1481869531766495E-2</v>
      </c>
      <c r="X21" s="81">
        <f>R21/'2016'!R21-1</f>
        <v>2.8901309538758913E-2</v>
      </c>
      <c r="Y21" s="81">
        <f>S21/'2016'!S21-1</f>
        <v>4.4744950382292759E-2</v>
      </c>
      <c r="Z21" s="136"/>
      <c r="AA21" s="136"/>
      <c r="AB21" s="105"/>
      <c r="AC21" s="105"/>
      <c r="AD21" s="37">
        <f t="shared" si="4"/>
        <v>1132619</v>
      </c>
      <c r="AE21" s="37">
        <f t="shared" si="6"/>
        <v>7927</v>
      </c>
      <c r="AF21" s="37">
        <f t="shared" si="7"/>
        <v>13438</v>
      </c>
      <c r="AG21" s="37">
        <f t="shared" si="5"/>
        <v>2686</v>
      </c>
    </row>
    <row r="22" spans="1:33" x14ac:dyDescent="0.15">
      <c r="A22" s="102">
        <v>42753</v>
      </c>
      <c r="B22" s="20" t="s">
        <v>36</v>
      </c>
      <c r="C22" s="8">
        <v>52536</v>
      </c>
      <c r="D22" s="37">
        <f>16397+7399</f>
        <v>23796</v>
      </c>
      <c r="E22" s="37">
        <v>78049</v>
      </c>
      <c r="F22" s="12">
        <v>3931.4</v>
      </c>
      <c r="G22" s="37">
        <v>2432.9</v>
      </c>
      <c r="H22" s="24"/>
      <c r="I22" s="36"/>
      <c r="J22" s="8">
        <f t="shared" si="0"/>
        <v>54253</v>
      </c>
      <c r="K22" s="37">
        <v>782</v>
      </c>
      <c r="L22" s="37">
        <v>792</v>
      </c>
      <c r="M22" s="127">
        <f t="shared" si="1"/>
        <v>143</v>
      </c>
      <c r="N22" s="74">
        <f t="shared" ref="N22:P34" si="8">N21+C22</f>
        <v>1161104</v>
      </c>
      <c r="O22" s="75">
        <f t="shared" si="8"/>
        <v>458051</v>
      </c>
      <c r="P22" s="75">
        <f t="shared" si="8"/>
        <v>1644923</v>
      </c>
      <c r="Q22" s="76">
        <f t="shared" si="3"/>
        <v>1161104</v>
      </c>
      <c r="R22" s="76">
        <f t="shared" si="3"/>
        <v>458051</v>
      </c>
      <c r="S22" s="76">
        <f t="shared" si="3"/>
        <v>1644923</v>
      </c>
      <c r="T22" s="80">
        <f>N22/'2016'!N22-1</f>
        <v>5.7132868151557936E-2</v>
      </c>
      <c r="U22" s="80">
        <f>O22/'2016'!O22-1</f>
        <v>2.6226349572640029E-2</v>
      </c>
      <c r="V22" s="80">
        <f>P22/'2016'!P22-1</f>
        <v>3.4569444872477817E-2</v>
      </c>
      <c r="W22" s="81">
        <f>Q22/'2016'!Q22-1</f>
        <v>5.7132868151557936E-2</v>
      </c>
      <c r="X22" s="81">
        <f>R22/'2016'!R22-1</f>
        <v>2.6226349572640029E-2</v>
      </c>
      <c r="Y22" s="81">
        <f>S22/'2016'!S22-1</f>
        <v>3.4569444872477817E-2</v>
      </c>
      <c r="Z22" s="136">
        <f>(Z23-Z16)/7*6+Z16</f>
        <v>7.1328571428571426</v>
      </c>
      <c r="AA22" s="136">
        <f>Q22/10000-Z22</f>
        <v>108.97754285714285</v>
      </c>
      <c r="AB22" s="105"/>
      <c r="AC22" s="105"/>
      <c r="AD22" s="37">
        <f t="shared" si="4"/>
        <v>1186872</v>
      </c>
      <c r="AE22" s="37">
        <f t="shared" si="6"/>
        <v>8709</v>
      </c>
      <c r="AF22" s="37">
        <f t="shared" si="7"/>
        <v>14230</v>
      </c>
      <c r="AG22" s="37">
        <f t="shared" si="5"/>
        <v>2829</v>
      </c>
    </row>
    <row r="23" spans="1:33" x14ac:dyDescent="0.15">
      <c r="A23" s="102">
        <v>42754</v>
      </c>
      <c r="B23" s="14" t="s">
        <v>37</v>
      </c>
      <c r="C23" s="32">
        <v>47892</v>
      </c>
      <c r="D23" s="33">
        <f>16752+7436</f>
        <v>24188</v>
      </c>
      <c r="E23" s="33">
        <v>73063</v>
      </c>
      <c r="F23" s="119">
        <v>3648.1</v>
      </c>
      <c r="G23" s="33">
        <v>2287.3000000000002</v>
      </c>
      <c r="H23" s="19"/>
      <c r="I23" s="19"/>
      <c r="J23" s="32">
        <f t="shared" si="0"/>
        <v>48875</v>
      </c>
      <c r="K23" s="33">
        <v>101</v>
      </c>
      <c r="L23" s="33">
        <v>789</v>
      </c>
      <c r="M23" s="128">
        <f t="shared" si="1"/>
        <v>93</v>
      </c>
      <c r="N23" s="77">
        <f t="shared" si="8"/>
        <v>1208996</v>
      </c>
      <c r="O23" s="78">
        <f t="shared" si="8"/>
        <v>482239</v>
      </c>
      <c r="P23" s="78">
        <f t="shared" si="8"/>
        <v>1717986</v>
      </c>
      <c r="Q23" s="77">
        <f t="shared" si="3"/>
        <v>1208996</v>
      </c>
      <c r="R23" s="77">
        <f t="shared" si="3"/>
        <v>482239</v>
      </c>
      <c r="S23" s="77">
        <f t="shared" si="3"/>
        <v>1717986</v>
      </c>
      <c r="T23" s="82">
        <f>N23/'2016'!N23-1</f>
        <v>3.8309362249213885E-2</v>
      </c>
      <c r="U23" s="82">
        <f>O23/'2016'!O23-1</f>
        <v>2.4277360883075749E-2</v>
      </c>
      <c r="V23" s="82">
        <f>P23/'2016'!P23-1</f>
        <v>2.0980184621821163E-2</v>
      </c>
      <c r="W23" s="82">
        <f>Q23/'2016'!Q23-1</f>
        <v>3.8309362249213885E-2</v>
      </c>
      <c r="X23" s="82">
        <f>R23/'2016'!R23-1</f>
        <v>2.4277360883075749E-2</v>
      </c>
      <c r="Y23" s="82">
        <f>S23/'2016'!S23-1</f>
        <v>2.0980184621821163E-2</v>
      </c>
      <c r="Z23" s="138">
        <v>7.56</v>
      </c>
      <c r="AA23" s="138">
        <f>Q23/10000-Z23</f>
        <v>113.3396</v>
      </c>
      <c r="AB23" s="33">
        <v>4258</v>
      </c>
      <c r="AC23" s="33">
        <f>AA23*10000/AB23</f>
        <v>266.18036636918742</v>
      </c>
      <c r="AD23" s="33">
        <f t="shared" si="4"/>
        <v>1235747</v>
      </c>
      <c r="AE23" s="33">
        <f t="shared" si="6"/>
        <v>8810</v>
      </c>
      <c r="AF23" s="33">
        <f t="shared" si="7"/>
        <v>15019</v>
      </c>
      <c r="AG23" s="33">
        <f t="shared" si="5"/>
        <v>2922</v>
      </c>
    </row>
    <row r="24" spans="1:33" x14ac:dyDescent="0.15">
      <c r="A24" s="102">
        <v>42755</v>
      </c>
      <c r="B24" s="20" t="s">
        <v>38</v>
      </c>
      <c r="C24" s="8">
        <v>40727</v>
      </c>
      <c r="D24" s="37">
        <v>24626</v>
      </c>
      <c r="E24" s="37">
        <v>66682</v>
      </c>
      <c r="F24" s="12">
        <v>3216</v>
      </c>
      <c r="G24" s="37">
        <v>2108</v>
      </c>
      <c r="H24" s="24"/>
      <c r="I24" s="36"/>
      <c r="J24" s="8">
        <f t="shared" si="0"/>
        <v>42056</v>
      </c>
      <c r="K24" s="37">
        <v>114</v>
      </c>
      <c r="L24" s="37">
        <v>791</v>
      </c>
      <c r="M24" s="127">
        <f t="shared" si="1"/>
        <v>424</v>
      </c>
      <c r="N24" s="74">
        <f t="shared" si="8"/>
        <v>1249723</v>
      </c>
      <c r="O24" s="75">
        <f t="shared" si="8"/>
        <v>506865</v>
      </c>
      <c r="P24" s="75">
        <f t="shared" si="8"/>
        <v>1784668</v>
      </c>
      <c r="Q24" s="76">
        <f t="shared" si="3"/>
        <v>1249723</v>
      </c>
      <c r="R24" s="76">
        <f t="shared" si="3"/>
        <v>506865</v>
      </c>
      <c r="S24" s="76">
        <f t="shared" si="3"/>
        <v>1784668</v>
      </c>
      <c r="T24" s="80">
        <f>N24/'2016'!N24-1</f>
        <v>1.5332481348270477E-2</v>
      </c>
      <c r="U24" s="80">
        <f>O24/'2016'!O24-1</f>
        <v>2.2849728176421058E-2</v>
      </c>
      <c r="V24" s="80">
        <f>P24/'2016'!P24-1</f>
        <v>3.8857888578884836E-3</v>
      </c>
      <c r="W24" s="81">
        <f>Q24/'2016'!Q24-1</f>
        <v>1.5332481348270477E-2</v>
      </c>
      <c r="X24" s="81">
        <f>R24/'2016'!R24-1</f>
        <v>2.2849728176421058E-2</v>
      </c>
      <c r="Y24" s="81">
        <f>S24/'2016'!S24-1</f>
        <v>3.8857888578884836E-3</v>
      </c>
      <c r="Z24" s="136"/>
      <c r="AA24" s="136"/>
      <c r="AB24" s="105"/>
      <c r="AC24" s="105"/>
      <c r="AD24" s="37">
        <f t="shared" si="4"/>
        <v>1277803</v>
      </c>
      <c r="AE24" s="37">
        <f t="shared" si="6"/>
        <v>8924</v>
      </c>
      <c r="AF24" s="37">
        <f t="shared" si="7"/>
        <v>15810</v>
      </c>
      <c r="AG24" s="37">
        <f t="shared" si="5"/>
        <v>3346</v>
      </c>
    </row>
    <row r="25" spans="1:33" x14ac:dyDescent="0.15">
      <c r="A25" s="102">
        <v>42756</v>
      </c>
      <c r="B25" s="20" t="s">
        <v>39</v>
      </c>
      <c r="C25" s="70">
        <v>37008</v>
      </c>
      <c r="D25" s="71">
        <v>23954</v>
      </c>
      <c r="E25" s="71">
        <v>62557</v>
      </c>
      <c r="F25" s="120">
        <v>3063</v>
      </c>
      <c r="G25" s="71">
        <v>2080</v>
      </c>
      <c r="H25" s="24"/>
      <c r="I25" s="24"/>
      <c r="J25" s="70">
        <f t="shared" si="0"/>
        <v>38603</v>
      </c>
      <c r="K25" s="71">
        <v>360</v>
      </c>
      <c r="L25" s="71">
        <v>792</v>
      </c>
      <c r="M25" s="129">
        <f t="shared" si="1"/>
        <v>443</v>
      </c>
      <c r="N25" s="74">
        <f t="shared" si="8"/>
        <v>1286731</v>
      </c>
      <c r="O25" s="75">
        <f t="shared" si="8"/>
        <v>530819</v>
      </c>
      <c r="P25" s="75">
        <f t="shared" si="8"/>
        <v>1847225</v>
      </c>
      <c r="Q25" s="76">
        <f t="shared" si="3"/>
        <v>1286731</v>
      </c>
      <c r="R25" s="76">
        <f t="shared" si="3"/>
        <v>530819</v>
      </c>
      <c r="S25" s="76">
        <f t="shared" si="3"/>
        <v>1847225</v>
      </c>
      <c r="T25" s="80">
        <f>N25/'2016'!N25-1</f>
        <v>-9.6599506496665155E-3</v>
      </c>
      <c r="U25" s="80">
        <f>O25/'2016'!O25-1</f>
        <v>1.9323829202160026E-2</v>
      </c>
      <c r="V25" s="80">
        <f>P25/'2016'!P25-1</f>
        <v>-1.407138918941131E-2</v>
      </c>
      <c r="W25" s="81">
        <f>Q25/'2016'!Q25-1</f>
        <v>-9.6599506496665155E-3</v>
      </c>
      <c r="X25" s="81">
        <f>R25/'2016'!R25-1</f>
        <v>1.9323829202160026E-2</v>
      </c>
      <c r="Y25" s="81">
        <f>S25/'2016'!S25-1</f>
        <v>-1.407138918941131E-2</v>
      </c>
      <c r="Z25" s="139"/>
      <c r="AA25" s="139"/>
      <c r="AB25" s="105"/>
      <c r="AC25" s="105"/>
      <c r="AD25" s="37">
        <f t="shared" si="4"/>
        <v>1316406</v>
      </c>
      <c r="AE25" s="71">
        <f t="shared" si="6"/>
        <v>9284</v>
      </c>
      <c r="AF25" s="71">
        <f t="shared" si="7"/>
        <v>16602</v>
      </c>
      <c r="AG25" s="71">
        <f t="shared" si="5"/>
        <v>3789</v>
      </c>
    </row>
    <row r="26" spans="1:33" x14ac:dyDescent="0.15">
      <c r="A26" s="102">
        <v>42757</v>
      </c>
      <c r="B26" s="20" t="s">
        <v>1</v>
      </c>
      <c r="C26" s="8">
        <v>32902</v>
      </c>
      <c r="D26" s="37">
        <v>23237</v>
      </c>
      <c r="E26" s="37">
        <v>57862</v>
      </c>
      <c r="F26" s="12">
        <v>2884</v>
      </c>
      <c r="G26" s="37">
        <v>1889</v>
      </c>
      <c r="H26" s="24"/>
      <c r="I26" s="36"/>
      <c r="J26" s="8">
        <f t="shared" si="0"/>
        <v>34625</v>
      </c>
      <c r="K26" s="37">
        <v>478</v>
      </c>
      <c r="L26" s="37">
        <v>789</v>
      </c>
      <c r="M26" s="127">
        <f t="shared" si="1"/>
        <v>456</v>
      </c>
      <c r="N26" s="74">
        <f t="shared" si="8"/>
        <v>1319633</v>
      </c>
      <c r="O26" s="75">
        <f t="shared" si="8"/>
        <v>554056</v>
      </c>
      <c r="P26" s="75">
        <f t="shared" si="8"/>
        <v>1905087</v>
      </c>
      <c r="Q26" s="76">
        <f t="shared" si="3"/>
        <v>1319633</v>
      </c>
      <c r="R26" s="76">
        <f t="shared" si="3"/>
        <v>554056</v>
      </c>
      <c r="S26" s="76">
        <f t="shared" si="3"/>
        <v>1905087</v>
      </c>
      <c r="T26" s="80">
        <f>N26/'2016'!N26-1</f>
        <v>-3.2763971285623583E-2</v>
      </c>
      <c r="U26" s="80">
        <f>O26/'2016'!O26-1</f>
        <v>1.3299584479428805E-2</v>
      </c>
      <c r="V26" s="80">
        <f>P26/'2016'!P26-1</f>
        <v>-3.1606808636961192E-2</v>
      </c>
      <c r="W26" s="81">
        <f>Q26/'2016'!Q26-1</f>
        <v>-3.2763971285623583E-2</v>
      </c>
      <c r="X26" s="81">
        <f>R26/'2016'!R26-1</f>
        <v>1.3299584479428805E-2</v>
      </c>
      <c r="Y26" s="81">
        <f>S26/'2016'!S26-1</f>
        <v>-3.1606808636961192E-2</v>
      </c>
      <c r="Z26" s="136"/>
      <c r="AA26" s="136"/>
      <c r="AB26" s="105"/>
      <c r="AC26" s="105"/>
      <c r="AD26" s="37">
        <f t="shared" si="4"/>
        <v>1351031</v>
      </c>
      <c r="AE26" s="37">
        <f t="shared" si="6"/>
        <v>9762</v>
      </c>
      <c r="AF26" s="37">
        <f t="shared" si="7"/>
        <v>17391</v>
      </c>
      <c r="AG26" s="37">
        <f t="shared" si="5"/>
        <v>4245</v>
      </c>
    </row>
    <row r="27" spans="1:33" x14ac:dyDescent="0.15">
      <c r="A27" s="102">
        <v>42758</v>
      </c>
      <c r="B27" s="20" t="s">
        <v>34</v>
      </c>
      <c r="C27" s="8">
        <v>31550</v>
      </c>
      <c r="D27" s="37">
        <v>22307</v>
      </c>
      <c r="E27" s="37">
        <v>55297</v>
      </c>
      <c r="F27" s="12">
        <v>2817</v>
      </c>
      <c r="G27" s="37">
        <v>1780</v>
      </c>
      <c r="H27" s="24"/>
      <c r="I27" s="36"/>
      <c r="J27" s="8">
        <f t="shared" si="0"/>
        <v>32990</v>
      </c>
      <c r="K27" s="37">
        <v>235</v>
      </c>
      <c r="L27" s="37">
        <v>791</v>
      </c>
      <c r="M27" s="127">
        <f t="shared" si="1"/>
        <v>414</v>
      </c>
      <c r="N27" s="74">
        <f t="shared" si="8"/>
        <v>1351183</v>
      </c>
      <c r="O27" s="75">
        <f t="shared" si="8"/>
        <v>576363</v>
      </c>
      <c r="P27" s="75">
        <f t="shared" si="8"/>
        <v>1960384</v>
      </c>
      <c r="Q27" s="76">
        <f t="shared" si="3"/>
        <v>1351183</v>
      </c>
      <c r="R27" s="76">
        <f t="shared" si="3"/>
        <v>576363</v>
      </c>
      <c r="S27" s="76">
        <f t="shared" si="3"/>
        <v>1960384</v>
      </c>
      <c r="T27" s="80">
        <f>N27/'2016'!N27-1</f>
        <v>-5.251019237538801E-2</v>
      </c>
      <c r="U27" s="80">
        <f>O27/'2016'!O27-1</f>
        <v>5.9990295430822904E-3</v>
      </c>
      <c r="V27" s="80">
        <f>P27/'2016'!P27-1</f>
        <v>-4.7112977626123431E-2</v>
      </c>
      <c r="W27" s="81">
        <f>Q27/'2016'!Q27-1</f>
        <v>-5.251019237538801E-2</v>
      </c>
      <c r="X27" s="81">
        <f>R27/'2016'!R27-1</f>
        <v>5.9990295430822904E-3</v>
      </c>
      <c r="Y27" s="81">
        <f>S27/'2016'!S27-1</f>
        <v>-4.7112977626123431E-2</v>
      </c>
      <c r="Z27" s="136"/>
      <c r="AA27" s="136"/>
      <c r="AB27" s="105"/>
      <c r="AC27" s="105"/>
      <c r="AD27" s="37">
        <f t="shared" si="4"/>
        <v>1384021</v>
      </c>
      <c r="AE27" s="37">
        <f t="shared" si="6"/>
        <v>9997</v>
      </c>
      <c r="AF27" s="37">
        <f t="shared" si="7"/>
        <v>18182</v>
      </c>
      <c r="AG27" s="37">
        <f t="shared" si="5"/>
        <v>4659</v>
      </c>
    </row>
    <row r="28" spans="1:33" x14ac:dyDescent="0.15">
      <c r="A28" s="102">
        <v>42759</v>
      </c>
      <c r="B28" s="20" t="s">
        <v>35</v>
      </c>
      <c r="C28" s="8">
        <v>28200</v>
      </c>
      <c r="D28" s="37">
        <v>21611</v>
      </c>
      <c r="E28" s="37">
        <v>51085</v>
      </c>
      <c r="F28" s="12">
        <v>2599</v>
      </c>
      <c r="G28" s="37">
        <v>1703</v>
      </c>
      <c r="H28" s="24"/>
      <c r="I28" s="36"/>
      <c r="J28" s="8">
        <f t="shared" si="0"/>
        <v>29474</v>
      </c>
      <c r="K28" s="37">
        <v>148</v>
      </c>
      <c r="L28" s="37">
        <v>791</v>
      </c>
      <c r="M28" s="127">
        <f t="shared" si="1"/>
        <v>335</v>
      </c>
      <c r="N28" s="74">
        <f t="shared" si="8"/>
        <v>1379383</v>
      </c>
      <c r="O28" s="75">
        <f t="shared" si="8"/>
        <v>597974</v>
      </c>
      <c r="P28" s="75">
        <f t="shared" si="8"/>
        <v>2011469</v>
      </c>
      <c r="Q28" s="76">
        <f t="shared" si="3"/>
        <v>1379383</v>
      </c>
      <c r="R28" s="76">
        <f t="shared" si="3"/>
        <v>597974</v>
      </c>
      <c r="S28" s="76">
        <f t="shared" si="3"/>
        <v>2011469</v>
      </c>
      <c r="T28" s="80">
        <f>N28/'2016'!N28-1</f>
        <v>-7.1885050665446593E-2</v>
      </c>
      <c r="U28" s="80">
        <f>O28/'2016'!O28-1</f>
        <v>1.6391358743295115E-4</v>
      </c>
      <c r="V28" s="80">
        <f>P28/'2016'!P28-1</f>
        <v>-6.2166519644685447E-2</v>
      </c>
      <c r="W28" s="81">
        <f>Q28/'2016'!Q28-1</f>
        <v>-7.1885050665446593E-2</v>
      </c>
      <c r="X28" s="81">
        <f>R28/'2016'!R28-1</f>
        <v>1.6391358743295115E-4</v>
      </c>
      <c r="Y28" s="81">
        <f>S28/'2016'!S28-1</f>
        <v>-6.2166519644685447E-2</v>
      </c>
      <c r="Z28" s="136"/>
      <c r="AA28" s="136"/>
      <c r="AB28" s="105"/>
      <c r="AC28" s="105"/>
      <c r="AD28" s="37">
        <f t="shared" si="4"/>
        <v>1413495</v>
      </c>
      <c r="AE28" s="37">
        <f t="shared" si="6"/>
        <v>10145</v>
      </c>
      <c r="AF28" s="37">
        <f t="shared" si="7"/>
        <v>18973</v>
      </c>
      <c r="AG28" s="37">
        <f t="shared" si="5"/>
        <v>4994</v>
      </c>
    </row>
    <row r="29" spans="1:33" x14ac:dyDescent="0.15">
      <c r="A29" s="102">
        <v>42760</v>
      </c>
      <c r="B29" s="20" t="s">
        <v>36</v>
      </c>
      <c r="C29" s="8">
        <v>26775</v>
      </c>
      <c r="D29" s="37">
        <v>20199</v>
      </c>
      <c r="E29" s="37">
        <v>48291</v>
      </c>
      <c r="F29" s="12">
        <v>2459</v>
      </c>
      <c r="G29" s="37">
        <v>1540</v>
      </c>
      <c r="H29" s="24"/>
      <c r="I29" s="36"/>
      <c r="J29" s="8">
        <f t="shared" si="0"/>
        <v>28092</v>
      </c>
      <c r="K29" s="37">
        <v>128</v>
      </c>
      <c r="L29" s="37">
        <v>789</v>
      </c>
      <c r="M29" s="127">
        <f t="shared" si="1"/>
        <v>400</v>
      </c>
      <c r="N29" s="74">
        <f t="shared" si="8"/>
        <v>1406158</v>
      </c>
      <c r="O29" s="75">
        <f t="shared" si="8"/>
        <v>618173</v>
      </c>
      <c r="P29" s="75">
        <f t="shared" si="8"/>
        <v>2059760</v>
      </c>
      <c r="Q29" s="76">
        <f t="shared" si="3"/>
        <v>1406158</v>
      </c>
      <c r="R29" s="76">
        <f t="shared" si="3"/>
        <v>618173</v>
      </c>
      <c r="S29" s="76">
        <f t="shared" si="3"/>
        <v>2059760</v>
      </c>
      <c r="T29" s="80">
        <f>N29/'2016'!N29-1</f>
        <v>-9.0811046374418281E-2</v>
      </c>
      <c r="U29" s="80">
        <f>O29/'2016'!O29-1</f>
        <v>-6.6653704438706107E-3</v>
      </c>
      <c r="V29" s="80">
        <f>P29/'2016'!P29-1</f>
        <v>-7.7158122290796216E-2</v>
      </c>
      <c r="W29" s="81">
        <f>Q29/'2016'!Q29-1</f>
        <v>-9.0811046374418281E-2</v>
      </c>
      <c r="X29" s="81">
        <f>R29/'2016'!R29-1</f>
        <v>-6.6653704438706107E-3</v>
      </c>
      <c r="Y29" s="81">
        <f>S29/'2016'!S29-1</f>
        <v>-7.7158122290796216E-2</v>
      </c>
      <c r="Z29" s="136">
        <f>(Z30-Z23)/7*6+Z23</f>
        <v>8.7807894999999991</v>
      </c>
      <c r="AA29" s="136">
        <f>Q29/10000-Z29</f>
        <v>131.83501050000001</v>
      </c>
      <c r="AB29" s="105"/>
      <c r="AC29" s="105"/>
      <c r="AD29" s="37">
        <f t="shared" si="4"/>
        <v>1441587</v>
      </c>
      <c r="AE29" s="37">
        <f t="shared" si="6"/>
        <v>10273</v>
      </c>
      <c r="AF29" s="37">
        <f t="shared" si="7"/>
        <v>19762</v>
      </c>
      <c r="AG29" s="37">
        <f t="shared" si="5"/>
        <v>5394</v>
      </c>
    </row>
    <row r="30" spans="1:33" x14ac:dyDescent="0.15">
      <c r="A30" s="102">
        <v>42761</v>
      </c>
      <c r="B30" s="14" t="s">
        <v>37</v>
      </c>
      <c r="C30" s="32">
        <v>23725</v>
      </c>
      <c r="D30" s="33">
        <v>18395</v>
      </c>
      <c r="E30" s="33">
        <v>43501</v>
      </c>
      <c r="F30" s="119">
        <v>2290</v>
      </c>
      <c r="G30" s="33">
        <v>1458</v>
      </c>
      <c r="H30" s="19"/>
      <c r="I30" s="19"/>
      <c r="J30" s="32">
        <f t="shared" si="0"/>
        <v>25106</v>
      </c>
      <c r="K30" s="33">
        <v>202</v>
      </c>
      <c r="L30" s="33">
        <v>779</v>
      </c>
      <c r="M30" s="128">
        <f t="shared" si="1"/>
        <v>400</v>
      </c>
      <c r="N30" s="77">
        <f t="shared" si="8"/>
        <v>1429883</v>
      </c>
      <c r="O30" s="78">
        <f t="shared" si="8"/>
        <v>636568</v>
      </c>
      <c r="P30" s="78">
        <f t="shared" si="8"/>
        <v>2103261</v>
      </c>
      <c r="Q30" s="77">
        <f t="shared" si="3"/>
        <v>1429883</v>
      </c>
      <c r="R30" s="77">
        <f t="shared" si="3"/>
        <v>636568</v>
      </c>
      <c r="S30" s="77">
        <f t="shared" si="3"/>
        <v>2103261</v>
      </c>
      <c r="T30" s="82">
        <f>N30/'2016'!N30-1</f>
        <v>-0.10772065752015902</v>
      </c>
      <c r="U30" s="82">
        <f>O30/'2016'!O30-1</f>
        <v>-1.8534079363048073E-2</v>
      </c>
      <c r="V30" s="82">
        <f>P30/'2016'!P30-1</f>
        <v>-9.1743273774977152E-2</v>
      </c>
      <c r="W30" s="82">
        <f>Q30/'2016'!Q30-1</f>
        <v>-0.10772065752015902</v>
      </c>
      <c r="X30" s="82">
        <f>R30/'2016'!R30-1</f>
        <v>-1.8534079363048073E-2</v>
      </c>
      <c r="Y30" s="82">
        <f>S30/'2016'!S30-1</f>
        <v>-9.1743273774977152E-2</v>
      </c>
      <c r="Z30" s="138">
        <f>Z23+(Z35-Z23)/12*7</f>
        <v>8.9842544166666656</v>
      </c>
      <c r="AA30" s="138">
        <f>Q30/10000-Z30</f>
        <v>134.00404558333335</v>
      </c>
      <c r="AB30" s="33">
        <v>4258</v>
      </c>
      <c r="AC30" s="33">
        <f>AA30*10000/AB30</f>
        <v>314.71123904023801</v>
      </c>
      <c r="AD30" s="33">
        <f t="shared" si="4"/>
        <v>1466693</v>
      </c>
      <c r="AE30" s="33">
        <f t="shared" si="6"/>
        <v>10475</v>
      </c>
      <c r="AF30" s="33">
        <f t="shared" si="7"/>
        <v>20541</v>
      </c>
      <c r="AG30" s="33">
        <f t="shared" si="5"/>
        <v>5794</v>
      </c>
    </row>
    <row r="31" spans="1:33" x14ac:dyDescent="0.15">
      <c r="A31" s="121">
        <v>42762</v>
      </c>
      <c r="B31" s="20" t="s">
        <v>38</v>
      </c>
      <c r="C31" s="8">
        <v>24995</v>
      </c>
      <c r="D31" s="37">
        <v>15985</v>
      </c>
      <c r="E31" s="37">
        <v>41858</v>
      </c>
      <c r="F31" s="12">
        <v>2295</v>
      </c>
      <c r="G31" s="37">
        <v>1340</v>
      </c>
      <c r="H31" s="24"/>
      <c r="I31" s="36"/>
      <c r="J31" s="8">
        <f t="shared" si="0"/>
        <v>25873</v>
      </c>
      <c r="K31" s="37">
        <v>111</v>
      </c>
      <c r="L31" s="37">
        <v>481</v>
      </c>
      <c r="M31" s="127">
        <f t="shared" si="1"/>
        <v>286</v>
      </c>
      <c r="N31" s="74">
        <f t="shared" si="8"/>
        <v>1454878</v>
      </c>
      <c r="O31" s="75">
        <f t="shared" si="8"/>
        <v>652553</v>
      </c>
      <c r="P31" s="75">
        <f t="shared" si="8"/>
        <v>2145119</v>
      </c>
      <c r="Q31" s="76">
        <f t="shared" si="3"/>
        <v>1454878</v>
      </c>
      <c r="R31" s="76">
        <f t="shared" si="3"/>
        <v>652553</v>
      </c>
      <c r="S31" s="76">
        <f t="shared" si="3"/>
        <v>2145119</v>
      </c>
      <c r="T31" s="80">
        <f>N31/'2016'!N31-1</f>
        <v>-0.12163718823052105</v>
      </c>
      <c r="U31" s="80">
        <f>O31/'2016'!O31-1</f>
        <v>-3.2832126633121184E-2</v>
      </c>
      <c r="V31" s="80">
        <f>P31/'2016'!P31-1</f>
        <v>-0.10512768848323595</v>
      </c>
      <c r="W31" s="81">
        <f>Q31/'2016'!Q31-1</f>
        <v>-0.12163718823052105</v>
      </c>
      <c r="X31" s="81">
        <f>R31/'2016'!R31-1</f>
        <v>-3.2832126633121184E-2</v>
      </c>
      <c r="Y31" s="81">
        <f>S31/'2016'!S31-1</f>
        <v>-0.10512768848323595</v>
      </c>
      <c r="Z31" s="136"/>
      <c r="AA31" s="136"/>
      <c r="AB31" s="105"/>
      <c r="AC31" s="105"/>
      <c r="AD31" s="37">
        <f t="shared" si="4"/>
        <v>1492566</v>
      </c>
      <c r="AE31" s="37">
        <f t="shared" si="6"/>
        <v>10586</v>
      </c>
      <c r="AF31" s="37">
        <f t="shared" si="7"/>
        <v>21022</v>
      </c>
      <c r="AG31" s="37">
        <f t="shared" si="5"/>
        <v>6080</v>
      </c>
    </row>
    <row r="32" spans="1:33" x14ac:dyDescent="0.15">
      <c r="A32" s="121">
        <v>42763</v>
      </c>
      <c r="B32" s="20" t="s">
        <v>39</v>
      </c>
      <c r="C32" s="70">
        <v>20031</v>
      </c>
      <c r="D32" s="71">
        <v>15352</v>
      </c>
      <c r="E32" s="71">
        <v>36615</v>
      </c>
      <c r="F32" s="120">
        <v>1921</v>
      </c>
      <c r="G32" s="71">
        <v>1216</v>
      </c>
      <c r="H32" s="24"/>
      <c r="I32" s="24"/>
      <c r="J32" s="70">
        <f t="shared" si="0"/>
        <v>21263</v>
      </c>
      <c r="K32" s="71">
        <v>297</v>
      </c>
      <c r="L32" s="71">
        <v>480</v>
      </c>
      <c r="M32" s="129">
        <f t="shared" si="1"/>
        <v>455</v>
      </c>
      <c r="N32" s="74">
        <f t="shared" si="8"/>
        <v>1474909</v>
      </c>
      <c r="O32" s="75">
        <f t="shared" si="8"/>
        <v>667905</v>
      </c>
      <c r="P32" s="75">
        <f t="shared" si="8"/>
        <v>2181734</v>
      </c>
      <c r="Q32" s="76">
        <f t="shared" si="3"/>
        <v>1474909</v>
      </c>
      <c r="R32" s="76">
        <f t="shared" si="3"/>
        <v>667905</v>
      </c>
      <c r="S32" s="76">
        <f t="shared" si="3"/>
        <v>2181734</v>
      </c>
      <c r="T32" s="80">
        <f>N32/'2016'!N32-1</f>
        <v>-0.13500095888860408</v>
      </c>
      <c r="U32" s="80">
        <f>O32/'2016'!O32-1</f>
        <v>-4.4676316617558665E-2</v>
      </c>
      <c r="V32" s="80">
        <f>P32/'2016'!P32-1</f>
        <v>-0.11760820829573682</v>
      </c>
      <c r="W32" s="81">
        <f>Q32/'2016'!Q32-1</f>
        <v>-0.13500095888860408</v>
      </c>
      <c r="X32" s="81">
        <f>R32/'2016'!R32-1</f>
        <v>-4.4676316617558665E-2</v>
      </c>
      <c r="Y32" s="81">
        <f>S32/'2016'!S32-1</f>
        <v>-0.11760820829573682</v>
      </c>
      <c r="Z32" s="139"/>
      <c r="AA32" s="139"/>
      <c r="AB32" s="105"/>
      <c r="AC32" s="105"/>
      <c r="AD32" s="37">
        <f t="shared" si="4"/>
        <v>1513829</v>
      </c>
      <c r="AE32" s="71">
        <f t="shared" si="6"/>
        <v>10883</v>
      </c>
      <c r="AF32" s="71">
        <f t="shared" si="7"/>
        <v>21502</v>
      </c>
      <c r="AG32" s="71">
        <f t="shared" si="5"/>
        <v>6535</v>
      </c>
    </row>
    <row r="33" spans="1:33" x14ac:dyDescent="0.15">
      <c r="A33" s="121">
        <v>42764</v>
      </c>
      <c r="B33" s="20" t="s">
        <v>1</v>
      </c>
      <c r="C33" s="8">
        <v>17537</v>
      </c>
      <c r="D33" s="37">
        <v>15592</v>
      </c>
      <c r="E33" s="37">
        <v>34292</v>
      </c>
      <c r="F33" s="12">
        <v>1807</v>
      </c>
      <c r="G33" s="37">
        <v>1180</v>
      </c>
      <c r="H33" s="24"/>
      <c r="I33" s="36"/>
      <c r="J33" s="8">
        <f t="shared" si="0"/>
        <v>18700</v>
      </c>
      <c r="K33" s="37">
        <v>229</v>
      </c>
      <c r="L33" s="37">
        <v>479</v>
      </c>
      <c r="M33" s="127">
        <f t="shared" si="1"/>
        <v>455</v>
      </c>
      <c r="N33" s="74">
        <f t="shared" si="8"/>
        <v>1492446</v>
      </c>
      <c r="O33" s="75">
        <f t="shared" si="8"/>
        <v>683497</v>
      </c>
      <c r="P33" s="75">
        <f t="shared" si="8"/>
        <v>2216026</v>
      </c>
      <c r="Q33" s="76">
        <f t="shared" si="3"/>
        <v>1492446</v>
      </c>
      <c r="R33" s="76">
        <f t="shared" si="3"/>
        <v>683497</v>
      </c>
      <c r="S33" s="76">
        <f t="shared" si="3"/>
        <v>2216026</v>
      </c>
      <c r="T33" s="80">
        <f>N33/'2016'!N33-1</f>
        <v>-0.14560357777492805</v>
      </c>
      <c r="U33" s="80">
        <f>O33/'2016'!O33-1</f>
        <v>-5.4679460936722046E-2</v>
      </c>
      <c r="V33" s="80">
        <f>P33/'2016'!P33-1</f>
        <v>-0.12786505365574141</v>
      </c>
      <c r="W33" s="81">
        <f>Q33/'2016'!Q33-1</f>
        <v>-0.14560357777492805</v>
      </c>
      <c r="X33" s="81">
        <f>R33/'2016'!R33-1</f>
        <v>-5.4679460936722046E-2</v>
      </c>
      <c r="Y33" s="81">
        <f>S33/'2016'!S33-1</f>
        <v>-0.12786505365574141</v>
      </c>
      <c r="Z33" s="136"/>
      <c r="AA33" s="136"/>
      <c r="AB33" s="105"/>
      <c r="AC33" s="105"/>
      <c r="AD33" s="37">
        <f t="shared" si="4"/>
        <v>1532529</v>
      </c>
      <c r="AE33" s="37">
        <f t="shared" si="6"/>
        <v>11112</v>
      </c>
      <c r="AF33" s="37">
        <f t="shared" si="7"/>
        <v>21981</v>
      </c>
      <c r="AG33" s="37">
        <f t="shared" si="5"/>
        <v>6990</v>
      </c>
    </row>
    <row r="34" spans="1:33" x14ac:dyDescent="0.15">
      <c r="A34" s="121">
        <v>42765</v>
      </c>
      <c r="B34" s="20" t="s">
        <v>34</v>
      </c>
      <c r="C34" s="8">
        <v>20898</v>
      </c>
      <c r="D34" s="37">
        <v>15586</v>
      </c>
      <c r="E34" s="37">
        <v>37549</v>
      </c>
      <c r="F34" s="12">
        <v>2099</v>
      </c>
      <c r="G34" s="37">
        <v>1137</v>
      </c>
      <c r="H34" s="24"/>
      <c r="I34" s="36"/>
      <c r="J34" s="8">
        <f t="shared" si="0"/>
        <v>21963</v>
      </c>
      <c r="K34" s="37">
        <v>233</v>
      </c>
      <c r="L34" s="37">
        <v>478</v>
      </c>
      <c r="M34" s="127">
        <f t="shared" si="1"/>
        <v>354</v>
      </c>
      <c r="N34" s="74">
        <f t="shared" si="8"/>
        <v>1513344</v>
      </c>
      <c r="O34" s="75">
        <f t="shared" si="8"/>
        <v>699083</v>
      </c>
      <c r="P34" s="75">
        <f t="shared" si="8"/>
        <v>2253575</v>
      </c>
      <c r="Q34" s="76">
        <f t="shared" si="3"/>
        <v>1513344</v>
      </c>
      <c r="R34" s="76">
        <f t="shared" si="3"/>
        <v>699083</v>
      </c>
      <c r="S34" s="76">
        <f t="shared" si="3"/>
        <v>2253575</v>
      </c>
      <c r="T34" s="80">
        <f>N34/'2016'!N34-1</f>
        <v>-0.15135337620650902</v>
      </c>
      <c r="U34" s="80">
        <f>O34/'2016'!O34-1</f>
        <v>-6.3631980069382088E-2</v>
      </c>
      <c r="V34" s="80">
        <f>P34/'2016'!P34-1</f>
        <v>-0.13443619430386944</v>
      </c>
      <c r="W34" s="81">
        <f>Q34/'2016'!Q34-1</f>
        <v>-0.15135337620650902</v>
      </c>
      <c r="X34" s="81">
        <f>R34/'2016'!R34-1</f>
        <v>-6.3631980069382088E-2</v>
      </c>
      <c r="Y34" s="81">
        <f>S34/'2016'!S34-1</f>
        <v>-0.13443619430386944</v>
      </c>
      <c r="Z34" s="136"/>
      <c r="AA34" s="136"/>
      <c r="AB34" s="105"/>
      <c r="AC34" s="105"/>
      <c r="AD34" s="37">
        <f t="shared" si="4"/>
        <v>1554492</v>
      </c>
      <c r="AE34" s="37">
        <f t="shared" si="6"/>
        <v>11345</v>
      </c>
      <c r="AF34" s="37">
        <f t="shared" si="7"/>
        <v>22459</v>
      </c>
      <c r="AG34" s="37">
        <f t="shared" si="5"/>
        <v>7344</v>
      </c>
    </row>
    <row r="35" spans="1:33" s="1" customFormat="1" x14ac:dyDescent="0.15">
      <c r="A35" s="121">
        <v>42766</v>
      </c>
      <c r="B35" s="25" t="s">
        <v>35</v>
      </c>
      <c r="C35" s="42">
        <v>23861</v>
      </c>
      <c r="D35" s="43">
        <v>15903</v>
      </c>
      <c r="E35" s="43">
        <v>40989</v>
      </c>
      <c r="F35" s="122">
        <v>2194</v>
      </c>
      <c r="G35" s="43">
        <v>1317</v>
      </c>
      <c r="H35" s="30"/>
      <c r="I35" s="30"/>
      <c r="J35" s="42">
        <f t="shared" si="0"/>
        <v>25086</v>
      </c>
      <c r="K35" s="43">
        <v>426</v>
      </c>
      <c r="L35" s="43">
        <v>480</v>
      </c>
      <c r="M35" s="130">
        <f t="shared" si="1"/>
        <v>319</v>
      </c>
      <c r="N35" s="87" t="str">
        <f>[14]日发电量查询!$C$10</f>
        <v>1537312.620</v>
      </c>
      <c r="O35" s="88">
        <f>[14]日发电量查询!$C$15</f>
        <v>714986</v>
      </c>
      <c r="P35" s="88" t="str">
        <f>[14]日发电量查询!$D$2</f>
        <v>2294564.368</v>
      </c>
      <c r="Q35" s="87" t="str">
        <f t="shared" si="3"/>
        <v>1537312.620</v>
      </c>
      <c r="R35" s="87">
        <f t="shared" si="3"/>
        <v>714986</v>
      </c>
      <c r="S35" s="87" t="str">
        <f t="shared" si="3"/>
        <v>2294564.368</v>
      </c>
      <c r="T35" s="89">
        <f>N35/'2016'!N35-1</f>
        <v>-0.15392392147236822</v>
      </c>
      <c r="U35" s="89">
        <f>O35/'2016'!O35-1</f>
        <v>-7.1274275612224103E-2</v>
      </c>
      <c r="V35" s="89">
        <f>P35/'2016'!P35-1</f>
        <v>-0.1382963238638093</v>
      </c>
      <c r="W35" s="89">
        <f>Q35/'2016'!Q35-1</f>
        <v>-0.15392392147236822</v>
      </c>
      <c r="X35" s="89">
        <f>R35/'2016'!R35-1</f>
        <v>-7.1274275612224103E-2</v>
      </c>
      <c r="Y35" s="89">
        <f>S35/'2016'!S35-1</f>
        <v>-0.1382963238638093</v>
      </c>
      <c r="Z35" s="141">
        <v>10.001579</v>
      </c>
      <c r="AA35" s="141">
        <v>143.72968299999999</v>
      </c>
      <c r="AB35" s="43">
        <v>4258</v>
      </c>
      <c r="AC35" s="43">
        <f>AA35*10000/AB35</f>
        <v>337.55209722874588</v>
      </c>
      <c r="AD35" s="43">
        <f t="shared" si="4"/>
        <v>1579578.3679999998</v>
      </c>
      <c r="AE35" s="43">
        <f t="shared" si="6"/>
        <v>11771</v>
      </c>
      <c r="AF35" s="43">
        <f t="shared" si="7"/>
        <v>22939</v>
      </c>
      <c r="AG35" s="43">
        <f t="shared" si="5"/>
        <v>7555.7479999996722</v>
      </c>
    </row>
    <row r="36" spans="1:33" x14ac:dyDescent="0.15">
      <c r="A36" s="121">
        <v>42767</v>
      </c>
      <c r="B36" s="20" t="s">
        <v>36</v>
      </c>
      <c r="C36" s="8">
        <v>25395</v>
      </c>
      <c r="D36" s="37">
        <v>16553</v>
      </c>
      <c r="E36" s="37">
        <v>43208</v>
      </c>
      <c r="F36" s="12">
        <v>2302</v>
      </c>
      <c r="G36" s="37">
        <v>1322</v>
      </c>
      <c r="H36" s="24"/>
      <c r="I36" s="36"/>
      <c r="J36" s="8">
        <f t="shared" si="0"/>
        <v>26655</v>
      </c>
      <c r="K36" s="37">
        <v>670</v>
      </c>
      <c r="L36" s="37">
        <v>479</v>
      </c>
      <c r="M36" s="127">
        <f t="shared" si="1"/>
        <v>111</v>
      </c>
      <c r="N36" s="74">
        <f>C36</f>
        <v>25395</v>
      </c>
      <c r="O36" s="75">
        <f>D36</f>
        <v>16553</v>
      </c>
      <c r="P36" s="75">
        <f>E36</f>
        <v>43208</v>
      </c>
      <c r="Q36" s="76">
        <f>N36+Q$35</f>
        <v>1562707.62</v>
      </c>
      <c r="R36" s="76">
        <f>O36+R$35</f>
        <v>731539</v>
      </c>
      <c r="S36" s="76">
        <f>P36+S$35</f>
        <v>2337772.3679999998</v>
      </c>
      <c r="T36" s="80">
        <f>N36/'2016'!N36-1</f>
        <v>-0.30241182287660695</v>
      </c>
      <c r="U36" s="80">
        <f>O36/'2016'!O36-1</f>
        <v>-0.23831216639057606</v>
      </c>
      <c r="V36" s="80">
        <f>P36/'2016'!P36-1</f>
        <v>-0.29595411513581338</v>
      </c>
      <c r="W36" s="81">
        <f>Q36/'2016'!Q36-1</f>
        <v>-0.1568404900196666</v>
      </c>
      <c r="X36" s="81">
        <f>R36/'2016'!R36-1</f>
        <v>-7.5860073851455767E-2</v>
      </c>
      <c r="Y36" s="81">
        <f>S36/'2016'!S36-1</f>
        <v>-0.14184805927918509</v>
      </c>
      <c r="Z36" s="136">
        <f>(Z37-Z30)/7*6+Z30</f>
        <v>9.9834649166666658</v>
      </c>
      <c r="AA36" s="136">
        <f>Q36/10000-Z36</f>
        <v>146.28729708333336</v>
      </c>
      <c r="AB36" s="105"/>
      <c r="AC36" s="105"/>
      <c r="AD36" s="37">
        <f t="shared" si="4"/>
        <v>1606233.3679999998</v>
      </c>
      <c r="AE36" s="37">
        <f t="shared" si="6"/>
        <v>12441</v>
      </c>
      <c r="AF36" s="37">
        <f t="shared" si="7"/>
        <v>23418</v>
      </c>
      <c r="AG36" s="37">
        <f t="shared" si="5"/>
        <v>7666.7479999996722</v>
      </c>
    </row>
    <row r="37" spans="1:33" x14ac:dyDescent="0.15">
      <c r="A37" s="121">
        <v>42768</v>
      </c>
      <c r="B37" s="14" t="s">
        <v>37</v>
      </c>
      <c r="C37" s="32">
        <v>26125</v>
      </c>
      <c r="D37" s="33">
        <v>17675</v>
      </c>
      <c r="E37" s="33">
        <v>44681</v>
      </c>
      <c r="F37" s="119">
        <v>2383</v>
      </c>
      <c r="G37" s="33">
        <v>1386</v>
      </c>
      <c r="H37" s="19"/>
      <c r="I37" s="19"/>
      <c r="J37" s="32">
        <f t="shared" si="0"/>
        <v>27006</v>
      </c>
      <c r="K37" s="33">
        <v>199</v>
      </c>
      <c r="L37" s="33">
        <v>479</v>
      </c>
      <c r="M37" s="128">
        <f t="shared" si="1"/>
        <v>203</v>
      </c>
      <c r="N37" s="77">
        <f t="shared" ref="N37:P52" si="9">N36+C37</f>
        <v>51520</v>
      </c>
      <c r="O37" s="78">
        <f t="shared" si="9"/>
        <v>34228</v>
      </c>
      <c r="P37" s="78">
        <f t="shared" si="9"/>
        <v>87889</v>
      </c>
      <c r="Q37" s="77">
        <f t="shared" ref="Q37:S62" si="10">N37+Q$35</f>
        <v>1588832.62</v>
      </c>
      <c r="R37" s="77">
        <f t="shared" si="10"/>
        <v>749214</v>
      </c>
      <c r="S37" s="77">
        <f t="shared" si="10"/>
        <v>2382453.3679999998</v>
      </c>
      <c r="T37" s="82">
        <f>N37/'2016'!N37-1</f>
        <v>-0.23105625289174792</v>
      </c>
      <c r="U37" s="82">
        <f>O37/'2016'!O37-1</f>
        <v>-0.23790439293745691</v>
      </c>
      <c r="V37" s="82">
        <f>P37/'2016'!P37-1</f>
        <v>-0.25381839792842886</v>
      </c>
      <c r="W37" s="82">
        <f>Q37/'2016'!Q37-1</f>
        <v>-0.15666700283228374</v>
      </c>
      <c r="X37" s="82">
        <f>R37/'2016'!R37-1</f>
        <v>-8.0459516182480928E-2</v>
      </c>
      <c r="Y37" s="82">
        <f>S37/'2016'!S37-1</f>
        <v>-0.14318977432273816</v>
      </c>
      <c r="Z37" s="138">
        <v>10.15</v>
      </c>
      <c r="AA37" s="138">
        <f>Q37/10000-Z37</f>
        <v>148.733262</v>
      </c>
      <c r="AB37" s="33">
        <v>4258</v>
      </c>
      <c r="AC37" s="33">
        <f>AA37*10000/AB37</f>
        <v>349.30310474401125</v>
      </c>
      <c r="AD37" s="33">
        <f t="shared" si="4"/>
        <v>1633239.3679999998</v>
      </c>
      <c r="AE37" s="33">
        <f t="shared" si="6"/>
        <v>12640</v>
      </c>
      <c r="AF37" s="33">
        <f t="shared" si="7"/>
        <v>23897</v>
      </c>
      <c r="AG37" s="33">
        <f t="shared" si="5"/>
        <v>7869.7479999996722</v>
      </c>
    </row>
    <row r="38" spans="1:33" x14ac:dyDescent="0.15">
      <c r="A38" s="102">
        <v>42769</v>
      </c>
      <c r="B38" s="20" t="s">
        <v>38</v>
      </c>
      <c r="C38" s="8">
        <v>25478</v>
      </c>
      <c r="D38" s="37">
        <f>11854+9057</f>
        <v>20911</v>
      </c>
      <c r="E38" s="37">
        <v>47193</v>
      </c>
      <c r="F38" s="12">
        <v>2410.9</v>
      </c>
      <c r="G38" s="37">
        <v>1427.3</v>
      </c>
      <c r="H38" s="24"/>
      <c r="I38" s="36"/>
      <c r="J38" s="8">
        <f t="shared" si="0"/>
        <v>26282</v>
      </c>
      <c r="K38" s="37">
        <v>288</v>
      </c>
      <c r="L38" s="37">
        <v>480</v>
      </c>
      <c r="M38" s="127">
        <f t="shared" si="1"/>
        <v>36</v>
      </c>
      <c r="N38" s="74">
        <f t="shared" si="9"/>
        <v>76998</v>
      </c>
      <c r="O38" s="75">
        <f t="shared" si="9"/>
        <v>55139</v>
      </c>
      <c r="P38" s="75">
        <f t="shared" si="9"/>
        <v>135082</v>
      </c>
      <c r="Q38" s="76">
        <f t="shared" si="10"/>
        <v>1614310.62</v>
      </c>
      <c r="R38" s="76">
        <f t="shared" si="10"/>
        <v>770125</v>
      </c>
      <c r="S38" s="76">
        <f t="shared" si="10"/>
        <v>2429646.3679999998</v>
      </c>
      <c r="T38" s="80">
        <f>N38/'2016'!N38-1</f>
        <v>-0.17209122286377854</v>
      </c>
      <c r="U38" s="80">
        <f>O38/'2016'!O38-1</f>
        <v>-0.19380355001900751</v>
      </c>
      <c r="V38" s="80">
        <f>P38/'2016'!P38-1</f>
        <v>-0.201916600692434</v>
      </c>
      <c r="W38" s="81">
        <f>Q38/'2016'!Q38-1</f>
        <v>-0.15480853866556643</v>
      </c>
      <c r="X38" s="81">
        <f>R38/'2016'!R38-1</f>
        <v>-8.127160003388012E-2</v>
      </c>
      <c r="Y38" s="81">
        <f>S38/'2016'!S38-1</f>
        <v>-0.14209856003412336</v>
      </c>
      <c r="Z38" s="136"/>
      <c r="AA38" s="136"/>
      <c r="AB38" s="105"/>
      <c r="AC38" s="105"/>
      <c r="AD38" s="37">
        <f t="shared" si="4"/>
        <v>1659521.3679999998</v>
      </c>
      <c r="AE38" s="37">
        <f t="shared" si="6"/>
        <v>12928</v>
      </c>
      <c r="AF38" s="37">
        <f t="shared" si="7"/>
        <v>24377</v>
      </c>
      <c r="AG38" s="37">
        <f t="shared" si="5"/>
        <v>7905.7479999996722</v>
      </c>
    </row>
    <row r="39" spans="1:33" x14ac:dyDescent="0.15">
      <c r="A39" s="102">
        <v>42770</v>
      </c>
      <c r="B39" s="20" t="s">
        <v>39</v>
      </c>
      <c r="C39" s="70">
        <v>26430</v>
      </c>
      <c r="D39" s="71">
        <f>13528+10418</f>
        <v>23946</v>
      </c>
      <c r="E39" s="71">
        <v>51190</v>
      </c>
      <c r="F39" s="120">
        <v>2555.5</v>
      </c>
      <c r="G39" s="71">
        <v>1481.2</v>
      </c>
      <c r="H39" s="24"/>
      <c r="I39" s="24"/>
      <c r="J39" s="70">
        <f t="shared" si="0"/>
        <v>27244</v>
      </c>
      <c r="K39" s="71">
        <v>150</v>
      </c>
      <c r="L39" s="71">
        <v>479</v>
      </c>
      <c r="M39" s="129">
        <f t="shared" si="1"/>
        <v>185</v>
      </c>
      <c r="N39" s="74">
        <f t="shared" si="9"/>
        <v>103428</v>
      </c>
      <c r="O39" s="75">
        <f t="shared" si="9"/>
        <v>79085</v>
      </c>
      <c r="P39" s="75">
        <f t="shared" si="9"/>
        <v>186272</v>
      </c>
      <c r="Q39" s="76">
        <f t="shared" si="10"/>
        <v>1640740.62</v>
      </c>
      <c r="R39" s="76">
        <f t="shared" si="10"/>
        <v>794071</v>
      </c>
      <c r="S39" s="76">
        <f t="shared" si="10"/>
        <v>2480836.3679999998</v>
      </c>
      <c r="T39" s="80">
        <f>N39/'2016'!N39-1</f>
        <v>-0.12360293183069948</v>
      </c>
      <c r="U39" s="80">
        <f>O39/'2016'!O39-1</f>
        <v>-0.12518528351142677</v>
      </c>
      <c r="V39" s="80">
        <f>P39/'2016'!P39-1</f>
        <v>-0.14947399181765053</v>
      </c>
      <c r="W39" s="81">
        <f>Q39/'2016'!Q39-1</f>
        <v>-0.1520746602336116</v>
      </c>
      <c r="X39" s="81">
        <f>R39/'2016'!R39-1</f>
        <v>-7.6939619347196619E-2</v>
      </c>
      <c r="Y39" s="81">
        <f>S39/'2016'!S39-1</f>
        <v>-0.1391457833578722</v>
      </c>
      <c r="Z39" s="139"/>
      <c r="AA39" s="139"/>
      <c r="AB39" s="105"/>
      <c r="AC39" s="105"/>
      <c r="AD39" s="37">
        <f t="shared" si="4"/>
        <v>1686765.3679999998</v>
      </c>
      <c r="AE39" s="71">
        <f t="shared" si="6"/>
        <v>13078</v>
      </c>
      <c r="AF39" s="71">
        <f t="shared" si="7"/>
        <v>24856</v>
      </c>
      <c r="AG39" s="71">
        <f t="shared" si="5"/>
        <v>8090.7479999996722</v>
      </c>
    </row>
    <row r="40" spans="1:33" x14ac:dyDescent="0.15">
      <c r="A40" s="102">
        <v>42771</v>
      </c>
      <c r="B40" s="20" t="s">
        <v>1</v>
      </c>
      <c r="C40" s="8">
        <v>26708</v>
      </c>
      <c r="D40" s="37">
        <f>14755+10607</f>
        <v>25362</v>
      </c>
      <c r="E40" s="37">
        <v>53208</v>
      </c>
      <c r="F40" s="12">
        <v>2671.9</v>
      </c>
      <c r="G40" s="37">
        <v>1591.2</v>
      </c>
      <c r="H40" s="24"/>
      <c r="I40" s="36"/>
      <c r="J40" s="8">
        <f t="shared" si="0"/>
        <v>27846</v>
      </c>
      <c r="K40" s="37">
        <v>212</v>
      </c>
      <c r="L40" s="37">
        <v>674</v>
      </c>
      <c r="M40" s="127">
        <f t="shared" si="1"/>
        <v>252</v>
      </c>
      <c r="N40" s="74">
        <f t="shared" si="9"/>
        <v>130136</v>
      </c>
      <c r="O40" s="75">
        <f t="shared" si="9"/>
        <v>104447</v>
      </c>
      <c r="P40" s="75">
        <f t="shared" si="9"/>
        <v>239480</v>
      </c>
      <c r="Q40" s="76">
        <f t="shared" si="10"/>
        <v>1667448.62</v>
      </c>
      <c r="R40" s="76">
        <f t="shared" si="10"/>
        <v>819433</v>
      </c>
      <c r="S40" s="76">
        <f t="shared" si="10"/>
        <v>2534044.3679999998</v>
      </c>
      <c r="T40" s="80">
        <f>N40/'2016'!N40-1</f>
        <v>-6.9293760057214326E-2</v>
      </c>
      <c r="U40" s="80">
        <f>O40/'2016'!O40-1</f>
        <v>-4.8067370877042714E-2</v>
      </c>
      <c r="V40" s="80">
        <f>P40/'2016'!P40-1</f>
        <v>-8.6567801782009068E-2</v>
      </c>
      <c r="W40" s="81">
        <f>Q40/'2016'!Q40-1</f>
        <v>-0.1478766424640845</v>
      </c>
      <c r="X40" s="81">
        <f>R40/'2016'!R40-1</f>
        <v>-6.8379381930880445E-2</v>
      </c>
      <c r="Y40" s="81">
        <f>S40/'2016'!S40-1</f>
        <v>-0.13365974894350396</v>
      </c>
      <c r="Z40" s="136"/>
      <c r="AA40" s="136"/>
      <c r="AB40" s="105"/>
      <c r="AC40" s="105"/>
      <c r="AD40" s="37">
        <f t="shared" si="4"/>
        <v>1714611.3679999998</v>
      </c>
      <c r="AE40" s="37">
        <f t="shared" si="6"/>
        <v>13290</v>
      </c>
      <c r="AF40" s="37">
        <f t="shared" si="7"/>
        <v>25530</v>
      </c>
      <c r="AG40" s="37">
        <f t="shared" si="5"/>
        <v>8342.7479999996722</v>
      </c>
    </row>
    <row r="41" spans="1:33" x14ac:dyDescent="0.15">
      <c r="A41" s="102">
        <v>42772</v>
      </c>
      <c r="B41" s="20" t="s">
        <v>34</v>
      </c>
      <c r="C41" s="8">
        <v>31542</v>
      </c>
      <c r="D41" s="123">
        <f>13507+1620</f>
        <v>15127</v>
      </c>
      <c r="E41" s="37">
        <v>59039</v>
      </c>
      <c r="F41" s="12">
        <v>2952.7</v>
      </c>
      <c r="G41" s="37">
        <v>1722.6</v>
      </c>
      <c r="H41" s="24"/>
      <c r="I41" s="36"/>
      <c r="J41" s="8">
        <f t="shared" si="0"/>
        <v>43912</v>
      </c>
      <c r="K41" s="37">
        <v>210</v>
      </c>
      <c r="L41" s="37">
        <v>791</v>
      </c>
      <c r="M41" s="127">
        <f t="shared" si="1"/>
        <v>11369</v>
      </c>
      <c r="N41" s="74">
        <f t="shared" si="9"/>
        <v>161678</v>
      </c>
      <c r="O41" s="75">
        <f t="shared" si="9"/>
        <v>119574</v>
      </c>
      <c r="P41" s="75">
        <f t="shared" si="9"/>
        <v>298519</v>
      </c>
      <c r="Q41" s="76">
        <f t="shared" si="10"/>
        <v>1698990.62</v>
      </c>
      <c r="R41" s="76">
        <f t="shared" si="10"/>
        <v>834560</v>
      </c>
      <c r="S41" s="76">
        <f t="shared" si="10"/>
        <v>2593083.3679999998</v>
      </c>
      <c r="T41" s="80">
        <f>N41/'2016'!N41-1</f>
        <v>1.020338029929091E-2</v>
      </c>
      <c r="U41" s="80">
        <f>O41/'2016'!O41-1</f>
        <v>-5.7076617354824499E-2</v>
      </c>
      <c r="V41" s="80">
        <f>P41/'2016'!P41-1</f>
        <v>-1.3828645050461663E-2</v>
      </c>
      <c r="W41" s="81">
        <f>Q41/'2016'!Q41-1</f>
        <v>-0.14063748965623279</v>
      </c>
      <c r="X41" s="81">
        <f>R41/'2016'!R41-1</f>
        <v>-6.92663625038894E-2</v>
      </c>
      <c r="Y41" s="81">
        <f>S41/'2016'!S41-1</f>
        <v>-0.1255913388779335</v>
      </c>
      <c r="Z41" s="136"/>
      <c r="AA41" s="136"/>
      <c r="AB41" s="105"/>
      <c r="AC41" s="105"/>
      <c r="AD41" s="37">
        <f t="shared" si="4"/>
        <v>1758523.3679999998</v>
      </c>
      <c r="AE41" s="37">
        <f t="shared" si="6"/>
        <v>13500</v>
      </c>
      <c r="AF41" s="37">
        <f t="shared" si="7"/>
        <v>26321</v>
      </c>
      <c r="AG41" s="37">
        <f t="shared" si="5"/>
        <v>19711.747999999672</v>
      </c>
    </row>
    <row r="42" spans="1:33" x14ac:dyDescent="0.15">
      <c r="A42" s="20">
        <v>42773</v>
      </c>
      <c r="B42" s="20" t="s">
        <v>35</v>
      </c>
      <c r="C42" s="8">
        <v>37218</v>
      </c>
      <c r="D42" s="37">
        <f>15401+11137</f>
        <v>26538</v>
      </c>
      <c r="E42" s="37">
        <v>65007</v>
      </c>
      <c r="F42" s="12">
        <v>3293.1</v>
      </c>
      <c r="G42" s="37">
        <v>1909.5</v>
      </c>
      <c r="H42" s="24"/>
      <c r="I42" s="36"/>
      <c r="J42" s="8">
        <f t="shared" si="0"/>
        <v>38469</v>
      </c>
      <c r="K42" s="37">
        <v>130</v>
      </c>
      <c r="L42" s="37">
        <v>791</v>
      </c>
      <c r="M42" s="127">
        <f t="shared" si="1"/>
        <v>330</v>
      </c>
      <c r="N42" s="74">
        <f t="shared" si="9"/>
        <v>198896</v>
      </c>
      <c r="O42" s="75">
        <f t="shared" si="9"/>
        <v>146112</v>
      </c>
      <c r="P42" s="75">
        <f t="shared" si="9"/>
        <v>363526</v>
      </c>
      <c r="Q42" s="76">
        <f t="shared" si="10"/>
        <v>1736208.62</v>
      </c>
      <c r="R42" s="76">
        <f t="shared" si="10"/>
        <v>861098</v>
      </c>
      <c r="S42" s="76">
        <f t="shared" si="10"/>
        <v>2658090.3679999998</v>
      </c>
      <c r="T42" s="80">
        <f>N42/'2016'!N42-1</f>
        <v>8.6352861496783007E-2</v>
      </c>
      <c r="U42" s="80">
        <f>O42/'2016'!O42-1</f>
        <v>3.9543520639754082E-2</v>
      </c>
      <c r="V42" s="80">
        <f>P42/'2016'!P42-1</f>
        <v>6.1312312969856286E-2</v>
      </c>
      <c r="W42" s="81">
        <f>Q42/'2016'!Q42-1</f>
        <v>-0.13192911072923685</v>
      </c>
      <c r="X42" s="81">
        <f>R42/'2016'!R42-1</f>
        <v>-5.4165646065348461E-2</v>
      </c>
      <c r="Y42" s="81">
        <f>S42/'2016'!S42-1</f>
        <v>-0.11554656299370325</v>
      </c>
      <c r="Z42" s="136"/>
      <c r="AA42" s="136"/>
      <c r="AB42" s="105"/>
      <c r="AC42" s="105"/>
      <c r="AD42" s="37">
        <f t="shared" si="4"/>
        <v>1796992.3679999998</v>
      </c>
      <c r="AE42" s="37">
        <f t="shared" si="6"/>
        <v>13630</v>
      </c>
      <c r="AF42" s="37">
        <f t="shared" si="7"/>
        <v>27112</v>
      </c>
      <c r="AG42" s="37">
        <f t="shared" si="5"/>
        <v>20041.747999999672</v>
      </c>
    </row>
    <row r="43" spans="1:33" x14ac:dyDescent="0.15">
      <c r="A43" s="20">
        <v>42774</v>
      </c>
      <c r="B43" s="20" t="s">
        <v>36</v>
      </c>
      <c r="C43" s="8">
        <v>45118</v>
      </c>
      <c r="D43" s="37">
        <f>15405+11048</f>
        <v>26453</v>
      </c>
      <c r="E43" s="37">
        <v>72720</v>
      </c>
      <c r="F43" s="12">
        <v>3770.4</v>
      </c>
      <c r="G43" s="37">
        <v>2045.2</v>
      </c>
      <c r="H43" s="24"/>
      <c r="I43" s="36"/>
      <c r="J43" s="8">
        <f t="shared" si="0"/>
        <v>46267</v>
      </c>
      <c r="K43" s="37">
        <v>276</v>
      </c>
      <c r="L43" s="37">
        <v>790</v>
      </c>
      <c r="M43" s="127">
        <f t="shared" si="1"/>
        <v>83</v>
      </c>
      <c r="N43" s="74">
        <f t="shared" si="9"/>
        <v>244014</v>
      </c>
      <c r="O43" s="75">
        <f t="shared" si="9"/>
        <v>172565</v>
      </c>
      <c r="P43" s="75">
        <f t="shared" si="9"/>
        <v>436246</v>
      </c>
      <c r="Q43" s="76">
        <f t="shared" si="10"/>
        <v>1781326.62</v>
      </c>
      <c r="R43" s="76">
        <f t="shared" si="10"/>
        <v>887551</v>
      </c>
      <c r="S43" s="76">
        <f t="shared" si="10"/>
        <v>2730810.3679999998</v>
      </c>
      <c r="T43" s="80">
        <f>N43/'2016'!N43-1</f>
        <v>0.20512048044014008</v>
      </c>
      <c r="U43" s="80">
        <f>O43/'2016'!O43-1</f>
        <v>0.1225053990060625</v>
      </c>
      <c r="V43" s="80">
        <f>P43/'2016'!P43-1</f>
        <v>0.15546244083580762</v>
      </c>
      <c r="W43" s="81">
        <f>Q43/'2016'!Q43-1</f>
        <v>-0.11792457632490072</v>
      </c>
      <c r="X43" s="81">
        <f>R43/'2016'!R43-1</f>
        <v>-3.9019520587620704E-2</v>
      </c>
      <c r="Y43" s="81">
        <f>S43/'2016'!S43-1</f>
        <v>-0.10181761585910165</v>
      </c>
      <c r="Z43" s="136">
        <f>(Z44-Z37)/7*6+Z37</f>
        <v>11.478571428571428</v>
      </c>
      <c r="AA43" s="136">
        <f>Q43/10000-Z43</f>
        <v>166.65409057142858</v>
      </c>
      <c r="AB43" s="105"/>
      <c r="AC43" s="105"/>
      <c r="AD43" s="37">
        <f t="shared" si="4"/>
        <v>1843259.3679999998</v>
      </c>
      <c r="AE43" s="37">
        <f t="shared" si="6"/>
        <v>13906</v>
      </c>
      <c r="AF43" s="37">
        <f t="shared" si="7"/>
        <v>27902</v>
      </c>
      <c r="AG43" s="37">
        <f t="shared" si="5"/>
        <v>20124.747999999672</v>
      </c>
    </row>
    <row r="44" spans="1:33" x14ac:dyDescent="0.15">
      <c r="A44" s="20">
        <v>42775</v>
      </c>
      <c r="B44" s="14" t="s">
        <v>37</v>
      </c>
      <c r="C44" s="32">
        <v>47954</v>
      </c>
      <c r="D44" s="33">
        <f>11047+16452</f>
        <v>27499</v>
      </c>
      <c r="E44" s="33">
        <v>76852</v>
      </c>
      <c r="F44" s="119">
        <v>4017</v>
      </c>
      <c r="G44" s="33">
        <v>2216</v>
      </c>
      <c r="H44" s="19"/>
      <c r="I44" s="19"/>
      <c r="J44" s="32">
        <f t="shared" si="0"/>
        <v>49353</v>
      </c>
      <c r="K44" s="33">
        <v>310</v>
      </c>
      <c r="L44" s="33">
        <v>793</v>
      </c>
      <c r="M44" s="128">
        <f t="shared" si="1"/>
        <v>296</v>
      </c>
      <c r="N44" s="77">
        <f t="shared" si="9"/>
        <v>291968</v>
      </c>
      <c r="O44" s="78">
        <f t="shared" si="9"/>
        <v>200064</v>
      </c>
      <c r="P44" s="78">
        <f t="shared" si="9"/>
        <v>513098</v>
      </c>
      <c r="Q44" s="77">
        <f t="shared" si="10"/>
        <v>1829280.62</v>
      </c>
      <c r="R44" s="77">
        <f t="shared" si="10"/>
        <v>915050</v>
      </c>
      <c r="S44" s="77">
        <f t="shared" si="10"/>
        <v>2807662.3679999998</v>
      </c>
      <c r="T44" s="82">
        <f>N44/'2016'!N44-1</f>
        <v>0.32461051275304187</v>
      </c>
      <c r="U44" s="82">
        <f>O44/'2016'!O44-1</f>
        <v>0.1981530390413051</v>
      </c>
      <c r="V44" s="82">
        <f>P44/'2016'!P44-1</f>
        <v>0.25201125374860611</v>
      </c>
      <c r="W44" s="82">
        <f>Q44/'2016'!Q44-1</f>
        <v>-0.10215346059627683</v>
      </c>
      <c r="X44" s="82">
        <f>R44/'2016'!R44-1</f>
        <v>-2.3252785445447066E-2</v>
      </c>
      <c r="Y44" s="82">
        <f>S44/'2016'!S44-1</f>
        <v>-8.6238368153530476E-2</v>
      </c>
      <c r="Z44" s="138">
        <v>11.7</v>
      </c>
      <c r="AA44" s="138">
        <f>Q44/10000-Z44</f>
        <v>171.22806200000002</v>
      </c>
      <c r="AB44" s="33">
        <v>4258</v>
      </c>
      <c r="AC44" s="33">
        <f>AA44*10000/AB44</f>
        <v>402.13260216063884</v>
      </c>
      <c r="AD44" s="33">
        <f t="shared" si="4"/>
        <v>1892612.3679999998</v>
      </c>
      <c r="AE44" s="33">
        <f t="shared" si="6"/>
        <v>14216</v>
      </c>
      <c r="AF44" s="33">
        <f t="shared" si="7"/>
        <v>28695</v>
      </c>
      <c r="AG44" s="33">
        <f t="shared" si="5"/>
        <v>20420.747999999672</v>
      </c>
    </row>
    <row r="45" spans="1:33" x14ac:dyDescent="0.15">
      <c r="A45" s="20">
        <v>42776</v>
      </c>
      <c r="B45" s="20" t="s">
        <v>38</v>
      </c>
      <c r="C45" s="8">
        <v>49291</v>
      </c>
      <c r="D45" s="37">
        <f>8983+11056</f>
        <v>20039</v>
      </c>
      <c r="E45" s="37">
        <v>70772</v>
      </c>
      <c r="F45" s="12">
        <v>4014.2</v>
      </c>
      <c r="G45" s="37">
        <v>2364.6999999999998</v>
      </c>
      <c r="H45" s="24"/>
      <c r="I45" s="36"/>
      <c r="J45" s="8">
        <f t="shared" si="0"/>
        <v>50733</v>
      </c>
      <c r="K45" s="37">
        <v>155</v>
      </c>
      <c r="L45" s="37">
        <v>792</v>
      </c>
      <c r="M45" s="127">
        <f t="shared" si="1"/>
        <v>495</v>
      </c>
      <c r="N45" s="74">
        <f t="shared" si="9"/>
        <v>341259</v>
      </c>
      <c r="O45" s="75">
        <f t="shared" si="9"/>
        <v>220103</v>
      </c>
      <c r="P45" s="75">
        <f t="shared" si="9"/>
        <v>583870</v>
      </c>
      <c r="Q45" s="76">
        <f t="shared" si="10"/>
        <v>1878571.62</v>
      </c>
      <c r="R45" s="76">
        <f t="shared" si="10"/>
        <v>935089</v>
      </c>
      <c r="S45" s="76">
        <f t="shared" si="10"/>
        <v>2878434.3679999998</v>
      </c>
      <c r="T45" s="80">
        <f>N45/'2016'!N45-1</f>
        <v>0.43755792205166233</v>
      </c>
      <c r="U45" s="80">
        <f>O45/'2016'!O45-1</f>
        <v>0.22879506032235186</v>
      </c>
      <c r="V45" s="80">
        <f>P45/'2016'!P45-1</f>
        <v>0.32686569538470622</v>
      </c>
      <c r="W45" s="81">
        <f>Q45/'2016'!Q45-1</f>
        <v>-8.5576896960103177E-2</v>
      </c>
      <c r="X45" s="81">
        <f>R45/'2016'!R45-1</f>
        <v>-1.4635744980389442E-2</v>
      </c>
      <c r="Y45" s="81">
        <f>S45/'2016'!S45-1</f>
        <v>-7.2328636161476889E-2</v>
      </c>
      <c r="Z45" s="136"/>
      <c r="AA45" s="136"/>
      <c r="AB45" s="105"/>
      <c r="AC45" s="105"/>
      <c r="AD45" s="37">
        <f t="shared" si="4"/>
        <v>1943345.3679999998</v>
      </c>
      <c r="AE45" s="37">
        <f t="shared" si="6"/>
        <v>14371</v>
      </c>
      <c r="AF45" s="37">
        <f t="shared" si="7"/>
        <v>29487</v>
      </c>
      <c r="AG45" s="37">
        <f t="shared" si="5"/>
        <v>20915.747999999672</v>
      </c>
    </row>
    <row r="46" spans="1:33" x14ac:dyDescent="0.15">
      <c r="A46" s="20">
        <v>42777</v>
      </c>
      <c r="B46" s="20" t="s">
        <v>39</v>
      </c>
      <c r="C46" s="70">
        <v>47871</v>
      </c>
      <c r="D46" s="71">
        <f>16813+10686</f>
        <v>27499</v>
      </c>
      <c r="E46" s="71">
        <v>76904</v>
      </c>
      <c r="F46" s="120">
        <v>3778.3</v>
      </c>
      <c r="G46" s="71">
        <v>2408.5</v>
      </c>
      <c r="H46" s="24"/>
      <c r="I46" s="24"/>
      <c r="J46" s="70">
        <f t="shared" si="0"/>
        <v>49405</v>
      </c>
      <c r="K46" s="71">
        <v>187</v>
      </c>
      <c r="L46" s="71">
        <v>793</v>
      </c>
      <c r="M46" s="129">
        <f t="shared" si="1"/>
        <v>554</v>
      </c>
      <c r="N46" s="74">
        <f t="shared" si="9"/>
        <v>389130</v>
      </c>
      <c r="O46" s="75">
        <f t="shared" si="9"/>
        <v>247602</v>
      </c>
      <c r="P46" s="75">
        <f t="shared" si="9"/>
        <v>660774</v>
      </c>
      <c r="Q46" s="76">
        <f t="shared" si="10"/>
        <v>1926442.62</v>
      </c>
      <c r="R46" s="76">
        <f t="shared" si="10"/>
        <v>962588</v>
      </c>
      <c r="S46" s="76">
        <f t="shared" si="10"/>
        <v>2955338.3679999998</v>
      </c>
      <c r="T46" s="80">
        <f>N46/'2016'!N46-1</f>
        <v>0.53373483528697663</v>
      </c>
      <c r="U46" s="80">
        <f>O46/'2016'!O46-1</f>
        <v>0.28874800911901555</v>
      </c>
      <c r="V46" s="80">
        <f>P46/'2016'!P46-1</f>
        <v>0.40513080053927841</v>
      </c>
      <c r="W46" s="81">
        <f>Q46/'2016'!Q46-1</f>
        <v>-6.966824342434097E-2</v>
      </c>
      <c r="X46" s="81">
        <f>R46/'2016'!R46-1</f>
        <v>6.2890924267899884E-4</v>
      </c>
      <c r="Y46" s="81">
        <f>S46/'2016'!S46-1</f>
        <v>-5.6730940566171228E-2</v>
      </c>
      <c r="Z46" s="139"/>
      <c r="AA46" s="139"/>
      <c r="AB46" s="105"/>
      <c r="AC46" s="105"/>
      <c r="AD46" s="37">
        <f t="shared" si="4"/>
        <v>1992750.3679999998</v>
      </c>
      <c r="AE46" s="71">
        <f t="shared" si="6"/>
        <v>14558</v>
      </c>
      <c r="AF46" s="71">
        <f t="shared" si="7"/>
        <v>30280</v>
      </c>
      <c r="AG46" s="71">
        <f t="shared" si="5"/>
        <v>21469.747999999672</v>
      </c>
    </row>
    <row r="47" spans="1:33" x14ac:dyDescent="0.15">
      <c r="A47" s="20">
        <v>42778</v>
      </c>
      <c r="B47" s="20" t="s">
        <v>1</v>
      </c>
      <c r="C47" s="8">
        <v>48519</v>
      </c>
      <c r="D47" s="37">
        <f>16845+11044</f>
        <v>27889</v>
      </c>
      <c r="E47" s="37">
        <v>77964</v>
      </c>
      <c r="F47" s="12">
        <v>3824.2</v>
      </c>
      <c r="G47" s="37">
        <v>2462</v>
      </c>
      <c r="H47" s="24"/>
      <c r="I47" s="36"/>
      <c r="J47" s="8">
        <f t="shared" si="0"/>
        <v>50075</v>
      </c>
      <c r="K47" s="37">
        <v>260</v>
      </c>
      <c r="L47" s="37">
        <v>793</v>
      </c>
      <c r="M47" s="127">
        <f t="shared" si="1"/>
        <v>503</v>
      </c>
      <c r="N47" s="74">
        <f t="shared" si="9"/>
        <v>437649</v>
      </c>
      <c r="O47" s="75">
        <f t="shared" si="9"/>
        <v>275491</v>
      </c>
      <c r="P47" s="75">
        <f t="shared" si="9"/>
        <v>738738</v>
      </c>
      <c r="Q47" s="76">
        <f t="shared" si="10"/>
        <v>1974961.62</v>
      </c>
      <c r="R47" s="76">
        <f t="shared" si="10"/>
        <v>990477</v>
      </c>
      <c r="S47" s="76">
        <f t="shared" si="10"/>
        <v>3033302.3679999998</v>
      </c>
      <c r="T47" s="80">
        <f>N47/'2016'!N47-1</f>
        <v>0.62341145311700163</v>
      </c>
      <c r="U47" s="80">
        <f>O47/'2016'!O47-1</f>
        <v>0.34037356531554552</v>
      </c>
      <c r="V47" s="80">
        <f>P47/'2016'!P47-1</f>
        <v>0.47599999999999998</v>
      </c>
      <c r="W47" s="81">
        <f>Q47/'2016'!Q47-1</f>
        <v>-5.3492097344119083E-2</v>
      </c>
      <c r="X47" s="81">
        <f>R47/'2016'!R47-1</f>
        <v>1.5467659090210084E-2</v>
      </c>
      <c r="Y47" s="81">
        <f>S47/'2016'!S47-1</f>
        <v>-4.1102546910321891E-2</v>
      </c>
      <c r="Z47" s="136"/>
      <c r="AA47" s="136"/>
      <c r="AB47" s="105"/>
      <c r="AC47" s="105"/>
      <c r="AD47" s="37">
        <f t="shared" si="4"/>
        <v>2042825.3679999998</v>
      </c>
      <c r="AE47" s="37">
        <f t="shared" si="6"/>
        <v>14818</v>
      </c>
      <c r="AF47" s="37">
        <f t="shared" si="7"/>
        <v>31073</v>
      </c>
      <c r="AG47" s="37">
        <f t="shared" si="5"/>
        <v>21972.747999999672</v>
      </c>
    </row>
    <row r="48" spans="1:33" x14ac:dyDescent="0.15">
      <c r="A48" s="20">
        <v>42779</v>
      </c>
      <c r="B48" s="20" t="s">
        <v>34</v>
      </c>
      <c r="C48" s="8">
        <v>53498</v>
      </c>
      <c r="D48" s="37">
        <f>17242+11040</f>
        <v>28282</v>
      </c>
      <c r="E48" s="37">
        <v>83208</v>
      </c>
      <c r="F48" s="12">
        <v>4305.8</v>
      </c>
      <c r="G48" s="37">
        <v>2511.9</v>
      </c>
      <c r="H48" s="24"/>
      <c r="I48" s="36"/>
      <c r="J48" s="8">
        <f t="shared" si="0"/>
        <v>54926</v>
      </c>
      <c r="K48" s="37">
        <v>140</v>
      </c>
      <c r="L48" s="37">
        <v>792</v>
      </c>
      <c r="M48" s="127">
        <f t="shared" si="1"/>
        <v>496</v>
      </c>
      <c r="N48" s="74">
        <f t="shared" si="9"/>
        <v>491147</v>
      </c>
      <c r="O48" s="75">
        <f t="shared" si="9"/>
        <v>303773</v>
      </c>
      <c r="P48" s="75">
        <f t="shared" si="9"/>
        <v>821946</v>
      </c>
      <c r="Q48" s="76">
        <f t="shared" si="10"/>
        <v>2028459.62</v>
      </c>
      <c r="R48" s="76">
        <f t="shared" si="10"/>
        <v>1018759</v>
      </c>
      <c r="S48" s="76">
        <f t="shared" si="10"/>
        <v>3116510.3679999998</v>
      </c>
      <c r="T48" s="80">
        <f>N48/'2016'!N48-1</f>
        <v>0.71989508628417753</v>
      </c>
      <c r="U48" s="80">
        <f>O48/'2016'!O48-1</f>
        <v>0.38458768619300265</v>
      </c>
      <c r="V48" s="80">
        <f>P48/'2016'!P48-1</f>
        <v>0.54765567482785427</v>
      </c>
      <c r="W48" s="81">
        <f>Q48/'2016'!Q48-1</f>
        <v>-3.5242473576246769E-2</v>
      </c>
      <c r="X48" s="81">
        <f>R48/'2016'!R48-1</f>
        <v>2.9826545888665512E-2</v>
      </c>
      <c r="Y48" s="81">
        <f>S48/'2016'!S48-1</f>
        <v>-2.4234726420310659E-2</v>
      </c>
      <c r="Z48" s="136"/>
      <c r="AA48" s="136"/>
      <c r="AB48" s="105"/>
      <c r="AC48" s="105"/>
      <c r="AD48" s="37">
        <f t="shared" si="4"/>
        <v>2097751.3679999998</v>
      </c>
      <c r="AE48" s="37">
        <f t="shared" si="6"/>
        <v>14958</v>
      </c>
      <c r="AF48" s="37">
        <f t="shared" si="7"/>
        <v>31865</v>
      </c>
      <c r="AG48" s="37">
        <f t="shared" si="5"/>
        <v>22468.747999999672</v>
      </c>
    </row>
    <row r="49" spans="1:33" x14ac:dyDescent="0.15">
      <c r="A49" s="102">
        <v>42780</v>
      </c>
      <c r="B49" s="20" t="s">
        <v>35</v>
      </c>
      <c r="C49" s="8">
        <v>54651</v>
      </c>
      <c r="D49" s="37">
        <f>18020+11111</f>
        <v>29131</v>
      </c>
      <c r="E49" s="37">
        <v>85623</v>
      </c>
      <c r="F49" s="12">
        <v>4369.5</v>
      </c>
      <c r="G49" s="37">
        <v>2650.2</v>
      </c>
      <c r="H49" s="24"/>
      <c r="I49" s="36"/>
      <c r="J49" s="8">
        <f t="shared" si="0"/>
        <v>56492</v>
      </c>
      <c r="K49" s="37">
        <v>528</v>
      </c>
      <c r="L49" s="37">
        <v>793</v>
      </c>
      <c r="M49" s="127">
        <f t="shared" si="1"/>
        <v>520</v>
      </c>
      <c r="N49" s="74">
        <f t="shared" si="9"/>
        <v>545798</v>
      </c>
      <c r="O49" s="75">
        <f t="shared" si="9"/>
        <v>332904</v>
      </c>
      <c r="P49" s="75">
        <f t="shared" si="9"/>
        <v>907569</v>
      </c>
      <c r="Q49" s="76">
        <f t="shared" si="10"/>
        <v>2083110.62</v>
      </c>
      <c r="R49" s="76">
        <f t="shared" si="10"/>
        <v>1047890</v>
      </c>
      <c r="S49" s="76">
        <f t="shared" si="10"/>
        <v>3202133.3679999998</v>
      </c>
      <c r="T49" s="80">
        <f>N49/'2016'!N49-1</f>
        <v>0.78878612489430466</v>
      </c>
      <c r="U49" s="80">
        <f>O49/'2016'!O49-1</f>
        <v>0.41674539744146255</v>
      </c>
      <c r="V49" s="80">
        <f>P49/'2016'!P49-1</f>
        <v>0.5973124950500277</v>
      </c>
      <c r="W49" s="81">
        <f>Q49/'2016'!Q49-1</f>
        <v>-1.8379030711371147E-2</v>
      </c>
      <c r="X49" s="81">
        <f>R49/'2016'!R49-1</f>
        <v>4.2847830738379944E-2</v>
      </c>
      <c r="Y49" s="81">
        <f>S49/'2016'!S49-1</f>
        <v>-8.9367256286583263E-3</v>
      </c>
      <c r="Z49" s="136"/>
      <c r="AA49" s="136"/>
      <c r="AB49" s="105"/>
      <c r="AC49" s="105"/>
      <c r="AD49" s="37">
        <f t="shared" si="4"/>
        <v>2154243.3679999998</v>
      </c>
      <c r="AE49" s="37">
        <f t="shared" si="6"/>
        <v>15486</v>
      </c>
      <c r="AF49" s="37">
        <f t="shared" si="7"/>
        <v>32658</v>
      </c>
      <c r="AG49" s="37">
        <f t="shared" si="5"/>
        <v>22988.747999999672</v>
      </c>
    </row>
    <row r="50" spans="1:33" x14ac:dyDescent="0.15">
      <c r="A50" s="102">
        <v>42781</v>
      </c>
      <c r="B50" s="20" t="s">
        <v>36</v>
      </c>
      <c r="C50" s="8">
        <v>54487</v>
      </c>
      <c r="D50" s="37">
        <f>18550+11123</f>
        <v>29673</v>
      </c>
      <c r="E50" s="37">
        <v>85827</v>
      </c>
      <c r="F50" s="12">
        <v>4374.7</v>
      </c>
      <c r="G50" s="37">
        <v>2676.4</v>
      </c>
      <c r="H50" s="24"/>
      <c r="I50" s="36"/>
      <c r="J50" s="8">
        <f t="shared" si="0"/>
        <v>56154</v>
      </c>
      <c r="K50" s="37">
        <v>330</v>
      </c>
      <c r="L50" s="37">
        <v>793</v>
      </c>
      <c r="M50" s="127">
        <f t="shared" si="1"/>
        <v>544</v>
      </c>
      <c r="N50" s="74">
        <f t="shared" si="9"/>
        <v>600285</v>
      </c>
      <c r="O50" s="75">
        <f t="shared" si="9"/>
        <v>362577</v>
      </c>
      <c r="P50" s="75">
        <f t="shared" si="9"/>
        <v>993396</v>
      </c>
      <c r="Q50" s="76">
        <f t="shared" si="10"/>
        <v>2137597.62</v>
      </c>
      <c r="R50" s="76">
        <f t="shared" si="10"/>
        <v>1077563</v>
      </c>
      <c r="S50" s="76">
        <f t="shared" si="10"/>
        <v>3287960.3679999998</v>
      </c>
      <c r="T50" s="80">
        <f>N50/'2016'!N50-1</f>
        <v>0.83605399106266232</v>
      </c>
      <c r="U50" s="80">
        <f>O50/'2016'!O50-1</f>
        <v>0.4248767988933515</v>
      </c>
      <c r="V50" s="80">
        <f>P50/'2016'!P50-1</f>
        <v>0.62540046141008232</v>
      </c>
      <c r="W50" s="81">
        <f>Q50/'2016'!Q50-1</f>
        <v>-2.9554921000366496E-3</v>
      </c>
      <c r="X50" s="81">
        <f>R50/'2016'!R50-1</f>
        <v>5.1979900792624267E-2</v>
      </c>
      <c r="Y50" s="81">
        <f>S50/'2016'!S50-1</f>
        <v>4.2661569526873944E-3</v>
      </c>
      <c r="Z50" s="136">
        <f>(Z51-Z44)/7*6+Z44</f>
        <v>14.348571428571429</v>
      </c>
      <c r="AA50" s="136">
        <f>Q50/10000-Z50</f>
        <v>199.41119057142859</v>
      </c>
      <c r="AB50" s="105"/>
      <c r="AC50" s="105"/>
      <c r="AD50" s="37">
        <f t="shared" si="4"/>
        <v>2210397.3679999998</v>
      </c>
      <c r="AE50" s="37">
        <f t="shared" si="6"/>
        <v>15816</v>
      </c>
      <c r="AF50" s="37">
        <f t="shared" si="7"/>
        <v>33451</v>
      </c>
      <c r="AG50" s="37">
        <f t="shared" si="5"/>
        <v>23532.747999999672</v>
      </c>
    </row>
    <row r="51" spans="1:33" x14ac:dyDescent="0.15">
      <c r="A51" s="102">
        <v>42782</v>
      </c>
      <c r="B51" s="14" t="s">
        <v>37</v>
      </c>
      <c r="C51" s="32">
        <v>54106</v>
      </c>
      <c r="D51" s="33">
        <v>31174</v>
      </c>
      <c r="E51" s="33">
        <v>87059</v>
      </c>
      <c r="F51" s="119">
        <v>4528</v>
      </c>
      <c r="G51" s="33">
        <v>2665</v>
      </c>
      <c r="H51" s="19"/>
      <c r="I51" s="19"/>
      <c r="J51" s="32">
        <f t="shared" si="0"/>
        <v>55885</v>
      </c>
      <c r="K51" s="33">
        <v>444</v>
      </c>
      <c r="L51" s="33">
        <v>795</v>
      </c>
      <c r="M51" s="128">
        <f t="shared" si="1"/>
        <v>540</v>
      </c>
      <c r="N51" s="77">
        <f t="shared" si="9"/>
        <v>654391</v>
      </c>
      <c r="O51" s="78">
        <f t="shared" si="9"/>
        <v>393751</v>
      </c>
      <c r="P51" s="78">
        <f t="shared" si="9"/>
        <v>1080455</v>
      </c>
      <c r="Q51" s="77">
        <f t="shared" si="10"/>
        <v>2191703.62</v>
      </c>
      <c r="R51" s="77">
        <f t="shared" si="10"/>
        <v>1108737</v>
      </c>
      <c r="S51" s="77">
        <f t="shared" si="10"/>
        <v>3375019.3679999998</v>
      </c>
      <c r="T51" s="82">
        <f>N51/'2016'!N51-1</f>
        <v>0.86130207607437348</v>
      </c>
      <c r="U51" s="82">
        <f>O51/'2016'!O51-1</f>
        <v>0.42533266727480701</v>
      </c>
      <c r="V51" s="82">
        <f>P51/'2016'!P51-1</f>
        <v>0.64143765847255629</v>
      </c>
      <c r="W51" s="82">
        <f>Q51/'2016'!Q51-1</f>
        <v>1.066861634036842E-2</v>
      </c>
      <c r="X51" s="82">
        <f>R51/'2016'!R51-1</f>
        <v>5.9867566381705872E-2</v>
      </c>
      <c r="Y51" s="82">
        <f>S51/'2016'!S51-1</f>
        <v>1.6247634189084037E-2</v>
      </c>
      <c r="Z51" s="138">
        <v>14.79</v>
      </c>
      <c r="AA51" s="138">
        <f>Q51/10000-Z51</f>
        <v>204.38036200000002</v>
      </c>
      <c r="AB51" s="33">
        <v>4258</v>
      </c>
      <c r="AC51" s="33">
        <f>AA51*10000/AB51</f>
        <v>479.99145608266792</v>
      </c>
      <c r="AD51" s="33">
        <f t="shared" si="4"/>
        <v>2266282.3679999998</v>
      </c>
      <c r="AE51" s="33">
        <f t="shared" si="6"/>
        <v>16260</v>
      </c>
      <c r="AF51" s="33">
        <f t="shared" si="7"/>
        <v>34246</v>
      </c>
      <c r="AG51" s="33">
        <f t="shared" si="5"/>
        <v>24072.747999999672</v>
      </c>
    </row>
    <row r="52" spans="1:33" x14ac:dyDescent="0.15">
      <c r="A52" s="102">
        <v>42783</v>
      </c>
      <c r="B52" s="20" t="s">
        <v>38</v>
      </c>
      <c r="C52" s="8">
        <v>57451</v>
      </c>
      <c r="D52" s="37">
        <f>19895+11042</f>
        <v>30937</v>
      </c>
      <c r="E52" s="37">
        <v>90222</v>
      </c>
      <c r="F52" s="12">
        <v>4594.3999999999996</v>
      </c>
      <c r="G52" s="37">
        <v>2710</v>
      </c>
      <c r="H52" s="24"/>
      <c r="I52" s="36"/>
      <c r="J52" s="8">
        <f t="shared" si="0"/>
        <v>59285</v>
      </c>
      <c r="K52" s="37">
        <v>764</v>
      </c>
      <c r="L52" s="37">
        <v>791</v>
      </c>
      <c r="M52" s="127">
        <f t="shared" si="1"/>
        <v>279</v>
      </c>
      <c r="N52" s="74">
        <f t="shared" si="9"/>
        <v>711842</v>
      </c>
      <c r="O52" s="75">
        <f t="shared" si="9"/>
        <v>424688</v>
      </c>
      <c r="P52" s="75">
        <f t="shared" si="9"/>
        <v>1170677</v>
      </c>
      <c r="Q52" s="76">
        <f t="shared" si="10"/>
        <v>2249154.62</v>
      </c>
      <c r="R52" s="76">
        <f t="shared" si="10"/>
        <v>1139674</v>
      </c>
      <c r="S52" s="76">
        <f t="shared" si="10"/>
        <v>3465241.3679999998</v>
      </c>
      <c r="T52" s="80">
        <f>N52/'2016'!N52-1</f>
        <v>0.87628529029571234</v>
      </c>
      <c r="U52" s="80">
        <f>O52/'2016'!O52-1</f>
        <v>0.43028229255774164</v>
      </c>
      <c r="V52" s="80">
        <f>P52/'2016'!P52-1</f>
        <v>0.65135276194775149</v>
      </c>
      <c r="W52" s="81">
        <f>Q52/'2016'!Q52-1</f>
        <v>2.4028000619200629E-2</v>
      </c>
      <c r="X52" s="81">
        <f>R52/'2016'!R52-1</f>
        <v>6.8327860492715109E-2</v>
      </c>
      <c r="Y52" s="81">
        <f>S52/'2016'!S52-1</f>
        <v>2.7729980606469695E-2</v>
      </c>
      <c r="Z52" s="136"/>
      <c r="AA52" s="136"/>
      <c r="AB52" s="105"/>
      <c r="AC52" s="105"/>
      <c r="AD52" s="37">
        <f t="shared" si="4"/>
        <v>2325567.3679999998</v>
      </c>
      <c r="AE52" s="37">
        <f t="shared" si="6"/>
        <v>17024</v>
      </c>
      <c r="AF52" s="37">
        <f t="shared" si="7"/>
        <v>35037</v>
      </c>
      <c r="AG52" s="37">
        <f t="shared" si="5"/>
        <v>24351.747999999672</v>
      </c>
    </row>
    <row r="53" spans="1:33" x14ac:dyDescent="0.15">
      <c r="A53" s="102">
        <v>42784</v>
      </c>
      <c r="B53" s="20" t="s">
        <v>39</v>
      </c>
      <c r="C53" s="70">
        <v>58919</v>
      </c>
      <c r="D53" s="71">
        <f>19550+11075</f>
        <v>30625</v>
      </c>
      <c r="E53" s="71">
        <v>91243</v>
      </c>
      <c r="F53" s="120">
        <v>4767.6000000000004</v>
      </c>
      <c r="G53" s="71">
        <v>2840.3</v>
      </c>
      <c r="H53" s="24"/>
      <c r="I53" s="24"/>
      <c r="J53" s="70">
        <f t="shared" si="0"/>
        <v>60618</v>
      </c>
      <c r="K53" s="71">
        <v>550</v>
      </c>
      <c r="L53" s="71">
        <v>799</v>
      </c>
      <c r="M53" s="129">
        <f t="shared" si="1"/>
        <v>350</v>
      </c>
      <c r="N53" s="74">
        <f t="shared" ref="N53:P62" si="11">N52+C53</f>
        <v>770761</v>
      </c>
      <c r="O53" s="75">
        <f t="shared" si="11"/>
        <v>455313</v>
      </c>
      <c r="P53" s="75">
        <f t="shared" si="11"/>
        <v>1261920</v>
      </c>
      <c r="Q53" s="76">
        <f t="shared" si="10"/>
        <v>2308073.62</v>
      </c>
      <c r="R53" s="76">
        <f t="shared" si="10"/>
        <v>1170299</v>
      </c>
      <c r="S53" s="76">
        <f t="shared" si="10"/>
        <v>3556484.3679999998</v>
      </c>
      <c r="T53" s="80">
        <f>N53/'2016'!N53-1</f>
        <v>0.88121714171348797</v>
      </c>
      <c r="U53" s="80">
        <f>O53/'2016'!O53-1</f>
        <v>0.43295095123448046</v>
      </c>
      <c r="V53" s="80">
        <f>P53/'2016'!P53-1</f>
        <v>0.65625209177425758</v>
      </c>
      <c r="W53" s="81">
        <f>Q53/'2016'!Q53-1</f>
        <v>3.654216431902757E-2</v>
      </c>
      <c r="X53" s="81">
        <f>R53/'2016'!R53-1</f>
        <v>7.6036086730256081E-2</v>
      </c>
      <c r="Y53" s="81">
        <f>S53/'2016'!S53-1</f>
        <v>3.8469642039561602E-2</v>
      </c>
      <c r="Z53" s="139"/>
      <c r="AA53" s="139"/>
      <c r="AB53" s="105"/>
      <c r="AC53" s="105"/>
      <c r="AD53" s="37">
        <f t="shared" si="4"/>
        <v>2386185.3679999998</v>
      </c>
      <c r="AE53" s="71">
        <f t="shared" si="6"/>
        <v>17574</v>
      </c>
      <c r="AF53" s="71">
        <f t="shared" si="7"/>
        <v>35836</v>
      </c>
      <c r="AG53" s="71">
        <f t="shared" si="5"/>
        <v>24701.747999999672</v>
      </c>
    </row>
    <row r="54" spans="1:33" x14ac:dyDescent="0.15">
      <c r="A54" s="102">
        <v>42785</v>
      </c>
      <c r="B54" s="20" t="s">
        <v>1</v>
      </c>
      <c r="C54" s="8">
        <v>53162</v>
      </c>
      <c r="D54" s="37">
        <f>19307+11057</f>
        <v>30364</v>
      </c>
      <c r="E54" s="37">
        <v>85156</v>
      </c>
      <c r="F54" s="12">
        <v>4313.5</v>
      </c>
      <c r="G54" s="37">
        <v>2831.5</v>
      </c>
      <c r="H54" s="24"/>
      <c r="I54" s="36"/>
      <c r="J54" s="8">
        <f t="shared" si="0"/>
        <v>54792</v>
      </c>
      <c r="K54" s="37">
        <v>252</v>
      </c>
      <c r="L54" s="37">
        <v>786</v>
      </c>
      <c r="M54" s="127">
        <f t="shared" si="1"/>
        <v>592</v>
      </c>
      <c r="N54" s="74">
        <f t="shared" si="11"/>
        <v>823923</v>
      </c>
      <c r="O54" s="75">
        <f t="shared" si="11"/>
        <v>485677</v>
      </c>
      <c r="P54" s="75">
        <f t="shared" si="11"/>
        <v>1347076</v>
      </c>
      <c r="Q54" s="76">
        <f t="shared" si="10"/>
        <v>2361235.62</v>
      </c>
      <c r="R54" s="76">
        <f t="shared" si="10"/>
        <v>1200663</v>
      </c>
      <c r="S54" s="76">
        <f t="shared" si="10"/>
        <v>3641640.3679999998</v>
      </c>
      <c r="T54" s="80">
        <f>N54/'2016'!N54-1</f>
        <v>0.85522280516088367</v>
      </c>
      <c r="U54" s="80">
        <f>O54/'2016'!O54-1</f>
        <v>0.4323163808484598</v>
      </c>
      <c r="V54" s="80">
        <f>P54/'2016'!P54-1</f>
        <v>0.64202668538983443</v>
      </c>
      <c r="W54" s="81">
        <f>Q54/'2016'!Q54-1</f>
        <v>4.4285779361470379E-2</v>
      </c>
      <c r="X54" s="81">
        <f>R54/'2016'!R54-1</f>
        <v>8.2710367178806532E-2</v>
      </c>
      <c r="Y54" s="81">
        <f>S54/'2016'!S54-1</f>
        <v>4.548791469446023E-2</v>
      </c>
      <c r="Z54" s="136"/>
      <c r="AA54" s="136"/>
      <c r="AB54" s="105"/>
      <c r="AC54" s="105"/>
      <c r="AD54" s="37">
        <f t="shared" si="4"/>
        <v>2440977.3679999998</v>
      </c>
      <c r="AE54" s="37">
        <f t="shared" si="6"/>
        <v>17826</v>
      </c>
      <c r="AF54" s="37">
        <f t="shared" si="7"/>
        <v>36622</v>
      </c>
      <c r="AG54" s="37">
        <f t="shared" si="5"/>
        <v>25293.747999999672</v>
      </c>
    </row>
    <row r="55" spans="1:33" x14ac:dyDescent="0.15">
      <c r="A55" s="102">
        <v>42786</v>
      </c>
      <c r="B55" s="20" t="s">
        <v>34</v>
      </c>
      <c r="C55" s="8">
        <v>59098</v>
      </c>
      <c r="D55" s="37">
        <f>19289+11043</f>
        <v>30332</v>
      </c>
      <c r="E55" s="37">
        <v>91591</v>
      </c>
      <c r="F55" s="12">
        <v>4652.6000000000004</v>
      </c>
      <c r="G55" s="37">
        <v>2678.4</v>
      </c>
      <c r="H55" s="24"/>
      <c r="I55" s="36"/>
      <c r="J55" s="8">
        <f t="shared" si="0"/>
        <v>61259</v>
      </c>
      <c r="K55" s="37">
        <v>1046</v>
      </c>
      <c r="L55" s="37">
        <v>794</v>
      </c>
      <c r="M55" s="127">
        <f t="shared" si="1"/>
        <v>321</v>
      </c>
      <c r="N55" s="74">
        <f t="shared" si="11"/>
        <v>883021</v>
      </c>
      <c r="O55" s="75">
        <f t="shared" si="11"/>
        <v>516009</v>
      </c>
      <c r="P55" s="75">
        <f t="shared" si="11"/>
        <v>1438667</v>
      </c>
      <c r="Q55" s="76">
        <f t="shared" si="10"/>
        <v>2420333.62</v>
      </c>
      <c r="R55" s="76">
        <f t="shared" si="10"/>
        <v>1230995</v>
      </c>
      <c r="S55" s="76">
        <f t="shared" si="10"/>
        <v>3733231.3679999998</v>
      </c>
      <c r="T55" s="80">
        <f>N55/'2016'!N55-1</f>
        <v>0.84737837509885217</v>
      </c>
      <c r="U55" s="80">
        <f>O55/'2016'!O55-1</f>
        <v>0.42692133265491239</v>
      </c>
      <c r="V55" s="80">
        <f>P55/'2016'!P55-1</f>
        <v>0.63589174462356124</v>
      </c>
      <c r="W55" s="81">
        <f>Q55/'2016'!Q55-1</f>
        <v>5.4622168326741383E-2</v>
      </c>
      <c r="X55" s="81">
        <f>R55/'2016'!R55-1</f>
        <v>8.7950217458357738E-2</v>
      </c>
      <c r="Y55" s="81">
        <f>S55/'2016'!S55-1</f>
        <v>5.3911700489686964E-2</v>
      </c>
      <c r="Z55" s="136"/>
      <c r="AA55" s="136"/>
      <c r="AB55" s="105"/>
      <c r="AC55" s="105"/>
      <c r="AD55" s="37">
        <f t="shared" si="4"/>
        <v>2502236.3679999998</v>
      </c>
      <c r="AE55" s="37">
        <f t="shared" si="6"/>
        <v>18872</v>
      </c>
      <c r="AF55" s="37">
        <f t="shared" si="7"/>
        <v>37416</v>
      </c>
      <c r="AG55" s="37">
        <f t="shared" si="5"/>
        <v>25614.747999999672</v>
      </c>
    </row>
    <row r="56" spans="1:33" x14ac:dyDescent="0.15">
      <c r="A56" s="102">
        <v>42787</v>
      </c>
      <c r="B56" s="20" t="s">
        <v>35</v>
      </c>
      <c r="C56" s="8">
        <v>63796</v>
      </c>
      <c r="D56" s="37">
        <f>19537+11082</f>
        <v>30619</v>
      </c>
      <c r="E56" s="37">
        <v>96413</v>
      </c>
      <c r="F56" s="12">
        <v>5049</v>
      </c>
      <c r="G56" s="37">
        <v>2966</v>
      </c>
      <c r="H56" s="24"/>
      <c r="I56" s="36"/>
      <c r="J56" s="8">
        <f t="shared" si="0"/>
        <v>65794</v>
      </c>
      <c r="K56" s="37">
        <v>819</v>
      </c>
      <c r="L56" s="37">
        <v>793</v>
      </c>
      <c r="M56" s="127">
        <f t="shared" si="1"/>
        <v>386</v>
      </c>
      <c r="N56" s="74">
        <f t="shared" si="11"/>
        <v>946817</v>
      </c>
      <c r="O56" s="75">
        <f t="shared" si="11"/>
        <v>546628</v>
      </c>
      <c r="P56" s="75">
        <f t="shared" si="11"/>
        <v>1535080</v>
      </c>
      <c r="Q56" s="76">
        <f t="shared" si="10"/>
        <v>2484129.62</v>
      </c>
      <c r="R56" s="76">
        <f t="shared" si="10"/>
        <v>1261614</v>
      </c>
      <c r="S56" s="76">
        <f t="shared" si="10"/>
        <v>3829644.3679999998</v>
      </c>
      <c r="T56" s="80">
        <f>N56/'2016'!N56-1</f>
        <v>0.84200983243614469</v>
      </c>
      <c r="U56" s="80">
        <f>O56/'2016'!O56-1</f>
        <v>0.42294346263077465</v>
      </c>
      <c r="V56" s="80">
        <f>P56/'2016'!P56-1</f>
        <v>0.63190587104682105</v>
      </c>
      <c r="W56" s="81">
        <f>Q56/'2016'!Q56-1</f>
        <v>6.5690843945355848E-2</v>
      </c>
      <c r="X56" s="81">
        <f>R56/'2016'!R56-1</f>
        <v>9.3243559414563082E-2</v>
      </c>
      <c r="Y56" s="81">
        <f>S56/'2016'!S56-1</f>
        <v>6.2759815623187443E-2</v>
      </c>
      <c r="Z56" s="136"/>
      <c r="AA56" s="136"/>
      <c r="AB56" s="105"/>
      <c r="AC56" s="105"/>
      <c r="AD56" s="37">
        <f t="shared" si="4"/>
        <v>2568030.3679999998</v>
      </c>
      <c r="AE56" s="37">
        <f t="shared" si="6"/>
        <v>19691</v>
      </c>
      <c r="AF56" s="37">
        <f t="shared" si="7"/>
        <v>38209</v>
      </c>
      <c r="AG56" s="37">
        <f t="shared" si="5"/>
        <v>26000.747999999672</v>
      </c>
    </row>
    <row r="57" spans="1:33" x14ac:dyDescent="0.15">
      <c r="A57" s="102">
        <v>42788</v>
      </c>
      <c r="B57" s="20" t="s">
        <v>36</v>
      </c>
      <c r="C57" s="8">
        <v>65540</v>
      </c>
      <c r="D57" s="37">
        <f>20663+11137</f>
        <v>31800</v>
      </c>
      <c r="E57" s="37">
        <v>99132</v>
      </c>
      <c r="F57" s="12">
        <v>5122.8</v>
      </c>
      <c r="G57" s="37">
        <v>2981.3</v>
      </c>
      <c r="H57" s="24"/>
      <c r="I57" s="36"/>
      <c r="J57" s="8">
        <f t="shared" si="0"/>
        <v>67332</v>
      </c>
      <c r="K57" s="37">
        <v>729</v>
      </c>
      <c r="L57" s="37">
        <v>811</v>
      </c>
      <c r="M57" s="127">
        <f t="shared" si="1"/>
        <v>252</v>
      </c>
      <c r="N57" s="74">
        <f t="shared" si="11"/>
        <v>1012357</v>
      </c>
      <c r="O57" s="75">
        <f t="shared" si="11"/>
        <v>578428</v>
      </c>
      <c r="P57" s="75">
        <f t="shared" si="11"/>
        <v>1634212</v>
      </c>
      <c r="Q57" s="76">
        <f t="shared" si="10"/>
        <v>2549669.62</v>
      </c>
      <c r="R57" s="76">
        <f t="shared" si="10"/>
        <v>1293414</v>
      </c>
      <c r="S57" s="76">
        <f t="shared" si="10"/>
        <v>3928776.3679999998</v>
      </c>
      <c r="T57" s="80">
        <f>N57/'2016'!N57-1</f>
        <v>0.82363293775174196</v>
      </c>
      <c r="U57" s="80">
        <f>O57/'2016'!O57-1</f>
        <v>0.42352492401589825</v>
      </c>
      <c r="V57" s="80">
        <f>P57/'2016'!P57-1</f>
        <v>0.62252012001517065</v>
      </c>
      <c r="W57" s="81">
        <f>Q57/'2016'!Q57-1</f>
        <v>7.4847139039586175E-2</v>
      </c>
      <c r="X57" s="81">
        <f>R57/'2016'!R57-1</f>
        <v>9.9662300032647755E-2</v>
      </c>
      <c r="Y57" s="81">
        <f>S57/'2016'!S57-1</f>
        <v>7.0502812920551827E-2</v>
      </c>
      <c r="Z57" s="136">
        <f>(Z58-Z51)/7*6+Z51</f>
        <v>17.207142857142856</v>
      </c>
      <c r="AA57" s="136">
        <f>Q57/10000-Z57</f>
        <v>237.75981914285717</v>
      </c>
      <c r="AB57" s="105"/>
      <c r="AC57" s="105"/>
      <c r="AD57" s="37">
        <f t="shared" si="4"/>
        <v>2635362.3679999998</v>
      </c>
      <c r="AE57" s="37">
        <f t="shared" si="6"/>
        <v>20420</v>
      </c>
      <c r="AF57" s="37">
        <f t="shared" si="7"/>
        <v>39020</v>
      </c>
      <c r="AG57" s="37">
        <f t="shared" si="5"/>
        <v>26252.747999999672</v>
      </c>
    </row>
    <row r="58" spans="1:33" x14ac:dyDescent="0.15">
      <c r="A58" s="102">
        <v>42789</v>
      </c>
      <c r="B58" s="14" t="s">
        <v>37</v>
      </c>
      <c r="C58" s="32">
        <v>72652</v>
      </c>
      <c r="D58" s="33">
        <f>18138+11000</f>
        <v>29138</v>
      </c>
      <c r="E58" s="33">
        <v>103563</v>
      </c>
      <c r="F58" s="119">
        <v>5436.1</v>
      </c>
      <c r="G58" s="33">
        <v>3065.7</v>
      </c>
      <c r="H58" s="19"/>
      <c r="I58" s="19"/>
      <c r="J58" s="32">
        <f t="shared" si="0"/>
        <v>74425</v>
      </c>
      <c r="K58" s="33">
        <v>891</v>
      </c>
      <c r="L58" s="33">
        <v>774</v>
      </c>
      <c r="M58" s="128">
        <f t="shared" si="1"/>
        <v>108</v>
      </c>
      <c r="N58" s="77">
        <f t="shared" si="11"/>
        <v>1085009</v>
      </c>
      <c r="O58" s="78">
        <f t="shared" si="11"/>
        <v>607566</v>
      </c>
      <c r="P58" s="78">
        <f t="shared" si="11"/>
        <v>1737775</v>
      </c>
      <c r="Q58" s="77">
        <f t="shared" si="10"/>
        <v>2622321.62</v>
      </c>
      <c r="R58" s="77">
        <f t="shared" si="10"/>
        <v>1322552</v>
      </c>
      <c r="S58" s="77">
        <f t="shared" si="10"/>
        <v>4032339.3679999998</v>
      </c>
      <c r="T58" s="82">
        <f>N58/'2016'!N58-1</f>
        <v>0.81520071603637057</v>
      </c>
      <c r="U58" s="82">
        <f>O58/'2016'!O58-1</f>
        <v>0.40461449543405381</v>
      </c>
      <c r="V58" s="82">
        <f>P58/'2016'!P58-1</f>
        <v>0.61066308036099093</v>
      </c>
      <c r="W58" s="82">
        <f>Q58/'2016'!Q58-1</f>
        <v>8.5970673277216525E-2</v>
      </c>
      <c r="X58" s="82">
        <f>R58/'2016'!R58-1</f>
        <v>9.9920409644987052E-2</v>
      </c>
      <c r="Y58" s="82">
        <f>S58/'2016'!S58-1</f>
        <v>7.7663657194964264E-2</v>
      </c>
      <c r="Z58" s="138">
        <v>17.61</v>
      </c>
      <c r="AA58" s="138">
        <f>Q58/10000-Z58</f>
        <v>244.622162</v>
      </c>
      <c r="AB58" s="33">
        <v>4258</v>
      </c>
      <c r="AC58" s="33">
        <f>AA58*10000/AB58</f>
        <v>574.50014560826685</v>
      </c>
      <c r="AD58" s="33">
        <f t="shared" si="4"/>
        <v>2709787.3679999998</v>
      </c>
      <c r="AE58" s="33">
        <f t="shared" si="6"/>
        <v>21311</v>
      </c>
      <c r="AF58" s="33">
        <f t="shared" si="7"/>
        <v>39794</v>
      </c>
      <c r="AG58" s="33">
        <f t="shared" si="5"/>
        <v>26360.747999999672</v>
      </c>
    </row>
    <row r="59" spans="1:33" x14ac:dyDescent="0.15">
      <c r="A59" s="102">
        <v>42790</v>
      </c>
      <c r="B59" s="20" t="s">
        <v>38</v>
      </c>
      <c r="C59" s="8">
        <v>72776</v>
      </c>
      <c r="D59" s="37">
        <f>18689+11040</f>
        <v>29729</v>
      </c>
      <c r="E59" s="37">
        <v>103846</v>
      </c>
      <c r="F59" s="12">
        <v>5376.1</v>
      </c>
      <c r="G59" s="37">
        <v>3195.5</v>
      </c>
      <c r="H59" s="24"/>
      <c r="I59" s="36"/>
      <c r="J59" s="8">
        <f t="shared" si="0"/>
        <v>74117</v>
      </c>
      <c r="K59" s="37">
        <v>263</v>
      </c>
      <c r="L59" s="37">
        <v>793</v>
      </c>
      <c r="M59" s="127">
        <f t="shared" si="1"/>
        <v>285</v>
      </c>
      <c r="N59" s="74">
        <f t="shared" si="11"/>
        <v>1157785</v>
      </c>
      <c r="O59" s="75">
        <f t="shared" si="11"/>
        <v>637295</v>
      </c>
      <c r="P59" s="75">
        <f t="shared" si="11"/>
        <v>1841621</v>
      </c>
      <c r="Q59" s="76">
        <f t="shared" si="10"/>
        <v>2695097.62</v>
      </c>
      <c r="R59" s="76">
        <f t="shared" si="10"/>
        <v>1352281</v>
      </c>
      <c r="S59" s="76">
        <f t="shared" si="10"/>
        <v>4136185.3679999998</v>
      </c>
      <c r="T59" s="80">
        <f>N59/'2016'!N59-1</f>
        <v>0.80234223463443644</v>
      </c>
      <c r="U59" s="80">
        <f>O59/'2016'!O59-1</f>
        <v>0.3873662257595416</v>
      </c>
      <c r="V59" s="80">
        <f>P59/'2016'!P59-1</f>
        <v>0.59653942582106056</v>
      </c>
      <c r="W59" s="81">
        <f>Q59/'2016'!Q59-1</f>
        <v>9.5849227993034081E-2</v>
      </c>
      <c r="X59" s="81">
        <f>R59/'2016'!R59-1</f>
        <v>0.10011934465385575</v>
      </c>
      <c r="Y59" s="81">
        <f>S59/'2016'!S59-1</f>
        <v>8.3812008968823681E-2</v>
      </c>
      <c r="Z59" s="136"/>
      <c r="AA59" s="136"/>
      <c r="AB59" s="105"/>
      <c r="AC59" s="105"/>
      <c r="AD59" s="37">
        <f t="shared" si="4"/>
        <v>2783904.3679999998</v>
      </c>
      <c r="AE59" s="37">
        <f t="shared" si="6"/>
        <v>21574</v>
      </c>
      <c r="AF59" s="37">
        <f t="shared" si="7"/>
        <v>40587</v>
      </c>
      <c r="AG59" s="37">
        <f t="shared" si="5"/>
        <v>26645.747999999672</v>
      </c>
    </row>
    <row r="60" spans="1:33" x14ac:dyDescent="0.15">
      <c r="A60" s="102">
        <v>42791</v>
      </c>
      <c r="B60" s="20" t="s">
        <v>39</v>
      </c>
      <c r="C60" s="70">
        <v>70613</v>
      </c>
      <c r="D60" s="71">
        <f>18032+11055</f>
        <v>29087</v>
      </c>
      <c r="E60" s="71">
        <v>101249</v>
      </c>
      <c r="F60" s="120">
        <v>5094</v>
      </c>
      <c r="G60" s="71">
        <v>3245.3</v>
      </c>
      <c r="H60" s="24"/>
      <c r="I60" s="24"/>
      <c r="J60" s="70">
        <f t="shared" si="0"/>
        <v>72162</v>
      </c>
      <c r="K60" s="71">
        <v>392</v>
      </c>
      <c r="L60" s="71">
        <v>794</v>
      </c>
      <c r="M60" s="129">
        <f t="shared" si="1"/>
        <v>363</v>
      </c>
      <c r="N60" s="74">
        <f t="shared" si="11"/>
        <v>1228398</v>
      </c>
      <c r="O60" s="75">
        <f t="shared" si="11"/>
        <v>666382</v>
      </c>
      <c r="P60" s="75">
        <f t="shared" si="11"/>
        <v>1942870</v>
      </c>
      <c r="Q60" s="76">
        <f t="shared" si="10"/>
        <v>2765710.62</v>
      </c>
      <c r="R60" s="76">
        <f t="shared" si="10"/>
        <v>1381368</v>
      </c>
      <c r="S60" s="76">
        <f t="shared" si="10"/>
        <v>4237434.3679999998</v>
      </c>
      <c r="T60" s="80">
        <f>N60/'2016'!N60-1</f>
        <v>0.78155728432447491</v>
      </c>
      <c r="U60" s="80">
        <f>O60/'2016'!O60-1</f>
        <v>0.37170675476785964</v>
      </c>
      <c r="V60" s="80">
        <f>P60/'2016'!P60-1</f>
        <v>0.5791608348410735</v>
      </c>
      <c r="W60" s="81">
        <f>Q60/'2016'!Q60-1</f>
        <v>0.10341580826483487</v>
      </c>
      <c r="X60" s="81">
        <f>R60/'2016'!R60-1</f>
        <v>0.10011133569384123</v>
      </c>
      <c r="Y60" s="81">
        <f>S60/'2016'!S60-1</f>
        <v>8.843588454669371E-2</v>
      </c>
      <c r="Z60" s="139"/>
      <c r="AA60" s="139"/>
      <c r="AB60" s="105"/>
      <c r="AC60" s="105"/>
      <c r="AD60" s="37">
        <f t="shared" si="4"/>
        <v>2856066.3679999998</v>
      </c>
      <c r="AE60" s="71">
        <f t="shared" si="6"/>
        <v>21966</v>
      </c>
      <c r="AF60" s="71">
        <f t="shared" si="7"/>
        <v>41381</v>
      </c>
      <c r="AG60" s="71">
        <f t="shared" si="5"/>
        <v>27008.747999999672</v>
      </c>
    </row>
    <row r="61" spans="1:33" x14ac:dyDescent="0.15">
      <c r="A61" s="102">
        <v>42792</v>
      </c>
      <c r="B61" s="20" t="s">
        <v>1</v>
      </c>
      <c r="C61" s="8">
        <v>68776</v>
      </c>
      <c r="D61" s="37">
        <f>13724+11053</f>
        <v>24777</v>
      </c>
      <c r="E61" s="37">
        <v>94945</v>
      </c>
      <c r="F61" s="12">
        <v>4725.6000000000004</v>
      </c>
      <c r="G61" s="37">
        <v>3176</v>
      </c>
      <c r="H61" s="24"/>
      <c r="I61" s="36"/>
      <c r="J61" s="8">
        <f t="shared" si="0"/>
        <v>70168</v>
      </c>
      <c r="K61" s="37">
        <v>148</v>
      </c>
      <c r="L61" s="37">
        <v>792</v>
      </c>
      <c r="M61" s="127">
        <f t="shared" si="1"/>
        <v>452</v>
      </c>
      <c r="N61" s="74">
        <f t="shared" si="11"/>
        <v>1297174</v>
      </c>
      <c r="O61" s="75">
        <f t="shared" si="11"/>
        <v>691159</v>
      </c>
      <c r="P61" s="75">
        <f t="shared" si="11"/>
        <v>2037815</v>
      </c>
      <c r="Q61" s="76">
        <f t="shared" si="10"/>
        <v>2834486.62</v>
      </c>
      <c r="R61" s="76">
        <f t="shared" si="10"/>
        <v>1406145</v>
      </c>
      <c r="S61" s="76">
        <f t="shared" si="10"/>
        <v>4332379.3679999998</v>
      </c>
      <c r="T61" s="80">
        <f>N61/'2016'!N61-1</f>
        <v>0.75706932516999426</v>
      </c>
      <c r="U61" s="80">
        <f>O61/'2016'!O61-1</f>
        <v>0.34941125708473164</v>
      </c>
      <c r="V61" s="80">
        <f>P61/'2016'!P61-1</f>
        <v>0.55726129441711647</v>
      </c>
      <c r="W61" s="81">
        <f>Q61/'2016'!Q61-1</f>
        <v>0.10927913539609224</v>
      </c>
      <c r="X61" s="81">
        <f>R61/'2016'!R61-1</f>
        <v>9.6794196794196763E-2</v>
      </c>
      <c r="Y61" s="81">
        <f>S61/'2016'!S61-1</f>
        <v>9.0891443144151207E-2</v>
      </c>
      <c r="Z61" s="136">
        <v>19.86</v>
      </c>
      <c r="AA61" s="136">
        <f>Q61/10000-Z61</f>
        <v>263.588662</v>
      </c>
      <c r="AB61" s="105"/>
      <c r="AC61" s="105"/>
      <c r="AD61" s="37">
        <f t="shared" si="4"/>
        <v>2926234.3679999998</v>
      </c>
      <c r="AE61" s="37">
        <f t="shared" si="6"/>
        <v>22114</v>
      </c>
      <c r="AF61" s="37">
        <f t="shared" si="7"/>
        <v>42173</v>
      </c>
      <c r="AG61" s="37">
        <f t="shared" si="5"/>
        <v>27460.747999999672</v>
      </c>
    </row>
    <row r="62" spans="1:33" x14ac:dyDescent="0.15">
      <c r="A62" s="102">
        <v>42793</v>
      </c>
      <c r="B62" s="20" t="s">
        <v>34</v>
      </c>
      <c r="C62" s="8">
        <v>72011</v>
      </c>
      <c r="D62" s="37">
        <f>13850+11043</f>
        <v>24893</v>
      </c>
      <c r="E62" s="37">
        <v>98621</v>
      </c>
      <c r="F62" s="12">
        <v>5075.8</v>
      </c>
      <c r="G62" s="37">
        <v>3057.4</v>
      </c>
      <c r="H62" s="24"/>
      <c r="I62" s="36"/>
      <c r="J62" s="8">
        <f t="shared" si="0"/>
        <v>73728</v>
      </c>
      <c r="K62" s="37">
        <v>493</v>
      </c>
      <c r="L62" s="37">
        <v>794</v>
      </c>
      <c r="M62" s="127">
        <f t="shared" si="1"/>
        <v>430</v>
      </c>
      <c r="N62" s="74">
        <f t="shared" si="11"/>
        <v>1369185</v>
      </c>
      <c r="O62" s="75">
        <f t="shared" si="11"/>
        <v>716052</v>
      </c>
      <c r="P62" s="75">
        <f t="shared" si="11"/>
        <v>2136436</v>
      </c>
      <c r="Q62" s="76">
        <f t="shared" si="10"/>
        <v>2906497.62</v>
      </c>
      <c r="R62" s="76">
        <f t="shared" si="10"/>
        <v>1431038</v>
      </c>
      <c r="S62" s="76">
        <f t="shared" si="10"/>
        <v>4431000.3679999998</v>
      </c>
      <c r="T62" s="80">
        <f>N62/'2016'!N62-1</f>
        <v>0.74362941738299915</v>
      </c>
      <c r="U62" s="80">
        <f>O62/'2016'!O62-1</f>
        <v>0.32792065693917971</v>
      </c>
      <c r="V62" s="80">
        <f>P62/'2016'!P62-1</f>
        <v>0.54273463230690688</v>
      </c>
      <c r="W62" s="81">
        <f>Q62/'2016'!Q62-1</f>
        <v>0.11692100001498718</v>
      </c>
      <c r="X62" s="81">
        <f>R62/'2016'!R62-1</f>
        <v>9.315896217587083E-2</v>
      </c>
      <c r="Y62" s="81">
        <f>S62/'2016'!S62-1</f>
        <v>9.4706662120830343E-2</v>
      </c>
      <c r="Z62" s="136"/>
      <c r="AA62" s="136"/>
      <c r="AB62" s="105"/>
      <c r="AC62" s="105"/>
      <c r="AD62" s="37">
        <f t="shared" si="4"/>
        <v>2999962.3679999998</v>
      </c>
      <c r="AE62" s="37">
        <f t="shared" si="6"/>
        <v>22607</v>
      </c>
      <c r="AF62" s="37">
        <f t="shared" si="7"/>
        <v>42967</v>
      </c>
      <c r="AG62" s="37">
        <f t="shared" si="5"/>
        <v>27890.747999999672</v>
      </c>
    </row>
    <row r="63" spans="1:33" s="1" customFormat="1" x14ac:dyDescent="0.15">
      <c r="A63" s="25">
        <v>42794</v>
      </c>
      <c r="B63" s="25" t="s">
        <v>35</v>
      </c>
      <c r="C63" s="42">
        <v>70804</v>
      </c>
      <c r="D63" s="43">
        <f>14293+11045</f>
        <v>25338</v>
      </c>
      <c r="E63" s="42">
        <v>97807</v>
      </c>
      <c r="F63" s="122">
        <v>4939.5</v>
      </c>
      <c r="G63" s="43">
        <v>3164.2</v>
      </c>
      <c r="H63" s="30"/>
      <c r="I63" s="30"/>
      <c r="J63" s="42">
        <f t="shared" si="0"/>
        <v>72469</v>
      </c>
      <c r="K63" s="43">
        <v>385</v>
      </c>
      <c r="L63" s="43">
        <v>792</v>
      </c>
      <c r="M63" s="130">
        <f t="shared" si="1"/>
        <v>488</v>
      </c>
      <c r="N63" s="131">
        <v>1440098.7</v>
      </c>
      <c r="O63" s="131">
        <v>760351</v>
      </c>
      <c r="P63" s="131">
        <v>2242333.52</v>
      </c>
      <c r="Q63" s="131">
        <v>2977411.32</v>
      </c>
      <c r="R63" s="131">
        <v>1475337</v>
      </c>
      <c r="S63" s="131">
        <v>4536897.8880000003</v>
      </c>
      <c r="T63" s="89">
        <f>N63/'2016'!N64-1</f>
        <v>0.63854818651316947</v>
      </c>
      <c r="U63" s="89">
        <f>O63/'2016'!O64-1</f>
        <v>0.28186276575836922</v>
      </c>
      <c r="V63" s="89">
        <f>P63/'2016'!P64-1</f>
        <v>0.45903659346758552</v>
      </c>
      <c r="W63" s="89">
        <f>Q63/'2016'!Q64-1</f>
        <v>0.10469492444811834</v>
      </c>
      <c r="X63" s="89">
        <f>R63/'2016'!R64-1</f>
        <v>8.2404634421555656E-2</v>
      </c>
      <c r="Y63" s="89">
        <f>S63/'2016'!S64-1</f>
        <v>8.0295576665090351E-2</v>
      </c>
      <c r="Z63" s="141">
        <v>21.982845999999999</v>
      </c>
      <c r="AA63" s="141">
        <f>Q63/10000-Z63</f>
        <v>275.758286</v>
      </c>
      <c r="AB63" s="43">
        <v>4258</v>
      </c>
      <c r="AC63" s="43">
        <f>AA63*10000/AB63</f>
        <v>647.62396899953023</v>
      </c>
      <c r="AD63" s="43">
        <f t="shared" si="4"/>
        <v>3061560.8880000003</v>
      </c>
      <c r="AE63" s="43">
        <f t="shared" si="6"/>
        <v>22992</v>
      </c>
      <c r="AF63" s="43">
        <f t="shared" si="7"/>
        <v>43759</v>
      </c>
      <c r="AG63" s="43">
        <f t="shared" si="5"/>
        <v>17398.568000000436</v>
      </c>
    </row>
    <row r="64" spans="1:33" s="111" customFormat="1" x14ac:dyDescent="0.15">
      <c r="A64" s="20"/>
      <c r="B64" s="20"/>
      <c r="C64" s="66"/>
      <c r="D64" s="67"/>
      <c r="E64" s="67"/>
      <c r="F64" s="124"/>
      <c r="G64" s="69"/>
      <c r="H64" s="24"/>
      <c r="I64" s="24"/>
      <c r="J64" s="70"/>
      <c r="K64" s="71"/>
      <c r="L64" s="71"/>
      <c r="M64" s="129"/>
      <c r="N64" s="72"/>
      <c r="O64" s="73"/>
      <c r="P64" s="73"/>
      <c r="Q64" s="72"/>
      <c r="R64" s="72"/>
      <c r="S64" s="72"/>
      <c r="T64" s="79"/>
      <c r="U64" s="79"/>
      <c r="V64" s="79"/>
      <c r="W64" s="79"/>
      <c r="X64" s="79"/>
      <c r="Y64" s="79"/>
      <c r="Z64" s="139"/>
      <c r="AA64" s="139"/>
      <c r="AB64" s="106"/>
      <c r="AC64" s="105"/>
      <c r="AD64" s="37"/>
      <c r="AE64" s="37"/>
      <c r="AF64" s="37"/>
      <c r="AG64" s="37"/>
    </row>
    <row r="65" spans="1:33" x14ac:dyDescent="0.15">
      <c r="A65" s="102">
        <v>42795</v>
      </c>
      <c r="B65" s="20" t="s">
        <v>36</v>
      </c>
      <c r="C65" s="8">
        <v>68024</v>
      </c>
      <c r="D65" s="37">
        <f>13748+11059</f>
        <v>24807</v>
      </c>
      <c r="E65" s="37">
        <v>94710</v>
      </c>
      <c r="F65" s="12">
        <v>4766.3</v>
      </c>
      <c r="G65" s="37">
        <v>3109.3</v>
      </c>
      <c r="H65" s="24"/>
      <c r="I65" s="36"/>
      <c r="J65" s="8">
        <f t="shared" si="0"/>
        <v>69903</v>
      </c>
      <c r="K65" s="37">
        <v>511</v>
      </c>
      <c r="L65" s="37">
        <v>793</v>
      </c>
      <c r="M65" s="127">
        <f t="shared" si="1"/>
        <v>575</v>
      </c>
      <c r="N65" s="74">
        <f>C65</f>
        <v>68024</v>
      </c>
      <c r="O65" s="75">
        <f>D65</f>
        <v>24807</v>
      </c>
      <c r="P65" s="75">
        <f>E65</f>
        <v>94710</v>
      </c>
      <c r="Q65" s="76">
        <f t="shared" ref="Q65:Q94" si="12">Q$63+N65</f>
        <v>3045435.32</v>
      </c>
      <c r="R65" s="76">
        <f t="shared" ref="R65:R95" si="13">R$63+O65</f>
        <v>1500144</v>
      </c>
      <c r="S65" s="76">
        <f t="shared" ref="S65:S95" si="14">S$63+P65</f>
        <v>4631607.8880000003</v>
      </c>
      <c r="T65" s="80">
        <f>N65/'2016'!N65-1</f>
        <v>0.25749145022645337</v>
      </c>
      <c r="U65" s="80">
        <f>O65/'2016'!O65-1</f>
        <v>-5.877219608438311E-2</v>
      </c>
      <c r="V65" s="80">
        <f>P65/'2016'!P65-1</f>
        <v>0.14576402414681655</v>
      </c>
      <c r="W65" s="81">
        <f>Q65/'2016'!Q65-1</f>
        <v>0.1077013045728612</v>
      </c>
      <c r="X65" s="81">
        <f>R65/'2016'!R65-1</f>
        <v>7.9726553109529918E-2</v>
      </c>
      <c r="Y65" s="81">
        <f>S65/'2016'!S65-1</f>
        <v>8.1559297795622765E-2</v>
      </c>
      <c r="Z65" s="136">
        <f>(Z66-Z59)/7*6+Z59</f>
        <v>19.431428571428572</v>
      </c>
      <c r="AA65" s="136">
        <f>Q65/10000-Z65</f>
        <v>285.1121034285714</v>
      </c>
      <c r="AB65" s="105"/>
      <c r="AC65" s="105"/>
      <c r="AD65" s="37">
        <f t="shared" si="4"/>
        <v>3131463.8880000003</v>
      </c>
      <c r="AE65" s="37">
        <f>AE63+K65</f>
        <v>23503</v>
      </c>
      <c r="AF65" s="37">
        <f>AF63+L65</f>
        <v>44552</v>
      </c>
      <c r="AG65" s="37">
        <f t="shared" si="5"/>
        <v>17973.568000000436</v>
      </c>
    </row>
    <row r="66" spans="1:33" x14ac:dyDescent="0.15">
      <c r="A66" s="102">
        <v>42796</v>
      </c>
      <c r="B66" s="14" t="s">
        <v>37</v>
      </c>
      <c r="C66" s="32">
        <v>71581</v>
      </c>
      <c r="D66" s="33">
        <f>13767+11048</f>
        <v>24815</v>
      </c>
      <c r="E66" s="33">
        <v>98061</v>
      </c>
      <c r="F66" s="119">
        <v>4980</v>
      </c>
      <c r="G66" s="33">
        <v>3039.4</v>
      </c>
      <c r="H66" s="19"/>
      <c r="I66" s="19"/>
      <c r="J66" s="32">
        <f t="shared" si="0"/>
        <v>73246</v>
      </c>
      <c r="K66" s="33">
        <v>152</v>
      </c>
      <c r="L66" s="33">
        <v>794</v>
      </c>
      <c r="M66" s="128">
        <f t="shared" si="1"/>
        <v>719</v>
      </c>
      <c r="N66" s="77">
        <f t="shared" ref="N66:N94" si="15">N65+C66</f>
        <v>139605</v>
      </c>
      <c r="O66" s="78">
        <f t="shared" ref="O66:O95" si="16">D66+O65</f>
        <v>49622</v>
      </c>
      <c r="P66" s="78">
        <f t="shared" ref="P66:P95" si="17">P65+E66</f>
        <v>192771</v>
      </c>
      <c r="Q66" s="77">
        <f t="shared" si="12"/>
        <v>3117016.32</v>
      </c>
      <c r="R66" s="77">
        <f t="shared" si="13"/>
        <v>1524959</v>
      </c>
      <c r="S66" s="77">
        <f t="shared" si="14"/>
        <v>4729668.8880000003</v>
      </c>
      <c r="T66" s="82">
        <f>N66/'2016'!N66-1</f>
        <v>0.27023338337655245</v>
      </c>
      <c r="U66" s="82">
        <f>O66/'2016'!O66-1</f>
        <v>-2.8695584090197346E-2</v>
      </c>
      <c r="V66" s="82">
        <f>P66/'2016'!P66-1</f>
        <v>0.15995739764603933</v>
      </c>
      <c r="W66" s="82">
        <f>Q66/'2016'!Q66-1</f>
        <v>0.11118070084940523</v>
      </c>
      <c r="X66" s="82">
        <f>R66/'2016'!R66-1</f>
        <v>7.8390870274222646E-2</v>
      </c>
      <c r="Y66" s="82">
        <f>S66/'2016'!S66-1</f>
        <v>8.3327925018381377E-2</v>
      </c>
      <c r="Z66" s="138">
        <v>22.67</v>
      </c>
      <c r="AA66" s="138">
        <f>Q66/10000-Z66</f>
        <v>289.03163199999995</v>
      </c>
      <c r="AB66" s="33">
        <v>4258</v>
      </c>
      <c r="AC66" s="33">
        <f>AA66*10000/AB66</f>
        <v>678.79669328323143</v>
      </c>
      <c r="AD66" s="33">
        <f t="shared" si="4"/>
        <v>3204709.8880000003</v>
      </c>
      <c r="AE66" s="33">
        <f t="shared" si="6"/>
        <v>23655</v>
      </c>
      <c r="AF66" s="33">
        <f t="shared" si="7"/>
        <v>45346</v>
      </c>
      <c r="AG66" s="33">
        <f t="shared" si="5"/>
        <v>18692.568000000436</v>
      </c>
    </row>
    <row r="67" spans="1:33" x14ac:dyDescent="0.15">
      <c r="A67" s="102">
        <v>42797</v>
      </c>
      <c r="B67" s="20" t="s">
        <v>38</v>
      </c>
      <c r="C67" s="8">
        <v>73636</v>
      </c>
      <c r="D67" s="37">
        <f>13569+11045</f>
        <v>24614</v>
      </c>
      <c r="E67" s="37">
        <v>99770</v>
      </c>
      <c r="F67" s="12">
        <v>5058.1000000000004</v>
      </c>
      <c r="G67" s="37">
        <v>3221.3</v>
      </c>
      <c r="H67" s="24"/>
      <c r="I67" s="36"/>
      <c r="J67" s="8">
        <f t="shared" si="0"/>
        <v>75156</v>
      </c>
      <c r="K67" s="37">
        <v>229</v>
      </c>
      <c r="L67" s="37">
        <v>792</v>
      </c>
      <c r="M67" s="127">
        <f t="shared" si="1"/>
        <v>499</v>
      </c>
      <c r="N67" s="74">
        <f t="shared" si="15"/>
        <v>213241</v>
      </c>
      <c r="O67" s="75">
        <f t="shared" si="16"/>
        <v>74236</v>
      </c>
      <c r="P67" s="75">
        <f t="shared" si="17"/>
        <v>292541</v>
      </c>
      <c r="Q67" s="76">
        <f t="shared" si="12"/>
        <v>3190652.32</v>
      </c>
      <c r="R67" s="76">
        <f t="shared" si="13"/>
        <v>1549573</v>
      </c>
      <c r="S67" s="76">
        <f t="shared" si="14"/>
        <v>4829438.8880000003</v>
      </c>
      <c r="T67" s="80">
        <f>N67/'2016'!N67-1</f>
        <v>0.2908207121151587</v>
      </c>
      <c r="U67" s="80">
        <f>O67/'2016'!O67-1</f>
        <v>-2.5083392430331197E-2</v>
      </c>
      <c r="V67" s="80">
        <f>P67/'2016'!P67-1</f>
        <v>0.17336493955510623</v>
      </c>
      <c r="W67" s="81">
        <f>Q67/'2016'!Q67-1</f>
        <v>0.1154442126224291</v>
      </c>
      <c r="X67" s="81">
        <f>R67/'2016'!R67-1</f>
        <v>7.67174554116139E-2</v>
      </c>
      <c r="Y67" s="81">
        <f>S67/'2016'!S67-1</f>
        <v>8.551110092155545E-2</v>
      </c>
      <c r="Z67" s="136"/>
      <c r="AA67" s="136"/>
      <c r="AB67" s="105"/>
      <c r="AC67" s="105"/>
      <c r="AD67" s="37">
        <f t="shared" si="4"/>
        <v>3279865.8880000003</v>
      </c>
      <c r="AE67" s="37">
        <f t="shared" si="6"/>
        <v>23884</v>
      </c>
      <c r="AF67" s="37">
        <f t="shared" si="7"/>
        <v>46138</v>
      </c>
      <c r="AG67" s="37">
        <f t="shared" si="5"/>
        <v>19191.568000000436</v>
      </c>
    </row>
    <row r="68" spans="1:33" x14ac:dyDescent="0.15">
      <c r="A68" s="102">
        <v>42798</v>
      </c>
      <c r="B68" s="20" t="s">
        <v>39</v>
      </c>
      <c r="C68" s="70">
        <v>72222</v>
      </c>
      <c r="D68" s="71">
        <f>12771+11043</f>
        <v>23814</v>
      </c>
      <c r="E68" s="71">
        <v>97407</v>
      </c>
      <c r="F68" s="120">
        <v>4911.2</v>
      </c>
      <c r="G68" s="71">
        <v>3202.2</v>
      </c>
      <c r="H68" s="24"/>
      <c r="I68" s="24"/>
      <c r="J68" s="70">
        <f t="shared" si="0"/>
        <v>73593</v>
      </c>
      <c r="K68" s="71">
        <v>233</v>
      </c>
      <c r="L68" s="71">
        <v>739</v>
      </c>
      <c r="M68" s="129">
        <f t="shared" si="1"/>
        <v>399</v>
      </c>
      <c r="N68" s="74">
        <f t="shared" si="15"/>
        <v>285463</v>
      </c>
      <c r="O68" s="75">
        <f t="shared" si="16"/>
        <v>98050</v>
      </c>
      <c r="P68" s="75">
        <f t="shared" si="17"/>
        <v>389948</v>
      </c>
      <c r="Q68" s="76">
        <f t="shared" si="12"/>
        <v>3262874.32</v>
      </c>
      <c r="R68" s="76">
        <f t="shared" si="13"/>
        <v>1573387</v>
      </c>
      <c r="S68" s="76">
        <f t="shared" si="14"/>
        <v>4926845.8880000003</v>
      </c>
      <c r="T68" s="80">
        <f>N68/'2016'!N68-1</f>
        <v>0.28505318693982651</v>
      </c>
      <c r="U68" s="80">
        <f>O68/'2016'!O68-1</f>
        <v>-1.6046322592298989E-2</v>
      </c>
      <c r="V68" s="80">
        <f>P68/'2016'!P68-1</f>
        <v>0.17388097667879832</v>
      </c>
      <c r="W68" s="81">
        <f>Q68/'2016'!Q68-1</f>
        <v>0.11842814859248452</v>
      </c>
      <c r="X68" s="81">
        <f>R68/'2016'!R68-1</f>
        <v>7.5697339175629264E-2</v>
      </c>
      <c r="Y68" s="81">
        <f>S68/'2016'!S68-1</f>
        <v>8.7155407184100087E-2</v>
      </c>
      <c r="Z68" s="139"/>
      <c r="AA68" s="139"/>
      <c r="AB68" s="105"/>
      <c r="AC68" s="105"/>
      <c r="AD68" s="37">
        <f t="shared" si="4"/>
        <v>3353458.8880000003</v>
      </c>
      <c r="AE68" s="71">
        <f t="shared" si="6"/>
        <v>24117</v>
      </c>
      <c r="AF68" s="71">
        <f t="shared" si="7"/>
        <v>46877</v>
      </c>
      <c r="AG68" s="71">
        <f t="shared" si="5"/>
        <v>19590.568000000436</v>
      </c>
    </row>
    <row r="69" spans="1:33" x14ac:dyDescent="0.15">
      <c r="A69" s="102">
        <v>42799</v>
      </c>
      <c r="B69" s="20" t="s">
        <v>1</v>
      </c>
      <c r="C69" s="8">
        <v>69373</v>
      </c>
      <c r="D69" s="37">
        <f>12790+11021</f>
        <v>23811</v>
      </c>
      <c r="E69" s="37">
        <v>94224</v>
      </c>
      <c r="F69" s="12">
        <v>4801.3999999999996</v>
      </c>
      <c r="G69" s="37">
        <v>3100.1</v>
      </c>
      <c r="H69" s="24"/>
      <c r="I69" s="36"/>
      <c r="J69" s="8">
        <f t="shared" ref="J69:J132" si="18">E69-D69</f>
        <v>70413</v>
      </c>
      <c r="K69" s="37">
        <v>103</v>
      </c>
      <c r="L69" s="37">
        <v>792</v>
      </c>
      <c r="M69" s="127">
        <f t="shared" si="1"/>
        <v>145</v>
      </c>
      <c r="N69" s="74">
        <f t="shared" si="15"/>
        <v>354836</v>
      </c>
      <c r="O69" s="75">
        <f t="shared" si="16"/>
        <v>121861</v>
      </c>
      <c r="P69" s="75">
        <f t="shared" si="17"/>
        <v>484172</v>
      </c>
      <c r="Q69" s="76">
        <f t="shared" si="12"/>
        <v>3332247.32</v>
      </c>
      <c r="R69" s="76">
        <f t="shared" si="13"/>
        <v>1597198</v>
      </c>
      <c r="S69" s="76">
        <f t="shared" si="14"/>
        <v>5021069.8880000003</v>
      </c>
      <c r="T69" s="80">
        <f>N69/'2016'!N69-1</f>
        <v>0.26872139588100685</v>
      </c>
      <c r="U69" s="80">
        <f>O69/'2016'!O69-1</f>
        <v>-6.2708961917964379E-3</v>
      </c>
      <c r="V69" s="80">
        <f>P69/'2016'!P69-1</f>
        <v>0.16618213436678819</v>
      </c>
      <c r="W69" s="81">
        <f>Q69/'2016'!Q69-1</f>
        <v>0.12011551258288478</v>
      </c>
      <c r="X69" s="81">
        <f>R69/'2016'!R69-1</f>
        <v>7.5085080718986008E-2</v>
      </c>
      <c r="Y69" s="81">
        <f>S69/'2016'!S69-1</f>
        <v>8.8022383349090516E-2</v>
      </c>
      <c r="Z69" s="136"/>
      <c r="AA69" s="136"/>
      <c r="AB69" s="105"/>
      <c r="AC69" s="105"/>
      <c r="AD69" s="37">
        <f t="shared" si="4"/>
        <v>3423871.8880000003</v>
      </c>
      <c r="AE69" s="37">
        <f t="shared" si="6"/>
        <v>24220</v>
      </c>
      <c r="AF69" s="37">
        <f t="shared" si="7"/>
        <v>47669</v>
      </c>
      <c r="AG69" s="37">
        <f t="shared" si="5"/>
        <v>19735.568000000436</v>
      </c>
    </row>
    <row r="70" spans="1:33" x14ac:dyDescent="0.15">
      <c r="A70" s="102">
        <v>42800</v>
      </c>
      <c r="B70" s="20" t="s">
        <v>34</v>
      </c>
      <c r="C70" s="8">
        <v>71580</v>
      </c>
      <c r="D70" s="37">
        <f>11062+12810</f>
        <v>23872</v>
      </c>
      <c r="E70" s="37">
        <v>97399</v>
      </c>
      <c r="F70" s="12">
        <v>5032</v>
      </c>
      <c r="G70" s="37">
        <v>2954</v>
      </c>
      <c r="H70" s="24"/>
      <c r="I70" s="36"/>
      <c r="J70" s="8">
        <f t="shared" si="18"/>
        <v>73527</v>
      </c>
      <c r="K70" s="37">
        <v>693</v>
      </c>
      <c r="L70" s="37">
        <v>792</v>
      </c>
      <c r="M70" s="127">
        <f t="shared" ref="M70:M133" si="19">J70-K70-L70-C70</f>
        <v>462</v>
      </c>
      <c r="N70" s="74">
        <f t="shared" si="15"/>
        <v>426416</v>
      </c>
      <c r="O70" s="75">
        <f t="shared" si="16"/>
        <v>145733</v>
      </c>
      <c r="P70" s="75">
        <f t="shared" si="17"/>
        <v>581571</v>
      </c>
      <c r="Q70" s="76">
        <f t="shared" si="12"/>
        <v>3403827.32</v>
      </c>
      <c r="R70" s="76">
        <f t="shared" si="13"/>
        <v>1621070</v>
      </c>
      <c r="S70" s="76">
        <f t="shared" si="14"/>
        <v>5118468.8880000003</v>
      </c>
      <c r="T70" s="80">
        <f>N70/'2016'!N70-1</f>
        <v>0.27414631814215884</v>
      </c>
      <c r="U70" s="80">
        <f>O70/'2016'!O70-1</f>
        <v>2.5798373670524732E-3</v>
      </c>
      <c r="V70" s="80">
        <f>P70/'2016'!P70-1</f>
        <v>0.17306613954051264</v>
      </c>
      <c r="W70" s="81">
        <f>Q70/'2016'!Q70-1</f>
        <v>0.1234116879027769</v>
      </c>
      <c r="X70" s="81">
        <f>R70/'2016'!R70-1</f>
        <v>7.4712140739444211E-2</v>
      </c>
      <c r="Y70" s="81">
        <f>S70/'2016'!S70-1</f>
        <v>9.0090770388026709E-2</v>
      </c>
      <c r="Z70" s="136"/>
      <c r="AA70" s="136"/>
      <c r="AB70" s="105"/>
      <c r="AC70" s="105"/>
      <c r="AD70" s="37">
        <f t="shared" ref="AD70:AD133" si="20">S70-R70</f>
        <v>3497398.8880000003</v>
      </c>
      <c r="AE70" s="37">
        <f t="shared" si="6"/>
        <v>24913</v>
      </c>
      <c r="AF70" s="37">
        <f t="shared" si="7"/>
        <v>48461</v>
      </c>
      <c r="AG70" s="37">
        <f t="shared" ref="AG70:AG133" si="21">AD70-Q70-AE70-AF70</f>
        <v>20197.568000000436</v>
      </c>
    </row>
    <row r="71" spans="1:33" x14ac:dyDescent="0.15">
      <c r="A71" s="102">
        <v>42801</v>
      </c>
      <c r="B71" s="20" t="s">
        <v>35</v>
      </c>
      <c r="C71" s="8">
        <v>70465</v>
      </c>
      <c r="D71" s="37">
        <f>15366+11034</f>
        <v>26400</v>
      </c>
      <c r="E71" s="37">
        <v>99376</v>
      </c>
      <c r="F71" s="12">
        <v>5011.8999999999996</v>
      </c>
      <c r="G71" s="37">
        <v>3218.5</v>
      </c>
      <c r="H71" s="24"/>
      <c r="I71" s="36"/>
      <c r="J71" s="8">
        <f t="shared" si="18"/>
        <v>72976</v>
      </c>
      <c r="K71" s="37">
        <v>1311</v>
      </c>
      <c r="L71" s="37">
        <v>795</v>
      </c>
      <c r="M71" s="127">
        <f t="shared" si="19"/>
        <v>405</v>
      </c>
      <c r="N71" s="74">
        <f t="shared" si="15"/>
        <v>496881</v>
      </c>
      <c r="O71" s="75">
        <f t="shared" si="16"/>
        <v>172133</v>
      </c>
      <c r="P71" s="75">
        <f t="shared" si="17"/>
        <v>680947</v>
      </c>
      <c r="Q71" s="76">
        <f t="shared" si="12"/>
        <v>3474292.32</v>
      </c>
      <c r="R71" s="76">
        <f t="shared" si="13"/>
        <v>1647470</v>
      </c>
      <c r="S71" s="76">
        <f t="shared" si="14"/>
        <v>5217844.8880000003</v>
      </c>
      <c r="T71" s="80">
        <f>N71/'2016'!N71-1</f>
        <v>0.25597743249084326</v>
      </c>
      <c r="U71" s="80">
        <f>O71/'2016'!O71-1</f>
        <v>2.8593111360757151E-2</v>
      </c>
      <c r="V71" s="80">
        <f>P71/'2016'!P71-1</f>
        <v>0.17196732004770854</v>
      </c>
      <c r="W71" s="81">
        <f>Q71/'2016'!Q71-1</f>
        <v>0.12405833093647134</v>
      </c>
      <c r="X71" s="81">
        <f>R71/'2016'!R71-1</f>
        <v>7.6520257245652257E-2</v>
      </c>
      <c r="Y71" s="81">
        <f>S71/'2016'!S71-1</f>
        <v>9.1437003408070483E-2</v>
      </c>
      <c r="Z71" s="136"/>
      <c r="AA71" s="136"/>
      <c r="AB71" s="105"/>
      <c r="AC71" s="105"/>
      <c r="AD71" s="37">
        <f t="shared" si="20"/>
        <v>3570374.8880000003</v>
      </c>
      <c r="AE71" s="37">
        <f t="shared" ref="AE71:AE134" si="22">AE70+K71</f>
        <v>26224</v>
      </c>
      <c r="AF71" s="37">
        <f t="shared" ref="AF71:AF134" si="23">AF70+L71</f>
        <v>49256</v>
      </c>
      <c r="AG71" s="37">
        <f t="shared" si="21"/>
        <v>20602.568000000436</v>
      </c>
    </row>
    <row r="72" spans="1:33" x14ac:dyDescent="0.15">
      <c r="A72" s="102">
        <v>42802</v>
      </c>
      <c r="B72" s="20" t="s">
        <v>36</v>
      </c>
      <c r="C72" s="8">
        <v>68645</v>
      </c>
      <c r="D72" s="37">
        <f>16398+11067</f>
        <v>27465</v>
      </c>
      <c r="E72" s="37">
        <v>98666</v>
      </c>
      <c r="F72" s="12">
        <v>4981.3999999999996</v>
      </c>
      <c r="G72" s="37">
        <v>3204.8</v>
      </c>
      <c r="H72" s="24"/>
      <c r="I72" s="36"/>
      <c r="J72" s="8">
        <f t="shared" si="18"/>
        <v>71201</v>
      </c>
      <c r="K72" s="37">
        <v>1343</v>
      </c>
      <c r="L72" s="37">
        <v>792</v>
      </c>
      <c r="M72" s="127">
        <f t="shared" si="19"/>
        <v>421</v>
      </c>
      <c r="N72" s="74">
        <f t="shared" si="15"/>
        <v>565526</v>
      </c>
      <c r="O72" s="75">
        <f t="shared" si="16"/>
        <v>199598</v>
      </c>
      <c r="P72" s="75">
        <f t="shared" si="17"/>
        <v>779613</v>
      </c>
      <c r="Q72" s="76">
        <f t="shared" si="12"/>
        <v>3542937.32</v>
      </c>
      <c r="R72" s="76">
        <f t="shared" si="13"/>
        <v>1674935</v>
      </c>
      <c r="S72" s="76">
        <f t="shared" si="14"/>
        <v>5316510.8880000003</v>
      </c>
      <c r="T72" s="80">
        <f>N72/'2016'!N72-1</f>
        <v>0.23436057386942788</v>
      </c>
      <c r="U72" s="80">
        <f>O72/'2016'!O72-1</f>
        <v>5.4216644747614007E-2</v>
      </c>
      <c r="V72" s="80">
        <f>P72/'2016'!P72-1</f>
        <v>0.16635199425510905</v>
      </c>
      <c r="W72" s="81">
        <f>Q72/'2016'!Q72-1</f>
        <v>0.12353393985578043</v>
      </c>
      <c r="X72" s="81">
        <f>R72/'2016'!R72-1</f>
        <v>7.8966676995086749E-2</v>
      </c>
      <c r="Y72" s="81">
        <f>S72/'2016'!S72-1</f>
        <v>9.2111645976193701E-2</v>
      </c>
      <c r="Z72" s="136">
        <f>(Z73-Z66)/7*6+Z66</f>
        <v>25.721428571428572</v>
      </c>
      <c r="AA72" s="136">
        <f>Q72/10000-Z72</f>
        <v>328.57230342857139</v>
      </c>
      <c r="AB72" s="105"/>
      <c r="AC72" s="105"/>
      <c r="AD72" s="37">
        <f t="shared" si="20"/>
        <v>3641575.8880000003</v>
      </c>
      <c r="AE72" s="37">
        <f t="shared" si="22"/>
        <v>27567</v>
      </c>
      <c r="AF72" s="37">
        <f t="shared" si="23"/>
        <v>50048</v>
      </c>
      <c r="AG72" s="37">
        <f t="shared" si="21"/>
        <v>21023.568000000436</v>
      </c>
    </row>
    <row r="73" spans="1:33" x14ac:dyDescent="0.15">
      <c r="A73" s="102">
        <v>42803</v>
      </c>
      <c r="B73" s="14" t="s">
        <v>37</v>
      </c>
      <c r="C73" s="32">
        <v>68113</v>
      </c>
      <c r="D73" s="33">
        <f>17036+11062</f>
        <v>28098</v>
      </c>
      <c r="E73" s="33">
        <v>98219</v>
      </c>
      <c r="F73" s="119">
        <v>4949.8</v>
      </c>
      <c r="G73" s="33">
        <v>3233.6</v>
      </c>
      <c r="H73" s="19"/>
      <c r="I73" s="19"/>
      <c r="J73" s="32">
        <f t="shared" si="18"/>
        <v>70121</v>
      </c>
      <c r="K73" s="33">
        <v>707</v>
      </c>
      <c r="L73" s="33">
        <v>793</v>
      </c>
      <c r="M73" s="128">
        <f t="shared" si="19"/>
        <v>508</v>
      </c>
      <c r="N73" s="77">
        <f t="shared" si="15"/>
        <v>633639</v>
      </c>
      <c r="O73" s="78">
        <f t="shared" si="16"/>
        <v>227696</v>
      </c>
      <c r="P73" s="78">
        <f t="shared" si="17"/>
        <v>877832</v>
      </c>
      <c r="Q73" s="77">
        <f t="shared" si="12"/>
        <v>3611050.32</v>
      </c>
      <c r="R73" s="77">
        <f t="shared" si="13"/>
        <v>1703033</v>
      </c>
      <c r="S73" s="77">
        <f t="shared" si="14"/>
        <v>5414729.8880000003</v>
      </c>
      <c r="T73" s="82">
        <f>N73/'2016'!N73-1</f>
        <v>0.21019549871653842</v>
      </c>
      <c r="U73" s="82">
        <f>O73/'2016'!O73-1</f>
        <v>7.9660116834838091E-2</v>
      </c>
      <c r="V73" s="82">
        <f>P73/'2016'!P73-1</f>
        <v>0.1567467847353996</v>
      </c>
      <c r="W73" s="82">
        <f>Q73/'2016'!Q73-1</f>
        <v>0.12185601049826356</v>
      </c>
      <c r="X73" s="82">
        <f>R73/'2016'!R73-1</f>
        <v>8.203688384498764E-2</v>
      </c>
      <c r="Y73" s="82">
        <f>S73/'2016'!S73-1</f>
        <v>9.1996003680099303E-2</v>
      </c>
      <c r="Z73" s="138">
        <v>26.23</v>
      </c>
      <c r="AA73" s="138">
        <f>Q73/10000-Z73</f>
        <v>334.87503199999998</v>
      </c>
      <c r="AB73" s="33">
        <v>4258</v>
      </c>
      <c r="AC73" s="33">
        <f>AA73*10000/AB73</f>
        <v>786.46085486143727</v>
      </c>
      <c r="AD73" s="33">
        <f t="shared" si="20"/>
        <v>3711696.8880000003</v>
      </c>
      <c r="AE73" s="33">
        <f t="shared" si="22"/>
        <v>28274</v>
      </c>
      <c r="AF73" s="33">
        <f t="shared" si="23"/>
        <v>50841</v>
      </c>
      <c r="AG73" s="33">
        <f t="shared" si="21"/>
        <v>21531.568000000436</v>
      </c>
    </row>
    <row r="74" spans="1:33" x14ac:dyDescent="0.15">
      <c r="A74" s="102">
        <v>42804</v>
      </c>
      <c r="B74" s="20" t="s">
        <v>38</v>
      </c>
      <c r="C74" s="8">
        <v>67850</v>
      </c>
      <c r="D74" s="37">
        <f>18103+11048</f>
        <v>29151</v>
      </c>
      <c r="E74" s="37">
        <v>98979</v>
      </c>
      <c r="F74" s="12">
        <v>5068.8</v>
      </c>
      <c r="G74" s="37">
        <v>3170.4</v>
      </c>
      <c r="H74" s="24"/>
      <c r="I74" s="36"/>
      <c r="J74" s="8">
        <f t="shared" si="18"/>
        <v>69828</v>
      </c>
      <c r="K74" s="37">
        <v>907</v>
      </c>
      <c r="L74" s="37">
        <v>793</v>
      </c>
      <c r="M74" s="127">
        <f t="shared" si="19"/>
        <v>278</v>
      </c>
      <c r="N74" s="74">
        <f t="shared" si="15"/>
        <v>701489</v>
      </c>
      <c r="O74" s="75">
        <f t="shared" si="16"/>
        <v>256847</v>
      </c>
      <c r="P74" s="75">
        <f t="shared" si="17"/>
        <v>976811</v>
      </c>
      <c r="Q74" s="76">
        <f t="shared" si="12"/>
        <v>3678900.32</v>
      </c>
      <c r="R74" s="76">
        <f t="shared" si="13"/>
        <v>1732184</v>
      </c>
      <c r="S74" s="76">
        <f t="shared" si="14"/>
        <v>5513708.8880000003</v>
      </c>
      <c r="T74" s="80">
        <f>N74/'2016'!N74-1</f>
        <v>0.18084062357442621</v>
      </c>
      <c r="U74" s="80">
        <f>O74/'2016'!O74-1</f>
        <v>0.10438102772916658</v>
      </c>
      <c r="V74" s="80">
        <f>P74/'2016'!P74-1</f>
        <v>0.14385768921802145</v>
      </c>
      <c r="W74" s="81">
        <f>Q74/'2016'!Q74-1</f>
        <v>0.11844713134403051</v>
      </c>
      <c r="X74" s="81">
        <f>R74/'2016'!R74-1</f>
        <v>8.5607885238617287E-2</v>
      </c>
      <c r="Y74" s="81">
        <f>S74/'2016'!S74-1</f>
        <v>9.1036267691194661E-2</v>
      </c>
      <c r="Z74" s="136"/>
      <c r="AA74" s="136"/>
      <c r="AB74" s="105"/>
      <c r="AC74" s="105"/>
      <c r="AD74" s="37">
        <f t="shared" si="20"/>
        <v>3781524.8880000003</v>
      </c>
      <c r="AE74" s="37">
        <f t="shared" si="22"/>
        <v>29181</v>
      </c>
      <c r="AF74" s="37">
        <f t="shared" si="23"/>
        <v>51634</v>
      </c>
      <c r="AG74" s="37">
        <f t="shared" si="21"/>
        <v>21809.568000000436</v>
      </c>
    </row>
    <row r="75" spans="1:33" x14ac:dyDescent="0.15">
      <c r="A75" s="102">
        <v>42805</v>
      </c>
      <c r="B75" s="20" t="s">
        <v>39</v>
      </c>
      <c r="C75" s="70">
        <v>66492</v>
      </c>
      <c r="D75" s="71">
        <f>17456+11086</f>
        <v>28542</v>
      </c>
      <c r="E75" s="71">
        <v>97099</v>
      </c>
      <c r="F75" s="120">
        <v>4944.7</v>
      </c>
      <c r="G75" s="71">
        <v>3143.1</v>
      </c>
      <c r="H75" s="24"/>
      <c r="I75" s="24"/>
      <c r="J75" s="70">
        <f t="shared" si="18"/>
        <v>68557</v>
      </c>
      <c r="K75" s="71">
        <v>963</v>
      </c>
      <c r="L75" s="71">
        <v>794</v>
      </c>
      <c r="M75" s="129">
        <f t="shared" si="19"/>
        <v>308</v>
      </c>
      <c r="N75" s="74">
        <f t="shared" si="15"/>
        <v>767981</v>
      </c>
      <c r="O75" s="75">
        <f t="shared" si="16"/>
        <v>285389</v>
      </c>
      <c r="P75" s="75">
        <f t="shared" si="17"/>
        <v>1073910</v>
      </c>
      <c r="Q75" s="76">
        <f t="shared" si="12"/>
        <v>3745392.32</v>
      </c>
      <c r="R75" s="76">
        <f t="shared" si="13"/>
        <v>1760726</v>
      </c>
      <c r="S75" s="76">
        <f t="shared" si="14"/>
        <v>5610807.8880000003</v>
      </c>
      <c r="T75" s="80">
        <f>N75/'2016'!N75-1</f>
        <v>0.15651777135921296</v>
      </c>
      <c r="U75" s="80">
        <f>O75/'2016'!O75-1</f>
        <v>0.12203263219972471</v>
      </c>
      <c r="V75" s="80">
        <f>P75/'2016'!P75-1</f>
        <v>0.13281167590010168</v>
      </c>
      <c r="W75" s="81">
        <f>Q75/'2016'!Q75-1</f>
        <v>0.1149390107403967</v>
      </c>
      <c r="X75" s="81">
        <f>R75/'2016'!R75-1</f>
        <v>8.8636599710146369E-2</v>
      </c>
      <c r="Y75" s="81">
        <f>S75/'2016'!S75-1</f>
        <v>8.9967004203442169E-2</v>
      </c>
      <c r="Z75" s="139"/>
      <c r="AA75" s="139"/>
      <c r="AB75" s="105"/>
      <c r="AC75" s="105"/>
      <c r="AD75" s="37">
        <f t="shared" si="20"/>
        <v>3850081.8880000003</v>
      </c>
      <c r="AE75" s="71">
        <f t="shared" si="22"/>
        <v>30144</v>
      </c>
      <c r="AF75" s="71">
        <f t="shared" si="23"/>
        <v>52428</v>
      </c>
      <c r="AG75" s="71">
        <f t="shared" si="21"/>
        <v>22117.568000000436</v>
      </c>
    </row>
    <row r="76" spans="1:33" x14ac:dyDescent="0.15">
      <c r="A76" s="102">
        <v>42806</v>
      </c>
      <c r="B76" s="20" t="s">
        <v>1</v>
      </c>
      <c r="C76" s="8">
        <v>62494</v>
      </c>
      <c r="D76" s="37">
        <f>17442+11128</f>
        <v>28570</v>
      </c>
      <c r="E76" s="37">
        <v>93166</v>
      </c>
      <c r="F76" s="12">
        <v>4654.2</v>
      </c>
      <c r="G76" s="37">
        <v>3129.3</v>
      </c>
      <c r="H76" s="24"/>
      <c r="I76" s="36"/>
      <c r="J76" s="8">
        <f t="shared" si="18"/>
        <v>64596</v>
      </c>
      <c r="K76" s="37">
        <v>1111</v>
      </c>
      <c r="L76" s="37">
        <v>793</v>
      </c>
      <c r="M76" s="127">
        <f t="shared" si="19"/>
        <v>198</v>
      </c>
      <c r="N76" s="74">
        <f t="shared" si="15"/>
        <v>830475</v>
      </c>
      <c r="O76" s="75">
        <f t="shared" si="16"/>
        <v>313959</v>
      </c>
      <c r="P76" s="75">
        <f t="shared" si="17"/>
        <v>1167076</v>
      </c>
      <c r="Q76" s="76">
        <f t="shared" si="12"/>
        <v>3807886.32</v>
      </c>
      <c r="R76" s="76">
        <f t="shared" si="13"/>
        <v>1789296</v>
      </c>
      <c r="S76" s="76">
        <f t="shared" si="14"/>
        <v>5703973.8880000003</v>
      </c>
      <c r="T76" s="80">
        <f>N76/'2016'!N76-1</f>
        <v>0.13448374313039513</v>
      </c>
      <c r="U76" s="80">
        <f>O76/'2016'!O76-1</f>
        <v>0.1374295806539263</v>
      </c>
      <c r="V76" s="80">
        <f>P76/'2016'!P76-1</f>
        <v>0.12244316979622294</v>
      </c>
      <c r="W76" s="81">
        <f>Q76/'2016'!Q76-1</f>
        <v>0.1110575173250492</v>
      </c>
      <c r="X76" s="81">
        <f>R76/'2016'!R76-1</f>
        <v>9.1671176412089217E-2</v>
      </c>
      <c r="Y76" s="81">
        <f>S76/'2016'!S76-1</f>
        <v>8.8659733872626934E-2</v>
      </c>
      <c r="Z76" s="136"/>
      <c r="AA76" s="136"/>
      <c r="AB76" s="105"/>
      <c r="AC76" s="105"/>
      <c r="AD76" s="37">
        <f t="shared" si="20"/>
        <v>3914677.8880000003</v>
      </c>
      <c r="AE76" s="37">
        <f t="shared" si="22"/>
        <v>31255</v>
      </c>
      <c r="AF76" s="37">
        <f t="shared" si="23"/>
        <v>53221</v>
      </c>
      <c r="AG76" s="37">
        <f t="shared" si="21"/>
        <v>22315.568000000436</v>
      </c>
    </row>
    <row r="77" spans="1:33" x14ac:dyDescent="0.15">
      <c r="A77" s="102">
        <v>42807</v>
      </c>
      <c r="B77" s="20" t="s">
        <v>34</v>
      </c>
      <c r="C77" s="8">
        <v>67433</v>
      </c>
      <c r="D77" s="37">
        <f>17616+11110</f>
        <v>28726</v>
      </c>
      <c r="E77" s="37">
        <v>98185</v>
      </c>
      <c r="F77" s="12">
        <v>5107.7</v>
      </c>
      <c r="G77" s="37">
        <v>2966.9</v>
      </c>
      <c r="H77" s="24"/>
      <c r="I77" s="36"/>
      <c r="J77" s="8">
        <f t="shared" si="18"/>
        <v>69459</v>
      </c>
      <c r="K77" s="37">
        <v>1082</v>
      </c>
      <c r="L77" s="37">
        <v>793</v>
      </c>
      <c r="M77" s="127">
        <f t="shared" si="19"/>
        <v>151</v>
      </c>
      <c r="N77" s="74">
        <f t="shared" si="15"/>
        <v>897908</v>
      </c>
      <c r="O77" s="75">
        <f t="shared" si="16"/>
        <v>342685</v>
      </c>
      <c r="P77" s="75">
        <f t="shared" si="17"/>
        <v>1265261</v>
      </c>
      <c r="Q77" s="76">
        <f t="shared" si="12"/>
        <v>3875319.32</v>
      </c>
      <c r="R77" s="76">
        <f t="shared" si="13"/>
        <v>1818022</v>
      </c>
      <c r="S77" s="76">
        <f t="shared" si="14"/>
        <v>5802158.8880000003</v>
      </c>
      <c r="T77" s="80">
        <f>N77/'2016'!N77-1</f>
        <v>0.1256888969124379</v>
      </c>
      <c r="U77" s="80">
        <f>O77/'2016'!O77-1</f>
        <v>0.15557241611869843</v>
      </c>
      <c r="V77" s="80">
        <f>P77/'2016'!P77-1</f>
        <v>0.12182551187692781</v>
      </c>
      <c r="W77" s="81">
        <f>Q77/'2016'!Q77-1</f>
        <v>0.10948920749202795</v>
      </c>
      <c r="X77" s="81">
        <f>R77/'2016'!R77-1</f>
        <v>9.5479064431225558E-2</v>
      </c>
      <c r="Y77" s="81">
        <f>S77/'2016'!S77-1</f>
        <v>8.9087608711035715E-2</v>
      </c>
      <c r="Z77" s="136"/>
      <c r="AA77" s="136"/>
      <c r="AB77" s="105"/>
      <c r="AC77" s="105"/>
      <c r="AD77" s="37">
        <f t="shared" si="20"/>
        <v>3984136.8880000003</v>
      </c>
      <c r="AE77" s="37">
        <f t="shared" si="22"/>
        <v>32337</v>
      </c>
      <c r="AF77" s="37">
        <f t="shared" si="23"/>
        <v>54014</v>
      </c>
      <c r="AG77" s="37">
        <f t="shared" si="21"/>
        <v>22466.568000000436</v>
      </c>
    </row>
    <row r="78" spans="1:33" x14ac:dyDescent="0.15">
      <c r="A78" s="102">
        <v>42808</v>
      </c>
      <c r="B78" s="20" t="s">
        <v>35</v>
      </c>
      <c r="C78" s="8">
        <v>64449</v>
      </c>
      <c r="D78" s="37">
        <f>18244+11215</f>
        <v>29459</v>
      </c>
      <c r="E78" s="37">
        <v>95795</v>
      </c>
      <c r="F78" s="12">
        <v>4847.8999999999996</v>
      </c>
      <c r="G78" s="37">
        <v>3088.6</v>
      </c>
      <c r="H78" s="24"/>
      <c r="I78" s="36"/>
      <c r="J78" s="8">
        <f t="shared" si="18"/>
        <v>66336</v>
      </c>
      <c r="K78" s="37">
        <v>510</v>
      </c>
      <c r="L78" s="37">
        <v>793</v>
      </c>
      <c r="M78" s="127">
        <f t="shared" si="19"/>
        <v>584</v>
      </c>
      <c r="N78" s="74">
        <f t="shared" si="15"/>
        <v>962357</v>
      </c>
      <c r="O78" s="75">
        <f t="shared" si="16"/>
        <v>372144</v>
      </c>
      <c r="P78" s="75">
        <f t="shared" si="17"/>
        <v>1361056</v>
      </c>
      <c r="Q78" s="76">
        <f t="shared" si="12"/>
        <v>3939768.3199999998</v>
      </c>
      <c r="R78" s="76">
        <f t="shared" si="13"/>
        <v>1847481</v>
      </c>
      <c r="S78" s="76">
        <f t="shared" si="14"/>
        <v>5897953.8880000003</v>
      </c>
      <c r="T78" s="80">
        <f>N78/'2016'!N78-1</f>
        <v>0.11359036696663827</v>
      </c>
      <c r="U78" s="80">
        <f>O78/'2016'!O78-1</f>
        <v>0.17009857095694003</v>
      </c>
      <c r="V78" s="80">
        <f>P78/'2016'!P78-1</f>
        <v>0.11776816914479049</v>
      </c>
      <c r="W78" s="81">
        <f>Q78/'2016'!Q78-1</f>
        <v>0.10685464823411173</v>
      </c>
      <c r="X78" s="81">
        <f>R78/'2016'!R78-1</f>
        <v>9.8995694985851257E-2</v>
      </c>
      <c r="Y78" s="81">
        <f>S78/'2016'!S78-1</f>
        <v>8.8718292400860488E-2</v>
      </c>
      <c r="Z78" s="136"/>
      <c r="AA78" s="136"/>
      <c r="AB78" s="105"/>
      <c r="AC78" s="105"/>
      <c r="AD78" s="37">
        <f t="shared" si="20"/>
        <v>4050472.8880000003</v>
      </c>
      <c r="AE78" s="37">
        <f t="shared" si="22"/>
        <v>32847</v>
      </c>
      <c r="AF78" s="37">
        <f t="shared" si="23"/>
        <v>54807</v>
      </c>
      <c r="AG78" s="37">
        <f t="shared" si="21"/>
        <v>23050.568000000436</v>
      </c>
    </row>
    <row r="79" spans="1:33" x14ac:dyDescent="0.15">
      <c r="A79" s="102">
        <v>42809</v>
      </c>
      <c r="B79" s="20" t="s">
        <v>36</v>
      </c>
      <c r="C79" s="8">
        <v>65885</v>
      </c>
      <c r="D79" s="37">
        <f>17931+11182</f>
        <v>29113</v>
      </c>
      <c r="E79" s="37">
        <v>96963</v>
      </c>
      <c r="F79" s="12">
        <v>4838.3</v>
      </c>
      <c r="G79" s="37">
        <v>3110.4</v>
      </c>
      <c r="H79" s="24"/>
      <c r="I79" s="36"/>
      <c r="J79" s="8">
        <f t="shared" si="18"/>
        <v>67850</v>
      </c>
      <c r="K79" s="37">
        <v>702</v>
      </c>
      <c r="L79" s="37">
        <v>794</v>
      </c>
      <c r="M79" s="127">
        <f t="shared" si="19"/>
        <v>469</v>
      </c>
      <c r="N79" s="74">
        <f t="shared" si="15"/>
        <v>1028242</v>
      </c>
      <c r="O79" s="75">
        <f t="shared" si="16"/>
        <v>401257</v>
      </c>
      <c r="P79" s="75">
        <f t="shared" si="17"/>
        <v>1458019</v>
      </c>
      <c r="Q79" s="76">
        <f t="shared" si="12"/>
        <v>4005653.32</v>
      </c>
      <c r="R79" s="76">
        <f t="shared" si="13"/>
        <v>1876594</v>
      </c>
      <c r="S79" s="76">
        <f t="shared" si="14"/>
        <v>5994916.8880000003</v>
      </c>
      <c r="T79" s="80">
        <f>N79/'2016'!N79-1</f>
        <v>0.10468629136226903</v>
      </c>
      <c r="U79" s="80">
        <f>O79/'2016'!O79-1</f>
        <v>0.17760462522744613</v>
      </c>
      <c r="V79" s="80">
        <f>P79/'2016'!P79-1</f>
        <v>0.11379846927277848</v>
      </c>
      <c r="W79" s="81">
        <f>Q79/'2016'!Q79-1</f>
        <v>0.10469270834195155</v>
      </c>
      <c r="X79" s="81">
        <f>R79/'2016'!R79-1</f>
        <v>0.10144398441562719</v>
      </c>
      <c r="Y79" s="81">
        <f>S79/'2016'!S79-1</f>
        <v>8.8256934580056789E-2</v>
      </c>
      <c r="Z79" s="136">
        <f>(Z80-Z73)/7*6+Z73</f>
        <v>28.67285714285714</v>
      </c>
      <c r="AA79" s="136">
        <f>Q79/10000-Z79</f>
        <v>371.89247485714282</v>
      </c>
      <c r="AB79" s="105"/>
      <c r="AC79" s="105"/>
      <c r="AD79" s="37">
        <f t="shared" si="20"/>
        <v>4118322.8880000003</v>
      </c>
      <c r="AE79" s="37">
        <f t="shared" si="22"/>
        <v>33549</v>
      </c>
      <c r="AF79" s="37">
        <f t="shared" si="23"/>
        <v>55601</v>
      </c>
      <c r="AG79" s="37">
        <f t="shared" si="21"/>
        <v>23519.568000000436</v>
      </c>
    </row>
    <row r="80" spans="1:33" x14ac:dyDescent="0.15">
      <c r="A80" s="102">
        <v>42810</v>
      </c>
      <c r="B80" s="14" t="s">
        <v>37</v>
      </c>
      <c r="C80" s="32">
        <v>67718</v>
      </c>
      <c r="D80" s="33">
        <f>18710+11127</f>
        <v>29837</v>
      </c>
      <c r="E80" s="33">
        <v>99537</v>
      </c>
      <c r="F80" s="119">
        <v>5065</v>
      </c>
      <c r="G80" s="33">
        <v>3141</v>
      </c>
      <c r="H80" s="19"/>
      <c r="I80" s="19"/>
      <c r="J80" s="59">
        <f t="shared" si="18"/>
        <v>69700</v>
      </c>
      <c r="K80" s="33">
        <v>1009</v>
      </c>
      <c r="L80" s="33">
        <v>792</v>
      </c>
      <c r="M80" s="128">
        <f t="shared" si="19"/>
        <v>181</v>
      </c>
      <c r="N80" s="77">
        <f t="shared" si="15"/>
        <v>1095960</v>
      </c>
      <c r="O80" s="78">
        <f t="shared" si="16"/>
        <v>431094</v>
      </c>
      <c r="P80" s="78">
        <f t="shared" si="17"/>
        <v>1557556</v>
      </c>
      <c r="Q80" s="77">
        <f t="shared" si="12"/>
        <v>4073371.32</v>
      </c>
      <c r="R80" s="77">
        <f t="shared" si="13"/>
        <v>1906431</v>
      </c>
      <c r="S80" s="77">
        <f t="shared" si="14"/>
        <v>6094453.8880000003</v>
      </c>
      <c r="T80" s="82">
        <f>N80/'2016'!N80-1</f>
        <v>0.10186710957442857</v>
      </c>
      <c r="U80" s="82">
        <f>O80/'2016'!O80-1</f>
        <v>0.18255683813202239</v>
      </c>
      <c r="V80" s="82">
        <f>P80/'2016'!P80-1</f>
        <v>0.11343154054067583</v>
      </c>
      <c r="W80" s="82">
        <f>Q80/'2016'!Q80-1</f>
        <v>0.10393266109700794</v>
      </c>
      <c r="X80" s="82">
        <f>R80/'2016'!R80-1</f>
        <v>0.10353839688532163</v>
      </c>
      <c r="Y80" s="82">
        <f>S80/'2016'!S80-1</f>
        <v>8.8575062056124754E-2</v>
      </c>
      <c r="Z80" s="138">
        <v>29.08</v>
      </c>
      <c r="AA80" s="138">
        <f>Q80/10000-Z80</f>
        <v>378.25713200000001</v>
      </c>
      <c r="AB80" s="33">
        <v>4258</v>
      </c>
      <c r="AC80" s="33">
        <f>AA80*10000/AB80</f>
        <v>888.34460310004704</v>
      </c>
      <c r="AD80" s="33">
        <f t="shared" si="20"/>
        <v>4188022.8880000003</v>
      </c>
      <c r="AE80" s="33">
        <f t="shared" si="22"/>
        <v>34558</v>
      </c>
      <c r="AF80" s="33">
        <f t="shared" si="23"/>
        <v>56393</v>
      </c>
      <c r="AG80" s="33">
        <f t="shared" si="21"/>
        <v>23700.568000000436</v>
      </c>
    </row>
    <row r="81" spans="1:33" x14ac:dyDescent="0.15">
      <c r="A81" s="102">
        <v>42811</v>
      </c>
      <c r="B81" s="20" t="s">
        <v>38</v>
      </c>
      <c r="C81" s="8">
        <v>67750</v>
      </c>
      <c r="D81" s="37">
        <f>18296+11225</f>
        <v>29521</v>
      </c>
      <c r="E81" s="37">
        <v>100002</v>
      </c>
      <c r="F81" s="12">
        <v>5020.3999999999996</v>
      </c>
      <c r="G81" s="37">
        <v>3218.5</v>
      </c>
      <c r="H81" s="24"/>
      <c r="I81" s="36"/>
      <c r="J81" s="37">
        <f t="shared" si="18"/>
        <v>70481</v>
      </c>
      <c r="K81" s="37">
        <v>1650</v>
      </c>
      <c r="L81" s="37">
        <v>794</v>
      </c>
      <c r="M81" s="127">
        <f t="shared" si="19"/>
        <v>287</v>
      </c>
      <c r="N81" s="74">
        <f t="shared" si="15"/>
        <v>1163710</v>
      </c>
      <c r="O81" s="75">
        <f t="shared" si="16"/>
        <v>460615</v>
      </c>
      <c r="P81" s="75">
        <f t="shared" si="17"/>
        <v>1657558</v>
      </c>
      <c r="Q81" s="76">
        <f t="shared" si="12"/>
        <v>4141121.32</v>
      </c>
      <c r="R81" s="76">
        <f t="shared" si="13"/>
        <v>1935952</v>
      </c>
      <c r="S81" s="76">
        <f t="shared" si="14"/>
        <v>6194455.8880000003</v>
      </c>
      <c r="T81" s="80">
        <f>N81/'2016'!N81-1</f>
        <v>9.8700962735880582E-2</v>
      </c>
      <c r="U81" s="80">
        <f>O81/'2016'!O81-1</f>
        <v>0.18618904755160104</v>
      </c>
      <c r="V81" s="80">
        <f>P81/'2016'!P81-1</f>
        <v>0.11317075005271837</v>
      </c>
      <c r="W81" s="81">
        <f>Q81/'2016'!Q81-1</f>
        <v>0.10300394496808152</v>
      </c>
      <c r="X81" s="81">
        <f>R81/'2016'!R81-1</f>
        <v>0.10541627434645506</v>
      </c>
      <c r="Y81" s="81">
        <f>S81/'2016'!S81-1</f>
        <v>8.890076017047055E-2</v>
      </c>
      <c r="Z81" s="136"/>
      <c r="AA81" s="136"/>
      <c r="AB81" s="105"/>
      <c r="AC81" s="105"/>
      <c r="AD81" s="37">
        <f t="shared" si="20"/>
        <v>4258503.8880000003</v>
      </c>
      <c r="AE81" s="37">
        <f>AE80+K82</f>
        <v>36684</v>
      </c>
      <c r="AF81" s="37">
        <f t="shared" si="23"/>
        <v>57187</v>
      </c>
      <c r="AG81" s="37">
        <f t="shared" si="21"/>
        <v>23511.568000000436</v>
      </c>
    </row>
    <row r="82" spans="1:33" x14ac:dyDescent="0.15">
      <c r="A82" s="102">
        <v>42812</v>
      </c>
      <c r="B82" s="20" t="s">
        <v>39</v>
      </c>
      <c r="C82" s="70">
        <v>66481</v>
      </c>
      <c r="D82" s="71">
        <f>18335+10975</f>
        <v>29310</v>
      </c>
      <c r="E82" s="71">
        <v>98853</v>
      </c>
      <c r="F82" s="120">
        <v>5051.2</v>
      </c>
      <c r="G82" s="37">
        <v>3195.2</v>
      </c>
      <c r="H82" s="24"/>
      <c r="I82" s="24"/>
      <c r="J82" s="70">
        <f t="shared" si="18"/>
        <v>69543</v>
      </c>
      <c r="K82" s="37">
        <v>2126</v>
      </c>
      <c r="L82" s="71">
        <v>792</v>
      </c>
      <c r="M82" s="127">
        <f t="shared" ref="M82:M85" si="24">J82-K82-L82-C82</f>
        <v>144</v>
      </c>
      <c r="N82" s="74">
        <f t="shared" si="15"/>
        <v>1230191</v>
      </c>
      <c r="O82" s="75">
        <f t="shared" si="16"/>
        <v>489925</v>
      </c>
      <c r="P82" s="75">
        <f t="shared" si="17"/>
        <v>1756411</v>
      </c>
      <c r="Q82" s="76">
        <f t="shared" si="12"/>
        <v>4207602.32</v>
      </c>
      <c r="R82" s="76">
        <f t="shared" si="13"/>
        <v>1965262</v>
      </c>
      <c r="S82" s="76">
        <f t="shared" si="14"/>
        <v>6293308.8880000003</v>
      </c>
      <c r="T82" s="80">
        <f>N82/'2016'!N82-1</f>
        <v>9.4229679618377693E-2</v>
      </c>
      <c r="U82" s="80">
        <f>O82/'2016'!O82-1</f>
        <v>0.1905398345139302</v>
      </c>
      <c r="V82" s="80">
        <f>P82/'2016'!P82-1</f>
        <v>0.11222483467759048</v>
      </c>
      <c r="W82" s="81">
        <f>Q82/'2016'!Q82-1</f>
        <v>0.10161451524772835</v>
      </c>
      <c r="X82" s="81">
        <f>R82/'2016'!R82-1</f>
        <v>0.10748123590826442</v>
      </c>
      <c r="Y82" s="81">
        <f>S82/'2016'!S82-1</f>
        <v>8.9020859964121124E-2</v>
      </c>
      <c r="Z82" s="139"/>
      <c r="AA82" s="139"/>
      <c r="AB82" s="105"/>
      <c r="AC82" s="105"/>
      <c r="AD82" s="37">
        <f t="shared" si="20"/>
        <v>4328046.8880000003</v>
      </c>
      <c r="AE82" s="71">
        <f>AE81+K83</f>
        <v>38634</v>
      </c>
      <c r="AF82" s="71">
        <f t="shared" si="23"/>
        <v>57979</v>
      </c>
      <c r="AG82" s="71">
        <f t="shared" si="21"/>
        <v>23831.56799999997</v>
      </c>
    </row>
    <row r="83" spans="1:33" x14ac:dyDescent="0.15">
      <c r="A83" s="102">
        <v>42813</v>
      </c>
      <c r="B83" s="20" t="s">
        <v>1</v>
      </c>
      <c r="C83" s="8">
        <v>64915</v>
      </c>
      <c r="D83" s="37">
        <f>15341+10704</f>
        <v>26045</v>
      </c>
      <c r="E83" s="37">
        <v>93871</v>
      </c>
      <c r="F83" s="12">
        <v>4736.2</v>
      </c>
      <c r="G83" s="71">
        <v>3112.2</v>
      </c>
      <c r="H83" s="24"/>
      <c r="I83" s="36"/>
      <c r="J83" s="8">
        <f t="shared" si="18"/>
        <v>67826</v>
      </c>
      <c r="K83" s="71">
        <v>1950</v>
      </c>
      <c r="L83" s="37">
        <v>793</v>
      </c>
      <c r="M83" s="127">
        <f t="shared" si="24"/>
        <v>168</v>
      </c>
      <c r="N83" s="74">
        <f t="shared" si="15"/>
        <v>1295106</v>
      </c>
      <c r="O83" s="75">
        <f t="shared" si="16"/>
        <v>515970</v>
      </c>
      <c r="P83" s="75">
        <f t="shared" si="17"/>
        <v>1850282</v>
      </c>
      <c r="Q83" s="76">
        <f t="shared" si="12"/>
        <v>4272517.32</v>
      </c>
      <c r="R83" s="76">
        <f t="shared" si="13"/>
        <v>1991307</v>
      </c>
      <c r="S83" s="76">
        <f t="shared" si="14"/>
        <v>6387179.8880000003</v>
      </c>
      <c r="T83" s="80">
        <f>N83/'2016'!N83-1</f>
        <v>8.9488932707902924E-2</v>
      </c>
      <c r="U83" s="80">
        <f>O83/'2016'!O83-1</f>
        <v>0.18779811782905753</v>
      </c>
      <c r="V83" s="80">
        <f>P83/'2016'!P83-1</f>
        <v>0.10927645430957167</v>
      </c>
      <c r="W83" s="81">
        <f>Q83/'2016'!Q83-1</f>
        <v>0.10004096847497479</v>
      </c>
      <c r="X83" s="81">
        <f>R83/'2016'!R83-1</f>
        <v>0.10787577681219096</v>
      </c>
      <c r="Y83" s="81">
        <f>S83/'2016'!S83-1</f>
        <v>8.8533969585987027E-2</v>
      </c>
      <c r="Z83" s="136"/>
      <c r="AA83" s="136"/>
      <c r="AB83" s="105"/>
      <c r="AC83" s="105"/>
      <c r="AD83" s="37">
        <f t="shared" si="20"/>
        <v>4395872.8880000003</v>
      </c>
      <c r="AE83" s="37">
        <f>AE82+K84</f>
        <v>39985</v>
      </c>
      <c r="AF83" s="37">
        <f t="shared" si="23"/>
        <v>58772</v>
      </c>
      <c r="AG83" s="37">
        <f t="shared" si="21"/>
        <v>24598.56799999997</v>
      </c>
    </row>
    <row r="84" spans="1:33" x14ac:dyDescent="0.15">
      <c r="A84" s="102">
        <v>42814</v>
      </c>
      <c r="B84" s="20" t="s">
        <v>34</v>
      </c>
      <c r="C84" s="8">
        <v>66254</v>
      </c>
      <c r="D84" s="37">
        <f>16799+10946</f>
        <v>27745</v>
      </c>
      <c r="E84" s="37">
        <v>96433</v>
      </c>
      <c r="F84" s="12">
        <v>5031.1000000000004</v>
      </c>
      <c r="G84" s="37">
        <v>2966.5</v>
      </c>
      <c r="H84" s="24"/>
      <c r="I84" s="36"/>
      <c r="J84" s="8">
        <f t="shared" si="18"/>
        <v>68688</v>
      </c>
      <c r="K84" s="37">
        <v>1351</v>
      </c>
      <c r="L84" s="37">
        <v>794</v>
      </c>
      <c r="M84" s="127">
        <f t="shared" si="24"/>
        <v>289</v>
      </c>
      <c r="N84" s="74">
        <f t="shared" si="15"/>
        <v>1361360</v>
      </c>
      <c r="O84" s="75">
        <f t="shared" si="16"/>
        <v>543715</v>
      </c>
      <c r="P84" s="75">
        <f t="shared" si="17"/>
        <v>1946715</v>
      </c>
      <c r="Q84" s="76">
        <f t="shared" si="12"/>
        <v>4338771.32</v>
      </c>
      <c r="R84" s="76">
        <f t="shared" si="13"/>
        <v>2019052</v>
      </c>
      <c r="S84" s="76">
        <f t="shared" si="14"/>
        <v>6483612.8880000003</v>
      </c>
      <c r="T84" s="80">
        <f>N84/'2016'!N84-1</f>
        <v>9.3338901649613781E-2</v>
      </c>
      <c r="U84" s="80">
        <f>O84/'2016'!O84-1</f>
        <v>0.18254955609397494</v>
      </c>
      <c r="V84" s="80">
        <f>P84/'2016'!P84-1</f>
        <v>0.1112008548423371</v>
      </c>
      <c r="W84" s="81">
        <f>Q84/'2016'!Q84-1</f>
        <v>0.10110647364945557</v>
      </c>
      <c r="X84" s="81">
        <f>R84/'2016'!R84-1</f>
        <v>0.10766513056835647</v>
      </c>
      <c r="Y84" s="81">
        <f>S84/'2016'!S84-1</f>
        <v>8.9392821810126533E-2</v>
      </c>
      <c r="Z84" s="136"/>
      <c r="AA84" s="136"/>
      <c r="AB84" s="105"/>
      <c r="AC84" s="105"/>
      <c r="AD84" s="37">
        <f t="shared" si="20"/>
        <v>4464560.8880000003</v>
      </c>
      <c r="AE84" s="37">
        <f>AE83+K85</f>
        <v>41692</v>
      </c>
      <c r="AF84" s="37">
        <f t="shared" si="23"/>
        <v>59566</v>
      </c>
      <c r="AG84" s="37">
        <f t="shared" si="21"/>
        <v>24531.56799999997</v>
      </c>
    </row>
    <row r="85" spans="1:33" x14ac:dyDescent="0.15">
      <c r="A85" s="102">
        <v>42815</v>
      </c>
      <c r="B85" s="20" t="s">
        <v>35</v>
      </c>
      <c r="C85" s="8">
        <v>64227</v>
      </c>
      <c r="D85" s="37">
        <f>16650+11349</f>
        <v>27999</v>
      </c>
      <c r="E85" s="37">
        <v>95256</v>
      </c>
      <c r="F85" s="12">
        <v>4845.5</v>
      </c>
      <c r="G85" s="37">
        <v>3027.3</v>
      </c>
      <c r="H85" s="24"/>
      <c r="I85" s="36"/>
      <c r="J85" s="8">
        <f t="shared" si="18"/>
        <v>67257</v>
      </c>
      <c r="K85" s="37">
        <v>1707</v>
      </c>
      <c r="L85" s="37">
        <v>793</v>
      </c>
      <c r="M85" s="127">
        <f t="shared" si="24"/>
        <v>530</v>
      </c>
      <c r="N85" s="74">
        <f t="shared" si="15"/>
        <v>1425587</v>
      </c>
      <c r="O85" s="75">
        <f t="shared" si="16"/>
        <v>571714</v>
      </c>
      <c r="P85" s="75">
        <f t="shared" si="17"/>
        <v>2041971</v>
      </c>
      <c r="Q85" s="76">
        <f t="shared" si="12"/>
        <v>4402998.32</v>
      </c>
      <c r="R85" s="76">
        <f t="shared" si="13"/>
        <v>2047051</v>
      </c>
      <c r="S85" s="76">
        <f t="shared" si="14"/>
        <v>6578868.8880000003</v>
      </c>
      <c r="T85" s="80">
        <f>N85/'2016'!N85-1</f>
        <v>8.9941649056384465E-2</v>
      </c>
      <c r="U85" s="80">
        <f>O85/'2016'!O85-1</f>
        <v>0.1782888540354941</v>
      </c>
      <c r="V85" s="80">
        <f>P85/'2016'!P85-1</f>
        <v>0.10893875986084312</v>
      </c>
      <c r="W85" s="81">
        <f>Q85/'2016'!Q85-1</f>
        <v>9.9874629732048303E-2</v>
      </c>
      <c r="X85" s="81">
        <f>R85/'2016'!R85-1</f>
        <v>0.10757672902379301</v>
      </c>
      <c r="Y85" s="81">
        <f>S85/'2016'!S85-1</f>
        <v>8.9026304010424662E-2</v>
      </c>
      <c r="Z85" s="136"/>
      <c r="AA85" s="136"/>
      <c r="AB85" s="105"/>
      <c r="AC85" s="105"/>
      <c r="AD85" s="37">
        <f t="shared" si="20"/>
        <v>4531817.8880000003</v>
      </c>
      <c r="AE85" s="37">
        <f>AE84+K86</f>
        <v>43611</v>
      </c>
      <c r="AF85" s="37">
        <f t="shared" si="23"/>
        <v>60359</v>
      </c>
      <c r="AG85" s="37">
        <f t="shared" si="21"/>
        <v>24849.56799999997</v>
      </c>
    </row>
    <row r="86" spans="1:33" x14ac:dyDescent="0.15">
      <c r="A86" s="102">
        <v>42816</v>
      </c>
      <c r="B86" s="20" t="s">
        <v>36</v>
      </c>
      <c r="C86" s="8">
        <v>67381</v>
      </c>
      <c r="D86" s="37">
        <f>17125+11258</f>
        <v>28383</v>
      </c>
      <c r="E86" s="37">
        <f>98773</f>
        <v>98773</v>
      </c>
      <c r="F86" s="12">
        <v>5090.3999999999996</v>
      </c>
      <c r="G86" s="37">
        <v>3082.3</v>
      </c>
      <c r="H86" s="24"/>
      <c r="I86" s="36"/>
      <c r="J86" s="8">
        <f t="shared" si="18"/>
        <v>70390</v>
      </c>
      <c r="K86" s="37">
        <v>1919</v>
      </c>
      <c r="L86" s="37">
        <v>794</v>
      </c>
      <c r="M86" s="127">
        <f t="shared" si="19"/>
        <v>296</v>
      </c>
      <c r="N86" s="74">
        <f t="shared" si="15"/>
        <v>1492968</v>
      </c>
      <c r="O86" s="75">
        <f t="shared" si="16"/>
        <v>600097</v>
      </c>
      <c r="P86" s="75">
        <f t="shared" si="17"/>
        <v>2140744</v>
      </c>
      <c r="Q86" s="76">
        <f t="shared" si="12"/>
        <v>4470379.32</v>
      </c>
      <c r="R86" s="76">
        <f t="shared" si="13"/>
        <v>2075434</v>
      </c>
      <c r="S86" s="76">
        <f t="shared" si="14"/>
        <v>6677641.8880000003</v>
      </c>
      <c r="T86" s="80">
        <f>N86/'2016'!N86-1</f>
        <v>8.7361500459935293E-2</v>
      </c>
      <c r="U86" s="80">
        <f>O86/'2016'!O86-1</f>
        <v>0.17359103834284451</v>
      </c>
      <c r="V86" s="80">
        <f>P86/'2016'!P86-1</f>
        <v>0.10717390708453656</v>
      </c>
      <c r="W86" s="81">
        <f>Q86/'2016'!Q86-1</f>
        <v>9.8844963673596631E-2</v>
      </c>
      <c r="X86" s="81">
        <f>R86/'2016'!R86-1</f>
        <v>0.10728080958112463</v>
      </c>
      <c r="Y86" s="81">
        <f>S86/'2016'!S86-1</f>
        <v>8.8769096343297438E-2</v>
      </c>
      <c r="Z86" s="136">
        <f>(Z87-Z80)/7*6+Z80</f>
        <v>32.002857142857145</v>
      </c>
      <c r="AA86" s="136">
        <f>Q86/10000-Z86</f>
        <v>415.03507485714289</v>
      </c>
      <c r="AB86" s="105"/>
      <c r="AC86" s="105"/>
      <c r="AD86" s="37">
        <f t="shared" si="20"/>
        <v>4602207.8880000003</v>
      </c>
      <c r="AE86" s="37">
        <f t="shared" si="22"/>
        <v>45530</v>
      </c>
      <c r="AF86" s="37">
        <f t="shared" si="23"/>
        <v>61153</v>
      </c>
      <c r="AG86" s="37">
        <f t="shared" si="21"/>
        <v>25145.56799999997</v>
      </c>
    </row>
    <row r="87" spans="1:33" x14ac:dyDescent="0.15">
      <c r="A87" s="102">
        <v>42817</v>
      </c>
      <c r="B87" s="14" t="s">
        <v>37</v>
      </c>
      <c r="C87" s="32">
        <v>67338</v>
      </c>
      <c r="D87" s="33">
        <v>27490</v>
      </c>
      <c r="E87" s="33">
        <v>97647</v>
      </c>
      <c r="F87" s="119">
        <v>4992</v>
      </c>
      <c r="G87" s="33">
        <v>3093</v>
      </c>
      <c r="H87" s="19"/>
      <c r="I87" s="19"/>
      <c r="J87" s="32">
        <f t="shared" si="18"/>
        <v>70157</v>
      </c>
      <c r="K87" s="33">
        <v>1738</v>
      </c>
      <c r="L87" s="33">
        <v>792</v>
      </c>
      <c r="M87" s="128">
        <f t="shared" si="19"/>
        <v>289</v>
      </c>
      <c r="N87" s="77">
        <f t="shared" si="15"/>
        <v>1560306</v>
      </c>
      <c r="O87" s="78">
        <f t="shared" si="16"/>
        <v>627587</v>
      </c>
      <c r="P87" s="78">
        <f t="shared" si="17"/>
        <v>2238391</v>
      </c>
      <c r="Q87" s="77">
        <f t="shared" si="12"/>
        <v>4537717.32</v>
      </c>
      <c r="R87" s="77">
        <f t="shared" si="13"/>
        <v>2102924</v>
      </c>
      <c r="S87" s="77">
        <f t="shared" si="14"/>
        <v>6775288.8880000003</v>
      </c>
      <c r="T87" s="82">
        <f>N87/'2016'!N87-1</f>
        <v>8.5495956972700293E-2</v>
      </c>
      <c r="U87" s="82">
        <f>O87/'2016'!O87-1</f>
        <v>0.1664557114951053</v>
      </c>
      <c r="V87" s="82">
        <f>P87/'2016'!P87-1</f>
        <v>0.10491066249987036</v>
      </c>
      <c r="W87" s="82">
        <f>Q87/'2016'!Q87-1</f>
        <v>9.8017159462204351E-2</v>
      </c>
      <c r="X87" s="82">
        <f>R87/'2016'!R87-1</f>
        <v>0.10619253495573755</v>
      </c>
      <c r="Y87" s="82">
        <f>S87/'2016'!S87-1</f>
        <v>8.8305588961855364E-2</v>
      </c>
      <c r="Z87" s="138">
        <v>32.49</v>
      </c>
      <c r="AA87" s="138">
        <f>Q87/10000-Z87</f>
        <v>421.28173200000003</v>
      </c>
      <c r="AB87" s="33">
        <v>4258</v>
      </c>
      <c r="AC87" s="33">
        <f>AA87*10000/AB87</f>
        <v>989.388755284171</v>
      </c>
      <c r="AD87" s="33">
        <f t="shared" si="20"/>
        <v>4672364.8880000003</v>
      </c>
      <c r="AE87" s="33">
        <f t="shared" si="22"/>
        <v>47268</v>
      </c>
      <c r="AF87" s="33">
        <f t="shared" si="23"/>
        <v>61945</v>
      </c>
      <c r="AG87" s="33">
        <f t="shared" si="21"/>
        <v>25434.56799999997</v>
      </c>
    </row>
    <row r="88" spans="1:33" x14ac:dyDescent="0.15">
      <c r="A88" s="102">
        <v>42818</v>
      </c>
      <c r="B88" s="20" t="s">
        <v>38</v>
      </c>
      <c r="C88" s="8">
        <v>70000</v>
      </c>
      <c r="D88" s="37">
        <f>16962+11117</f>
        <v>28079</v>
      </c>
      <c r="E88" s="37">
        <v>99708</v>
      </c>
      <c r="F88" s="12">
        <v>5131.5</v>
      </c>
      <c r="G88" s="37">
        <v>3114.1</v>
      </c>
      <c r="H88" s="24"/>
      <c r="I88" s="36"/>
      <c r="J88" s="8">
        <f t="shared" si="18"/>
        <v>71629</v>
      </c>
      <c r="K88" s="37">
        <v>704</v>
      </c>
      <c r="L88" s="37">
        <v>793</v>
      </c>
      <c r="M88" s="127">
        <f t="shared" si="19"/>
        <v>132</v>
      </c>
      <c r="N88" s="74">
        <f t="shared" si="15"/>
        <v>1630306</v>
      </c>
      <c r="O88" s="75">
        <f t="shared" si="16"/>
        <v>655666</v>
      </c>
      <c r="P88" s="75">
        <f t="shared" si="17"/>
        <v>2338099</v>
      </c>
      <c r="Q88" s="76">
        <f t="shared" si="12"/>
        <v>4607717.32</v>
      </c>
      <c r="R88" s="76">
        <f t="shared" si="13"/>
        <v>2131003</v>
      </c>
      <c r="S88" s="76">
        <f t="shared" si="14"/>
        <v>6874996.8880000003</v>
      </c>
      <c r="T88" s="80">
        <f>N88/'2016'!N88-1</f>
        <v>8.5668469781128964E-2</v>
      </c>
      <c r="U88" s="80">
        <f>O88/'2016'!O88-1</f>
        <v>0.15913522649124645</v>
      </c>
      <c r="V88" s="80">
        <f>P88/'2016'!P88-1</f>
        <v>0.10330363631215844</v>
      </c>
      <c r="W88" s="81">
        <f>Q88/'2016'!Q88-1</f>
        <v>9.7887204707289621E-2</v>
      </c>
      <c r="X88" s="81">
        <f>R88/'2016'!R88-1</f>
        <v>0.10490861832693943</v>
      </c>
      <c r="Y88" s="81">
        <f>S88/'2016'!S88-1</f>
        <v>8.801187429002244E-2</v>
      </c>
      <c r="Z88" s="136"/>
      <c r="AA88" s="136"/>
      <c r="AB88" s="105"/>
      <c r="AC88" s="105"/>
      <c r="AD88" s="37">
        <f t="shared" si="20"/>
        <v>4743993.8880000003</v>
      </c>
      <c r="AE88" s="37">
        <f t="shared" si="22"/>
        <v>47972</v>
      </c>
      <c r="AF88" s="37">
        <f t="shared" si="23"/>
        <v>62738</v>
      </c>
      <c r="AG88" s="37">
        <f t="shared" si="21"/>
        <v>25566.56799999997</v>
      </c>
    </row>
    <row r="89" spans="1:33" x14ac:dyDescent="0.15">
      <c r="A89" s="102">
        <v>42819</v>
      </c>
      <c r="B89" s="20" t="s">
        <v>39</v>
      </c>
      <c r="C89" s="70">
        <v>66039</v>
      </c>
      <c r="D89" s="71">
        <f>15544+11390</f>
        <v>26934</v>
      </c>
      <c r="E89" s="71">
        <v>94631</v>
      </c>
      <c r="F89" s="120">
        <v>4780.2</v>
      </c>
      <c r="G89" s="71">
        <v>3089.5</v>
      </c>
      <c r="H89" s="24"/>
      <c r="I89" s="24"/>
      <c r="J89" s="70">
        <f t="shared" si="18"/>
        <v>67697</v>
      </c>
      <c r="K89" s="71">
        <v>385</v>
      </c>
      <c r="L89" s="71">
        <v>793</v>
      </c>
      <c r="M89" s="129">
        <f t="shared" si="19"/>
        <v>480</v>
      </c>
      <c r="N89" s="74">
        <f t="shared" si="15"/>
        <v>1696345</v>
      </c>
      <c r="O89" s="75">
        <f t="shared" si="16"/>
        <v>682600</v>
      </c>
      <c r="P89" s="75">
        <f t="shared" si="17"/>
        <v>2432730</v>
      </c>
      <c r="Q89" s="76">
        <f t="shared" si="12"/>
        <v>4673756.32</v>
      </c>
      <c r="R89" s="76">
        <f t="shared" si="13"/>
        <v>2157937</v>
      </c>
      <c r="S89" s="76">
        <f t="shared" si="14"/>
        <v>6969627.8880000003</v>
      </c>
      <c r="T89" s="80">
        <f>N89/'2016'!N89-1</f>
        <v>8.4883849582283233E-2</v>
      </c>
      <c r="U89" s="80">
        <f>O89/'2016'!O89-1</f>
        <v>0.14824776986598165</v>
      </c>
      <c r="V89" s="80">
        <f>P89/'2016'!P89-1</f>
        <v>0.10010183741466827</v>
      </c>
      <c r="W89" s="81">
        <f>Q89/'2016'!Q89-1</f>
        <v>9.7421376131085147E-2</v>
      </c>
      <c r="X89" s="81">
        <f>R89/'2016'!R89-1</f>
        <v>0.10240057543107528</v>
      </c>
      <c r="Y89" s="81">
        <f>S89/'2016'!S89-1</f>
        <v>8.7127364160316967E-2</v>
      </c>
      <c r="Z89" s="139"/>
      <c r="AA89" s="139"/>
      <c r="AB89" s="105"/>
      <c r="AC89" s="105"/>
      <c r="AD89" s="37">
        <f t="shared" si="20"/>
        <v>4811690.8880000003</v>
      </c>
      <c r="AE89" s="71">
        <f t="shared" si="22"/>
        <v>48357</v>
      </c>
      <c r="AF89" s="71">
        <f t="shared" si="23"/>
        <v>63531</v>
      </c>
      <c r="AG89" s="71">
        <f t="shared" si="21"/>
        <v>26046.56799999997</v>
      </c>
    </row>
    <row r="90" spans="1:33" x14ac:dyDescent="0.15">
      <c r="A90" s="102">
        <v>42820</v>
      </c>
      <c r="B90" s="20" t="s">
        <v>1</v>
      </c>
      <c r="C90" s="8">
        <v>59682</v>
      </c>
      <c r="D90" s="37">
        <f>15633+11256</f>
        <v>26889</v>
      </c>
      <c r="E90" s="37">
        <v>88530</v>
      </c>
      <c r="F90" s="12">
        <v>4358.2</v>
      </c>
      <c r="G90" s="37">
        <v>3046.3</v>
      </c>
      <c r="H90" s="24"/>
      <c r="I90" s="36"/>
      <c r="J90" s="8">
        <f t="shared" si="18"/>
        <v>61641</v>
      </c>
      <c r="K90" s="37">
        <v>448</v>
      </c>
      <c r="L90" s="37">
        <v>793</v>
      </c>
      <c r="M90" s="127">
        <f t="shared" si="19"/>
        <v>718</v>
      </c>
      <c r="N90" s="74">
        <f t="shared" si="15"/>
        <v>1756027</v>
      </c>
      <c r="O90" s="75">
        <f t="shared" si="16"/>
        <v>709489</v>
      </c>
      <c r="P90" s="75">
        <f t="shared" si="17"/>
        <v>2521260</v>
      </c>
      <c r="Q90" s="76">
        <f t="shared" si="12"/>
        <v>4733438.32</v>
      </c>
      <c r="R90" s="76">
        <f t="shared" si="13"/>
        <v>2184826</v>
      </c>
      <c r="S90" s="76">
        <f t="shared" si="14"/>
        <v>7058157.8880000003</v>
      </c>
      <c r="T90" s="80">
        <f>N90/'2016'!N90-1</f>
        <v>8.1599116009576589E-2</v>
      </c>
      <c r="U90" s="80">
        <f>O90/'2016'!O90-1</f>
        <v>0.13748466896999534</v>
      </c>
      <c r="V90" s="80">
        <f>P90/'2016'!P90-1</f>
        <v>9.5277585789706576E-2</v>
      </c>
      <c r="W90" s="81">
        <f>Q90/'2016'!Q90-1</f>
        <v>9.6012583180300259E-2</v>
      </c>
      <c r="X90" s="81">
        <f>R90/'2016'!R90-1</f>
        <v>9.9696842033206945E-2</v>
      </c>
      <c r="Y90" s="81">
        <f>S90/'2016'!S90-1</f>
        <v>8.560004638844565E-2</v>
      </c>
      <c r="Z90" s="136"/>
      <c r="AA90" s="136"/>
      <c r="AB90" s="105"/>
      <c r="AC90" s="105"/>
      <c r="AD90" s="37">
        <f t="shared" si="20"/>
        <v>4873331.8880000003</v>
      </c>
      <c r="AE90" s="37">
        <f t="shared" si="22"/>
        <v>48805</v>
      </c>
      <c r="AF90" s="37">
        <f t="shared" si="23"/>
        <v>64324</v>
      </c>
      <c r="AG90" s="37">
        <f t="shared" si="21"/>
        <v>26764.56799999997</v>
      </c>
    </row>
    <row r="91" spans="1:33" x14ac:dyDescent="0.15">
      <c r="A91" s="102">
        <v>42821</v>
      </c>
      <c r="B91" s="20" t="s">
        <v>34</v>
      </c>
      <c r="C91" s="8">
        <v>61157</v>
      </c>
      <c r="D91" s="37">
        <f>17092+11483</f>
        <v>28575</v>
      </c>
      <c r="E91" s="37">
        <v>92515</v>
      </c>
      <c r="F91" s="12">
        <v>4662</v>
      </c>
      <c r="G91" s="37">
        <v>2961.9</v>
      </c>
      <c r="H91" s="24"/>
      <c r="I91" s="36"/>
      <c r="J91" s="8">
        <f t="shared" si="18"/>
        <v>63940</v>
      </c>
      <c r="K91" s="37">
        <v>1333</v>
      </c>
      <c r="L91" s="37">
        <v>793</v>
      </c>
      <c r="M91" s="127">
        <f t="shared" si="19"/>
        <v>657</v>
      </c>
      <c r="N91" s="74">
        <f t="shared" si="15"/>
        <v>1817184</v>
      </c>
      <c r="O91" s="75">
        <f t="shared" si="16"/>
        <v>738064</v>
      </c>
      <c r="P91" s="75">
        <f t="shared" si="17"/>
        <v>2613775</v>
      </c>
      <c r="Q91" s="76">
        <f t="shared" si="12"/>
        <v>4794595.32</v>
      </c>
      <c r="R91" s="76">
        <f t="shared" si="13"/>
        <v>2213401</v>
      </c>
      <c r="S91" s="76">
        <f t="shared" si="14"/>
        <v>7150672.8880000003</v>
      </c>
      <c r="T91" s="80">
        <f>N91/'2016'!N91-1</f>
        <v>8.2387109878269138E-2</v>
      </c>
      <c r="U91" s="80">
        <f>O91/'2016'!O91-1</f>
        <v>0.13055213032389501</v>
      </c>
      <c r="V91" s="80">
        <f>P91/'2016'!P91-1</f>
        <v>9.4674457086449504E-2</v>
      </c>
      <c r="W91" s="81">
        <f>Q91/'2016'!Q91-1</f>
        <v>9.6132741333590621E-2</v>
      </c>
      <c r="X91" s="81">
        <f>R91/'2016'!R91-1</f>
        <v>9.7997224996068555E-2</v>
      </c>
      <c r="Y91" s="81">
        <f>S91/'2016'!S91-1</f>
        <v>8.5507454001965355E-2</v>
      </c>
      <c r="Z91" s="136"/>
      <c r="AA91" s="136"/>
      <c r="AB91" s="105"/>
      <c r="AC91" s="105"/>
      <c r="AD91" s="37">
        <f t="shared" si="20"/>
        <v>4937271.8880000003</v>
      </c>
      <c r="AE91" s="37">
        <f t="shared" si="22"/>
        <v>50138</v>
      </c>
      <c r="AF91" s="37">
        <f t="shared" si="23"/>
        <v>65117</v>
      </c>
      <c r="AG91" s="37">
        <f t="shared" si="21"/>
        <v>27421.56799999997</v>
      </c>
    </row>
    <row r="92" spans="1:33" x14ac:dyDescent="0.15">
      <c r="A92" s="102">
        <v>42822</v>
      </c>
      <c r="B92" s="20" t="s">
        <v>35</v>
      </c>
      <c r="C92" s="8">
        <v>64771</v>
      </c>
      <c r="D92" s="37">
        <f>15829+11175</f>
        <v>27004</v>
      </c>
      <c r="E92" s="37">
        <v>94385</v>
      </c>
      <c r="F92" s="12">
        <v>4783.5</v>
      </c>
      <c r="G92" s="37">
        <v>3051.4</v>
      </c>
      <c r="H92" s="24"/>
      <c r="I92" s="36"/>
      <c r="J92" s="8">
        <f t="shared" si="18"/>
        <v>67381</v>
      </c>
      <c r="K92" s="37">
        <v>1353</v>
      </c>
      <c r="L92" s="37">
        <v>793</v>
      </c>
      <c r="M92" s="127">
        <f t="shared" si="19"/>
        <v>464</v>
      </c>
      <c r="N92" s="74">
        <f t="shared" si="15"/>
        <v>1881955</v>
      </c>
      <c r="O92" s="75">
        <f t="shared" si="16"/>
        <v>765068</v>
      </c>
      <c r="P92" s="75">
        <f t="shared" si="17"/>
        <v>2708160</v>
      </c>
      <c r="Q92" s="76">
        <f t="shared" si="12"/>
        <v>4859366.32</v>
      </c>
      <c r="R92" s="76">
        <f t="shared" si="13"/>
        <v>2240405</v>
      </c>
      <c r="S92" s="76">
        <f t="shared" si="14"/>
        <v>7245057.8880000003</v>
      </c>
      <c r="T92" s="80">
        <f>N92/'2016'!N92-1</f>
        <v>8.3079102922023917E-2</v>
      </c>
      <c r="U92" s="80">
        <f>O92/'2016'!O92-1</f>
        <v>0.12117588440458404</v>
      </c>
      <c r="V92" s="80">
        <f>P92/'2016'!P92-1</f>
        <v>9.325592182309439E-2</v>
      </c>
      <c r="W92" s="81">
        <f>Q92/'2016'!Q92-1</f>
        <v>9.6221877170593828E-2</v>
      </c>
      <c r="X92" s="81">
        <f>R92/'2016'!R92-1</f>
        <v>9.533939116005774E-2</v>
      </c>
      <c r="Y92" s="81">
        <f>S92/'2016'!S92-1</f>
        <v>8.510395392546144E-2</v>
      </c>
      <c r="Z92" s="136"/>
      <c r="AA92" s="136"/>
      <c r="AB92" s="105"/>
      <c r="AC92" s="105"/>
      <c r="AD92" s="37">
        <f t="shared" si="20"/>
        <v>5004652.8880000003</v>
      </c>
      <c r="AE92" s="37">
        <f t="shared" si="22"/>
        <v>51491</v>
      </c>
      <c r="AF92" s="37">
        <f t="shared" si="23"/>
        <v>65910</v>
      </c>
      <c r="AG92" s="37">
        <f t="shared" si="21"/>
        <v>27885.56799999997</v>
      </c>
    </row>
    <row r="93" spans="1:33" x14ac:dyDescent="0.15">
      <c r="A93" s="102">
        <v>42823</v>
      </c>
      <c r="B93" s="20" t="s">
        <v>36</v>
      </c>
      <c r="C93" s="8">
        <v>61097</v>
      </c>
      <c r="D93" s="37">
        <f>18044+11378</f>
        <v>29422</v>
      </c>
      <c r="E93" s="37">
        <v>93638</v>
      </c>
      <c r="F93" s="12">
        <v>4714.8999999999996</v>
      </c>
      <c r="G93" s="37">
        <v>3079.4</v>
      </c>
      <c r="H93" s="24"/>
      <c r="I93" s="36"/>
      <c r="J93" s="8">
        <f t="shared" si="18"/>
        <v>64216</v>
      </c>
      <c r="K93" s="37">
        <v>1970</v>
      </c>
      <c r="L93" s="37">
        <v>793</v>
      </c>
      <c r="M93" s="127">
        <f t="shared" si="19"/>
        <v>356</v>
      </c>
      <c r="N93" s="74">
        <f t="shared" si="15"/>
        <v>1943052</v>
      </c>
      <c r="O93" s="75">
        <f t="shared" si="16"/>
        <v>794490</v>
      </c>
      <c r="P93" s="75">
        <f t="shared" si="17"/>
        <v>2801798</v>
      </c>
      <c r="Q93" s="76">
        <f t="shared" si="12"/>
        <v>4920463.32</v>
      </c>
      <c r="R93" s="76">
        <f t="shared" si="13"/>
        <v>2269827</v>
      </c>
      <c r="S93" s="76">
        <f t="shared" si="14"/>
        <v>7338695.8880000003</v>
      </c>
      <c r="T93" s="80">
        <f>N93/'2016'!N93-1</f>
        <v>8.0601962049251519E-2</v>
      </c>
      <c r="U93" s="80">
        <f>O93/'2016'!O93-1</f>
        <v>0.1177704525022476</v>
      </c>
      <c r="V93" s="80">
        <f>P93/'2016'!P93-1</f>
        <v>9.0861874159504641E-2</v>
      </c>
      <c r="W93" s="81">
        <f>Q93/'2016'!Q93-1</f>
        <v>9.5053565777368121E-2</v>
      </c>
      <c r="X93" s="81">
        <f>R93/'2016'!R93-1</f>
        <v>9.4526036515592882E-2</v>
      </c>
      <c r="Y93" s="81">
        <f>S93/'2016'!S93-1</f>
        <v>8.4305375741640098E-2</v>
      </c>
      <c r="Z93" s="136">
        <f>(Z94-Z87)/7*6+Z87</f>
        <v>35.96142857142857</v>
      </c>
      <c r="AA93" s="136">
        <f>Q93/10000-Z93</f>
        <v>456.08490342857147</v>
      </c>
      <c r="AB93" s="105"/>
      <c r="AC93" s="105"/>
      <c r="AD93" s="37">
        <f t="shared" si="20"/>
        <v>5068868.8880000003</v>
      </c>
      <c r="AE93" s="37">
        <f t="shared" si="22"/>
        <v>53461</v>
      </c>
      <c r="AF93" s="37">
        <f t="shared" si="23"/>
        <v>66703</v>
      </c>
      <c r="AG93" s="37">
        <f t="shared" si="21"/>
        <v>28241.56799999997</v>
      </c>
    </row>
    <row r="94" spans="1:33" x14ac:dyDescent="0.15">
      <c r="A94" s="102">
        <v>42824</v>
      </c>
      <c r="B94" s="14" t="s">
        <v>37</v>
      </c>
      <c r="C94" s="32">
        <v>63153</v>
      </c>
      <c r="D94" s="33">
        <v>29530</v>
      </c>
      <c r="E94" s="33">
        <v>96326</v>
      </c>
      <c r="F94" s="119">
        <v>4911</v>
      </c>
      <c r="G94" s="33">
        <v>3102</v>
      </c>
      <c r="H94" s="19"/>
      <c r="I94" s="19"/>
      <c r="J94" s="32">
        <f t="shared" si="18"/>
        <v>66796</v>
      </c>
      <c r="K94" s="33">
        <v>2399</v>
      </c>
      <c r="L94" s="33">
        <v>795</v>
      </c>
      <c r="M94" s="128">
        <f t="shared" si="19"/>
        <v>449</v>
      </c>
      <c r="N94" s="77">
        <f t="shared" si="15"/>
        <v>2006205</v>
      </c>
      <c r="O94" s="78">
        <f t="shared" si="16"/>
        <v>824020</v>
      </c>
      <c r="P94" s="78">
        <f t="shared" si="17"/>
        <v>2898124</v>
      </c>
      <c r="Q94" s="77">
        <f t="shared" si="12"/>
        <v>4983616.32</v>
      </c>
      <c r="R94" s="77">
        <f t="shared" si="13"/>
        <v>2299357</v>
      </c>
      <c r="S94" s="77">
        <f t="shared" si="14"/>
        <v>7435021.8880000003</v>
      </c>
      <c r="T94" s="82">
        <f>N94/'2016'!N94-1</f>
        <v>7.9061409316737885E-2</v>
      </c>
      <c r="U94" s="82">
        <f>O94/'2016'!O94-1</f>
        <v>0.11539450708610266</v>
      </c>
      <c r="V94" s="82">
        <f>P94/'2016'!P94-1</f>
        <v>8.9455998273786141E-2</v>
      </c>
      <c r="W94" s="82">
        <f>Q94/'2016'!Q94-1</f>
        <v>9.4230829780212577E-2</v>
      </c>
      <c r="X94" s="82">
        <f>R94/'2016'!R94-1</f>
        <v>9.400044152883158E-2</v>
      </c>
      <c r="Y94" s="82">
        <f>S94/'2016'!S94-1</f>
        <v>8.3847869898987515E-2</v>
      </c>
      <c r="Z94" s="138">
        <v>36.54</v>
      </c>
      <c r="AA94" s="138">
        <f>Q94/10000-Z94</f>
        <v>461.82163200000002</v>
      </c>
      <c r="AB94" s="33">
        <v>4258</v>
      </c>
      <c r="AC94" s="33">
        <f>AA94*10000/AB94</f>
        <v>1084.5975387505871</v>
      </c>
      <c r="AD94" s="33">
        <f t="shared" si="20"/>
        <v>5135664.8880000003</v>
      </c>
      <c r="AE94" s="33">
        <f t="shared" si="22"/>
        <v>55860</v>
      </c>
      <c r="AF94" s="33">
        <f t="shared" si="23"/>
        <v>67498</v>
      </c>
      <c r="AG94" s="33">
        <f t="shared" si="21"/>
        <v>28690.56799999997</v>
      </c>
    </row>
    <row r="95" spans="1:33" s="1" customFormat="1" x14ac:dyDescent="0.15">
      <c r="A95" s="25">
        <v>42825</v>
      </c>
      <c r="B95" s="25" t="s">
        <v>38</v>
      </c>
      <c r="C95" s="42">
        <v>63588</v>
      </c>
      <c r="D95" s="43">
        <f>17630+10466</f>
        <v>28096</v>
      </c>
      <c r="E95" s="43">
        <v>95080</v>
      </c>
      <c r="F95" s="122">
        <v>4831.6000000000004</v>
      </c>
      <c r="G95" s="43">
        <v>3071.1</v>
      </c>
      <c r="H95" s="30"/>
      <c r="I95" s="30"/>
      <c r="J95" s="42">
        <f t="shared" si="18"/>
        <v>66984</v>
      </c>
      <c r="K95" s="43">
        <v>2128</v>
      </c>
      <c r="L95" s="43">
        <v>791</v>
      </c>
      <c r="M95" s="130">
        <f t="shared" si="19"/>
        <v>477</v>
      </c>
      <c r="N95" s="87">
        <v>2070544.29</v>
      </c>
      <c r="O95" s="88">
        <f t="shared" si="16"/>
        <v>852116</v>
      </c>
      <c r="P95" s="88">
        <f t="shared" si="17"/>
        <v>2993204</v>
      </c>
      <c r="Q95" s="87">
        <v>5047955.6100000003</v>
      </c>
      <c r="R95" s="87">
        <f t="shared" si="13"/>
        <v>2327453</v>
      </c>
      <c r="S95" s="87">
        <f t="shared" si="14"/>
        <v>7530101.8880000003</v>
      </c>
      <c r="T95" s="89">
        <f>N95/'2016'!N95-1</f>
        <v>7.8648371278404072E-2</v>
      </c>
      <c r="U95" s="89">
        <f>O95/'2016'!O95-1</f>
        <v>0.1127033312570922</v>
      </c>
      <c r="V95" s="89">
        <f>P95/'2016'!P95-1</f>
        <v>8.845642089155703E-2</v>
      </c>
      <c r="W95" s="89">
        <f>Q95/'2016'!Q95-1</f>
        <v>9.3860612155611367E-2</v>
      </c>
      <c r="X95" s="89">
        <f>R95/'2016'!R95-1</f>
        <v>9.325167091215425E-2</v>
      </c>
      <c r="Y95" s="89">
        <f>S95/'2016'!S95-1</f>
        <v>8.3599020831153892E-2</v>
      </c>
      <c r="Z95" s="141">
        <v>37.353346999999999</v>
      </c>
      <c r="AA95" s="141">
        <f>Q95/10000-Z95</f>
        <v>467.44221400000004</v>
      </c>
      <c r="AB95" s="43">
        <v>4258.08</v>
      </c>
      <c r="AC95" s="43">
        <f>AA95*10000/AB95</f>
        <v>1097.7769652049751</v>
      </c>
      <c r="AD95" s="43">
        <f t="shared" si="20"/>
        <v>5202648.8880000003</v>
      </c>
      <c r="AE95" s="43">
        <f t="shared" si="22"/>
        <v>57988</v>
      </c>
      <c r="AF95" s="43">
        <f t="shared" si="23"/>
        <v>68289</v>
      </c>
      <c r="AG95" s="43">
        <f t="shared" si="21"/>
        <v>28416.277999999933</v>
      </c>
    </row>
    <row r="96" spans="1:33" x14ac:dyDescent="0.15">
      <c r="A96" s="102">
        <v>42826</v>
      </c>
      <c r="B96" s="20" t="s">
        <v>39</v>
      </c>
      <c r="C96" s="70">
        <v>59582</v>
      </c>
      <c r="D96" s="71">
        <f>18968+10568</f>
        <v>29536</v>
      </c>
      <c r="E96" s="71">
        <v>92663</v>
      </c>
      <c r="F96" s="120">
        <v>4583</v>
      </c>
      <c r="G96" s="71">
        <v>3078.9</v>
      </c>
      <c r="H96" s="24"/>
      <c r="I96" s="24"/>
      <c r="J96" s="70">
        <f t="shared" si="18"/>
        <v>63127</v>
      </c>
      <c r="K96" s="71">
        <v>2165</v>
      </c>
      <c r="L96" s="71">
        <v>794</v>
      </c>
      <c r="M96" s="129">
        <f t="shared" si="19"/>
        <v>586</v>
      </c>
      <c r="N96" s="74">
        <f>C96</f>
        <v>59582</v>
      </c>
      <c r="O96" s="75">
        <f>D96</f>
        <v>29536</v>
      </c>
      <c r="P96" s="75">
        <f>E96</f>
        <v>92663</v>
      </c>
      <c r="Q96" s="76">
        <f>N96+Q$95</f>
        <v>5107537.6100000003</v>
      </c>
      <c r="R96" s="76">
        <f>O96+R$95</f>
        <v>2356989</v>
      </c>
      <c r="S96" s="76">
        <f>P96+S$95</f>
        <v>7622764.8880000003</v>
      </c>
      <c r="T96" s="80">
        <f>N96/'2016'!N96-1</f>
        <v>1.8008474576271194E-2</v>
      </c>
      <c r="U96" s="80">
        <f>O96/'2016'!O96-1</f>
        <v>7.0571604625031759E-2</v>
      </c>
      <c r="V96" s="80">
        <f>P96/'2016'!P96-1</f>
        <v>5.1208748823015515E-2</v>
      </c>
      <c r="W96" s="81">
        <f>Q96/'2016'!Q96-1</f>
        <v>9.2910653740851057E-2</v>
      </c>
      <c r="X96" s="81">
        <f>R96/'2016'!R96-1</f>
        <v>9.2961517558877382E-2</v>
      </c>
      <c r="Y96" s="81">
        <f>S96/'2016'!S96-1</f>
        <v>8.3193301756865123E-2</v>
      </c>
      <c r="Z96" s="139"/>
      <c r="AA96" s="139"/>
      <c r="AB96" s="105"/>
      <c r="AC96" s="105"/>
      <c r="AD96" s="37">
        <f t="shared" si="20"/>
        <v>5265775.8880000003</v>
      </c>
      <c r="AE96" s="71">
        <f t="shared" si="22"/>
        <v>60153</v>
      </c>
      <c r="AF96" s="71">
        <f t="shared" si="23"/>
        <v>69083</v>
      </c>
      <c r="AG96" s="71">
        <f t="shared" si="21"/>
        <v>29002.277999999933</v>
      </c>
    </row>
    <row r="97" spans="1:33" x14ac:dyDescent="0.15">
      <c r="A97" s="102">
        <v>42827</v>
      </c>
      <c r="B97" s="20" t="s">
        <v>1</v>
      </c>
      <c r="C97" s="8">
        <v>58465</v>
      </c>
      <c r="D97" s="37">
        <f>17488+10102</f>
        <v>27590</v>
      </c>
      <c r="E97" s="37">
        <v>89134</v>
      </c>
      <c r="F97" s="12">
        <v>4368.2</v>
      </c>
      <c r="G97" s="37">
        <v>3054</v>
      </c>
      <c r="H97" s="24"/>
      <c r="I97" s="36"/>
      <c r="J97" s="8">
        <f t="shared" si="18"/>
        <v>61544</v>
      </c>
      <c r="K97" s="37">
        <v>1660</v>
      </c>
      <c r="L97" s="37">
        <v>760</v>
      </c>
      <c r="M97" s="127">
        <f t="shared" si="19"/>
        <v>659</v>
      </c>
      <c r="N97" s="74">
        <f t="shared" ref="N97:P112" si="25">N96+C97</f>
        <v>118047</v>
      </c>
      <c r="O97" s="75">
        <f t="shared" si="25"/>
        <v>57126</v>
      </c>
      <c r="P97" s="75">
        <f t="shared" si="25"/>
        <v>181797</v>
      </c>
      <c r="Q97" s="76">
        <f t="shared" ref="Q97:S125" si="26">N97+Q$95</f>
        <v>5166002.6100000003</v>
      </c>
      <c r="R97" s="76">
        <f t="shared" si="26"/>
        <v>2384579</v>
      </c>
      <c r="S97" s="76">
        <f t="shared" si="26"/>
        <v>7711898.8880000003</v>
      </c>
      <c r="T97" s="80">
        <f>N97/'2016'!N97-1</f>
        <v>-6.8065558322676356E-3</v>
      </c>
      <c r="U97" s="80">
        <f>O97/'2016'!O97-1</f>
        <v>9.3467067358306455E-2</v>
      </c>
      <c r="V97" s="80">
        <f>P97/'2016'!P97-1</f>
        <v>3.8519542541158636E-2</v>
      </c>
      <c r="W97" s="81">
        <f>Q97/'2016'!Q97-1</f>
        <v>9.1332993075341484E-2</v>
      </c>
      <c r="X97" s="81">
        <f>R97/'2016'!R97-1</f>
        <v>9.3256830049927242E-2</v>
      </c>
      <c r="Y97" s="81">
        <f>S97/'2016'!S97-1</f>
        <v>8.2491341569939092E-2</v>
      </c>
      <c r="Z97" s="136"/>
      <c r="AA97" s="136"/>
      <c r="AB97" s="105"/>
      <c r="AC97" s="105"/>
      <c r="AD97" s="37">
        <f t="shared" si="20"/>
        <v>5327319.8880000003</v>
      </c>
      <c r="AE97" s="37">
        <f t="shared" si="22"/>
        <v>61813</v>
      </c>
      <c r="AF97" s="37">
        <f t="shared" si="23"/>
        <v>69843</v>
      </c>
      <c r="AG97" s="37">
        <f t="shared" si="21"/>
        <v>29661.277999999933</v>
      </c>
    </row>
    <row r="98" spans="1:33" x14ac:dyDescent="0.15">
      <c r="A98" s="102">
        <v>42828</v>
      </c>
      <c r="B98" s="20" t="s">
        <v>34</v>
      </c>
      <c r="C98" s="8">
        <v>54396</v>
      </c>
      <c r="D98" s="37">
        <f>15276+10367</f>
        <v>25643</v>
      </c>
      <c r="E98" s="37">
        <v>83414</v>
      </c>
      <c r="F98" s="12">
        <v>4079.1</v>
      </c>
      <c r="G98" s="37">
        <v>2964.7</v>
      </c>
      <c r="H98" s="24"/>
      <c r="I98" s="36"/>
      <c r="J98" s="8">
        <f t="shared" si="18"/>
        <v>57771</v>
      </c>
      <c r="K98" s="37">
        <v>1968</v>
      </c>
      <c r="L98" s="37">
        <v>793</v>
      </c>
      <c r="M98" s="127">
        <f t="shared" si="19"/>
        <v>614</v>
      </c>
      <c r="N98" s="74">
        <f t="shared" si="25"/>
        <v>172443</v>
      </c>
      <c r="O98" s="75">
        <f t="shared" si="25"/>
        <v>82769</v>
      </c>
      <c r="P98" s="75">
        <f t="shared" si="25"/>
        <v>265211</v>
      </c>
      <c r="Q98" s="76">
        <f t="shared" si="26"/>
        <v>5220398.6100000003</v>
      </c>
      <c r="R98" s="76">
        <f t="shared" si="26"/>
        <v>2410222</v>
      </c>
      <c r="S98" s="76">
        <f t="shared" si="26"/>
        <v>7795312.8880000003</v>
      </c>
      <c r="T98" s="80">
        <f>N98/'2016'!N98-1</f>
        <v>-1.1385721411003913E-2</v>
      </c>
      <c r="U98" s="80">
        <f>O98/'2016'!O98-1</f>
        <v>0.11085909084808554</v>
      </c>
      <c r="V98" s="80">
        <f>P98/'2016'!P98-1</f>
        <v>4.0732877868077333E-2</v>
      </c>
      <c r="W98" s="81">
        <f>Q98/'2016'!Q98-1</f>
        <v>9.0027430262363373E-2</v>
      </c>
      <c r="X98" s="81">
        <f>R98/'2016'!R98-1</f>
        <v>9.384706431228329E-2</v>
      </c>
      <c r="Y98" s="81">
        <f>S98/'2016'!S98-1</f>
        <v>8.2082691397406204E-2</v>
      </c>
      <c r="Z98" s="136"/>
      <c r="AA98" s="136"/>
      <c r="AB98" s="105"/>
      <c r="AC98" s="105"/>
      <c r="AD98" s="37">
        <f t="shared" si="20"/>
        <v>5385090.8880000003</v>
      </c>
      <c r="AE98" s="37">
        <f t="shared" si="22"/>
        <v>63781</v>
      </c>
      <c r="AF98" s="37">
        <f t="shared" si="23"/>
        <v>70636</v>
      </c>
      <c r="AG98" s="37">
        <f t="shared" si="21"/>
        <v>30275.277999999933</v>
      </c>
    </row>
    <row r="99" spans="1:33" x14ac:dyDescent="0.15">
      <c r="A99" s="102">
        <v>42829</v>
      </c>
      <c r="B99" s="20" t="s">
        <v>35</v>
      </c>
      <c r="C99" s="8">
        <v>45424</v>
      </c>
      <c r="D99" s="37">
        <f>12897+9994</f>
        <v>22891</v>
      </c>
      <c r="E99" s="37">
        <v>70051</v>
      </c>
      <c r="F99" s="12">
        <v>3145.6</v>
      </c>
      <c r="G99" s="37">
        <v>2685.3</v>
      </c>
      <c r="H99" s="24"/>
      <c r="I99" s="36"/>
      <c r="J99" s="8">
        <f t="shared" si="18"/>
        <v>47160</v>
      </c>
      <c r="K99" s="37">
        <v>278</v>
      </c>
      <c r="L99" s="37">
        <v>794</v>
      </c>
      <c r="M99" s="127">
        <f t="shared" si="19"/>
        <v>664</v>
      </c>
      <c r="N99" s="74">
        <f t="shared" si="25"/>
        <v>217867</v>
      </c>
      <c r="O99" s="75">
        <f t="shared" si="25"/>
        <v>105660</v>
      </c>
      <c r="P99" s="75">
        <f t="shared" si="25"/>
        <v>335262</v>
      </c>
      <c r="Q99" s="76">
        <f t="shared" si="26"/>
        <v>5265822.6100000003</v>
      </c>
      <c r="R99" s="76">
        <f t="shared" si="26"/>
        <v>2433113</v>
      </c>
      <c r="S99" s="76">
        <f t="shared" si="26"/>
        <v>7865363.8880000003</v>
      </c>
      <c r="T99" s="80">
        <f>N99/'2016'!N99-1</f>
        <v>4.5461224789677956E-4</v>
      </c>
      <c r="U99" s="80">
        <f>O99/'2016'!O99-1</f>
        <v>9.2872436156018257E-2</v>
      </c>
      <c r="V99" s="80">
        <f>P99/'2016'!P99-1</f>
        <v>4.010101260796195E-2</v>
      </c>
      <c r="W99" s="81">
        <f>Q99/'2016'!Q99-1</f>
        <v>8.9651502563333318E-2</v>
      </c>
      <c r="X99" s="81">
        <f>R99/'2016'!R99-1</f>
        <v>9.3235196854073221E-2</v>
      </c>
      <c r="Y99" s="81">
        <f>S99/'2016'!S99-1</f>
        <v>8.1670810197902899E-2</v>
      </c>
      <c r="Z99" s="136"/>
      <c r="AA99" s="136"/>
      <c r="AB99" s="105"/>
      <c r="AC99" s="105"/>
      <c r="AD99" s="37">
        <f t="shared" si="20"/>
        <v>5432250.8880000003</v>
      </c>
      <c r="AE99" s="37">
        <f t="shared" si="22"/>
        <v>64059</v>
      </c>
      <c r="AF99" s="37">
        <f t="shared" si="23"/>
        <v>71430</v>
      </c>
      <c r="AG99" s="37">
        <f t="shared" si="21"/>
        <v>30939.277999999933</v>
      </c>
    </row>
    <row r="100" spans="1:33" x14ac:dyDescent="0.15">
      <c r="A100" s="102">
        <v>42830</v>
      </c>
      <c r="B100" s="20" t="s">
        <v>36</v>
      </c>
      <c r="C100" s="8">
        <v>58163</v>
      </c>
      <c r="D100" s="37">
        <f>14777+10585</f>
        <v>25362</v>
      </c>
      <c r="E100" s="37">
        <v>86610</v>
      </c>
      <c r="F100" s="12">
        <v>4502</v>
      </c>
      <c r="G100" s="37">
        <v>2473.4</v>
      </c>
      <c r="H100" s="24"/>
      <c r="I100" s="36"/>
      <c r="J100" s="8">
        <f t="shared" si="18"/>
        <v>61248</v>
      </c>
      <c r="K100" s="37">
        <v>1873</v>
      </c>
      <c r="L100" s="37">
        <v>792</v>
      </c>
      <c r="M100" s="127">
        <f t="shared" si="19"/>
        <v>420</v>
      </c>
      <c r="N100" s="74">
        <f t="shared" si="25"/>
        <v>276030</v>
      </c>
      <c r="O100" s="75">
        <f t="shared" si="25"/>
        <v>131022</v>
      </c>
      <c r="P100" s="75">
        <f t="shared" si="25"/>
        <v>421872</v>
      </c>
      <c r="Q100" s="76">
        <f t="shared" si="26"/>
        <v>5323985.6100000003</v>
      </c>
      <c r="R100" s="76">
        <f t="shared" si="26"/>
        <v>2458475</v>
      </c>
      <c r="S100" s="76">
        <f t="shared" si="26"/>
        <v>7951973.8880000003</v>
      </c>
      <c r="T100" s="80">
        <f>N100/'2016'!N100-1</f>
        <v>1.2708848499079162E-2</v>
      </c>
      <c r="U100" s="80">
        <f>O100/'2016'!O100-1</f>
        <v>7.1027441491666288E-2</v>
      </c>
      <c r="V100" s="80">
        <f>P100/'2016'!P100-1</f>
        <v>4.2817945865776696E-2</v>
      </c>
      <c r="W100" s="81">
        <f>Q100/'2016'!Q100-1</f>
        <v>8.9334824659382583E-2</v>
      </c>
      <c r="X100" s="81">
        <f>R100/'2016'!R100-1</f>
        <v>9.204401090944625E-2</v>
      </c>
      <c r="Y100" s="81">
        <f>S100/'2016'!S100-1</f>
        <v>8.1355529298208662E-2</v>
      </c>
      <c r="Z100" s="136">
        <f>(Z101-Z94)/7*6+Z94</f>
        <v>38.057142857142857</v>
      </c>
      <c r="AA100" s="136">
        <f>Q100/10000-Z100</f>
        <v>494.34141814285721</v>
      </c>
      <c r="AB100" s="105"/>
      <c r="AC100" s="105"/>
      <c r="AD100" s="37">
        <f t="shared" si="20"/>
        <v>5493498.8880000003</v>
      </c>
      <c r="AE100" s="37">
        <f t="shared" si="22"/>
        <v>65932</v>
      </c>
      <c r="AF100" s="37">
        <f t="shared" si="23"/>
        <v>72222</v>
      </c>
      <c r="AG100" s="37">
        <f t="shared" si="21"/>
        <v>31359.277999999933</v>
      </c>
    </row>
    <row r="101" spans="1:33" x14ac:dyDescent="0.15">
      <c r="A101" s="102">
        <v>42831</v>
      </c>
      <c r="B101" s="14" t="s">
        <v>37</v>
      </c>
      <c r="C101" s="32">
        <v>63140</v>
      </c>
      <c r="D101" s="33">
        <f>16056+10555</f>
        <v>26611</v>
      </c>
      <c r="E101" s="33">
        <v>92860</v>
      </c>
      <c r="F101" s="119">
        <v>4629.2</v>
      </c>
      <c r="G101" s="33">
        <v>3012.4</v>
      </c>
      <c r="H101" s="19"/>
      <c r="I101" s="19"/>
      <c r="J101" s="32">
        <f t="shared" si="18"/>
        <v>66249</v>
      </c>
      <c r="K101" s="33">
        <v>1917</v>
      </c>
      <c r="L101" s="33">
        <v>793</v>
      </c>
      <c r="M101" s="128">
        <f t="shared" si="19"/>
        <v>399</v>
      </c>
      <c r="N101" s="77">
        <f t="shared" si="25"/>
        <v>339170</v>
      </c>
      <c r="O101" s="78">
        <f t="shared" si="25"/>
        <v>157633</v>
      </c>
      <c r="P101" s="78">
        <f t="shared" si="25"/>
        <v>514732</v>
      </c>
      <c r="Q101" s="77">
        <f t="shared" si="26"/>
        <v>5387125.6100000003</v>
      </c>
      <c r="R101" s="77">
        <f t="shared" si="26"/>
        <v>2485086</v>
      </c>
      <c r="S101" s="77">
        <f t="shared" si="26"/>
        <v>8044833.8880000003</v>
      </c>
      <c r="T101" s="82">
        <f>N101/'2016'!N101-1</f>
        <v>2.4633250356478342E-2</v>
      </c>
      <c r="U101" s="82">
        <f>O101/'2016'!O101-1</f>
        <v>5.7513752851200861E-2</v>
      </c>
      <c r="V101" s="82">
        <f>P101/'2016'!P101-1</f>
        <v>4.7568071410109436E-2</v>
      </c>
      <c r="W101" s="82">
        <f>Q101/'2016'!Q101-1</f>
        <v>8.9227335875141645E-2</v>
      </c>
      <c r="X101" s="82">
        <f>R101/'2016'!R101-1</f>
        <v>9.0913161488630045E-2</v>
      </c>
      <c r="Y101" s="82">
        <f>S101/'2016'!S101-1</f>
        <v>8.1219598958029549E-2</v>
      </c>
      <c r="Z101" s="138">
        <v>38.31</v>
      </c>
      <c r="AA101" s="138">
        <f>Q101/10000-Z101</f>
        <v>500.40256100000005</v>
      </c>
      <c r="AB101" s="33">
        <v>4258.08</v>
      </c>
      <c r="AC101" s="33">
        <f>AA101*10000/AB101</f>
        <v>1175.1835592567543</v>
      </c>
      <c r="AD101" s="33">
        <f t="shared" si="20"/>
        <v>5559747.8880000003</v>
      </c>
      <c r="AE101" s="33">
        <f t="shared" si="22"/>
        <v>67849</v>
      </c>
      <c r="AF101" s="33">
        <f t="shared" si="23"/>
        <v>73015</v>
      </c>
      <c r="AG101" s="33">
        <f t="shared" si="21"/>
        <v>31758.277999999933</v>
      </c>
    </row>
    <row r="102" spans="1:33" x14ac:dyDescent="0.15">
      <c r="A102" s="102">
        <v>42832</v>
      </c>
      <c r="B102" s="20" t="s">
        <v>38</v>
      </c>
      <c r="C102" s="8">
        <v>65269</v>
      </c>
      <c r="D102" s="37">
        <f>14884+10635</f>
        <v>25519</v>
      </c>
      <c r="E102" s="37">
        <v>93829</v>
      </c>
      <c r="F102" s="12">
        <v>4755.2</v>
      </c>
      <c r="G102" s="37">
        <v>3068.4</v>
      </c>
      <c r="H102" s="24"/>
      <c r="I102" s="36"/>
      <c r="J102" s="8">
        <f t="shared" si="18"/>
        <v>68310</v>
      </c>
      <c r="K102" s="37">
        <v>1941</v>
      </c>
      <c r="L102" s="37">
        <v>793</v>
      </c>
      <c r="M102" s="127">
        <f t="shared" si="19"/>
        <v>307</v>
      </c>
      <c r="N102" s="74">
        <f t="shared" si="25"/>
        <v>404439</v>
      </c>
      <c r="O102" s="75">
        <f t="shared" si="25"/>
        <v>183152</v>
      </c>
      <c r="P102" s="75">
        <f t="shared" si="25"/>
        <v>608561</v>
      </c>
      <c r="Q102" s="76">
        <f t="shared" si="26"/>
        <v>5452394.6100000003</v>
      </c>
      <c r="R102" s="76">
        <f t="shared" si="26"/>
        <v>2510605</v>
      </c>
      <c r="S102" s="76">
        <f t="shared" si="26"/>
        <v>8138662.8880000003</v>
      </c>
      <c r="T102" s="80">
        <f>N102/'2016'!N102-1</f>
        <v>3.8981156795499183E-2</v>
      </c>
      <c r="U102" s="80">
        <f>O102/'2016'!O102-1</f>
        <v>3.8948073017709861E-2</v>
      </c>
      <c r="V102" s="80">
        <f>P102/'2016'!P102-1</f>
        <v>5.0890101901083007E-2</v>
      </c>
      <c r="W102" s="81">
        <f>Q102/'2016'!Q102-1</f>
        <v>8.9591558634648072E-2</v>
      </c>
      <c r="X102" s="81">
        <f>R102/'2016'!R102-1</f>
        <v>8.9098924914964517E-2</v>
      </c>
      <c r="Y102" s="81">
        <f>S102/'2016'!S102-1</f>
        <v>8.1082972536778097E-2</v>
      </c>
      <c r="Z102" s="136"/>
      <c r="AA102" s="136"/>
      <c r="AB102" s="105"/>
      <c r="AC102" s="105"/>
      <c r="AD102" s="37">
        <f t="shared" si="20"/>
        <v>5628057.8880000003</v>
      </c>
      <c r="AE102" s="37">
        <f t="shared" si="22"/>
        <v>69790</v>
      </c>
      <c r="AF102" s="37">
        <f t="shared" si="23"/>
        <v>73808</v>
      </c>
      <c r="AG102" s="37">
        <f t="shared" si="21"/>
        <v>32065.277999999933</v>
      </c>
    </row>
    <row r="103" spans="1:33" x14ac:dyDescent="0.15">
      <c r="A103" s="102">
        <v>42833</v>
      </c>
      <c r="B103" s="20" t="s">
        <v>39</v>
      </c>
      <c r="C103" s="70">
        <v>63315</v>
      </c>
      <c r="D103" s="71">
        <f>15382+10679</f>
        <v>26061</v>
      </c>
      <c r="E103" s="71">
        <v>92555</v>
      </c>
      <c r="F103" s="120">
        <v>4653.3</v>
      </c>
      <c r="G103" s="71">
        <v>3097.2</v>
      </c>
      <c r="H103" s="24"/>
      <c r="I103" s="24"/>
      <c r="J103" s="70">
        <f t="shared" si="18"/>
        <v>66494</v>
      </c>
      <c r="K103" s="71">
        <v>1802</v>
      </c>
      <c r="L103" s="71">
        <v>793</v>
      </c>
      <c r="M103" s="129">
        <f t="shared" si="19"/>
        <v>584</v>
      </c>
      <c r="N103" s="74">
        <f t="shared" si="25"/>
        <v>467754</v>
      </c>
      <c r="O103" s="75">
        <f t="shared" si="25"/>
        <v>209213</v>
      </c>
      <c r="P103" s="75">
        <f t="shared" si="25"/>
        <v>701116</v>
      </c>
      <c r="Q103" s="76">
        <f t="shared" si="26"/>
        <v>5515709.6100000003</v>
      </c>
      <c r="R103" s="76">
        <f t="shared" si="26"/>
        <v>2536666</v>
      </c>
      <c r="S103" s="76">
        <f t="shared" si="26"/>
        <v>8231217.8880000003</v>
      </c>
      <c r="T103" s="80">
        <f>N103/'2016'!N103-1</f>
        <v>4.9427559268873322E-2</v>
      </c>
      <c r="U103" s="80">
        <f>O103/'2016'!O103-1</f>
        <v>2.7260987621586796E-2</v>
      </c>
      <c r="V103" s="80">
        <f>P103/'2016'!P103-1</f>
        <v>5.3967433134500586E-2</v>
      </c>
      <c r="W103" s="81">
        <f>Q103/'2016'!Q103-1</f>
        <v>8.994702333550042E-2</v>
      </c>
      <c r="X103" s="81">
        <f>R103/'2016'!R103-1</f>
        <v>8.7489946788717132E-2</v>
      </c>
      <c r="Y103" s="81">
        <f>S103/'2016'!S103-1</f>
        <v>8.1010311154888104E-2</v>
      </c>
      <c r="Z103" s="139"/>
      <c r="AA103" s="139"/>
      <c r="AB103" s="105"/>
      <c r="AC103" s="105"/>
      <c r="AD103" s="37">
        <f t="shared" si="20"/>
        <v>5694551.8880000003</v>
      </c>
      <c r="AE103" s="71">
        <f t="shared" si="22"/>
        <v>71592</v>
      </c>
      <c r="AF103" s="71">
        <f t="shared" si="23"/>
        <v>74601</v>
      </c>
      <c r="AG103" s="71">
        <f t="shared" si="21"/>
        <v>32649.277999999933</v>
      </c>
    </row>
    <row r="104" spans="1:33" x14ac:dyDescent="0.15">
      <c r="A104" s="102">
        <v>42834</v>
      </c>
      <c r="B104" s="20" t="s">
        <v>1</v>
      </c>
      <c r="C104" s="8">
        <v>60686</v>
      </c>
      <c r="D104" s="37">
        <f>15067+10387</f>
        <v>25454</v>
      </c>
      <c r="E104" s="37">
        <v>88955</v>
      </c>
      <c r="F104" s="12">
        <v>4526.6000000000004</v>
      </c>
      <c r="G104" s="37">
        <v>3030.8</v>
      </c>
      <c r="H104" s="24"/>
      <c r="I104" s="36"/>
      <c r="J104" s="8">
        <f t="shared" si="18"/>
        <v>63501</v>
      </c>
      <c r="K104" s="37">
        <v>1820</v>
      </c>
      <c r="L104" s="37">
        <v>793</v>
      </c>
      <c r="M104" s="127">
        <f t="shared" si="19"/>
        <v>202</v>
      </c>
      <c r="N104" s="74">
        <f t="shared" si="25"/>
        <v>528440</v>
      </c>
      <c r="O104" s="75">
        <f t="shared" si="25"/>
        <v>234667</v>
      </c>
      <c r="P104" s="75">
        <f t="shared" si="25"/>
        <v>790071</v>
      </c>
      <c r="Q104" s="76">
        <f t="shared" si="26"/>
        <v>5576395.6100000003</v>
      </c>
      <c r="R104" s="76">
        <f t="shared" si="26"/>
        <v>2562120</v>
      </c>
      <c r="S104" s="76">
        <f t="shared" si="26"/>
        <v>8320172.8880000003</v>
      </c>
      <c r="T104" s="80">
        <f>N104/'2016'!N104-1</f>
        <v>5.6267364928341612E-2</v>
      </c>
      <c r="U104" s="80">
        <f>O104/'2016'!O104-1</f>
        <v>1.5144960764126303E-2</v>
      </c>
      <c r="V104" s="80">
        <f>P104/'2016'!P104-1</f>
        <v>5.4035124231557319E-2</v>
      </c>
      <c r="W104" s="81">
        <f>Q104/'2016'!Q104-1</f>
        <v>9.0183746271087495E-2</v>
      </c>
      <c r="X104" s="81">
        <f>R104/'2016'!R104-1</f>
        <v>8.5601287745864285E-2</v>
      </c>
      <c r="Y104" s="81">
        <f>S104/'2016'!S104-1</f>
        <v>8.0720603289349047E-2</v>
      </c>
      <c r="Z104" s="136"/>
      <c r="AA104" s="136"/>
      <c r="AB104" s="105"/>
      <c r="AC104" s="105"/>
      <c r="AD104" s="37">
        <f t="shared" si="20"/>
        <v>5758052.8880000003</v>
      </c>
      <c r="AE104" s="37">
        <f t="shared" si="22"/>
        <v>73412</v>
      </c>
      <c r="AF104" s="37">
        <f t="shared" si="23"/>
        <v>75394</v>
      </c>
      <c r="AG104" s="37">
        <f t="shared" si="21"/>
        <v>32851.277999999933</v>
      </c>
    </row>
    <row r="105" spans="1:33" x14ac:dyDescent="0.15">
      <c r="A105" s="102">
        <v>42835</v>
      </c>
      <c r="B105" s="20" t="s">
        <v>34</v>
      </c>
      <c r="C105" s="8">
        <v>64728</v>
      </c>
      <c r="D105" s="37">
        <f>14736+10423</f>
        <v>25159</v>
      </c>
      <c r="E105" s="37">
        <v>92706</v>
      </c>
      <c r="F105" s="12">
        <v>4784.8999999999996</v>
      </c>
      <c r="G105" s="37">
        <v>2890.6</v>
      </c>
      <c r="H105" s="24"/>
      <c r="I105" s="36"/>
      <c r="J105" s="8">
        <f t="shared" si="18"/>
        <v>67547</v>
      </c>
      <c r="K105" s="37">
        <v>1774</v>
      </c>
      <c r="L105" s="37">
        <v>793</v>
      </c>
      <c r="M105" s="127">
        <f t="shared" si="19"/>
        <v>252</v>
      </c>
      <c r="N105" s="74">
        <f t="shared" si="25"/>
        <v>593168</v>
      </c>
      <c r="O105" s="75">
        <f t="shared" si="25"/>
        <v>259826</v>
      </c>
      <c r="P105" s="75">
        <f t="shared" si="25"/>
        <v>882777</v>
      </c>
      <c r="Q105" s="76">
        <f t="shared" si="26"/>
        <v>5641123.6100000003</v>
      </c>
      <c r="R105" s="76">
        <f t="shared" si="26"/>
        <v>2587279</v>
      </c>
      <c r="S105" s="76">
        <f t="shared" si="26"/>
        <v>8412878.8880000003</v>
      </c>
      <c r="T105" s="80">
        <f>N105/'2016'!N105-1</f>
        <v>7.4355886002010374E-2</v>
      </c>
      <c r="U105" s="80">
        <f>O105/'2016'!O105-1</f>
        <v>7.0267777205024196E-3</v>
      </c>
      <c r="V105" s="80">
        <f>P105/'2016'!P105-1</f>
        <v>6.378412380128351E-2</v>
      </c>
      <c r="W105" s="81">
        <f>Q105/'2016'!Q105-1</f>
        <v>9.1776421242666384E-2</v>
      </c>
      <c r="X105" s="81">
        <f>R105/'2016'!R105-1</f>
        <v>8.3931309542761845E-2</v>
      </c>
      <c r="Y105" s="81">
        <f>S105/'2016'!S105-1</f>
        <v>8.148521411157339E-2</v>
      </c>
      <c r="Z105" s="136"/>
      <c r="AA105" s="136"/>
      <c r="AB105" s="105"/>
      <c r="AC105" s="105"/>
      <c r="AD105" s="37">
        <f t="shared" si="20"/>
        <v>5825599.8880000003</v>
      </c>
      <c r="AE105" s="37">
        <f t="shared" si="22"/>
        <v>75186</v>
      </c>
      <c r="AF105" s="37">
        <f t="shared" si="23"/>
        <v>76187</v>
      </c>
      <c r="AG105" s="37">
        <f t="shared" si="21"/>
        <v>33103.277999999933</v>
      </c>
    </row>
    <row r="106" spans="1:33" x14ac:dyDescent="0.15">
      <c r="A106" s="102">
        <v>42836</v>
      </c>
      <c r="B106" s="20" t="s">
        <v>35</v>
      </c>
      <c r="C106" s="8">
        <v>66121</v>
      </c>
      <c r="D106" s="37">
        <f>14345+10435</f>
        <v>24780</v>
      </c>
      <c r="E106" s="37">
        <v>93963</v>
      </c>
      <c r="F106" s="12">
        <v>4823.7</v>
      </c>
      <c r="G106" s="37">
        <v>2968.2</v>
      </c>
      <c r="H106" s="24"/>
      <c r="I106" s="36"/>
      <c r="J106" s="8">
        <f t="shared" si="18"/>
        <v>69183</v>
      </c>
      <c r="K106" s="37">
        <v>1874</v>
      </c>
      <c r="L106" s="37">
        <v>794</v>
      </c>
      <c r="M106" s="127">
        <f t="shared" si="19"/>
        <v>394</v>
      </c>
      <c r="N106" s="74">
        <f t="shared" si="25"/>
        <v>659289</v>
      </c>
      <c r="O106" s="75">
        <f t="shared" si="25"/>
        <v>284606</v>
      </c>
      <c r="P106" s="75">
        <f t="shared" si="25"/>
        <v>976740</v>
      </c>
      <c r="Q106" s="76">
        <f t="shared" si="26"/>
        <v>5707244.6100000003</v>
      </c>
      <c r="R106" s="76">
        <f t="shared" si="26"/>
        <v>2612059</v>
      </c>
      <c r="S106" s="76">
        <f t="shared" si="26"/>
        <v>8506841.8880000003</v>
      </c>
      <c r="T106" s="80">
        <f>N106/'2016'!N106-1</f>
        <v>8.4549558145196935E-2</v>
      </c>
      <c r="U106" s="80">
        <f>O106/'2016'!O106-1</f>
        <v>2.4338270256942796E-3</v>
      </c>
      <c r="V106" s="80">
        <f>P106/'2016'!P106-1</f>
        <v>6.8612927859820205E-2</v>
      </c>
      <c r="W106" s="81">
        <f>Q106/'2016'!Q106-1</f>
        <v>9.2776859244616761E-2</v>
      </c>
      <c r="X106" s="81">
        <f>R106/'2016'!R106-1</f>
        <v>8.2565290226214616E-2</v>
      </c>
      <c r="Y106" s="81">
        <f>S106/'2016'!S106-1</f>
        <v>8.1857019515628959E-2</v>
      </c>
      <c r="Z106" s="136"/>
      <c r="AA106" s="136"/>
      <c r="AB106" s="105"/>
      <c r="AC106" s="105"/>
      <c r="AD106" s="37">
        <f t="shared" si="20"/>
        <v>5894782.8880000003</v>
      </c>
      <c r="AE106" s="37">
        <f t="shared" si="22"/>
        <v>77060</v>
      </c>
      <c r="AF106" s="37">
        <f t="shared" si="23"/>
        <v>76981</v>
      </c>
      <c r="AG106" s="37">
        <f t="shared" si="21"/>
        <v>33497.277999999933</v>
      </c>
    </row>
    <row r="107" spans="1:33" x14ac:dyDescent="0.15">
      <c r="A107" s="102">
        <v>42837</v>
      </c>
      <c r="B107" s="20" t="s">
        <v>36</v>
      </c>
      <c r="C107" s="8">
        <v>64207</v>
      </c>
      <c r="D107" s="37">
        <f>14357+10632</f>
        <v>24989</v>
      </c>
      <c r="E107" s="37">
        <v>92152</v>
      </c>
      <c r="F107" s="12">
        <v>4584.8</v>
      </c>
      <c r="G107" s="37">
        <v>3054.1</v>
      </c>
      <c r="H107" s="24"/>
      <c r="I107" s="36"/>
      <c r="J107" s="8">
        <f t="shared" si="18"/>
        <v>67163</v>
      </c>
      <c r="K107" s="37">
        <v>1554</v>
      </c>
      <c r="L107" s="37">
        <v>792</v>
      </c>
      <c r="M107" s="127">
        <f t="shared" si="19"/>
        <v>610</v>
      </c>
      <c r="N107" s="74">
        <f t="shared" si="25"/>
        <v>723496</v>
      </c>
      <c r="O107" s="75">
        <f t="shared" si="25"/>
        <v>309595</v>
      </c>
      <c r="P107" s="75">
        <f t="shared" si="25"/>
        <v>1068892</v>
      </c>
      <c r="Q107" s="76">
        <f t="shared" si="26"/>
        <v>5771451.6100000003</v>
      </c>
      <c r="R107" s="76">
        <f t="shared" si="26"/>
        <v>2637048</v>
      </c>
      <c r="S107" s="76">
        <f t="shared" si="26"/>
        <v>8598993.8880000003</v>
      </c>
      <c r="T107" s="80">
        <f>N107/'2016'!N107-1</f>
        <v>9.1046732044377965E-2</v>
      </c>
      <c r="U107" s="80">
        <f>O107/'2016'!O107-1</f>
        <v>-5.4706422784598363E-3</v>
      </c>
      <c r="V107" s="80">
        <f>P107/'2016'!P107-1</f>
        <v>6.9827028823191473E-2</v>
      </c>
      <c r="W107" s="81">
        <f>Q107/'2016'!Q107-1</f>
        <v>9.350707512493539E-2</v>
      </c>
      <c r="X107" s="81">
        <f>R107/'2016'!R107-1</f>
        <v>8.0657726234261151E-2</v>
      </c>
      <c r="Y107" s="81">
        <f>S107/'2016'!S107-1</f>
        <v>8.1867835388388821E-2</v>
      </c>
      <c r="Z107" s="136">
        <f>(Z108-Z101)/7*6+Z101</f>
        <v>41.207142857142856</v>
      </c>
      <c r="AA107" s="136">
        <f>Q107/10000-Z107</f>
        <v>535.93801814285712</v>
      </c>
      <c r="AB107" s="105"/>
      <c r="AC107" s="105"/>
      <c r="AD107" s="37">
        <f t="shared" si="20"/>
        <v>5961945.8880000003</v>
      </c>
      <c r="AE107" s="37">
        <f t="shared" si="22"/>
        <v>78614</v>
      </c>
      <c r="AF107" s="37">
        <f t="shared" si="23"/>
        <v>77773</v>
      </c>
      <c r="AG107" s="37">
        <f t="shared" si="21"/>
        <v>34107.277999999933</v>
      </c>
    </row>
    <row r="108" spans="1:33" x14ac:dyDescent="0.15">
      <c r="A108" s="102">
        <v>42838</v>
      </c>
      <c r="B108" s="14" t="s">
        <v>37</v>
      </c>
      <c r="C108" s="32">
        <v>62484</v>
      </c>
      <c r="D108" s="33">
        <f>14586+10761</f>
        <v>25347</v>
      </c>
      <c r="E108" s="33">
        <v>91575</v>
      </c>
      <c r="F108" s="119">
        <v>4543.7</v>
      </c>
      <c r="G108" s="33">
        <v>3067.9</v>
      </c>
      <c r="H108" s="19"/>
      <c r="I108" s="19"/>
      <c r="J108" s="32">
        <f t="shared" si="18"/>
        <v>66228</v>
      </c>
      <c r="K108" s="33">
        <v>2116</v>
      </c>
      <c r="L108" s="33">
        <v>793</v>
      </c>
      <c r="M108" s="128">
        <f t="shared" si="19"/>
        <v>835</v>
      </c>
      <c r="N108" s="77">
        <f t="shared" si="25"/>
        <v>785980</v>
      </c>
      <c r="O108" s="78">
        <f t="shared" si="25"/>
        <v>334942</v>
      </c>
      <c r="P108" s="78">
        <f t="shared" si="25"/>
        <v>1160467</v>
      </c>
      <c r="Q108" s="77">
        <f t="shared" si="26"/>
        <v>5833935.6100000003</v>
      </c>
      <c r="R108" s="77">
        <f t="shared" si="26"/>
        <v>2662395</v>
      </c>
      <c r="S108" s="77">
        <f t="shared" si="26"/>
        <v>8690568.8880000003</v>
      </c>
      <c r="T108" s="82">
        <f>N108/'2016'!N108-1</f>
        <v>9.443425638540659E-2</v>
      </c>
      <c r="U108" s="82">
        <f>O108/'2016'!O108-1</f>
        <v>-1.0458458647727209E-2</v>
      </c>
      <c r="V108" s="82">
        <f>P108/'2016'!P108-1</f>
        <v>7.0479298712344152E-2</v>
      </c>
      <c r="W108" s="82">
        <f>Q108/'2016'!Q108-1</f>
        <v>9.3937861618520913E-2</v>
      </c>
      <c r="X108" s="82">
        <f>R108/'2016'!R108-1</f>
        <v>7.9024596246507928E-2</v>
      </c>
      <c r="Y108" s="82">
        <f>S108/'2016'!S108-1</f>
        <v>8.1828547499372073E-2</v>
      </c>
      <c r="Z108" s="138">
        <v>41.69</v>
      </c>
      <c r="AA108" s="138">
        <f>Q108/10000-Z108</f>
        <v>541.70356100000004</v>
      </c>
      <c r="AB108" s="33">
        <v>4258.08</v>
      </c>
      <c r="AC108" s="33">
        <f>AA108*10000/AB108</f>
        <v>1272.1779792770451</v>
      </c>
      <c r="AD108" s="33">
        <f t="shared" si="20"/>
        <v>6028173.8880000003</v>
      </c>
      <c r="AE108" s="33">
        <f t="shared" si="22"/>
        <v>80730</v>
      </c>
      <c r="AF108" s="33">
        <f t="shared" si="23"/>
        <v>78566</v>
      </c>
      <c r="AG108" s="33">
        <f t="shared" si="21"/>
        <v>34942.277999999933</v>
      </c>
    </row>
    <row r="109" spans="1:33" x14ac:dyDescent="0.15">
      <c r="A109" s="102">
        <v>42839</v>
      </c>
      <c r="B109" s="20" t="s">
        <v>38</v>
      </c>
      <c r="C109" s="8">
        <v>62933</v>
      </c>
      <c r="D109" s="37">
        <f>14783+10863</f>
        <v>25646</v>
      </c>
      <c r="E109" s="37">
        <v>91923</v>
      </c>
      <c r="F109" s="12">
        <v>4557.7</v>
      </c>
      <c r="G109" s="37">
        <v>3067.3</v>
      </c>
      <c r="H109" s="24"/>
      <c r="I109" s="36"/>
      <c r="J109" s="8">
        <f t="shared" si="18"/>
        <v>66277</v>
      </c>
      <c r="K109" s="37">
        <v>1709</v>
      </c>
      <c r="L109" s="37">
        <v>793</v>
      </c>
      <c r="M109" s="127">
        <f t="shared" si="19"/>
        <v>842</v>
      </c>
      <c r="N109" s="74">
        <f t="shared" si="25"/>
        <v>848913</v>
      </c>
      <c r="O109" s="75">
        <f t="shared" si="25"/>
        <v>360588</v>
      </c>
      <c r="P109" s="75">
        <f t="shared" si="25"/>
        <v>1252390</v>
      </c>
      <c r="Q109" s="76">
        <f t="shared" si="26"/>
        <v>5896868.6100000003</v>
      </c>
      <c r="R109" s="76">
        <f t="shared" si="26"/>
        <v>2688041</v>
      </c>
      <c r="S109" s="76">
        <f t="shared" si="26"/>
        <v>8782491.8880000003</v>
      </c>
      <c r="T109" s="80">
        <f>N109/'2016'!N109-1</f>
        <v>9.5399881287258959E-2</v>
      </c>
      <c r="U109" s="80">
        <f>O109/'2016'!O109-1</f>
        <v>-9.3953979033427615E-3</v>
      </c>
      <c r="V109" s="80">
        <f>P109/'2016'!P109-1</f>
        <v>7.137204983237222E-2</v>
      </c>
      <c r="W109" s="81">
        <f>Q109/'2016'!Q109-1</f>
        <v>9.4081938674014376E-2</v>
      </c>
      <c r="X109" s="81">
        <f>R109/'2016'!R109-1</f>
        <v>7.8263572856893671E-2</v>
      </c>
      <c r="Y109" s="81">
        <f>S109/'2016'!S109-1</f>
        <v>8.1838412301964647E-2</v>
      </c>
      <c r="Z109" s="136"/>
      <c r="AA109" s="136"/>
      <c r="AB109" s="105"/>
      <c r="AC109" s="105"/>
      <c r="AD109" s="37">
        <f t="shared" si="20"/>
        <v>6094450.8880000003</v>
      </c>
      <c r="AE109" s="37">
        <f t="shared" si="22"/>
        <v>82439</v>
      </c>
      <c r="AF109" s="37">
        <f t="shared" si="23"/>
        <v>79359</v>
      </c>
      <c r="AG109" s="37">
        <f t="shared" si="21"/>
        <v>35784.277999999933</v>
      </c>
    </row>
    <row r="110" spans="1:33" x14ac:dyDescent="0.15">
      <c r="A110" s="102">
        <v>42840</v>
      </c>
      <c r="B110" s="20" t="s">
        <v>39</v>
      </c>
      <c r="C110" s="70">
        <v>60937</v>
      </c>
      <c r="D110" s="71">
        <f>15761+10761</f>
        <v>26522</v>
      </c>
      <c r="E110" s="71">
        <v>90798</v>
      </c>
      <c r="F110" s="120">
        <v>4477.6000000000004</v>
      </c>
      <c r="G110" s="71">
        <v>3063.5</v>
      </c>
      <c r="H110" s="24"/>
      <c r="I110" s="24"/>
      <c r="J110" s="70">
        <f t="shared" si="18"/>
        <v>64276</v>
      </c>
      <c r="K110" s="71">
        <v>1892</v>
      </c>
      <c r="L110" s="71">
        <v>793</v>
      </c>
      <c r="M110" s="129">
        <f t="shared" si="19"/>
        <v>654</v>
      </c>
      <c r="N110" s="74">
        <f t="shared" si="25"/>
        <v>909850</v>
      </c>
      <c r="O110" s="75">
        <f t="shared" si="25"/>
        <v>387110</v>
      </c>
      <c r="P110" s="75">
        <f t="shared" si="25"/>
        <v>1343188</v>
      </c>
      <c r="Q110" s="76">
        <f t="shared" si="26"/>
        <v>5957805.6100000003</v>
      </c>
      <c r="R110" s="76">
        <f t="shared" si="26"/>
        <v>2714563</v>
      </c>
      <c r="S110" s="76">
        <f t="shared" si="26"/>
        <v>8873289.8880000003</v>
      </c>
      <c r="T110" s="80">
        <f>N110/'2016'!N110-1</f>
        <v>9.6177084676170921E-2</v>
      </c>
      <c r="U110" s="80">
        <f>O110/'2016'!O110-1</f>
        <v>-5.0836828686570135E-3</v>
      </c>
      <c r="V110" s="80">
        <f>P110/'2016'!P110-1</f>
        <v>7.2254916674383551E-2</v>
      </c>
      <c r="W110" s="81">
        <f>Q110/'2016'!Q110-1</f>
        <v>9.4213740085086206E-2</v>
      </c>
      <c r="X110" s="81">
        <f>R110/'2016'!R110-1</f>
        <v>7.805672325224422E-2</v>
      </c>
      <c r="Y110" s="81">
        <f>S110/'2016'!S110-1</f>
        <v>8.1866422331100308E-2</v>
      </c>
      <c r="Z110" s="139"/>
      <c r="AA110" s="139"/>
      <c r="AB110" s="105"/>
      <c r="AC110" s="105"/>
      <c r="AD110" s="37">
        <f t="shared" si="20"/>
        <v>6158726.8880000003</v>
      </c>
      <c r="AE110" s="71">
        <f t="shared" si="22"/>
        <v>84331</v>
      </c>
      <c r="AF110" s="71">
        <f t="shared" si="23"/>
        <v>80152</v>
      </c>
      <c r="AG110" s="71">
        <f t="shared" si="21"/>
        <v>36438.277999999933</v>
      </c>
    </row>
    <row r="111" spans="1:33" x14ac:dyDescent="0.15">
      <c r="A111" s="102">
        <v>42841</v>
      </c>
      <c r="B111" s="20" t="s">
        <v>1</v>
      </c>
      <c r="C111" s="8">
        <v>57016</v>
      </c>
      <c r="D111" s="37">
        <f>16029+10768</f>
        <v>26797</v>
      </c>
      <c r="E111" s="37">
        <v>86909</v>
      </c>
      <c r="F111" s="12">
        <v>4209.1000000000004</v>
      </c>
      <c r="G111" s="37">
        <v>3030.3</v>
      </c>
      <c r="H111" s="24"/>
      <c r="I111" s="36"/>
      <c r="J111" s="8">
        <f t="shared" si="18"/>
        <v>60112</v>
      </c>
      <c r="K111" s="37">
        <v>1738</v>
      </c>
      <c r="L111" s="37">
        <v>793</v>
      </c>
      <c r="M111" s="127">
        <f t="shared" si="19"/>
        <v>565</v>
      </c>
      <c r="N111" s="74">
        <f t="shared" si="25"/>
        <v>966866</v>
      </c>
      <c r="O111" s="75">
        <f t="shared" si="25"/>
        <v>413907</v>
      </c>
      <c r="P111" s="75">
        <f t="shared" si="25"/>
        <v>1430097</v>
      </c>
      <c r="Q111" s="76">
        <f t="shared" si="26"/>
        <v>6014821.6100000003</v>
      </c>
      <c r="R111" s="76">
        <f t="shared" si="26"/>
        <v>2741360</v>
      </c>
      <c r="S111" s="76">
        <f t="shared" si="26"/>
        <v>8960198.8880000003</v>
      </c>
      <c r="T111" s="80">
        <f>N111/'2016'!N111-1</f>
        <v>9.2163347927652017E-2</v>
      </c>
      <c r="U111" s="80">
        <f>O111/'2016'!O111-1</f>
        <v>2.9513750063607791E-3</v>
      </c>
      <c r="V111" s="80">
        <f>P111/'2016'!P111-1</f>
        <v>7.0790953852788885E-2</v>
      </c>
      <c r="W111" s="81">
        <f>Q111/'2016'!Q111-1</f>
        <v>9.3587425862482476E-2</v>
      </c>
      <c r="X111" s="81">
        <f>R111/'2016'!R111-1</f>
        <v>7.8589369912685392E-2</v>
      </c>
      <c r="Y111" s="81">
        <f>S111/'2016'!S111-1</f>
        <v>8.15342729517059E-2</v>
      </c>
      <c r="Z111" s="136"/>
      <c r="AA111" s="136"/>
      <c r="AB111" s="105"/>
      <c r="AC111" s="105"/>
      <c r="AD111" s="37">
        <f t="shared" si="20"/>
        <v>6218838.8880000003</v>
      </c>
      <c r="AE111" s="37">
        <f t="shared" si="22"/>
        <v>86069</v>
      </c>
      <c r="AF111" s="37">
        <f t="shared" si="23"/>
        <v>80945</v>
      </c>
      <c r="AG111" s="37">
        <f t="shared" si="21"/>
        <v>37003.277999999933</v>
      </c>
    </row>
    <row r="112" spans="1:33" x14ac:dyDescent="0.15">
      <c r="A112" s="102">
        <v>42842</v>
      </c>
      <c r="B112" s="20" t="s">
        <v>34</v>
      </c>
      <c r="C112" s="8">
        <v>62058</v>
      </c>
      <c r="D112" s="37">
        <f>15913+10706</f>
        <v>26619</v>
      </c>
      <c r="E112" s="37">
        <v>91867</v>
      </c>
      <c r="F112" s="12">
        <v>4752.1000000000004</v>
      </c>
      <c r="G112" s="37">
        <v>2912.1</v>
      </c>
      <c r="H112" s="24"/>
      <c r="I112" s="36"/>
      <c r="J112" s="8">
        <f t="shared" si="18"/>
        <v>65248</v>
      </c>
      <c r="K112" s="37">
        <v>1908</v>
      </c>
      <c r="L112" s="37">
        <v>793</v>
      </c>
      <c r="M112" s="127">
        <f t="shared" si="19"/>
        <v>489</v>
      </c>
      <c r="N112" s="74">
        <f t="shared" si="25"/>
        <v>1028924</v>
      </c>
      <c r="O112" s="75">
        <f t="shared" si="25"/>
        <v>440526</v>
      </c>
      <c r="P112" s="75">
        <f t="shared" si="25"/>
        <v>1521964</v>
      </c>
      <c r="Q112" s="76">
        <f t="shared" si="26"/>
        <v>6076879.6100000003</v>
      </c>
      <c r="R112" s="76">
        <f t="shared" si="26"/>
        <v>2767979</v>
      </c>
      <c r="S112" s="76">
        <f t="shared" si="26"/>
        <v>9052065.8880000003</v>
      </c>
      <c r="T112" s="80">
        <f>N112/'2016'!N112-1</f>
        <v>0.10011814580582379</v>
      </c>
      <c r="U112" s="80">
        <f>O112/'2016'!O112-1</f>
        <v>7.4024272277601888E-3</v>
      </c>
      <c r="V112" s="80">
        <f>P112/'2016'!P112-1</f>
        <v>7.672139776175313E-2</v>
      </c>
      <c r="W112" s="81">
        <f>Q112/'2016'!Q112-1</f>
        <v>9.4915113118845706E-2</v>
      </c>
      <c r="X112" s="81">
        <f>R112/'2016'!R112-1</f>
        <v>7.8622765971375852E-2</v>
      </c>
      <c r="Y112" s="81">
        <f>S112/'2016'!S112-1</f>
        <v>8.2436517688835531E-2</v>
      </c>
      <c r="Z112" s="136"/>
      <c r="AA112" s="136"/>
      <c r="AB112" s="105"/>
      <c r="AC112" s="105"/>
      <c r="AD112" s="37">
        <f t="shared" si="20"/>
        <v>6284086.8880000003</v>
      </c>
      <c r="AE112" s="37">
        <f t="shared" si="22"/>
        <v>87977</v>
      </c>
      <c r="AF112" s="37">
        <f t="shared" si="23"/>
        <v>81738</v>
      </c>
      <c r="AG112" s="37">
        <f t="shared" si="21"/>
        <v>37492.277999999933</v>
      </c>
    </row>
    <row r="113" spans="1:33" ht="15" customHeight="1" x14ac:dyDescent="0.15">
      <c r="A113" s="102">
        <v>42843</v>
      </c>
      <c r="B113" s="20" t="s">
        <v>35</v>
      </c>
      <c r="C113" s="8">
        <v>63799</v>
      </c>
      <c r="D113" s="37">
        <f>15336+10712</f>
        <v>26048</v>
      </c>
      <c r="E113" s="37">
        <v>93093</v>
      </c>
      <c r="F113" s="12">
        <v>4571.3</v>
      </c>
      <c r="G113" s="37">
        <v>3096.3</v>
      </c>
      <c r="H113" s="24"/>
      <c r="I113" s="36"/>
      <c r="J113" s="8">
        <f t="shared" si="18"/>
        <v>67045</v>
      </c>
      <c r="K113" s="37">
        <v>1696</v>
      </c>
      <c r="L113" s="37">
        <v>793</v>
      </c>
      <c r="M113" s="127">
        <f t="shared" si="19"/>
        <v>757</v>
      </c>
      <c r="N113" s="74">
        <f t="shared" ref="N113:P125" si="27">N112+C113</f>
        <v>1092723</v>
      </c>
      <c r="O113" s="75">
        <f t="shared" si="27"/>
        <v>466574</v>
      </c>
      <c r="P113" s="75">
        <f t="shared" si="27"/>
        <v>1615057</v>
      </c>
      <c r="Q113" s="76">
        <f t="shared" si="26"/>
        <v>6140678.6100000003</v>
      </c>
      <c r="R113" s="76">
        <f t="shared" si="26"/>
        <v>2794027</v>
      </c>
      <c r="S113" s="76">
        <f t="shared" si="26"/>
        <v>9145158.8880000003</v>
      </c>
      <c r="T113" s="80">
        <f>N113/'2016'!N113-1</f>
        <v>0.10388325975613455</v>
      </c>
      <c r="U113" s="80">
        <f>O113/'2016'!O113-1</f>
        <v>1.1226847336549772E-2</v>
      </c>
      <c r="V113" s="80">
        <f>P113/'2016'!P113-1</f>
        <v>7.9382975623513818E-2</v>
      </c>
      <c r="W113" s="81">
        <f>Q113/'2016'!Q113-1</f>
        <v>9.5630791459377695E-2</v>
      </c>
      <c r="X113" s="81">
        <f>R113/'2016'!R113-1</f>
        <v>7.8641218598003881E-2</v>
      </c>
      <c r="Y113" s="81">
        <f>S113/'2016'!S113-1</f>
        <v>8.2852064138303261E-2</v>
      </c>
      <c r="Z113" s="136"/>
      <c r="AA113" s="136"/>
      <c r="AB113" s="105"/>
      <c r="AC113" s="105"/>
      <c r="AD113" s="37">
        <f t="shared" si="20"/>
        <v>6351131.8880000003</v>
      </c>
      <c r="AE113" s="37">
        <f t="shared" si="22"/>
        <v>89673</v>
      </c>
      <c r="AF113" s="37">
        <f t="shared" si="23"/>
        <v>82531</v>
      </c>
      <c r="AG113" s="37">
        <f t="shared" si="21"/>
        <v>38249.277999999933</v>
      </c>
    </row>
    <row r="114" spans="1:33" ht="15" customHeight="1" x14ac:dyDescent="0.15">
      <c r="A114" s="102">
        <v>42844</v>
      </c>
      <c r="B114" s="20" t="s">
        <v>36</v>
      </c>
      <c r="C114" s="8">
        <v>62829</v>
      </c>
      <c r="D114" s="37">
        <f>16317+10695</f>
        <v>27012</v>
      </c>
      <c r="E114" s="37">
        <v>92947</v>
      </c>
      <c r="F114" s="12">
        <v>4615.5</v>
      </c>
      <c r="G114" s="37">
        <v>3123.9</v>
      </c>
      <c r="H114" s="24"/>
      <c r="I114" s="36"/>
      <c r="J114" s="8">
        <f t="shared" si="18"/>
        <v>65935</v>
      </c>
      <c r="K114" s="37">
        <v>1678</v>
      </c>
      <c r="L114" s="37">
        <v>794</v>
      </c>
      <c r="M114" s="127">
        <f t="shared" si="19"/>
        <v>634</v>
      </c>
      <c r="N114" s="74">
        <f t="shared" si="27"/>
        <v>1155552</v>
      </c>
      <c r="O114" s="75">
        <f t="shared" si="27"/>
        <v>493586</v>
      </c>
      <c r="P114" s="75">
        <f t="shared" si="27"/>
        <v>1708004</v>
      </c>
      <c r="Q114" s="76">
        <f t="shared" si="26"/>
        <v>6203507.6100000003</v>
      </c>
      <c r="R114" s="76">
        <f t="shared" si="26"/>
        <v>2821039</v>
      </c>
      <c r="S114" s="76">
        <f t="shared" si="26"/>
        <v>9238105.8880000003</v>
      </c>
      <c r="T114" s="80">
        <f>N114/'2016'!N114-1</f>
        <v>0.10605281822593482</v>
      </c>
      <c r="U114" s="80">
        <f>O114/'2016'!O114-1</f>
        <v>1.5972796844961001E-2</v>
      </c>
      <c r="V114" s="80">
        <f>P114/'2016'!P114-1</f>
        <v>8.1167785073462895E-2</v>
      </c>
      <c r="W114" s="81">
        <f>Q114/'2016'!Q114-1</f>
        <v>9.6111289570214087E-2</v>
      </c>
      <c r="X114" s="81">
        <f>R114/'2016'!R114-1</f>
        <v>7.8893111509959146E-2</v>
      </c>
      <c r="Y114" s="81">
        <f>S114/'2016'!S114-1</f>
        <v>8.3148693811279761E-2</v>
      </c>
      <c r="Z114" s="136">
        <f>(Z115-Z108)/7*6+Z108</f>
        <v>44.715714285714284</v>
      </c>
      <c r="AA114" s="136">
        <f>Q114/10000-Z114</f>
        <v>575.63504671428575</v>
      </c>
      <c r="AB114" s="105"/>
      <c r="AC114" s="105"/>
      <c r="AD114" s="37">
        <f t="shared" si="20"/>
        <v>6417066.8880000003</v>
      </c>
      <c r="AE114" s="37">
        <f t="shared" si="22"/>
        <v>91351</v>
      </c>
      <c r="AF114" s="37">
        <f t="shared" si="23"/>
        <v>83325</v>
      </c>
      <c r="AG114" s="37">
        <f t="shared" si="21"/>
        <v>38883.277999999933</v>
      </c>
    </row>
    <row r="115" spans="1:33" ht="15" customHeight="1" x14ac:dyDescent="0.15">
      <c r="A115" s="102">
        <v>42845</v>
      </c>
      <c r="B115" s="14" t="s">
        <v>37</v>
      </c>
      <c r="C115" s="32">
        <v>63817</v>
      </c>
      <c r="D115" s="33">
        <f>16206+10637</f>
        <v>26843</v>
      </c>
      <c r="E115" s="33">
        <v>93494</v>
      </c>
      <c r="F115" s="119">
        <v>4675.2</v>
      </c>
      <c r="G115" s="33">
        <v>3107.7</v>
      </c>
      <c r="H115" s="19"/>
      <c r="I115" s="19"/>
      <c r="J115" s="32">
        <f t="shared" si="18"/>
        <v>66651</v>
      </c>
      <c r="K115" s="33">
        <v>1528</v>
      </c>
      <c r="L115" s="33">
        <v>792</v>
      </c>
      <c r="M115" s="128">
        <f t="shared" si="19"/>
        <v>514</v>
      </c>
      <c r="N115" s="77">
        <f t="shared" si="27"/>
        <v>1219369</v>
      </c>
      <c r="O115" s="78">
        <f t="shared" si="27"/>
        <v>520429</v>
      </c>
      <c r="P115" s="78">
        <f t="shared" si="27"/>
        <v>1801498</v>
      </c>
      <c r="Q115" s="77">
        <f t="shared" si="26"/>
        <v>6267324.6100000003</v>
      </c>
      <c r="R115" s="77">
        <f t="shared" si="26"/>
        <v>2847882</v>
      </c>
      <c r="S115" s="77">
        <f t="shared" si="26"/>
        <v>9331599.8880000003</v>
      </c>
      <c r="T115" s="82">
        <f>N115/'2016'!N115-1</f>
        <v>0.10771468308870746</v>
      </c>
      <c r="U115" s="82">
        <f>O115/'2016'!O115-1</f>
        <v>2.0511050671707443E-2</v>
      </c>
      <c r="V115" s="82">
        <f>P115/'2016'!P115-1</f>
        <v>8.2747483052563853E-2</v>
      </c>
      <c r="W115" s="82">
        <f>Q115/'2016'!Q115-1</f>
        <v>9.6528837547178004E-2</v>
      </c>
      <c r="X115" s="82">
        <f>R115/'2016'!R115-1</f>
        <v>7.9194481328555666E-2</v>
      </c>
      <c r="Y115" s="82">
        <f>S115/'2016'!S115-1</f>
        <v>8.3434524171657198E-2</v>
      </c>
      <c r="Z115" s="138">
        <v>45.22</v>
      </c>
      <c r="AA115" s="138">
        <f>Q115/10000-Z115</f>
        <v>581.51246100000003</v>
      </c>
      <c r="AB115" s="33">
        <v>4258.08</v>
      </c>
      <c r="AC115" s="33">
        <f>AA115*10000/AB115</f>
        <v>1365.6682377973173</v>
      </c>
      <c r="AD115" s="33">
        <f t="shared" si="20"/>
        <v>6483717.8880000003</v>
      </c>
      <c r="AE115" s="33">
        <f t="shared" si="22"/>
        <v>92879</v>
      </c>
      <c r="AF115" s="33">
        <f t="shared" si="23"/>
        <v>84117</v>
      </c>
      <c r="AG115" s="33">
        <f t="shared" si="21"/>
        <v>39397.277999999933</v>
      </c>
    </row>
    <row r="116" spans="1:33" ht="15" customHeight="1" x14ac:dyDescent="0.15">
      <c r="A116" s="102">
        <v>42846</v>
      </c>
      <c r="B116" s="20" t="s">
        <v>38</v>
      </c>
      <c r="C116" s="8">
        <v>64124</v>
      </c>
      <c r="D116" s="37">
        <f>15638+10838</f>
        <v>26476</v>
      </c>
      <c r="E116" s="37">
        <v>93510</v>
      </c>
      <c r="F116" s="12">
        <v>4714.6000000000004</v>
      </c>
      <c r="G116" s="37">
        <v>3118.5</v>
      </c>
      <c r="H116" s="24"/>
      <c r="I116" s="36"/>
      <c r="J116" s="8">
        <f t="shared" si="18"/>
        <v>67034</v>
      </c>
      <c r="K116" s="37">
        <v>1575</v>
      </c>
      <c r="L116" s="37">
        <v>793</v>
      </c>
      <c r="M116" s="127">
        <f t="shared" si="19"/>
        <v>542</v>
      </c>
      <c r="N116" s="74">
        <f t="shared" si="27"/>
        <v>1283493</v>
      </c>
      <c r="O116" s="75">
        <f t="shared" si="27"/>
        <v>546905</v>
      </c>
      <c r="P116" s="75">
        <f t="shared" si="27"/>
        <v>1895008</v>
      </c>
      <c r="Q116" s="76">
        <f t="shared" si="26"/>
        <v>6331448.6100000003</v>
      </c>
      <c r="R116" s="76">
        <f t="shared" si="26"/>
        <v>2874358</v>
      </c>
      <c r="S116" s="76">
        <f t="shared" si="26"/>
        <v>9425109.8880000003</v>
      </c>
      <c r="T116" s="80">
        <f>N116/'2016'!N116-1</f>
        <v>0.10960655652670082</v>
      </c>
      <c r="U116" s="80">
        <f>O116/'2016'!O116-1</f>
        <v>2.3034431930204491E-2</v>
      </c>
      <c r="V116" s="80">
        <f>P116/'2016'!P116-1</f>
        <v>8.4147203112261648E-2</v>
      </c>
      <c r="W116" s="81">
        <f>Q116/'2016'!Q116-1</f>
        <v>9.7016366754182792E-2</v>
      </c>
      <c r="X116" s="81">
        <f>R116/'2016'!R116-1</f>
        <v>7.9158466359153579E-2</v>
      </c>
      <c r="Y116" s="81">
        <f>S116/'2016'!S116-1</f>
        <v>8.3709193564187823E-2</v>
      </c>
      <c r="Z116" s="136"/>
      <c r="AA116" s="136"/>
      <c r="AB116" s="105"/>
      <c r="AC116" s="105"/>
      <c r="AD116" s="37">
        <f t="shared" si="20"/>
        <v>6550751.8880000003</v>
      </c>
      <c r="AE116" s="37">
        <f t="shared" si="22"/>
        <v>94454</v>
      </c>
      <c r="AF116" s="37">
        <f t="shared" si="23"/>
        <v>84910</v>
      </c>
      <c r="AG116" s="37">
        <f t="shared" si="21"/>
        <v>39939.277999999933</v>
      </c>
    </row>
    <row r="117" spans="1:33" ht="15" customHeight="1" x14ac:dyDescent="0.15">
      <c r="A117" s="102">
        <v>42847</v>
      </c>
      <c r="B117" s="20" t="s">
        <v>39</v>
      </c>
      <c r="C117" s="70">
        <v>63775</v>
      </c>
      <c r="D117" s="71">
        <f>13735+10840</f>
        <v>24575</v>
      </c>
      <c r="E117" s="71">
        <v>91449</v>
      </c>
      <c r="F117" s="120">
        <v>4526.6000000000004</v>
      </c>
      <c r="G117" s="71">
        <v>3074</v>
      </c>
      <c r="H117" s="24"/>
      <c r="I117" s="24"/>
      <c r="J117" s="70">
        <f t="shared" si="18"/>
        <v>66874</v>
      </c>
      <c r="K117" s="71">
        <v>1621</v>
      </c>
      <c r="L117" s="71">
        <v>793</v>
      </c>
      <c r="M117" s="129">
        <f t="shared" si="19"/>
        <v>685</v>
      </c>
      <c r="N117" s="74">
        <f t="shared" si="27"/>
        <v>1347268</v>
      </c>
      <c r="O117" s="75">
        <f t="shared" si="27"/>
        <v>571480</v>
      </c>
      <c r="P117" s="75">
        <f t="shared" si="27"/>
        <v>1986457</v>
      </c>
      <c r="Q117" s="76">
        <f t="shared" si="26"/>
        <v>6395223.6100000003</v>
      </c>
      <c r="R117" s="76">
        <f t="shared" si="26"/>
        <v>2898933</v>
      </c>
      <c r="S117" s="76">
        <f t="shared" si="26"/>
        <v>9516558.8880000003</v>
      </c>
      <c r="T117" s="80">
        <f>N117/'2016'!N117-1</f>
        <v>0.11063682805205688</v>
      </c>
      <c r="U117" s="80">
        <f>O117/'2016'!O117-1</f>
        <v>2.2565216535538779E-2</v>
      </c>
      <c r="V117" s="80">
        <f>P117/'2016'!P117-1</f>
        <v>8.4053777653110506E-2</v>
      </c>
      <c r="W117" s="81">
        <f>Q117/'2016'!Q117-1</f>
        <v>9.7352548943301143E-2</v>
      </c>
      <c r="X117" s="81">
        <f>R117/'2016'!R117-1</f>
        <v>7.8553952755342937E-2</v>
      </c>
      <c r="Y117" s="81">
        <f>S117/'2016'!S117-1</f>
        <v>8.3693913849115953E-2</v>
      </c>
      <c r="Z117" s="139"/>
      <c r="AA117" s="139"/>
      <c r="AB117" s="105"/>
      <c r="AC117" s="105"/>
      <c r="AD117" s="37">
        <f t="shared" si="20"/>
        <v>6617625.8880000003</v>
      </c>
      <c r="AE117" s="71">
        <f t="shared" si="22"/>
        <v>96075</v>
      </c>
      <c r="AF117" s="71">
        <f t="shared" si="23"/>
        <v>85703</v>
      </c>
      <c r="AG117" s="71">
        <f t="shared" si="21"/>
        <v>40624.277999999933</v>
      </c>
    </row>
    <row r="118" spans="1:33" ht="15" customHeight="1" x14ac:dyDescent="0.15">
      <c r="A118" s="102">
        <v>42848</v>
      </c>
      <c r="B118" s="20" t="s">
        <v>1</v>
      </c>
      <c r="C118" s="8">
        <v>60966</v>
      </c>
      <c r="D118" s="37">
        <f>13168+10819</f>
        <v>23987</v>
      </c>
      <c r="E118" s="37">
        <v>88067</v>
      </c>
      <c r="F118" s="12">
        <v>4306.1000000000004</v>
      </c>
      <c r="G118" s="37">
        <v>3072.7</v>
      </c>
      <c r="H118" s="24"/>
      <c r="I118" s="36"/>
      <c r="J118" s="8">
        <f t="shared" si="18"/>
        <v>64080</v>
      </c>
      <c r="K118" s="37">
        <v>1743</v>
      </c>
      <c r="L118" s="37">
        <v>793</v>
      </c>
      <c r="M118" s="127">
        <f t="shared" si="19"/>
        <v>578</v>
      </c>
      <c r="N118" s="74">
        <f t="shared" si="27"/>
        <v>1408234</v>
      </c>
      <c r="O118" s="75">
        <f t="shared" si="27"/>
        <v>595467</v>
      </c>
      <c r="P118" s="75">
        <f t="shared" si="27"/>
        <v>2074524</v>
      </c>
      <c r="Q118" s="76">
        <f t="shared" si="26"/>
        <v>6456189.6100000003</v>
      </c>
      <c r="R118" s="76">
        <f t="shared" si="26"/>
        <v>2922920</v>
      </c>
      <c r="S118" s="76">
        <f t="shared" si="26"/>
        <v>9604625.8880000003</v>
      </c>
      <c r="T118" s="80">
        <f>N118/'2016'!N118-1</f>
        <v>0.1106796024617025</v>
      </c>
      <c r="U118" s="80">
        <f>O118/'2016'!O118-1</f>
        <v>2.0953422741004646E-2</v>
      </c>
      <c r="V118" s="80">
        <f>P118/'2016'!P118-1</f>
        <v>8.2847723462316614E-2</v>
      </c>
      <c r="W118" s="81">
        <f>Q118/'2016'!Q118-1</f>
        <v>9.7485616323089275E-2</v>
      </c>
      <c r="X118" s="81">
        <f>R118/'2016'!R118-1</f>
        <v>7.7704114007476566E-2</v>
      </c>
      <c r="Y118" s="81">
        <f>S118/'2016'!S118-1</f>
        <v>8.3436658224067095E-2</v>
      </c>
      <c r="Z118" s="136"/>
      <c r="AA118" s="136"/>
      <c r="AB118" s="105"/>
      <c r="AC118" s="105"/>
      <c r="AD118" s="37">
        <f t="shared" si="20"/>
        <v>6681705.8880000003</v>
      </c>
      <c r="AE118" s="37">
        <f t="shared" si="22"/>
        <v>97818</v>
      </c>
      <c r="AF118" s="37">
        <f t="shared" si="23"/>
        <v>86496</v>
      </c>
      <c r="AG118" s="37">
        <f t="shared" si="21"/>
        <v>41202.277999999933</v>
      </c>
    </row>
    <row r="119" spans="1:33" ht="15" customHeight="1" x14ac:dyDescent="0.15">
      <c r="A119" s="102">
        <v>42849</v>
      </c>
      <c r="B119" s="20" t="s">
        <v>34</v>
      </c>
      <c r="C119" s="8">
        <v>65324</v>
      </c>
      <c r="D119" s="37">
        <f>13090+10759</f>
        <v>23849</v>
      </c>
      <c r="E119" s="37">
        <v>92103</v>
      </c>
      <c r="F119" s="12">
        <v>4584.8</v>
      </c>
      <c r="G119" s="37">
        <v>2979.4</v>
      </c>
      <c r="H119" s="24"/>
      <c r="I119" s="36"/>
      <c r="J119" s="8">
        <f t="shared" si="18"/>
        <v>68254</v>
      </c>
      <c r="K119" s="37">
        <v>1504</v>
      </c>
      <c r="L119" s="37">
        <v>793</v>
      </c>
      <c r="M119" s="127">
        <f t="shared" si="19"/>
        <v>633</v>
      </c>
      <c r="N119" s="74">
        <f t="shared" si="27"/>
        <v>1473558</v>
      </c>
      <c r="O119" s="75">
        <f t="shared" si="27"/>
        <v>619316</v>
      </c>
      <c r="P119" s="75">
        <f t="shared" si="27"/>
        <v>2166627</v>
      </c>
      <c r="Q119" s="76">
        <f t="shared" si="26"/>
        <v>6521513.6100000003</v>
      </c>
      <c r="R119" s="76">
        <f t="shared" si="26"/>
        <v>2946769</v>
      </c>
      <c r="S119" s="76">
        <f t="shared" si="26"/>
        <v>9696728.8880000003</v>
      </c>
      <c r="T119" s="80">
        <f>N119/'2016'!N119-1</f>
        <v>0.11741876188656231</v>
      </c>
      <c r="U119" s="80">
        <f>O119/'2016'!O119-1</f>
        <v>1.8834712198556591E-2</v>
      </c>
      <c r="V119" s="80">
        <f>P119/'2016'!P119-1</f>
        <v>8.5902835310798675E-2</v>
      </c>
      <c r="W119" s="81">
        <f>Q119/'2016'!Q119-1</f>
        <v>9.9096373267618665E-2</v>
      </c>
      <c r="X119" s="81">
        <f>R119/'2016'!R119-1</f>
        <v>7.6722983169358105E-2</v>
      </c>
      <c r="Y119" s="81">
        <f>S119/'2016'!S119-1</f>
        <v>8.4112934252643212E-2</v>
      </c>
      <c r="Z119" s="136"/>
      <c r="AA119" s="136"/>
      <c r="AB119" s="105"/>
      <c r="AC119" s="105"/>
      <c r="AD119" s="37">
        <f t="shared" si="20"/>
        <v>6749959.8880000003</v>
      </c>
      <c r="AE119" s="37">
        <f t="shared" si="22"/>
        <v>99322</v>
      </c>
      <c r="AF119" s="37">
        <f t="shared" si="23"/>
        <v>87289</v>
      </c>
      <c r="AG119" s="37">
        <f t="shared" si="21"/>
        <v>41835.277999999933</v>
      </c>
    </row>
    <row r="120" spans="1:33" ht="15" customHeight="1" x14ac:dyDescent="0.15">
      <c r="A120" s="102">
        <v>42850</v>
      </c>
      <c r="B120" s="20" t="s">
        <v>35</v>
      </c>
      <c r="C120" s="8">
        <v>67431</v>
      </c>
      <c r="D120" s="37">
        <f>13754+10747</f>
        <v>24501</v>
      </c>
      <c r="E120" s="37">
        <v>94082</v>
      </c>
      <c r="F120" s="12">
        <v>4710.8</v>
      </c>
      <c r="G120" s="37">
        <v>3100.4</v>
      </c>
      <c r="H120" s="24"/>
      <c r="I120" s="36"/>
      <c r="J120" s="8">
        <f t="shared" si="18"/>
        <v>69581</v>
      </c>
      <c r="K120" s="37">
        <v>930</v>
      </c>
      <c r="L120" s="37">
        <v>791</v>
      </c>
      <c r="M120" s="127">
        <f t="shared" si="19"/>
        <v>429</v>
      </c>
      <c r="N120" s="74">
        <f t="shared" si="27"/>
        <v>1540989</v>
      </c>
      <c r="O120" s="75">
        <f t="shared" si="27"/>
        <v>643817</v>
      </c>
      <c r="P120" s="75">
        <f t="shared" si="27"/>
        <v>2260709</v>
      </c>
      <c r="Q120" s="76">
        <f t="shared" si="26"/>
        <v>6588944.6100000003</v>
      </c>
      <c r="R120" s="76">
        <f t="shared" si="26"/>
        <v>2971270</v>
      </c>
      <c r="S120" s="76">
        <f t="shared" si="26"/>
        <v>9790810.8880000003</v>
      </c>
      <c r="T120" s="80">
        <f>N120/'2016'!N120-1</f>
        <v>0.1227982868642592</v>
      </c>
      <c r="U120" s="80">
        <f>O120/'2016'!O120-1</f>
        <v>1.6616295117275692E-2</v>
      </c>
      <c r="V120" s="80">
        <f>P120/'2016'!P120-1</f>
        <v>8.7820186786552457E-2</v>
      </c>
      <c r="W120" s="81">
        <f>Q120/'2016'!Q120-1</f>
        <v>0.10049396710783109</v>
      </c>
      <c r="X120" s="81">
        <f>R120/'2016'!R120-1</f>
        <v>7.5681489641849842E-2</v>
      </c>
      <c r="Y120" s="81">
        <f>S120/'2016'!S120-1</f>
        <v>8.4570781269385442E-2</v>
      </c>
      <c r="Z120" s="136"/>
      <c r="AA120" s="136"/>
      <c r="AB120" s="105"/>
      <c r="AC120" s="105"/>
      <c r="AD120" s="37">
        <f t="shared" si="20"/>
        <v>6819540.8880000003</v>
      </c>
      <c r="AE120" s="37">
        <f t="shared" si="22"/>
        <v>100252</v>
      </c>
      <c r="AF120" s="37">
        <f t="shared" si="23"/>
        <v>88080</v>
      </c>
      <c r="AG120" s="37">
        <f t="shared" si="21"/>
        <v>42264.277999999933</v>
      </c>
    </row>
    <row r="121" spans="1:33" ht="15" customHeight="1" x14ac:dyDescent="0.15">
      <c r="A121" s="102">
        <v>42851</v>
      </c>
      <c r="B121" s="20" t="s">
        <v>36</v>
      </c>
      <c r="C121" s="8">
        <v>67056</v>
      </c>
      <c r="D121" s="37">
        <f>13765+10792</f>
        <v>24557</v>
      </c>
      <c r="E121" s="37">
        <v>93517</v>
      </c>
      <c r="F121" s="12">
        <v>4753.7</v>
      </c>
      <c r="G121" s="37">
        <v>3112</v>
      </c>
      <c r="H121" s="24"/>
      <c r="I121" s="36"/>
      <c r="J121" s="8">
        <f t="shared" si="18"/>
        <v>68960</v>
      </c>
      <c r="K121" s="37">
        <v>736</v>
      </c>
      <c r="L121" s="37">
        <v>794</v>
      </c>
      <c r="M121" s="127">
        <f t="shared" si="19"/>
        <v>374</v>
      </c>
      <c r="N121" s="74">
        <f t="shared" si="27"/>
        <v>1608045</v>
      </c>
      <c r="O121" s="75">
        <f t="shared" si="27"/>
        <v>668374</v>
      </c>
      <c r="P121" s="75">
        <f t="shared" si="27"/>
        <v>2354226</v>
      </c>
      <c r="Q121" s="76">
        <f t="shared" si="26"/>
        <v>6656000.6100000003</v>
      </c>
      <c r="R121" s="76">
        <f t="shared" si="26"/>
        <v>2995827</v>
      </c>
      <c r="S121" s="76">
        <f t="shared" si="26"/>
        <v>9884327.8880000003</v>
      </c>
      <c r="T121" s="80">
        <f>N121/'2016'!N121-1</f>
        <v>0.12729764592067072</v>
      </c>
      <c r="U121" s="80">
        <f>O121/'2016'!O121-1</f>
        <v>1.2931903291853564E-2</v>
      </c>
      <c r="V121" s="80">
        <f>P121/'2016'!P121-1</f>
        <v>8.8573342870922112E-2</v>
      </c>
      <c r="W121" s="81">
        <f>Q121/'2016'!Q121-1</f>
        <v>0.10175574262816056</v>
      </c>
      <c r="X121" s="81">
        <f>R121/'2016'!R121-1</f>
        <v>7.424748132508685E-2</v>
      </c>
      <c r="Y121" s="81">
        <f>S121/'2016'!S121-1</f>
        <v>8.4779664238687547E-2</v>
      </c>
      <c r="Z121" s="136">
        <f>(Z122-Z115)/7*6+Z115</f>
        <v>47.937142857142859</v>
      </c>
      <c r="AA121" s="136">
        <f>Q121/10000-Z121</f>
        <v>617.66291814285717</v>
      </c>
      <c r="AB121" s="105"/>
      <c r="AC121" s="105"/>
      <c r="AD121" s="37">
        <f t="shared" si="20"/>
        <v>6888500.8880000003</v>
      </c>
      <c r="AE121" s="37">
        <f t="shared" si="22"/>
        <v>100988</v>
      </c>
      <c r="AF121" s="37">
        <f t="shared" si="23"/>
        <v>88874</v>
      </c>
      <c r="AG121" s="37">
        <f t="shared" si="21"/>
        <v>42638.277999999933</v>
      </c>
    </row>
    <row r="122" spans="1:33" ht="15" customHeight="1" x14ac:dyDescent="0.15">
      <c r="A122" s="102">
        <v>42852</v>
      </c>
      <c r="B122" s="14" t="s">
        <v>37</v>
      </c>
      <c r="C122" s="32">
        <v>64760</v>
      </c>
      <c r="D122" s="33">
        <f>13484+10808</f>
        <v>24292</v>
      </c>
      <c r="E122" s="33">
        <v>92055</v>
      </c>
      <c r="F122" s="119">
        <v>4605.5</v>
      </c>
      <c r="G122" s="33">
        <v>3074.8</v>
      </c>
      <c r="H122" s="19"/>
      <c r="I122" s="19"/>
      <c r="J122" s="32">
        <f t="shared" si="18"/>
        <v>67763</v>
      </c>
      <c r="K122" s="33">
        <v>1650</v>
      </c>
      <c r="L122" s="33">
        <v>792</v>
      </c>
      <c r="M122" s="128">
        <f t="shared" si="19"/>
        <v>561</v>
      </c>
      <c r="N122" s="77">
        <f t="shared" si="27"/>
        <v>1672805</v>
      </c>
      <c r="O122" s="78">
        <f t="shared" si="27"/>
        <v>692666</v>
      </c>
      <c r="P122" s="78">
        <f t="shared" si="27"/>
        <v>2446281</v>
      </c>
      <c r="Q122" s="77">
        <f t="shared" si="26"/>
        <v>6720760.6100000003</v>
      </c>
      <c r="R122" s="77">
        <f t="shared" si="26"/>
        <v>3020119</v>
      </c>
      <c r="S122" s="77">
        <f t="shared" si="26"/>
        <v>9976382.8880000003</v>
      </c>
      <c r="T122" s="82">
        <f>N122/'2016'!N122-1</f>
        <v>0.13105392301040109</v>
      </c>
      <c r="U122" s="82">
        <f>O122/'2016'!O122-1</f>
        <v>8.3795548179528279E-3</v>
      </c>
      <c r="V122" s="82">
        <f>P122/'2016'!P122-1</f>
        <v>8.9120905246680149E-2</v>
      </c>
      <c r="W122" s="82">
        <f>Q122/'2016'!Q122-1</f>
        <v>0.10288753330031608</v>
      </c>
      <c r="X122" s="82">
        <f>R122/'2016'!R122-1</f>
        <v>7.2547523169842476E-2</v>
      </c>
      <c r="Y122" s="82">
        <f>S122/'2016'!S122-1</f>
        <v>8.4947838697416511E-2</v>
      </c>
      <c r="Z122" s="138">
        <v>48.39</v>
      </c>
      <c r="AA122" s="138">
        <f>Q122/10000-Z122</f>
        <v>623.686061</v>
      </c>
      <c r="AB122" s="33">
        <v>4258.08</v>
      </c>
      <c r="AC122" s="33">
        <f>AA122*10000/AB122</f>
        <v>1464.7119382444671</v>
      </c>
      <c r="AD122" s="33">
        <f t="shared" si="20"/>
        <v>6956263.8880000003</v>
      </c>
      <c r="AE122" s="33">
        <f t="shared" si="22"/>
        <v>102638</v>
      </c>
      <c r="AF122" s="33">
        <f t="shared" si="23"/>
        <v>89666</v>
      </c>
      <c r="AG122" s="33">
        <f t="shared" si="21"/>
        <v>43199.277999999933</v>
      </c>
    </row>
    <row r="123" spans="1:33" ht="15" customHeight="1" x14ac:dyDescent="0.15">
      <c r="A123" s="102">
        <v>42853</v>
      </c>
      <c r="B123" s="20" t="s">
        <v>38</v>
      </c>
      <c r="C123" s="8">
        <v>63973</v>
      </c>
      <c r="D123" s="37">
        <f>13754+10844</f>
        <v>24598</v>
      </c>
      <c r="E123" s="37">
        <v>91712</v>
      </c>
      <c r="F123" s="12">
        <v>4544.8</v>
      </c>
      <c r="G123" s="37">
        <v>3081.4</v>
      </c>
      <c r="H123" s="24"/>
      <c r="I123" s="36"/>
      <c r="J123" s="8">
        <f t="shared" si="18"/>
        <v>67114</v>
      </c>
      <c r="K123" s="37">
        <v>1550</v>
      </c>
      <c r="L123" s="37">
        <v>792</v>
      </c>
      <c r="M123" s="127">
        <f t="shared" si="19"/>
        <v>799</v>
      </c>
      <c r="N123" s="74">
        <f t="shared" si="27"/>
        <v>1736778</v>
      </c>
      <c r="O123" s="75">
        <f t="shared" si="27"/>
        <v>717264</v>
      </c>
      <c r="P123" s="75">
        <f t="shared" si="27"/>
        <v>2537993</v>
      </c>
      <c r="Q123" s="76">
        <f t="shared" si="26"/>
        <v>6784733.6100000003</v>
      </c>
      <c r="R123" s="76">
        <f t="shared" si="26"/>
        <v>3044717</v>
      </c>
      <c r="S123" s="76">
        <f t="shared" si="26"/>
        <v>10068094.888</v>
      </c>
      <c r="T123" s="80">
        <f>N123/'2016'!N123-1</f>
        <v>0.13351172489410712</v>
      </c>
      <c r="U123" s="80">
        <f>O123/'2016'!O123-1</f>
        <v>4.7768871505937671E-3</v>
      </c>
      <c r="V123" s="80">
        <f>P123/'2016'!P123-1</f>
        <v>8.9798249361813687E-2</v>
      </c>
      <c r="W123" s="81">
        <f>Q123/'2016'!Q123-1</f>
        <v>0.10374407781855832</v>
      </c>
      <c r="X123" s="81">
        <f>R123/'2016'!R123-1</f>
        <v>7.103466640588918E-2</v>
      </c>
      <c r="Y123" s="81">
        <f>S123/'2016'!S123-1</f>
        <v>8.5155081297483282E-2</v>
      </c>
      <c r="Z123" s="136"/>
      <c r="AA123" s="136"/>
      <c r="AB123" s="105"/>
      <c r="AC123" s="105"/>
      <c r="AD123" s="37">
        <f t="shared" si="20"/>
        <v>7023377.8880000003</v>
      </c>
      <c r="AE123" s="37">
        <f t="shared" si="22"/>
        <v>104188</v>
      </c>
      <c r="AF123" s="37">
        <f t="shared" si="23"/>
        <v>90458</v>
      </c>
      <c r="AG123" s="37">
        <f t="shared" si="21"/>
        <v>43998.277999999933</v>
      </c>
    </row>
    <row r="124" spans="1:33" ht="15" customHeight="1" x14ac:dyDescent="0.15">
      <c r="A124" s="102">
        <v>42854</v>
      </c>
      <c r="B124" s="20" t="s">
        <v>39</v>
      </c>
      <c r="C124" s="70">
        <v>62022</v>
      </c>
      <c r="D124" s="71">
        <f>13069+11004</f>
        <v>24073</v>
      </c>
      <c r="E124" s="71">
        <v>89155</v>
      </c>
      <c r="F124" s="120">
        <v>4407.8999999999996</v>
      </c>
      <c r="G124" s="71">
        <v>3052.7</v>
      </c>
      <c r="H124" s="24"/>
      <c r="I124" s="24"/>
      <c r="J124" s="70">
        <f t="shared" si="18"/>
        <v>65082</v>
      </c>
      <c r="K124" s="71">
        <v>1448</v>
      </c>
      <c r="L124" s="71">
        <v>793</v>
      </c>
      <c r="M124" s="129">
        <f t="shared" si="19"/>
        <v>819</v>
      </c>
      <c r="N124" s="74">
        <f t="shared" si="27"/>
        <v>1798800</v>
      </c>
      <c r="O124" s="75">
        <f t="shared" si="27"/>
        <v>741337</v>
      </c>
      <c r="P124" s="75">
        <f t="shared" si="27"/>
        <v>2627148</v>
      </c>
      <c r="Q124" s="76">
        <f t="shared" si="26"/>
        <v>6846755.6100000003</v>
      </c>
      <c r="R124" s="76">
        <f t="shared" si="26"/>
        <v>3068790</v>
      </c>
      <c r="S124" s="76">
        <f t="shared" si="26"/>
        <v>10157249.888</v>
      </c>
      <c r="T124" s="80">
        <f>N124/'2016'!N124-1</f>
        <v>0.13422193749672906</v>
      </c>
      <c r="U124" s="80">
        <f>O124/'2016'!O124-1</f>
        <v>4.3923885136736285E-3</v>
      </c>
      <c r="V124" s="80">
        <f>P124/'2016'!P124-1</f>
        <v>8.9278036341774447E-2</v>
      </c>
      <c r="W124" s="81">
        <f>Q124/'2016'!Q124-1</f>
        <v>0.10418363130852137</v>
      </c>
      <c r="X124" s="81">
        <f>R124/'2016'!R124-1</f>
        <v>7.0375462762406471E-2</v>
      </c>
      <c r="Y124" s="81">
        <f>S124/'2016'!S124-1</f>
        <v>8.5062199443990183E-2</v>
      </c>
      <c r="Z124" s="139"/>
      <c r="AA124" s="139"/>
      <c r="AB124" s="105"/>
      <c r="AC124" s="105"/>
      <c r="AD124" s="37">
        <f t="shared" si="20"/>
        <v>7088459.8880000003</v>
      </c>
      <c r="AE124" s="71">
        <f t="shared" si="22"/>
        <v>105636</v>
      </c>
      <c r="AF124" s="71">
        <f t="shared" si="23"/>
        <v>91251</v>
      </c>
      <c r="AG124" s="71">
        <f t="shared" si="21"/>
        <v>44817.277999999933</v>
      </c>
    </row>
    <row r="125" spans="1:33" s="1" customFormat="1" ht="15" customHeight="1" x14ac:dyDescent="0.15">
      <c r="A125" s="25">
        <v>42855</v>
      </c>
      <c r="B125" s="25" t="s">
        <v>1</v>
      </c>
      <c r="C125" s="42">
        <v>52491</v>
      </c>
      <c r="D125" s="43">
        <f>13362+10867</f>
        <v>24229</v>
      </c>
      <c r="E125" s="43">
        <v>79223</v>
      </c>
      <c r="F125" s="122">
        <v>3785.3</v>
      </c>
      <c r="G125" s="43">
        <v>2894.9</v>
      </c>
      <c r="H125" s="30"/>
      <c r="I125" s="30"/>
      <c r="J125" s="42">
        <f t="shared" si="18"/>
        <v>54994</v>
      </c>
      <c r="K125" s="43">
        <v>997</v>
      </c>
      <c r="L125" s="43">
        <v>795</v>
      </c>
      <c r="M125" s="130">
        <f t="shared" si="19"/>
        <v>711</v>
      </c>
      <c r="N125" s="87">
        <f t="shared" si="27"/>
        <v>1851291</v>
      </c>
      <c r="O125" s="88">
        <f t="shared" si="27"/>
        <v>765566</v>
      </c>
      <c r="P125" s="131">
        <v>2706381.48</v>
      </c>
      <c r="Q125" s="87">
        <f t="shared" si="26"/>
        <v>6899246.6100000003</v>
      </c>
      <c r="R125" s="87">
        <f t="shared" si="26"/>
        <v>3093019</v>
      </c>
      <c r="S125" s="87">
        <v>10236488.107999999</v>
      </c>
      <c r="T125" s="89">
        <f>N125/'2016'!N125-1</f>
        <v>0.12964050006345973</v>
      </c>
      <c r="U125" s="89">
        <f>O125/'2016'!O125-1</f>
        <v>9.7284321871826673E-3</v>
      </c>
      <c r="V125" s="89">
        <f>P125/'2016'!P125-1</f>
        <v>8.7390610303361704E-2</v>
      </c>
      <c r="W125" s="89">
        <f>Q125/'2016'!Q125-1</f>
        <v>0.10323710882575732</v>
      </c>
      <c r="X125" s="89">
        <f>R125/'2016'!R125-1</f>
        <v>7.1317511552181578E-2</v>
      </c>
      <c r="Y125" s="89">
        <f>S125/'2016'!S125-1</f>
        <v>8.4599392076910807E-2</v>
      </c>
      <c r="Z125" s="141">
        <v>49.661538</v>
      </c>
      <c r="AA125" s="141">
        <v>640.26315699999998</v>
      </c>
      <c r="AB125" s="43">
        <v>4258.08</v>
      </c>
      <c r="AC125" s="43">
        <f>AA125*10000/AB125</f>
        <v>1503.6428554653739</v>
      </c>
      <c r="AD125" s="43">
        <f t="shared" si="20"/>
        <v>7143469.1079999991</v>
      </c>
      <c r="AE125" s="43">
        <f t="shared" si="22"/>
        <v>106633</v>
      </c>
      <c r="AF125" s="43">
        <f t="shared" si="23"/>
        <v>92046</v>
      </c>
      <c r="AG125" s="43">
        <f t="shared" si="21"/>
        <v>45543.497999998741</v>
      </c>
    </row>
    <row r="126" spans="1:33" ht="15" customHeight="1" x14ac:dyDescent="0.15">
      <c r="A126" s="102">
        <v>42856</v>
      </c>
      <c r="B126" s="20" t="s">
        <v>34</v>
      </c>
      <c r="C126" s="8">
        <v>40341</v>
      </c>
      <c r="D126" s="37">
        <f>11048+9216</f>
        <v>20264</v>
      </c>
      <c r="E126" s="37">
        <v>62016</v>
      </c>
      <c r="F126" s="12">
        <v>2883.4</v>
      </c>
      <c r="G126" s="37">
        <v>2381.8000000000002</v>
      </c>
      <c r="H126" s="24"/>
      <c r="I126" s="36"/>
      <c r="J126" s="8">
        <f t="shared" si="18"/>
        <v>41752</v>
      </c>
      <c r="K126" s="37">
        <v>205</v>
      </c>
      <c r="L126" s="37">
        <v>790</v>
      </c>
      <c r="M126" s="127">
        <f t="shared" si="19"/>
        <v>416</v>
      </c>
      <c r="N126" s="74">
        <f>C126</f>
        <v>40341</v>
      </c>
      <c r="O126" s="75">
        <f>D126</f>
        <v>20264</v>
      </c>
      <c r="P126" s="75">
        <f>E126</f>
        <v>62016</v>
      </c>
      <c r="Q126" s="76">
        <f>N126+Q$125</f>
        <v>6939587.6100000003</v>
      </c>
      <c r="R126" s="76">
        <f>O126+R$125</f>
        <v>3113283</v>
      </c>
      <c r="S126" s="76">
        <f>P126+S$125</f>
        <v>10298504.107999999</v>
      </c>
      <c r="T126" s="80">
        <f>N126/'2016'!N126-1</f>
        <v>0.1176340213325946</v>
      </c>
      <c r="U126" s="80">
        <f>O126/'2016'!O126-1</f>
        <v>1.1857707509881354E-3</v>
      </c>
      <c r="V126" s="80">
        <f>P126/'2016'!P126-1</f>
        <v>7.2125025931816689E-2</v>
      </c>
      <c r="W126" s="81">
        <f>Q126/'2016'!Q126-1</f>
        <v>0.10331972862445382</v>
      </c>
      <c r="X126" s="81">
        <f>R126/'2016'!R126-1</f>
        <v>7.08292789636773E-2</v>
      </c>
      <c r="Y126" s="81">
        <f>S126/'2016'!S126-1</f>
        <v>8.4523404676554392E-2</v>
      </c>
      <c r="Z126" s="136"/>
      <c r="AA126" s="136"/>
      <c r="AB126" s="105"/>
      <c r="AC126" s="105"/>
      <c r="AD126" s="37">
        <f t="shared" si="20"/>
        <v>7185221.1079999991</v>
      </c>
      <c r="AE126" s="37">
        <f t="shared" si="22"/>
        <v>106838</v>
      </c>
      <c r="AF126" s="37">
        <f t="shared" si="23"/>
        <v>92836</v>
      </c>
      <c r="AG126" s="37">
        <f t="shared" si="21"/>
        <v>45959.497999998741</v>
      </c>
    </row>
    <row r="127" spans="1:33" ht="15" customHeight="1" x14ac:dyDescent="0.15">
      <c r="A127" s="102">
        <v>42857</v>
      </c>
      <c r="B127" s="20" t="s">
        <v>35</v>
      </c>
      <c r="C127" s="8">
        <v>52718</v>
      </c>
      <c r="D127" s="37">
        <f>13280+10773</f>
        <v>24053</v>
      </c>
      <c r="E127" s="37">
        <v>78838</v>
      </c>
      <c r="F127" s="12">
        <v>4157.7</v>
      </c>
      <c r="G127" s="37">
        <v>2166.6999999999998</v>
      </c>
      <c r="H127" s="24"/>
      <c r="I127" s="36"/>
      <c r="J127" s="8">
        <f t="shared" si="18"/>
        <v>54785</v>
      </c>
      <c r="K127" s="37">
        <v>987</v>
      </c>
      <c r="L127" s="37">
        <v>792</v>
      </c>
      <c r="M127" s="127">
        <f t="shared" si="19"/>
        <v>288</v>
      </c>
      <c r="N127" s="74">
        <f t="shared" ref="N127:P134" si="28">N126+C127</f>
        <v>93059</v>
      </c>
      <c r="O127" s="75">
        <f t="shared" si="28"/>
        <v>44317</v>
      </c>
      <c r="P127" s="75">
        <f t="shared" si="28"/>
        <v>140854</v>
      </c>
      <c r="Q127" s="76">
        <f t="shared" ref="Q127:S155" si="29">N127+Q$125</f>
        <v>6992305.6100000003</v>
      </c>
      <c r="R127" s="76">
        <f t="shared" si="29"/>
        <v>3137336</v>
      </c>
      <c r="S127" s="76">
        <f t="shared" si="29"/>
        <v>10377342.107999999</v>
      </c>
      <c r="T127" s="80">
        <f>N127/'2016'!N127-1</f>
        <v>0.2038836207454171</v>
      </c>
      <c r="U127" s="80">
        <f>O127/'2016'!O127-1</f>
        <v>0.1160442217129618</v>
      </c>
      <c r="V127" s="80">
        <f>P127/'2016'!P127-1</f>
        <v>0.16079213469256559</v>
      </c>
      <c r="W127" s="81">
        <f>Q127/'2016'!Q127-1</f>
        <v>0.1044659748681791</v>
      </c>
      <c r="X127" s="81">
        <f>R127/'2016'!R127-1</f>
        <v>7.1924330315502161E-2</v>
      </c>
      <c r="Y127" s="81">
        <f>S127/'2016'!S127-1</f>
        <v>8.5566552806411345E-2</v>
      </c>
      <c r="Z127" s="136"/>
      <c r="AA127" s="136"/>
      <c r="AB127" s="105"/>
      <c r="AC127" s="105"/>
      <c r="AD127" s="37">
        <f t="shared" si="20"/>
        <v>7240006.1079999991</v>
      </c>
      <c r="AE127" s="37">
        <f t="shared" si="22"/>
        <v>107825</v>
      </c>
      <c r="AF127" s="37">
        <f t="shared" si="23"/>
        <v>93628</v>
      </c>
      <c r="AG127" s="37">
        <f t="shared" si="21"/>
        <v>46247.497999998741</v>
      </c>
    </row>
    <row r="128" spans="1:33" ht="15" customHeight="1" x14ac:dyDescent="0.15">
      <c r="A128" s="102">
        <v>42858</v>
      </c>
      <c r="B128" s="20" t="s">
        <v>36</v>
      </c>
      <c r="C128" s="8">
        <v>61088</v>
      </c>
      <c r="D128" s="37">
        <f>15376+10757</f>
        <v>26133</v>
      </c>
      <c r="E128" s="37">
        <v>89436</v>
      </c>
      <c r="F128" s="12">
        <v>4553.1000000000004</v>
      </c>
      <c r="G128" s="37">
        <v>2841.4</v>
      </c>
      <c r="H128" s="24"/>
      <c r="I128" s="36"/>
      <c r="J128" s="8">
        <f t="shared" si="18"/>
        <v>63303</v>
      </c>
      <c r="K128" s="37">
        <v>971</v>
      </c>
      <c r="L128" s="37">
        <v>734</v>
      </c>
      <c r="M128" s="127">
        <f t="shared" si="19"/>
        <v>510</v>
      </c>
      <c r="N128" s="74">
        <f t="shared" si="28"/>
        <v>154147</v>
      </c>
      <c r="O128" s="75">
        <f t="shared" si="28"/>
        <v>70450</v>
      </c>
      <c r="P128" s="75">
        <f t="shared" si="28"/>
        <v>230290</v>
      </c>
      <c r="Q128" s="76">
        <f t="shared" si="29"/>
        <v>7053393.6100000003</v>
      </c>
      <c r="R128" s="76">
        <f t="shared" si="29"/>
        <v>3163469</v>
      </c>
      <c r="S128" s="76">
        <f t="shared" si="29"/>
        <v>10466778.107999999</v>
      </c>
      <c r="T128" s="80">
        <f>N128/'2016'!N128-1</f>
        <v>0.21609233487961133</v>
      </c>
      <c r="U128" s="80">
        <f>O128/'2016'!O128-1</f>
        <v>0.14059514943496421</v>
      </c>
      <c r="V128" s="80">
        <f>P128/'2016'!P128-1</f>
        <v>0.17013114370931937</v>
      </c>
      <c r="W128" s="81">
        <f>Q128/'2016'!Q128-1</f>
        <v>0.10547914509995082</v>
      </c>
      <c r="X128" s="81">
        <f>R128/'2016'!R128-1</f>
        <v>7.2768570336632532E-2</v>
      </c>
      <c r="Y128" s="81">
        <f>S128/'2016'!S128-1</f>
        <v>8.6346514208897718E-2</v>
      </c>
      <c r="Z128" s="136">
        <f>(Z129-Z122)/7*6+Z122</f>
        <v>50.027142857142856</v>
      </c>
      <c r="AA128" s="136">
        <f>Q128/10000-Z128</f>
        <v>655.3122181428572</v>
      </c>
      <c r="AB128" s="105"/>
      <c r="AC128" s="105"/>
      <c r="AD128" s="37">
        <f t="shared" si="20"/>
        <v>7303309.1079999991</v>
      </c>
      <c r="AE128" s="37">
        <f t="shared" si="22"/>
        <v>108796</v>
      </c>
      <c r="AF128" s="37">
        <f t="shared" si="23"/>
        <v>94362</v>
      </c>
      <c r="AG128" s="37">
        <f t="shared" si="21"/>
        <v>46757.497999998741</v>
      </c>
    </row>
    <row r="129" spans="1:33" ht="15" customHeight="1" x14ac:dyDescent="0.15">
      <c r="A129" s="102">
        <v>42859</v>
      </c>
      <c r="B129" s="14" t="s">
        <v>37</v>
      </c>
      <c r="C129" s="32">
        <v>64807</v>
      </c>
      <c r="D129" s="33">
        <f>15714+10729</f>
        <v>26443</v>
      </c>
      <c r="E129" s="33">
        <v>93302</v>
      </c>
      <c r="F129" s="119">
        <v>4744</v>
      </c>
      <c r="G129" s="33">
        <v>3034.4</v>
      </c>
      <c r="H129" s="19"/>
      <c r="I129" s="19"/>
      <c r="J129" s="32">
        <f t="shared" si="18"/>
        <v>66859</v>
      </c>
      <c r="K129" s="33">
        <v>1001</v>
      </c>
      <c r="L129" s="33">
        <v>712</v>
      </c>
      <c r="M129" s="128">
        <f t="shared" si="19"/>
        <v>339</v>
      </c>
      <c r="N129" s="77">
        <f t="shared" si="28"/>
        <v>218954</v>
      </c>
      <c r="O129" s="78">
        <f t="shared" si="28"/>
        <v>96893</v>
      </c>
      <c r="P129" s="78">
        <f t="shared" si="28"/>
        <v>323592</v>
      </c>
      <c r="Q129" s="77">
        <f t="shared" si="29"/>
        <v>7118200.6100000003</v>
      </c>
      <c r="R129" s="77">
        <f t="shared" si="29"/>
        <v>3189912</v>
      </c>
      <c r="S129" s="77">
        <f t="shared" si="29"/>
        <v>10560080.107999999</v>
      </c>
      <c r="T129" s="82">
        <f>N129/'2016'!N129-1</f>
        <v>0.18816577038078131</v>
      </c>
      <c r="U129" s="82">
        <f>O129/'2016'!O129-1</f>
        <v>0.17401945935466667</v>
      </c>
      <c r="V129" s="82">
        <f>P129/'2016'!P129-1</f>
        <v>0.15955780911257245</v>
      </c>
      <c r="W129" s="82">
        <f>Q129/'2016'!Q129-1</f>
        <v>0.10566810729804277</v>
      </c>
      <c r="X129" s="82">
        <f>R129/'2016'!R129-1</f>
        <v>7.4171753689326048E-2</v>
      </c>
      <c r="Y129" s="82">
        <f>S129/'2016'!S129-1</f>
        <v>8.675211958793061E-2</v>
      </c>
      <c r="Z129" s="138">
        <v>50.3</v>
      </c>
      <c r="AA129" s="138">
        <f>Q129/10000-Z129</f>
        <v>661.52006100000006</v>
      </c>
      <c r="AB129" s="33">
        <v>4258.08</v>
      </c>
      <c r="AC129" s="33">
        <f>AA129*10000/AB129</f>
        <v>1553.5641909029423</v>
      </c>
      <c r="AD129" s="33">
        <f t="shared" si="20"/>
        <v>7370168.1079999991</v>
      </c>
      <c r="AE129" s="33">
        <f t="shared" si="22"/>
        <v>109797</v>
      </c>
      <c r="AF129" s="33">
        <f t="shared" si="23"/>
        <v>95074</v>
      </c>
      <c r="AG129" s="33">
        <f t="shared" si="21"/>
        <v>47096.497999998741</v>
      </c>
    </row>
    <row r="130" spans="1:33" ht="15" customHeight="1" x14ac:dyDescent="0.15">
      <c r="A130" s="102">
        <v>42860</v>
      </c>
      <c r="B130" s="20" t="s">
        <v>38</v>
      </c>
      <c r="C130" s="8">
        <v>65603</v>
      </c>
      <c r="D130" s="37">
        <f>16092+10711</f>
        <v>26803</v>
      </c>
      <c r="E130" s="37">
        <v>93885</v>
      </c>
      <c r="F130" s="12">
        <v>4725.6000000000004</v>
      </c>
      <c r="G130" s="37">
        <v>3088.6</v>
      </c>
      <c r="H130" s="24"/>
      <c r="I130" s="36"/>
      <c r="J130" s="8">
        <f t="shared" si="18"/>
        <v>67082</v>
      </c>
      <c r="K130" s="37">
        <v>404</v>
      </c>
      <c r="L130" s="37">
        <v>699</v>
      </c>
      <c r="M130" s="127">
        <f t="shared" si="19"/>
        <v>376</v>
      </c>
      <c r="N130" s="74">
        <f t="shared" si="28"/>
        <v>284557</v>
      </c>
      <c r="O130" s="75">
        <f t="shared" si="28"/>
        <v>123696</v>
      </c>
      <c r="P130" s="75">
        <f t="shared" si="28"/>
        <v>417477</v>
      </c>
      <c r="Q130" s="76">
        <f t="shared" si="29"/>
        <v>7183803.6100000003</v>
      </c>
      <c r="R130" s="76">
        <f t="shared" si="29"/>
        <v>3216715</v>
      </c>
      <c r="S130" s="76">
        <f t="shared" si="29"/>
        <v>10653965.107999999</v>
      </c>
      <c r="T130" s="80">
        <f>N130/'2016'!N130-1</f>
        <v>0.16825687470748107</v>
      </c>
      <c r="U130" s="80">
        <f>O130/'2016'!O130-1</f>
        <v>0.19098786828422876</v>
      </c>
      <c r="V130" s="80">
        <f>P130/'2016'!P130-1</f>
        <v>0.14939360984540828</v>
      </c>
      <c r="W130" s="81">
        <f>Q130/'2016'!Q130-1</f>
        <v>0.10567463464719418</v>
      </c>
      <c r="X130" s="81">
        <f>R130/'2016'!R130-1</f>
        <v>7.5472997619172588E-2</v>
      </c>
      <c r="Y130" s="81">
        <f>S130/'2016'!S130-1</f>
        <v>8.7000537788492371E-2</v>
      </c>
      <c r="Z130" s="136"/>
      <c r="AA130" s="136"/>
      <c r="AB130" s="105"/>
      <c r="AC130" s="105"/>
      <c r="AD130" s="37">
        <f t="shared" si="20"/>
        <v>7437250.1079999991</v>
      </c>
      <c r="AE130" s="37">
        <f t="shared" si="22"/>
        <v>110201</v>
      </c>
      <c r="AF130" s="37">
        <f t="shared" si="23"/>
        <v>95773</v>
      </c>
      <c r="AG130" s="37">
        <f t="shared" si="21"/>
        <v>47472.497999998741</v>
      </c>
    </row>
    <row r="131" spans="1:33" ht="15" customHeight="1" x14ac:dyDescent="0.15">
      <c r="A131" s="102">
        <v>42861</v>
      </c>
      <c r="B131" s="20" t="s">
        <v>39</v>
      </c>
      <c r="C131" s="70">
        <v>66423</v>
      </c>
      <c r="D131" s="71">
        <f>14985+10720</f>
        <v>25705</v>
      </c>
      <c r="E131" s="71">
        <v>93722</v>
      </c>
      <c r="F131" s="120">
        <v>4695.2</v>
      </c>
      <c r="G131" s="71">
        <v>3131.1</v>
      </c>
      <c r="H131" s="24"/>
      <c r="I131" s="24"/>
      <c r="J131" s="70">
        <f t="shared" si="18"/>
        <v>68017</v>
      </c>
      <c r="K131" s="71">
        <v>348</v>
      </c>
      <c r="L131" s="71">
        <v>799</v>
      </c>
      <c r="M131" s="129">
        <f t="shared" si="19"/>
        <v>447</v>
      </c>
      <c r="N131" s="74">
        <f t="shared" si="28"/>
        <v>350980</v>
      </c>
      <c r="O131" s="75">
        <f t="shared" si="28"/>
        <v>149401</v>
      </c>
      <c r="P131" s="75">
        <f t="shared" si="28"/>
        <v>511199</v>
      </c>
      <c r="Q131" s="76">
        <f t="shared" si="29"/>
        <v>7250226.6100000003</v>
      </c>
      <c r="R131" s="76">
        <f t="shared" si="29"/>
        <v>3242420</v>
      </c>
      <c r="S131" s="76">
        <f t="shared" si="29"/>
        <v>10747687.107999999</v>
      </c>
      <c r="T131" s="80">
        <f>N131/'2016'!N131-1</f>
        <v>0.15663968785426174</v>
      </c>
      <c r="U131" s="80">
        <f>O131/'2016'!O131-1</f>
        <v>0.18374930671103717</v>
      </c>
      <c r="V131" s="80">
        <f>P131/'2016'!P131-1</f>
        <v>0.13921288971096213</v>
      </c>
      <c r="W131" s="81">
        <f>Q131/'2016'!Q131-1</f>
        <v>0.10570846627473451</v>
      </c>
      <c r="X131" s="81">
        <f>R131/'2016'!R131-1</f>
        <v>7.6026597843513066E-2</v>
      </c>
      <c r="Y131" s="81">
        <f>S131/'2016'!S131-1</f>
        <v>8.7078131312099405E-2</v>
      </c>
      <c r="Z131" s="139"/>
      <c r="AA131" s="139"/>
      <c r="AB131" s="105"/>
      <c r="AC131" s="105"/>
      <c r="AD131" s="37">
        <f t="shared" si="20"/>
        <v>7505267.1079999991</v>
      </c>
      <c r="AE131" s="71">
        <f t="shared" si="22"/>
        <v>110549</v>
      </c>
      <c r="AF131" s="71">
        <f t="shared" si="23"/>
        <v>96572</v>
      </c>
      <c r="AG131" s="71">
        <f t="shared" si="21"/>
        <v>47919.497999998741</v>
      </c>
    </row>
    <row r="132" spans="1:33" ht="15" customHeight="1" x14ac:dyDescent="0.15">
      <c r="A132" s="102">
        <v>42862</v>
      </c>
      <c r="B132" s="20" t="s">
        <v>1</v>
      </c>
      <c r="C132" s="8">
        <v>62488</v>
      </c>
      <c r="D132" s="37">
        <f>14987+10637</f>
        <v>25624</v>
      </c>
      <c r="E132" s="37">
        <v>89722</v>
      </c>
      <c r="F132" s="12">
        <v>4458.3</v>
      </c>
      <c r="G132" s="37">
        <v>3119.1</v>
      </c>
      <c r="H132" s="24"/>
      <c r="I132" s="36"/>
      <c r="J132" s="8">
        <f t="shared" si="18"/>
        <v>64098</v>
      </c>
      <c r="K132" s="37">
        <v>441</v>
      </c>
      <c r="L132" s="37">
        <v>782</v>
      </c>
      <c r="M132" s="127">
        <f t="shared" si="19"/>
        <v>387</v>
      </c>
      <c r="N132" s="74">
        <f t="shared" si="28"/>
        <v>413468</v>
      </c>
      <c r="O132" s="75">
        <f t="shared" si="28"/>
        <v>175025</v>
      </c>
      <c r="P132" s="75">
        <f t="shared" si="28"/>
        <v>600921</v>
      </c>
      <c r="Q132" s="76">
        <f t="shared" si="29"/>
        <v>7312714.6100000003</v>
      </c>
      <c r="R132" s="76">
        <f t="shared" si="29"/>
        <v>3268044</v>
      </c>
      <c r="S132" s="76">
        <f t="shared" si="29"/>
        <v>10837409.107999999</v>
      </c>
      <c r="T132" s="80">
        <f>N132/'2016'!N132-1</f>
        <v>0.15475146484647739</v>
      </c>
      <c r="U132" s="80">
        <f>O132/'2016'!O132-1</f>
        <v>0.16617250224872571</v>
      </c>
      <c r="V132" s="80">
        <f>P132/'2016'!P132-1</f>
        <v>0.13192097738497521</v>
      </c>
      <c r="W132" s="81">
        <f>Q132/'2016'!Q132-1</f>
        <v>0.10602688084466072</v>
      </c>
      <c r="X132" s="81">
        <f>R132/'2016'!R132-1</f>
        <v>7.6004822859987664E-2</v>
      </c>
      <c r="Y132" s="81">
        <f>S132/'2016'!S132-1</f>
        <v>8.7119460659838444E-2</v>
      </c>
      <c r="Z132" s="136"/>
      <c r="AA132" s="136"/>
      <c r="AB132" s="105"/>
      <c r="AC132" s="105"/>
      <c r="AD132" s="37">
        <f t="shared" si="20"/>
        <v>7569365.1079999991</v>
      </c>
      <c r="AE132" s="37">
        <f t="shared" si="22"/>
        <v>110990</v>
      </c>
      <c r="AF132" s="37">
        <f t="shared" si="23"/>
        <v>97354</v>
      </c>
      <c r="AG132" s="37">
        <f t="shared" si="21"/>
        <v>48306.497999998741</v>
      </c>
    </row>
    <row r="133" spans="1:33" ht="15" customHeight="1" x14ac:dyDescent="0.15">
      <c r="A133" s="102">
        <v>42863</v>
      </c>
      <c r="B133" s="20" t="s">
        <v>34</v>
      </c>
      <c r="C133" s="8">
        <v>63327</v>
      </c>
      <c r="D133" s="37">
        <f>15781+10780</f>
        <v>26561</v>
      </c>
      <c r="E133" s="37">
        <v>92337</v>
      </c>
      <c r="F133" s="12">
        <v>4761</v>
      </c>
      <c r="G133" s="37">
        <v>2989.5</v>
      </c>
      <c r="H133" s="24"/>
      <c r="I133" s="36"/>
      <c r="J133" s="8">
        <f t="shared" ref="J133:J196" si="30">E133-D133</f>
        <v>65776</v>
      </c>
      <c r="K133" s="37">
        <v>1387</v>
      </c>
      <c r="L133" s="37">
        <v>791</v>
      </c>
      <c r="M133" s="127">
        <f t="shared" si="19"/>
        <v>271</v>
      </c>
      <c r="N133" s="74">
        <f t="shared" si="28"/>
        <v>476795</v>
      </c>
      <c r="O133" s="75">
        <f t="shared" si="28"/>
        <v>201586</v>
      </c>
      <c r="P133" s="75">
        <f t="shared" si="28"/>
        <v>693258</v>
      </c>
      <c r="Q133" s="76">
        <f t="shared" si="29"/>
        <v>7376041.6100000003</v>
      </c>
      <c r="R133" s="76">
        <f t="shared" si="29"/>
        <v>3294605</v>
      </c>
      <c r="S133" s="76">
        <f t="shared" si="29"/>
        <v>10929746.107999999</v>
      </c>
      <c r="T133" s="80">
        <f>N133/'2016'!N133-1</f>
        <v>0.16786524339762221</v>
      </c>
      <c r="U133" s="80">
        <f>O133/'2016'!O133-1</f>
        <v>0.16051443835490264</v>
      </c>
      <c r="V133" s="80">
        <f>P133/'2016'!P133-1</f>
        <v>0.13970023722588731</v>
      </c>
      <c r="W133" s="81">
        <f>Q133/'2016'!Q133-1</f>
        <v>0.10719772179142262</v>
      </c>
      <c r="X133" s="81">
        <f>R133/'2016'!R133-1</f>
        <v>7.6379507328262486E-2</v>
      </c>
      <c r="Y133" s="81">
        <f>S133/'2016'!S133-1</f>
        <v>8.7935619391663611E-2</v>
      </c>
      <c r="Z133" s="136"/>
      <c r="AA133" s="136"/>
      <c r="AB133" s="105"/>
      <c r="AC133" s="105"/>
      <c r="AD133" s="37">
        <f t="shared" si="20"/>
        <v>7635141.1079999991</v>
      </c>
      <c r="AE133" s="37">
        <f t="shared" si="22"/>
        <v>112377</v>
      </c>
      <c r="AF133" s="37">
        <f t="shared" si="23"/>
        <v>98145</v>
      </c>
      <c r="AG133" s="37">
        <f t="shared" si="21"/>
        <v>48577.497999998741</v>
      </c>
    </row>
    <row r="134" spans="1:33" ht="15" customHeight="1" x14ac:dyDescent="0.15">
      <c r="A134" s="102">
        <v>42864</v>
      </c>
      <c r="B134" s="20" t="s">
        <v>35</v>
      </c>
      <c r="C134" s="8">
        <v>62723</v>
      </c>
      <c r="D134" s="37">
        <f>16848+10801</f>
        <v>27649</v>
      </c>
      <c r="E134" s="37">
        <v>92181</v>
      </c>
      <c r="F134" s="55">
        <v>4621</v>
      </c>
      <c r="G134" s="55">
        <v>3052.8</v>
      </c>
      <c r="H134" s="24"/>
      <c r="I134" s="36"/>
      <c r="J134" s="8">
        <f t="shared" si="30"/>
        <v>64532</v>
      </c>
      <c r="K134" s="37">
        <v>288</v>
      </c>
      <c r="L134" s="37">
        <v>793</v>
      </c>
      <c r="M134" s="37">
        <f t="shared" ref="M134" si="31">J134-K134-L134-C134</f>
        <v>728</v>
      </c>
      <c r="N134" s="74">
        <f t="shared" si="28"/>
        <v>539518</v>
      </c>
      <c r="O134" s="75">
        <f t="shared" si="28"/>
        <v>229235</v>
      </c>
      <c r="P134" s="75">
        <f t="shared" si="28"/>
        <v>785439</v>
      </c>
      <c r="Q134" s="76">
        <f t="shared" si="29"/>
        <v>7438764.6100000003</v>
      </c>
      <c r="R134" s="76">
        <f t="shared" si="29"/>
        <v>3322254</v>
      </c>
      <c r="S134" s="76">
        <f t="shared" si="29"/>
        <v>11021927.107999999</v>
      </c>
      <c r="T134" s="80">
        <f>N134/'2016'!N134-1</f>
        <v>0.16629845003134536</v>
      </c>
      <c r="U134" s="80">
        <f>O134/'2016'!O134-1</f>
        <v>0.15824390145314182</v>
      </c>
      <c r="V134" s="80">
        <f>P134/'2016'!P134-1</f>
        <v>0.13836193590183954</v>
      </c>
      <c r="W134" s="81">
        <f>Q134/'2016'!Q134-1</f>
        <v>0.10758055003782641</v>
      </c>
      <c r="X134" s="81">
        <f>R134/'2016'!R134-1</f>
        <v>7.6894153158167278E-2</v>
      </c>
      <c r="Y134" s="81">
        <f>S134/'2016'!S134-1</f>
        <v>8.8261978045240497E-2</v>
      </c>
      <c r="Z134" s="136"/>
      <c r="AA134" s="136"/>
      <c r="AB134" s="105"/>
      <c r="AC134" s="105"/>
      <c r="AD134" s="37">
        <f t="shared" ref="AD134:AD197" si="32">S134-R134</f>
        <v>7699673.1079999991</v>
      </c>
      <c r="AE134" s="37">
        <f t="shared" si="22"/>
        <v>112665</v>
      </c>
      <c r="AF134" s="37">
        <f t="shared" si="23"/>
        <v>98938</v>
      </c>
      <c r="AG134" s="37">
        <f t="shared" ref="AG134:AG197" si="33">AD134-Q134-AE134-AF134</f>
        <v>49305.497999998741</v>
      </c>
    </row>
    <row r="135" spans="1:33" ht="15" customHeight="1" x14ac:dyDescent="0.15">
      <c r="A135" s="102">
        <v>42865</v>
      </c>
      <c r="B135" s="20" t="s">
        <v>36</v>
      </c>
      <c r="C135" s="8">
        <v>63371</v>
      </c>
      <c r="D135" s="37">
        <v>28038</v>
      </c>
      <c r="E135" s="37">
        <v>93485</v>
      </c>
      <c r="F135" s="12">
        <v>4647</v>
      </c>
      <c r="G135" s="37">
        <v>3118</v>
      </c>
      <c r="H135" s="24"/>
      <c r="I135" s="36"/>
      <c r="J135" s="8">
        <f t="shared" si="30"/>
        <v>65447</v>
      </c>
      <c r="K135" s="37">
        <v>665</v>
      </c>
      <c r="L135" s="37">
        <v>792</v>
      </c>
      <c r="M135" s="127">
        <f t="shared" ref="M135:M197" si="34">J135-K135-L135-C135</f>
        <v>619</v>
      </c>
      <c r="N135" s="74">
        <f t="shared" ref="N135" si="35">N134+C135</f>
        <v>602889</v>
      </c>
      <c r="O135" s="75">
        <f t="shared" ref="O135" si="36">O134+D135</f>
        <v>257273</v>
      </c>
      <c r="P135" s="75">
        <f t="shared" ref="P135" si="37">P134+E135</f>
        <v>878924</v>
      </c>
      <c r="Q135" s="76">
        <f t="shared" ref="Q135" si="38">N135+Q$125</f>
        <v>7502135.6100000003</v>
      </c>
      <c r="R135" s="76">
        <f t="shared" ref="R135" si="39">O135+R$125</f>
        <v>3350292</v>
      </c>
      <c r="S135" s="76">
        <f t="shared" ref="S135" si="40">P135+S$125</f>
        <v>11115412.107999999</v>
      </c>
      <c r="T135" s="80">
        <f>N135/'2016'!N135-1</f>
        <v>0.17042416759366574</v>
      </c>
      <c r="U135" s="80">
        <f>O135/'2016'!O135-1</f>
        <v>0.1467177164862985</v>
      </c>
      <c r="V135" s="80">
        <f>P135/'2016'!P135-1</f>
        <v>0.13716362469579213</v>
      </c>
      <c r="W135" s="81">
        <f>Q135/'2016'!Q135-1</f>
        <v>0.10835006120782853</v>
      </c>
      <c r="X135" s="81">
        <f>R135/'2016'!R135-1</f>
        <v>7.6754321827636085E-2</v>
      </c>
      <c r="Y135" s="81">
        <f>S135/'2016'!S135-1</f>
        <v>8.8578198002241537E-2</v>
      </c>
      <c r="Z135" s="136">
        <f>(Z136-Z129)/7*6+Z129</f>
        <v>52.425714285714285</v>
      </c>
      <c r="AA135" s="136">
        <f>Q135/10000-Z135</f>
        <v>697.78784671428571</v>
      </c>
      <c r="AB135" s="105"/>
      <c r="AC135" s="105"/>
      <c r="AD135" s="37">
        <f t="shared" si="32"/>
        <v>7765120.1079999991</v>
      </c>
      <c r="AE135" s="37">
        <f t="shared" ref="AE135:AE198" si="41">AE134+K135</f>
        <v>113330</v>
      </c>
      <c r="AF135" s="37">
        <f t="shared" ref="AF135:AF198" si="42">AF134+L135</f>
        <v>99730</v>
      </c>
      <c r="AG135" s="37">
        <f t="shared" si="33"/>
        <v>49924.497999998741</v>
      </c>
    </row>
    <row r="136" spans="1:33" ht="15" customHeight="1" x14ac:dyDescent="0.15">
      <c r="A136" s="102">
        <v>42866</v>
      </c>
      <c r="B136" s="14" t="s">
        <v>37</v>
      </c>
      <c r="C136" s="32">
        <v>63088</v>
      </c>
      <c r="D136" s="33">
        <v>31165</v>
      </c>
      <c r="E136" s="33">
        <v>95952</v>
      </c>
      <c r="F136" s="119">
        <v>4743</v>
      </c>
      <c r="G136" s="33">
        <v>3127</v>
      </c>
      <c r="H136" s="19"/>
      <c r="I136" s="19"/>
      <c r="J136" s="32">
        <f t="shared" si="30"/>
        <v>64787</v>
      </c>
      <c r="K136" s="33">
        <v>283</v>
      </c>
      <c r="L136" s="33">
        <v>794</v>
      </c>
      <c r="M136" s="128">
        <f t="shared" si="34"/>
        <v>622</v>
      </c>
      <c r="N136" s="77">
        <f t="shared" ref="N136:P151" si="43">N135+C136</f>
        <v>665977</v>
      </c>
      <c r="O136" s="78">
        <f t="shared" si="43"/>
        <v>288438</v>
      </c>
      <c r="P136" s="78">
        <f t="shared" si="43"/>
        <v>974876</v>
      </c>
      <c r="Q136" s="77">
        <f t="shared" si="29"/>
        <v>7565223.6100000003</v>
      </c>
      <c r="R136" s="77">
        <f t="shared" si="29"/>
        <v>3381457</v>
      </c>
      <c r="S136" s="77">
        <f t="shared" si="29"/>
        <v>11211364.107999999</v>
      </c>
      <c r="T136" s="82">
        <f>N136/'2016'!N136-1</f>
        <v>0.17683741411970932</v>
      </c>
      <c r="U136" s="82">
        <f>O136/'2016'!O136-1</f>
        <v>0.15093451231385568</v>
      </c>
      <c r="V136" s="82">
        <f>P136/'2016'!P136-1</f>
        <v>0.14136323031659015</v>
      </c>
      <c r="W136" s="82">
        <f>Q136/'2016'!Q136-1</f>
        <v>0.10934465989876463</v>
      </c>
      <c r="X136" s="82">
        <f>R136/'2016'!R136-1</f>
        <v>7.76765616151045E-2</v>
      </c>
      <c r="Y136" s="82">
        <f>S136/'2016'!S136-1</f>
        <v>8.9310145218175041E-2</v>
      </c>
      <c r="Z136" s="138">
        <v>52.78</v>
      </c>
      <c r="AA136" s="138">
        <f>Q136/10000-Z136</f>
        <v>703.74236100000007</v>
      </c>
      <c r="AB136" s="33">
        <v>4258.08</v>
      </c>
      <c r="AC136" s="33">
        <f>AA136*10000/AB136</f>
        <v>1652.7222621463195</v>
      </c>
      <c r="AD136" s="33">
        <f t="shared" si="32"/>
        <v>7829907.1079999991</v>
      </c>
      <c r="AE136" s="33">
        <f t="shared" si="41"/>
        <v>113613</v>
      </c>
      <c r="AF136" s="33">
        <f t="shared" si="42"/>
        <v>100524</v>
      </c>
      <c r="AG136" s="33">
        <f t="shared" si="33"/>
        <v>50546.497999998741</v>
      </c>
    </row>
    <row r="137" spans="1:33" ht="15" customHeight="1" x14ac:dyDescent="0.15">
      <c r="A137" s="102">
        <v>42867</v>
      </c>
      <c r="B137" s="20" t="s">
        <v>38</v>
      </c>
      <c r="C137" s="8">
        <v>62073</v>
      </c>
      <c r="D137" s="37">
        <f>20443+11065</f>
        <v>31508</v>
      </c>
      <c r="E137" s="37">
        <v>95556</v>
      </c>
      <c r="F137" s="12">
        <v>4908.2</v>
      </c>
      <c r="G137" s="37">
        <v>3209.8</v>
      </c>
      <c r="H137" s="24"/>
      <c r="I137" s="36"/>
      <c r="J137" s="8">
        <f t="shared" si="30"/>
        <v>64048</v>
      </c>
      <c r="K137" s="37">
        <v>943</v>
      </c>
      <c r="L137" s="37">
        <v>790</v>
      </c>
      <c r="M137" s="127">
        <f t="shared" si="34"/>
        <v>242</v>
      </c>
      <c r="N137" s="74">
        <f t="shared" si="43"/>
        <v>728050</v>
      </c>
      <c r="O137" s="75">
        <f t="shared" si="43"/>
        <v>319946</v>
      </c>
      <c r="P137" s="75">
        <f t="shared" si="43"/>
        <v>1070432</v>
      </c>
      <c r="Q137" s="76">
        <f t="shared" si="29"/>
        <v>7627296.6100000003</v>
      </c>
      <c r="R137" s="76">
        <f t="shared" si="29"/>
        <v>3412965</v>
      </c>
      <c r="S137" s="76">
        <f t="shared" si="29"/>
        <v>11306920.107999999</v>
      </c>
      <c r="T137" s="80">
        <f>N137/'2016'!N137-1</f>
        <v>0.17769901827411005</v>
      </c>
      <c r="U137" s="80">
        <f>O137/'2016'!O137-1</f>
        <v>0.15636305808452278</v>
      </c>
      <c r="V137" s="80">
        <f>P137/'2016'!P137-1</f>
        <v>0.14274977688007895</v>
      </c>
      <c r="W137" s="81">
        <f>Q137/'2016'!Q137-1</f>
        <v>0.10993577407842681</v>
      </c>
      <c r="X137" s="81">
        <f>R137/'2016'!R137-1</f>
        <v>7.8754978190783254E-2</v>
      </c>
      <c r="Y137" s="81">
        <f>S137/'2016'!S137-1</f>
        <v>8.9849676213946905E-2</v>
      </c>
      <c r="Z137" s="136"/>
      <c r="AA137" s="136"/>
      <c r="AB137" s="105"/>
      <c r="AC137" s="105"/>
      <c r="AD137" s="37">
        <f t="shared" si="32"/>
        <v>7893955.1079999991</v>
      </c>
      <c r="AE137" s="37">
        <f t="shared" si="41"/>
        <v>114556</v>
      </c>
      <c r="AF137" s="37">
        <f t="shared" si="42"/>
        <v>101314</v>
      </c>
      <c r="AG137" s="37">
        <f t="shared" si="33"/>
        <v>50788.497999998741</v>
      </c>
    </row>
    <row r="138" spans="1:33" ht="15" customHeight="1" x14ac:dyDescent="0.15">
      <c r="A138" s="102">
        <v>42868</v>
      </c>
      <c r="B138" s="20" t="s">
        <v>39</v>
      </c>
      <c r="C138" s="70">
        <v>58472</v>
      </c>
      <c r="D138" s="71">
        <f>21347+10499</f>
        <v>31846</v>
      </c>
      <c r="E138" s="71">
        <v>92875</v>
      </c>
      <c r="F138" s="120">
        <v>4601.8999999999996</v>
      </c>
      <c r="G138" s="71">
        <v>3106.5</v>
      </c>
      <c r="H138" s="24"/>
      <c r="I138" s="24"/>
      <c r="J138" s="70">
        <f t="shared" si="30"/>
        <v>61029</v>
      </c>
      <c r="K138" s="71">
        <v>1118</v>
      </c>
      <c r="L138" s="71">
        <v>793</v>
      </c>
      <c r="M138" s="129">
        <f t="shared" si="34"/>
        <v>646</v>
      </c>
      <c r="N138" s="74">
        <f t="shared" si="43"/>
        <v>786522</v>
      </c>
      <c r="O138" s="75">
        <f t="shared" si="43"/>
        <v>351792</v>
      </c>
      <c r="P138" s="75">
        <f t="shared" si="43"/>
        <v>1163307</v>
      </c>
      <c r="Q138" s="76">
        <f t="shared" si="29"/>
        <v>7685768.6100000003</v>
      </c>
      <c r="R138" s="76">
        <f t="shared" si="29"/>
        <v>3444811</v>
      </c>
      <c r="S138" s="76">
        <f t="shared" si="29"/>
        <v>11399795.107999999</v>
      </c>
      <c r="T138" s="80">
        <f>N138/'2016'!N138-1</f>
        <v>0.1698799660870729</v>
      </c>
      <c r="U138" s="80">
        <f>O138/'2016'!O138-1</f>
        <v>0.16165845540160362</v>
      </c>
      <c r="V138" s="80">
        <f>P138/'2016'!P138-1</f>
        <v>0.13930190878196402</v>
      </c>
      <c r="W138" s="81">
        <f>Q138/'2016'!Q138-1</f>
        <v>0.10970620921407304</v>
      </c>
      <c r="X138" s="81">
        <f>R138/'2016'!R138-1</f>
        <v>7.9893967089797346E-2</v>
      </c>
      <c r="Y138" s="81">
        <f>S138/'2016'!S138-1</f>
        <v>8.9939724102614527E-2</v>
      </c>
      <c r="Z138" s="139"/>
      <c r="AA138" s="139"/>
      <c r="AB138" s="105"/>
      <c r="AC138" s="105"/>
      <c r="AD138" s="37">
        <f t="shared" si="32"/>
        <v>7954984.1079999991</v>
      </c>
      <c r="AE138" s="71">
        <f t="shared" si="41"/>
        <v>115674</v>
      </c>
      <c r="AF138" s="71">
        <f t="shared" si="42"/>
        <v>102107</v>
      </c>
      <c r="AG138" s="71">
        <f t="shared" si="33"/>
        <v>51434.497999998741</v>
      </c>
    </row>
    <row r="139" spans="1:33" ht="15" customHeight="1" x14ac:dyDescent="0.15">
      <c r="A139" s="102">
        <v>42869</v>
      </c>
      <c r="B139" s="20" t="s">
        <v>1</v>
      </c>
      <c r="C139" s="8">
        <v>54836</v>
      </c>
      <c r="D139" s="37">
        <f>20902+10895</f>
        <v>31797</v>
      </c>
      <c r="E139" s="37">
        <v>88919</v>
      </c>
      <c r="F139" s="12">
        <v>4303.5</v>
      </c>
      <c r="G139" s="37">
        <v>3112.6</v>
      </c>
      <c r="H139" s="24"/>
      <c r="I139" s="36"/>
      <c r="J139" s="8">
        <f t="shared" si="30"/>
        <v>57122</v>
      </c>
      <c r="K139" s="37">
        <v>861</v>
      </c>
      <c r="L139" s="37">
        <v>790</v>
      </c>
      <c r="M139" s="127">
        <f t="shared" si="34"/>
        <v>635</v>
      </c>
      <c r="N139" s="74">
        <f t="shared" si="43"/>
        <v>841358</v>
      </c>
      <c r="O139" s="75">
        <f t="shared" si="43"/>
        <v>383589</v>
      </c>
      <c r="P139" s="75">
        <f t="shared" si="43"/>
        <v>1252226</v>
      </c>
      <c r="Q139" s="76">
        <f t="shared" si="29"/>
        <v>7740604.6100000003</v>
      </c>
      <c r="R139" s="76">
        <f t="shared" si="29"/>
        <v>3476608</v>
      </c>
      <c r="S139" s="76">
        <f t="shared" si="29"/>
        <v>11488714.107999999</v>
      </c>
      <c r="T139" s="80">
        <f>N139/'2016'!N139-1</f>
        <v>0.16167148764609629</v>
      </c>
      <c r="U139" s="80">
        <f>O139/'2016'!O139-1</f>
        <v>0.16695973325869762</v>
      </c>
      <c r="V139" s="80">
        <f>P139/'2016'!P139-1</f>
        <v>0.13463472624175687</v>
      </c>
      <c r="W139" s="81">
        <f>Q139/'2016'!Q139-1</f>
        <v>0.10930225036056673</v>
      </c>
      <c r="X139" s="81">
        <f>R139/'2016'!R139-1</f>
        <v>8.1093654039010143E-2</v>
      </c>
      <c r="Y139" s="81">
        <f>S139/'2016'!S139-1</f>
        <v>8.9837734310508788E-2</v>
      </c>
      <c r="Z139" s="136"/>
      <c r="AA139" s="136"/>
      <c r="AB139" s="105"/>
      <c r="AC139" s="105"/>
      <c r="AD139" s="37">
        <f t="shared" si="32"/>
        <v>8012106.1079999991</v>
      </c>
      <c r="AE139" s="37">
        <f t="shared" si="41"/>
        <v>116535</v>
      </c>
      <c r="AF139" s="37">
        <f t="shared" si="42"/>
        <v>102897</v>
      </c>
      <c r="AG139" s="37">
        <f t="shared" si="33"/>
        <v>52069.497999998741</v>
      </c>
    </row>
    <row r="140" spans="1:33" ht="15" customHeight="1" x14ac:dyDescent="0.15">
      <c r="A140" s="102">
        <v>42870</v>
      </c>
      <c r="B140" s="20" t="s">
        <v>34</v>
      </c>
      <c r="C140" s="8">
        <v>59087</v>
      </c>
      <c r="D140" s="37">
        <f>21175+10847</f>
        <v>32022</v>
      </c>
      <c r="E140" s="37">
        <v>93064</v>
      </c>
      <c r="F140" s="12">
        <v>4754.8999999999996</v>
      </c>
      <c r="G140" s="37">
        <v>3002.2</v>
      </c>
      <c r="H140" s="24"/>
      <c r="I140" s="36"/>
      <c r="J140" s="8">
        <f t="shared" si="30"/>
        <v>61042</v>
      </c>
      <c r="K140" s="37">
        <v>787</v>
      </c>
      <c r="L140" s="37">
        <v>790</v>
      </c>
      <c r="M140" s="127">
        <f t="shared" si="34"/>
        <v>378</v>
      </c>
      <c r="N140" s="74">
        <f t="shared" si="43"/>
        <v>900445</v>
      </c>
      <c r="O140" s="75">
        <f t="shared" si="43"/>
        <v>415611</v>
      </c>
      <c r="P140" s="75">
        <f t="shared" si="43"/>
        <v>1345290</v>
      </c>
      <c r="Q140" s="76">
        <f t="shared" si="29"/>
        <v>7799691.6100000003</v>
      </c>
      <c r="R140" s="76">
        <f t="shared" si="29"/>
        <v>3508630</v>
      </c>
      <c r="S140" s="76">
        <f t="shared" si="29"/>
        <v>11581778.107999999</v>
      </c>
      <c r="T140" s="80">
        <f>N140/'2016'!N140-1</f>
        <v>0.16548881036513552</v>
      </c>
      <c r="U140" s="80">
        <f>O140/'2016'!O140-1</f>
        <v>0.17168576197027452</v>
      </c>
      <c r="V140" s="80">
        <f>P140/'2016'!P140-1</f>
        <v>0.13879657266495449</v>
      </c>
      <c r="W140" s="81">
        <f>Q140/'2016'!Q140-1</f>
        <v>0.11008218064056852</v>
      </c>
      <c r="X140" s="81">
        <f>R140/'2016'!R140-1</f>
        <v>8.229952906214355E-2</v>
      </c>
      <c r="Y140" s="81">
        <f>S140/'2016'!S140-1</f>
        <v>9.0628430220195844E-2</v>
      </c>
      <c r="Z140" s="136"/>
      <c r="AA140" s="136"/>
      <c r="AB140" s="105"/>
      <c r="AC140" s="105"/>
      <c r="AD140" s="37">
        <f t="shared" si="32"/>
        <v>8073148.1079999991</v>
      </c>
      <c r="AE140" s="37">
        <f t="shared" si="41"/>
        <v>117322</v>
      </c>
      <c r="AF140" s="37">
        <f t="shared" si="42"/>
        <v>103687</v>
      </c>
      <c r="AG140" s="37">
        <f t="shared" si="33"/>
        <v>52447.497999998741</v>
      </c>
    </row>
    <row r="141" spans="1:33" ht="15" customHeight="1" x14ac:dyDescent="0.15">
      <c r="A141" s="102">
        <v>42871</v>
      </c>
      <c r="B141" s="20" t="s">
        <v>35</v>
      </c>
      <c r="C141" s="8">
        <v>60261</v>
      </c>
      <c r="D141" s="37">
        <f>20678+10833</f>
        <v>31511</v>
      </c>
      <c r="E141" s="37">
        <v>93864</v>
      </c>
      <c r="F141" s="12">
        <v>4800.8</v>
      </c>
      <c r="G141" s="37">
        <v>3109.1</v>
      </c>
      <c r="H141" s="24"/>
      <c r="I141" s="36"/>
      <c r="J141" s="8">
        <f t="shared" si="30"/>
        <v>62353</v>
      </c>
      <c r="K141" s="37">
        <v>1007</v>
      </c>
      <c r="L141" s="37">
        <v>789</v>
      </c>
      <c r="M141" s="127">
        <f t="shared" si="34"/>
        <v>296</v>
      </c>
      <c r="N141" s="74">
        <f t="shared" si="43"/>
        <v>960706</v>
      </c>
      <c r="O141" s="75">
        <f t="shared" si="43"/>
        <v>447122</v>
      </c>
      <c r="P141" s="75">
        <f t="shared" si="43"/>
        <v>1439154</v>
      </c>
      <c r="Q141" s="76">
        <f t="shared" si="29"/>
        <v>7859952.6100000003</v>
      </c>
      <c r="R141" s="76">
        <f t="shared" si="29"/>
        <v>3540141</v>
      </c>
      <c r="S141" s="76">
        <f t="shared" si="29"/>
        <v>11675642.107999999</v>
      </c>
      <c r="T141" s="80">
        <f>N141/'2016'!N141-1</f>
        <v>0.16774198253563855</v>
      </c>
      <c r="U141" s="80">
        <f>O141/'2016'!O141-1</f>
        <v>0.17407550370376201</v>
      </c>
      <c r="V141" s="80">
        <f>P141/'2016'!P141-1</f>
        <v>0.14088818034727169</v>
      </c>
      <c r="W141" s="81">
        <f>Q141/'2016'!Q141-1</f>
        <v>0.11073652167510817</v>
      </c>
      <c r="X141" s="81">
        <f>R141/'2016'!R141-1</f>
        <v>8.3292379984246878E-2</v>
      </c>
      <c r="Y141" s="81">
        <f>S141/'2016'!S141-1</f>
        <v>9.123565926495969E-2</v>
      </c>
      <c r="Z141" s="136"/>
      <c r="AA141" s="136"/>
      <c r="AB141" s="105"/>
      <c r="AC141" s="105"/>
      <c r="AD141" s="37">
        <f t="shared" si="32"/>
        <v>8135501.1079999991</v>
      </c>
      <c r="AE141" s="37">
        <f t="shared" si="41"/>
        <v>118329</v>
      </c>
      <c r="AF141" s="37">
        <f t="shared" si="42"/>
        <v>104476</v>
      </c>
      <c r="AG141" s="37">
        <f t="shared" si="33"/>
        <v>52743.497999998741</v>
      </c>
    </row>
    <row r="142" spans="1:33" ht="15" customHeight="1" x14ac:dyDescent="0.15">
      <c r="A142" s="102">
        <v>42872</v>
      </c>
      <c r="B142" s="20" t="s">
        <v>36</v>
      </c>
      <c r="C142" s="8">
        <v>62816</v>
      </c>
      <c r="D142" s="37">
        <f>19994+9203</f>
        <v>29197</v>
      </c>
      <c r="E142" s="37">
        <v>94220</v>
      </c>
      <c r="F142" s="12">
        <v>4655.3999999999996</v>
      </c>
      <c r="G142" s="37">
        <v>3131.1</v>
      </c>
      <c r="H142" s="24"/>
      <c r="I142" s="36"/>
      <c r="J142" s="8">
        <f t="shared" si="30"/>
        <v>65023</v>
      </c>
      <c r="K142" s="37">
        <v>798</v>
      </c>
      <c r="L142" s="37">
        <v>793</v>
      </c>
      <c r="M142" s="127">
        <f t="shared" si="34"/>
        <v>616</v>
      </c>
      <c r="N142" s="74">
        <f t="shared" si="43"/>
        <v>1023522</v>
      </c>
      <c r="O142" s="75">
        <f t="shared" si="43"/>
        <v>476319</v>
      </c>
      <c r="P142" s="75">
        <f t="shared" si="43"/>
        <v>1533374</v>
      </c>
      <c r="Q142" s="76">
        <f t="shared" si="29"/>
        <v>7922768.6100000003</v>
      </c>
      <c r="R142" s="76">
        <f t="shared" si="29"/>
        <v>3569338</v>
      </c>
      <c r="S142" s="76">
        <f t="shared" si="29"/>
        <v>11769862.107999999</v>
      </c>
      <c r="T142" s="80">
        <f>N142/'2016'!N142-1</f>
        <v>0.16686560528070871</v>
      </c>
      <c r="U142" s="80">
        <f>O142/'2016'!O142-1</f>
        <v>0.1769913909837606</v>
      </c>
      <c r="V142" s="80">
        <f>P142/'2016'!P142-1</f>
        <v>0.14080311401231138</v>
      </c>
      <c r="W142" s="81">
        <f>Q142/'2016'!Q142-1</f>
        <v>0.11106401475067162</v>
      </c>
      <c r="X142" s="81">
        <f>R142/'2016'!R142-1</f>
        <v>8.4308962032730417E-2</v>
      </c>
      <c r="Y142" s="81">
        <f>S142/'2016'!S142-1</f>
        <v>9.1605824587554396E-2</v>
      </c>
      <c r="Z142" s="136">
        <f>(Z143-Z136)/7*6+Z136</f>
        <v>55.351428571428571</v>
      </c>
      <c r="AA142" s="136">
        <f>Q142/10000-Z142</f>
        <v>736.92543242857153</v>
      </c>
      <c r="AB142" s="105"/>
      <c r="AC142" s="105"/>
      <c r="AD142" s="37">
        <f t="shared" si="32"/>
        <v>8200524.1079999991</v>
      </c>
      <c r="AE142" s="37">
        <f t="shared" si="41"/>
        <v>119127</v>
      </c>
      <c r="AF142" s="37">
        <f t="shared" si="42"/>
        <v>105269</v>
      </c>
      <c r="AG142" s="37">
        <f t="shared" si="33"/>
        <v>53359.497999998741</v>
      </c>
    </row>
    <row r="143" spans="1:33" ht="15" customHeight="1" x14ac:dyDescent="0.15">
      <c r="A143" s="102">
        <v>42873</v>
      </c>
      <c r="B143" s="14" t="s">
        <v>37</v>
      </c>
      <c r="C143" s="32">
        <v>62653</v>
      </c>
      <c r="D143" s="33">
        <f>21216+9208</f>
        <v>30424</v>
      </c>
      <c r="E143" s="33">
        <v>95044</v>
      </c>
      <c r="F143" s="119">
        <v>4720.3999999999996</v>
      </c>
      <c r="G143" s="33">
        <v>3141.9</v>
      </c>
      <c r="H143" s="19"/>
      <c r="I143" s="19"/>
      <c r="J143" s="32">
        <f t="shared" si="30"/>
        <v>64620</v>
      </c>
      <c r="K143" s="33">
        <v>466</v>
      </c>
      <c r="L143" s="33">
        <v>790</v>
      </c>
      <c r="M143" s="128">
        <f t="shared" si="34"/>
        <v>711</v>
      </c>
      <c r="N143" s="77">
        <f t="shared" si="43"/>
        <v>1086175</v>
      </c>
      <c r="O143" s="78">
        <f t="shared" si="43"/>
        <v>506743</v>
      </c>
      <c r="P143" s="78">
        <f t="shared" si="43"/>
        <v>1628418</v>
      </c>
      <c r="Q143" s="77">
        <f t="shared" si="29"/>
        <v>7985421.6100000003</v>
      </c>
      <c r="R143" s="77">
        <f t="shared" si="29"/>
        <v>3599762</v>
      </c>
      <c r="S143" s="77">
        <f t="shared" si="29"/>
        <v>11864906.107999999</v>
      </c>
      <c r="T143" s="82">
        <f>N143/'2016'!N143-1</f>
        <v>0.16308392450809794</v>
      </c>
      <c r="U143" s="82">
        <f>O143/'2016'!O143-1</f>
        <v>0.18295356128215956</v>
      </c>
      <c r="V143" s="82">
        <f>P143/'2016'!P143-1</f>
        <v>0.14007489797618633</v>
      </c>
      <c r="W143" s="82">
        <f>Q143/'2016'!Q143-1</f>
        <v>0.11101301646160278</v>
      </c>
      <c r="X143" s="82">
        <f>R143/'2016'!R143-1</f>
        <v>8.5741224217973366E-2</v>
      </c>
      <c r="Y143" s="82">
        <f>S143/'2016'!S143-1</f>
        <v>9.1891430254733342E-2</v>
      </c>
      <c r="Z143" s="138">
        <v>55.78</v>
      </c>
      <c r="AA143" s="138">
        <f>Q143/10000-Z143</f>
        <v>742.76216100000011</v>
      </c>
      <c r="AB143" s="33">
        <v>4258.08</v>
      </c>
      <c r="AC143" s="33">
        <f>AA143*10000/AB143</f>
        <v>1744.3593380114985</v>
      </c>
      <c r="AD143" s="33">
        <f t="shared" si="32"/>
        <v>8265144.1079999991</v>
      </c>
      <c r="AE143" s="33">
        <f t="shared" si="41"/>
        <v>119593</v>
      </c>
      <c r="AF143" s="33">
        <f t="shared" si="42"/>
        <v>106059</v>
      </c>
      <c r="AG143" s="33">
        <f t="shared" si="33"/>
        <v>54070.497999998741</v>
      </c>
    </row>
    <row r="144" spans="1:33" ht="15" customHeight="1" x14ac:dyDescent="0.15">
      <c r="A144" s="102">
        <v>42874</v>
      </c>
      <c r="B144" s="20" t="s">
        <v>38</v>
      </c>
      <c r="C144" s="8">
        <v>63128</v>
      </c>
      <c r="D144" s="37">
        <f>21540+9095</f>
        <v>30635</v>
      </c>
      <c r="E144" s="37">
        <v>96137</v>
      </c>
      <c r="F144" s="12">
        <v>4787.5</v>
      </c>
      <c r="G144" s="37">
        <v>3185.9</v>
      </c>
      <c r="H144" s="24"/>
      <c r="I144" s="36"/>
      <c r="J144" s="8">
        <f t="shared" si="30"/>
        <v>65502</v>
      </c>
      <c r="K144" s="37">
        <v>989</v>
      </c>
      <c r="L144" s="37">
        <v>788</v>
      </c>
      <c r="M144" s="127">
        <f t="shared" si="34"/>
        <v>597</v>
      </c>
      <c r="N144" s="74">
        <f t="shared" si="43"/>
        <v>1149303</v>
      </c>
      <c r="O144" s="75">
        <f t="shared" si="43"/>
        <v>537378</v>
      </c>
      <c r="P144" s="75">
        <f t="shared" si="43"/>
        <v>1724555</v>
      </c>
      <c r="Q144" s="76">
        <f t="shared" si="29"/>
        <v>8048549.6100000003</v>
      </c>
      <c r="R144" s="76">
        <f t="shared" si="29"/>
        <v>3630397</v>
      </c>
      <c r="S144" s="76">
        <f t="shared" si="29"/>
        <v>11961043.107999999</v>
      </c>
      <c r="T144" s="80">
        <f>N144/'2016'!N144-1</f>
        <v>0.16073507980095969</v>
      </c>
      <c r="U144" s="80">
        <f>O144/'2016'!O144-1</f>
        <v>0.18851599718672452</v>
      </c>
      <c r="V144" s="80">
        <f>P144/'2016'!P144-1</f>
        <v>0.13989567098021949</v>
      </c>
      <c r="W144" s="81">
        <f>Q144/'2016'!Q144-1</f>
        <v>0.11109648540335937</v>
      </c>
      <c r="X144" s="81">
        <f>R144/'2016'!R144-1</f>
        <v>8.7186408721216191E-2</v>
      </c>
      <c r="Y144" s="81">
        <f>S144/'2016'!S144-1</f>
        <v>9.2238741470825003E-2</v>
      </c>
      <c r="Z144" s="136"/>
      <c r="AA144" s="136"/>
      <c r="AB144" s="105"/>
      <c r="AC144" s="105"/>
      <c r="AD144" s="37">
        <f t="shared" si="32"/>
        <v>8330646.1079999991</v>
      </c>
      <c r="AE144" s="37">
        <f t="shared" si="41"/>
        <v>120582</v>
      </c>
      <c r="AF144" s="37">
        <f t="shared" si="42"/>
        <v>106847</v>
      </c>
      <c r="AG144" s="37">
        <f t="shared" si="33"/>
        <v>54667.497999998741</v>
      </c>
    </row>
    <row r="145" spans="1:33" ht="15" customHeight="1" x14ac:dyDescent="0.15">
      <c r="A145" s="102">
        <v>42875</v>
      </c>
      <c r="B145" s="20" t="s">
        <v>39</v>
      </c>
      <c r="C145" s="70">
        <v>63941</v>
      </c>
      <c r="D145" s="71">
        <f>21098+9093</f>
        <v>30191</v>
      </c>
      <c r="E145" s="71">
        <v>95848</v>
      </c>
      <c r="F145" s="120">
        <v>4800.6000000000004</v>
      </c>
      <c r="G145" s="71">
        <v>3212.9</v>
      </c>
      <c r="H145" s="24"/>
      <c r="I145" s="24"/>
      <c r="J145" s="70">
        <f t="shared" si="30"/>
        <v>65657</v>
      </c>
      <c r="K145" s="71">
        <v>394</v>
      </c>
      <c r="L145" s="71">
        <v>789</v>
      </c>
      <c r="M145" s="129">
        <f t="shared" si="34"/>
        <v>533</v>
      </c>
      <c r="N145" s="74">
        <f t="shared" si="43"/>
        <v>1213244</v>
      </c>
      <c r="O145" s="75">
        <f t="shared" si="43"/>
        <v>567569</v>
      </c>
      <c r="P145" s="75">
        <f t="shared" si="43"/>
        <v>1820403</v>
      </c>
      <c r="Q145" s="76">
        <f t="shared" si="29"/>
        <v>8112490.6100000003</v>
      </c>
      <c r="R145" s="76">
        <f t="shared" si="29"/>
        <v>3660588</v>
      </c>
      <c r="S145" s="76">
        <f t="shared" si="29"/>
        <v>12056891.107999999</v>
      </c>
      <c r="T145" s="80">
        <f>N145/'2016'!N145-1</f>
        <v>0.1586872125949661</v>
      </c>
      <c r="U145" s="80">
        <f>O145/'2016'!O145-1</f>
        <v>0.19182350977176466</v>
      </c>
      <c r="V145" s="80">
        <f>P145/'2016'!P145-1</f>
        <v>0.13926638725355511</v>
      </c>
      <c r="W145" s="81">
        <f>Q145/'2016'!Q145-1</f>
        <v>0.11118987788060486</v>
      </c>
      <c r="X145" s="81">
        <f>R145/'2016'!R145-1</f>
        <v>8.8380108321024053E-2</v>
      </c>
      <c r="Y145" s="81">
        <f>S145/'2016'!S145-1</f>
        <v>9.2514545743354715E-2</v>
      </c>
      <c r="Z145" s="139"/>
      <c r="AA145" s="139"/>
      <c r="AB145" s="105"/>
      <c r="AC145" s="105"/>
      <c r="AD145" s="37">
        <f t="shared" si="32"/>
        <v>8396303.1079999991</v>
      </c>
      <c r="AE145" s="71">
        <f t="shared" si="41"/>
        <v>120976</v>
      </c>
      <c r="AF145" s="71">
        <f t="shared" si="42"/>
        <v>107636</v>
      </c>
      <c r="AG145" s="71">
        <f t="shared" si="33"/>
        <v>55200.497999998741</v>
      </c>
    </row>
    <row r="146" spans="1:33" ht="15" customHeight="1" x14ac:dyDescent="0.15">
      <c r="A146" s="102">
        <v>42876</v>
      </c>
      <c r="B146" s="20" t="s">
        <v>1</v>
      </c>
      <c r="C146" s="8">
        <v>59844</v>
      </c>
      <c r="D146" s="37">
        <f>21294+9101</f>
        <v>30395</v>
      </c>
      <c r="E146" s="37">
        <v>91976</v>
      </c>
      <c r="F146" s="12">
        <v>4491.2</v>
      </c>
      <c r="G146" s="37">
        <v>3178.8</v>
      </c>
      <c r="H146" s="24"/>
      <c r="I146" s="36"/>
      <c r="J146" s="8">
        <f t="shared" si="30"/>
        <v>61581</v>
      </c>
      <c r="K146" s="37">
        <v>358</v>
      </c>
      <c r="L146" s="37">
        <v>788</v>
      </c>
      <c r="M146" s="127">
        <f t="shared" si="34"/>
        <v>591</v>
      </c>
      <c r="N146" s="74">
        <f t="shared" si="43"/>
        <v>1273088</v>
      </c>
      <c r="O146" s="75">
        <f t="shared" si="43"/>
        <v>597964</v>
      </c>
      <c r="P146" s="75">
        <f t="shared" si="43"/>
        <v>1912379</v>
      </c>
      <c r="Q146" s="76">
        <f t="shared" si="29"/>
        <v>8172334.6100000003</v>
      </c>
      <c r="R146" s="76">
        <f t="shared" si="29"/>
        <v>3690983</v>
      </c>
      <c r="S146" s="76">
        <f t="shared" si="29"/>
        <v>12148867.107999999</v>
      </c>
      <c r="T146" s="80">
        <f>N146/'2016'!N146-1</f>
        <v>0.1546058150745</v>
      </c>
      <c r="U146" s="80">
        <f>O146/'2016'!O146-1</f>
        <v>0.19464017788823651</v>
      </c>
      <c r="V146" s="80">
        <f>P146/'2016'!P146-1</f>
        <v>0.13715998251784645</v>
      </c>
      <c r="W146" s="81">
        <f>Q146/'2016'!Q146-1</f>
        <v>0.11093667893015158</v>
      </c>
      <c r="X146" s="81">
        <f>R146/'2016'!R146-1</f>
        <v>8.9538902415121191E-2</v>
      </c>
      <c r="Y146" s="81">
        <f>S146/'2016'!S146-1</f>
        <v>9.254848494359269E-2</v>
      </c>
      <c r="Z146" s="136"/>
      <c r="AA146" s="136"/>
      <c r="AB146" s="105"/>
      <c r="AC146" s="105"/>
      <c r="AD146" s="37">
        <f t="shared" si="32"/>
        <v>8457884.1079999991</v>
      </c>
      <c r="AE146" s="37">
        <f t="shared" si="41"/>
        <v>121334</v>
      </c>
      <c r="AF146" s="37">
        <f t="shared" si="42"/>
        <v>108424</v>
      </c>
      <c r="AG146" s="37">
        <f t="shared" si="33"/>
        <v>55791.497999998741</v>
      </c>
    </row>
    <row r="147" spans="1:33" ht="15" customHeight="1" x14ac:dyDescent="0.15">
      <c r="A147" s="102">
        <v>42877</v>
      </c>
      <c r="B147" s="20" t="s">
        <v>34</v>
      </c>
      <c r="C147" s="8">
        <v>65420</v>
      </c>
      <c r="D147" s="37">
        <v>29982</v>
      </c>
      <c r="E147" s="37">
        <v>97711</v>
      </c>
      <c r="F147" s="12">
        <v>4897</v>
      </c>
      <c r="G147" s="37">
        <v>3108</v>
      </c>
      <c r="H147" s="24"/>
      <c r="I147" s="36"/>
      <c r="J147" s="8">
        <f t="shared" si="30"/>
        <v>67729</v>
      </c>
      <c r="K147" s="37">
        <v>937</v>
      </c>
      <c r="L147" s="37">
        <v>789</v>
      </c>
      <c r="M147" s="127">
        <f t="shared" si="34"/>
        <v>583</v>
      </c>
      <c r="N147" s="74">
        <f t="shared" si="43"/>
        <v>1338508</v>
      </c>
      <c r="O147" s="75">
        <f t="shared" si="43"/>
        <v>627946</v>
      </c>
      <c r="P147" s="75">
        <f t="shared" si="43"/>
        <v>2010090</v>
      </c>
      <c r="Q147" s="76">
        <f t="shared" si="29"/>
        <v>8237754.6100000003</v>
      </c>
      <c r="R147" s="76">
        <f t="shared" si="29"/>
        <v>3720965</v>
      </c>
      <c r="S147" s="76">
        <f t="shared" si="29"/>
        <v>12246578.107999999</v>
      </c>
      <c r="T147" s="80">
        <f>N147/'2016'!N147-1</f>
        <v>0.16042761740535649</v>
      </c>
      <c r="U147" s="80">
        <f>O147/'2016'!O147-1</f>
        <v>0.19532943866081132</v>
      </c>
      <c r="V147" s="80">
        <f>P147/'2016'!P147-1</f>
        <v>0.14147332053350414</v>
      </c>
      <c r="W147" s="81">
        <f>Q147/'2016'!Q147-1</f>
        <v>0.11214302628559092</v>
      </c>
      <c r="X147" s="81">
        <f>R147/'2016'!R147-1</f>
        <v>9.0408650676200297E-2</v>
      </c>
      <c r="Y147" s="81">
        <f>S147/'2016'!S147-1</f>
        <v>9.3542404556407943E-2</v>
      </c>
      <c r="Z147" s="136"/>
      <c r="AA147" s="136"/>
      <c r="AB147" s="105"/>
      <c r="AC147" s="105"/>
      <c r="AD147" s="37">
        <f t="shared" si="32"/>
        <v>8525613.1079999991</v>
      </c>
      <c r="AE147" s="37">
        <f t="shared" si="41"/>
        <v>122271</v>
      </c>
      <c r="AF147" s="37">
        <f t="shared" si="42"/>
        <v>109213</v>
      </c>
      <c r="AG147" s="37">
        <f t="shared" si="33"/>
        <v>56374.497999998741</v>
      </c>
    </row>
    <row r="148" spans="1:33" ht="15" customHeight="1" x14ac:dyDescent="0.15">
      <c r="A148" s="102">
        <v>42878</v>
      </c>
      <c r="B148" s="20" t="s">
        <v>35</v>
      </c>
      <c r="C148" s="8">
        <v>66914</v>
      </c>
      <c r="D148" s="37">
        <v>31135</v>
      </c>
      <c r="E148" s="37">
        <v>99638</v>
      </c>
      <c r="F148" s="12">
        <v>5069</v>
      </c>
      <c r="G148" s="37">
        <v>3281</v>
      </c>
      <c r="H148" s="24"/>
      <c r="I148" s="36"/>
      <c r="J148" s="8">
        <f t="shared" si="30"/>
        <v>68503</v>
      </c>
      <c r="K148" s="37">
        <v>515</v>
      </c>
      <c r="L148" s="37">
        <v>787</v>
      </c>
      <c r="M148" s="127">
        <f t="shared" si="34"/>
        <v>287</v>
      </c>
      <c r="N148" s="74">
        <f t="shared" si="43"/>
        <v>1405422</v>
      </c>
      <c r="O148" s="75">
        <f t="shared" si="43"/>
        <v>659081</v>
      </c>
      <c r="P148" s="75">
        <f t="shared" si="43"/>
        <v>2109728</v>
      </c>
      <c r="Q148" s="76">
        <f t="shared" si="29"/>
        <v>8304668.6100000003</v>
      </c>
      <c r="R148" s="76">
        <f t="shared" si="29"/>
        <v>3752100</v>
      </c>
      <c r="S148" s="76">
        <f t="shared" si="29"/>
        <v>12346216.107999999</v>
      </c>
      <c r="T148" s="80">
        <f>N148/'2016'!N148-1</f>
        <v>0.16289934218691826</v>
      </c>
      <c r="U148" s="80">
        <f>O148/'2016'!O148-1</f>
        <v>0.19604790136630323</v>
      </c>
      <c r="V148" s="80">
        <f>P148/'2016'!P148-1</f>
        <v>0.14341336090886525</v>
      </c>
      <c r="W148" s="81">
        <f>Q148/'2016'!Q148-1</f>
        <v>0.11289979522094651</v>
      </c>
      <c r="X148" s="81">
        <f>R148/'2016'!R148-1</f>
        <v>9.1308563926232766E-2</v>
      </c>
      <c r="Y148" s="81">
        <f>S148/'2016'!S148-1</f>
        <v>9.4217138653656107E-2</v>
      </c>
      <c r="Z148" s="136"/>
      <c r="AA148" s="136"/>
      <c r="AB148" s="105"/>
      <c r="AC148" s="105"/>
      <c r="AD148" s="37">
        <f t="shared" si="32"/>
        <v>8594116.1079999991</v>
      </c>
      <c r="AE148" s="37">
        <f t="shared" si="41"/>
        <v>122786</v>
      </c>
      <c r="AF148" s="37">
        <f t="shared" si="42"/>
        <v>110000</v>
      </c>
      <c r="AG148" s="37">
        <f t="shared" si="33"/>
        <v>56661.497999998741</v>
      </c>
    </row>
    <row r="149" spans="1:33" ht="15" customHeight="1" x14ac:dyDescent="0.15">
      <c r="A149" s="102">
        <v>42879</v>
      </c>
      <c r="B149" s="20" t="s">
        <v>36</v>
      </c>
      <c r="C149" s="8">
        <v>64654</v>
      </c>
      <c r="D149" s="37">
        <v>28754</v>
      </c>
      <c r="E149" s="37">
        <v>95258</v>
      </c>
      <c r="F149" s="12">
        <v>4824</v>
      </c>
      <c r="G149" s="37">
        <v>3193</v>
      </c>
      <c r="H149" s="24"/>
      <c r="I149" s="36"/>
      <c r="J149" s="8">
        <f t="shared" si="30"/>
        <v>66504</v>
      </c>
      <c r="K149" s="37">
        <v>692</v>
      </c>
      <c r="L149" s="37">
        <v>786</v>
      </c>
      <c r="M149" s="127">
        <f t="shared" si="34"/>
        <v>372</v>
      </c>
      <c r="N149" s="74">
        <f t="shared" si="43"/>
        <v>1470076</v>
      </c>
      <c r="O149" s="75">
        <f t="shared" si="43"/>
        <v>687835</v>
      </c>
      <c r="P149" s="75">
        <f t="shared" si="43"/>
        <v>2204986</v>
      </c>
      <c r="Q149" s="76">
        <f t="shared" si="29"/>
        <v>8369322.6100000003</v>
      </c>
      <c r="R149" s="76">
        <f t="shared" si="29"/>
        <v>3780854</v>
      </c>
      <c r="S149" s="76">
        <f t="shared" si="29"/>
        <v>12441474.107999999</v>
      </c>
      <c r="T149" s="80">
        <f>N149/'2016'!N149-1</f>
        <v>0.16289496832659367</v>
      </c>
      <c r="U149" s="80">
        <f>O149/'2016'!O149-1</f>
        <v>0.19139254889258783</v>
      </c>
      <c r="V149" s="80">
        <f>P149/'2016'!P149-1</f>
        <v>0.142186848450786</v>
      </c>
      <c r="W149" s="81">
        <f>Q149/'2016'!Q149-1</f>
        <v>0.11326885916354956</v>
      </c>
      <c r="X149" s="81">
        <f>R149/'2016'!R149-1</f>
        <v>9.1327522316647869E-2</v>
      </c>
      <c r="Y149" s="81">
        <f>S149/'2016'!S149-1</f>
        <v>9.4378342109459723E-2</v>
      </c>
      <c r="Z149" s="136">
        <f>(Z150-Z143)/7*6+Z143</f>
        <v>58.831428571428575</v>
      </c>
      <c r="AA149" s="136">
        <f>Q149/10000-Z149</f>
        <v>778.10083242857149</v>
      </c>
      <c r="AB149" s="105"/>
      <c r="AC149" s="105"/>
      <c r="AD149" s="37">
        <f t="shared" si="32"/>
        <v>8660620.1079999991</v>
      </c>
      <c r="AE149" s="37">
        <f t="shared" si="41"/>
        <v>123478</v>
      </c>
      <c r="AF149" s="37">
        <f t="shared" si="42"/>
        <v>110786</v>
      </c>
      <c r="AG149" s="37">
        <f t="shared" si="33"/>
        <v>57033.497999998741</v>
      </c>
    </row>
    <row r="150" spans="1:33" ht="15" customHeight="1" x14ac:dyDescent="0.15">
      <c r="A150" s="102">
        <v>42880</v>
      </c>
      <c r="B150" s="14" t="s">
        <v>37</v>
      </c>
      <c r="C150" s="32">
        <v>62045</v>
      </c>
      <c r="D150" s="33">
        <v>31130</v>
      </c>
      <c r="E150" s="33">
        <v>95156</v>
      </c>
      <c r="F150" s="119">
        <v>4724</v>
      </c>
      <c r="G150" s="33">
        <v>3154</v>
      </c>
      <c r="H150" s="19"/>
      <c r="I150" s="19"/>
      <c r="J150" s="32">
        <f t="shared" si="30"/>
        <v>64026</v>
      </c>
      <c r="K150" s="33">
        <v>532</v>
      </c>
      <c r="L150" s="33">
        <v>791</v>
      </c>
      <c r="M150" s="128">
        <f t="shared" si="34"/>
        <v>658</v>
      </c>
      <c r="N150" s="77">
        <f t="shared" si="43"/>
        <v>1532121</v>
      </c>
      <c r="O150" s="78">
        <f t="shared" si="43"/>
        <v>718965</v>
      </c>
      <c r="P150" s="78">
        <f t="shared" si="43"/>
        <v>2300142</v>
      </c>
      <c r="Q150" s="77">
        <f t="shared" si="29"/>
        <v>8431367.6099999994</v>
      </c>
      <c r="R150" s="77">
        <f t="shared" si="29"/>
        <v>3811984</v>
      </c>
      <c r="S150" s="77">
        <f t="shared" si="29"/>
        <v>12536630.107999999</v>
      </c>
      <c r="T150" s="82">
        <f>N150/'2016'!N150-1</f>
        <v>0.16034610724023013</v>
      </c>
      <c r="U150" s="82">
        <f>O150/'2016'!O150-1</f>
        <v>0.19064297850776524</v>
      </c>
      <c r="V150" s="82">
        <f>P150/'2016'!P150-1</f>
        <v>0.14046203710636029</v>
      </c>
      <c r="W150" s="82">
        <f>Q150/'2016'!Q150-1</f>
        <v>0.11319305459081996</v>
      </c>
      <c r="X150" s="82">
        <f>R150/'2016'!R150-1</f>
        <v>9.1957720548742516E-2</v>
      </c>
      <c r="Y150" s="82">
        <f>S150/'2016'!S150-1</f>
        <v>9.4435074566863841E-2</v>
      </c>
      <c r="Z150" s="138">
        <v>59.34</v>
      </c>
      <c r="AA150" s="138">
        <f>Q150/10000-Z150</f>
        <v>783.79676099999995</v>
      </c>
      <c r="AB150" s="33">
        <v>4258.08</v>
      </c>
      <c r="AC150" s="33">
        <f>AA150*10000/AB150</f>
        <v>1840.7281239431857</v>
      </c>
      <c r="AD150" s="33">
        <f t="shared" si="32"/>
        <v>8724646.1079999991</v>
      </c>
      <c r="AE150" s="33">
        <f t="shared" si="41"/>
        <v>124010</v>
      </c>
      <c r="AF150" s="33">
        <f t="shared" si="42"/>
        <v>111577</v>
      </c>
      <c r="AG150" s="33">
        <f t="shared" si="33"/>
        <v>57691.497999999672</v>
      </c>
    </row>
    <row r="151" spans="1:33" ht="15" customHeight="1" x14ac:dyDescent="0.15">
      <c r="A151" s="102">
        <v>42881</v>
      </c>
      <c r="B151" s="20" t="s">
        <v>38</v>
      </c>
      <c r="C151" s="8">
        <v>63869</v>
      </c>
      <c r="D151" s="37">
        <v>30669</v>
      </c>
      <c r="E151" s="37">
        <v>96503</v>
      </c>
      <c r="F151" s="12">
        <v>4763</v>
      </c>
      <c r="G151" s="37">
        <v>3197</v>
      </c>
      <c r="H151" s="24"/>
      <c r="I151" s="36"/>
      <c r="J151" s="8">
        <f t="shared" si="30"/>
        <v>65834</v>
      </c>
      <c r="K151" s="37">
        <v>552</v>
      </c>
      <c r="L151" s="37">
        <v>786</v>
      </c>
      <c r="M151" s="127">
        <f t="shared" si="34"/>
        <v>627</v>
      </c>
      <c r="N151" s="74">
        <f t="shared" si="43"/>
        <v>1595990</v>
      </c>
      <c r="O151" s="75">
        <f t="shared" si="43"/>
        <v>749634</v>
      </c>
      <c r="P151" s="75">
        <f t="shared" si="43"/>
        <v>2396645</v>
      </c>
      <c r="Q151" s="76">
        <f t="shared" si="29"/>
        <v>8495236.6099999994</v>
      </c>
      <c r="R151" s="76">
        <f t="shared" si="29"/>
        <v>3842653</v>
      </c>
      <c r="S151" s="76">
        <f t="shared" si="29"/>
        <v>12633133.107999999</v>
      </c>
      <c r="T151" s="80">
        <f>N151/'2016'!N151-1</f>
        <v>0.1579224593382389</v>
      </c>
      <c r="U151" s="80">
        <f>O151/'2016'!O151-1</f>
        <v>0.19010303386305538</v>
      </c>
      <c r="V151" s="80">
        <f>P151/'2016'!P151-1</f>
        <v>0.13899834091273089</v>
      </c>
      <c r="W151" s="81">
        <f>Q151/'2016'!Q151-1</f>
        <v>0.11311321035314514</v>
      </c>
      <c r="X151" s="81">
        <f>R151/'2016'!R151-1</f>
        <v>9.2591797514193219E-2</v>
      </c>
      <c r="Y151" s="81">
        <f>S151/'2016'!S151-1</f>
        <v>9.4516438410165105E-2</v>
      </c>
      <c r="Z151" s="136"/>
      <c r="AA151" s="136"/>
      <c r="AB151" s="105"/>
      <c r="AC151" s="105"/>
      <c r="AD151" s="37">
        <f t="shared" si="32"/>
        <v>8790480.1079999991</v>
      </c>
      <c r="AE151" s="37">
        <f t="shared" si="41"/>
        <v>124562</v>
      </c>
      <c r="AF151" s="37">
        <f t="shared" si="42"/>
        <v>112363</v>
      </c>
      <c r="AG151" s="37">
        <f t="shared" si="33"/>
        <v>58318.497999999672</v>
      </c>
    </row>
    <row r="152" spans="1:33" ht="15" customHeight="1" x14ac:dyDescent="0.15">
      <c r="A152" s="102">
        <v>42882</v>
      </c>
      <c r="B152" s="20" t="s">
        <v>39</v>
      </c>
      <c r="C152" s="70">
        <v>66996</v>
      </c>
      <c r="D152" s="71">
        <v>27733</v>
      </c>
      <c r="E152" s="71">
        <v>97180</v>
      </c>
      <c r="F152" s="120">
        <v>4829</v>
      </c>
      <c r="G152" s="71">
        <v>3224</v>
      </c>
      <c r="H152" s="24"/>
      <c r="I152" s="24"/>
      <c r="J152" s="70">
        <f t="shared" si="30"/>
        <v>69447</v>
      </c>
      <c r="K152" s="71">
        <v>980</v>
      </c>
      <c r="L152" s="71">
        <v>789</v>
      </c>
      <c r="M152" s="129">
        <f t="shared" si="34"/>
        <v>682</v>
      </c>
      <c r="N152" s="74">
        <f t="shared" ref="N152:P155" si="44">N151+C152</f>
        <v>1662986</v>
      </c>
      <c r="O152" s="75">
        <f t="shared" si="44"/>
        <v>777367</v>
      </c>
      <c r="P152" s="75">
        <f t="shared" si="44"/>
        <v>2493825</v>
      </c>
      <c r="Q152" s="76">
        <f t="shared" si="29"/>
        <v>8562232.6099999994</v>
      </c>
      <c r="R152" s="76">
        <f t="shared" si="29"/>
        <v>3870386</v>
      </c>
      <c r="S152" s="76">
        <f t="shared" si="29"/>
        <v>12730313.107999999</v>
      </c>
      <c r="T152" s="80">
        <f>N152/'2016'!N152-1</f>
        <v>0.15686626429921002</v>
      </c>
      <c r="U152" s="80">
        <f>O152/'2016'!O152-1</f>
        <v>0.18645394855327058</v>
      </c>
      <c r="V152" s="80">
        <f>P152/'2016'!P152-1</f>
        <v>0.13766170847357428</v>
      </c>
      <c r="W152" s="81">
        <f>Q152/'2016'!Q152-1</f>
        <v>0.11326053476400277</v>
      </c>
      <c r="X152" s="81">
        <f>R152/'2016'!R152-1</f>
        <v>9.2613624012970019E-2</v>
      </c>
      <c r="Y152" s="81">
        <f>S152/'2016'!S152-1</f>
        <v>9.4600673872223595E-2</v>
      </c>
      <c r="Z152" s="139"/>
      <c r="AA152" s="139"/>
      <c r="AB152" s="105"/>
      <c r="AC152" s="105"/>
      <c r="AD152" s="37">
        <f t="shared" si="32"/>
        <v>8859927.1079999991</v>
      </c>
      <c r="AE152" s="71">
        <f t="shared" si="41"/>
        <v>125542</v>
      </c>
      <c r="AF152" s="71">
        <f t="shared" si="42"/>
        <v>113152</v>
      </c>
      <c r="AG152" s="71">
        <f t="shared" si="33"/>
        <v>59000.497999999672</v>
      </c>
    </row>
    <row r="153" spans="1:33" ht="15" customHeight="1" x14ac:dyDescent="0.15">
      <c r="A153" s="102">
        <v>42883</v>
      </c>
      <c r="B153" s="20" t="s">
        <v>1</v>
      </c>
      <c r="C153" s="8">
        <v>68675</v>
      </c>
      <c r="D153" s="37">
        <v>22661</v>
      </c>
      <c r="E153" s="37">
        <v>94486</v>
      </c>
      <c r="F153" s="12">
        <v>4679</v>
      </c>
      <c r="G153" s="37">
        <v>3227</v>
      </c>
      <c r="H153" s="24"/>
      <c r="I153" s="36"/>
      <c r="J153" s="8">
        <f t="shared" si="30"/>
        <v>71825</v>
      </c>
      <c r="K153" s="37">
        <v>1644</v>
      </c>
      <c r="L153" s="37">
        <v>786</v>
      </c>
      <c r="M153" s="127">
        <f t="shared" si="34"/>
        <v>720</v>
      </c>
      <c r="N153" s="74">
        <f t="shared" si="44"/>
        <v>1731661</v>
      </c>
      <c r="O153" s="75">
        <f t="shared" si="44"/>
        <v>800028</v>
      </c>
      <c r="P153" s="75">
        <f t="shared" si="44"/>
        <v>2588311</v>
      </c>
      <c r="Q153" s="76">
        <f t="shared" si="29"/>
        <v>8630907.6099999994</v>
      </c>
      <c r="R153" s="76">
        <f t="shared" si="29"/>
        <v>3893047</v>
      </c>
      <c r="S153" s="76">
        <f t="shared" si="29"/>
        <v>12824799.107999999</v>
      </c>
      <c r="T153" s="80">
        <f>N153/'2016'!N153-1</f>
        <v>0.15777892924599257</v>
      </c>
      <c r="U153" s="80">
        <f>O153/'2016'!O153-1</f>
        <v>0.17562831460476014</v>
      </c>
      <c r="V153" s="80">
        <f>P153/'2016'!P153-1</f>
        <v>0.13543328156941192</v>
      </c>
      <c r="W153" s="81">
        <f>Q153/'2016'!Q153-1</f>
        <v>0.11376408414990014</v>
      </c>
      <c r="X153" s="81">
        <f>R153/'2016'!R153-1</f>
        <v>9.1214386701752526E-2</v>
      </c>
      <c r="Y153" s="81">
        <f>S153/'2016'!S153-1</f>
        <v>9.448876870517009E-2</v>
      </c>
      <c r="Z153" s="136"/>
      <c r="AA153" s="136"/>
      <c r="AB153" s="105"/>
      <c r="AC153" s="105"/>
      <c r="AD153" s="37">
        <f t="shared" si="32"/>
        <v>8931752.1079999991</v>
      </c>
      <c r="AE153" s="37">
        <f t="shared" si="41"/>
        <v>127186</v>
      </c>
      <c r="AF153" s="37">
        <f t="shared" si="42"/>
        <v>113938</v>
      </c>
      <c r="AG153" s="37">
        <f t="shared" si="33"/>
        <v>59720.497999999672</v>
      </c>
    </row>
    <row r="154" spans="1:33" ht="15" customHeight="1" x14ac:dyDescent="0.15">
      <c r="A154" s="102">
        <v>42884</v>
      </c>
      <c r="B154" s="20" t="s">
        <v>34</v>
      </c>
      <c r="C154" s="8">
        <v>63978</v>
      </c>
      <c r="D154" s="37">
        <v>23944</v>
      </c>
      <c r="E154" s="37">
        <v>90192</v>
      </c>
      <c r="F154" s="12">
        <v>4394</v>
      </c>
      <c r="G154" s="37">
        <v>3137</v>
      </c>
      <c r="H154" s="24"/>
      <c r="I154" s="36"/>
      <c r="J154" s="8">
        <f t="shared" si="30"/>
        <v>66248</v>
      </c>
      <c r="K154" s="37">
        <v>679</v>
      </c>
      <c r="L154" s="37">
        <v>787</v>
      </c>
      <c r="M154" s="127">
        <f t="shared" si="34"/>
        <v>804</v>
      </c>
      <c r="N154" s="74">
        <f t="shared" si="44"/>
        <v>1795639</v>
      </c>
      <c r="O154" s="75">
        <f t="shared" si="44"/>
        <v>823972</v>
      </c>
      <c r="P154" s="75">
        <f t="shared" si="44"/>
        <v>2678503</v>
      </c>
      <c r="Q154" s="76">
        <f t="shared" si="29"/>
        <v>8694885.6099999994</v>
      </c>
      <c r="R154" s="76">
        <f t="shared" si="29"/>
        <v>3916991</v>
      </c>
      <c r="S154" s="76">
        <f t="shared" si="29"/>
        <v>12914991.107999999</v>
      </c>
      <c r="T154" s="80">
        <f>N154/'2016'!N154-1</f>
        <v>0.1605027874469882</v>
      </c>
      <c r="U154" s="80">
        <f>O154/'2016'!O154-1</f>
        <v>0.16671905753083283</v>
      </c>
      <c r="V154" s="80">
        <f>P154/'2016'!P154-1</f>
        <v>0.13494783737277127</v>
      </c>
      <c r="W154" s="81">
        <f>Q154/'2016'!Q154-1</f>
        <v>0.11459560157740101</v>
      </c>
      <c r="X154" s="81">
        <f>R154/'2016'!R154-1</f>
        <v>9.0067560967532545E-2</v>
      </c>
      <c r="Y154" s="81">
        <f>S154/'2016'!S154-1</f>
        <v>9.4670835940047438E-2</v>
      </c>
      <c r="Z154" s="136"/>
      <c r="AA154" s="136"/>
      <c r="AB154" s="105"/>
      <c r="AC154" s="105"/>
      <c r="AD154" s="37">
        <f t="shared" si="32"/>
        <v>8998000.1079999991</v>
      </c>
      <c r="AE154" s="37">
        <f t="shared" si="41"/>
        <v>127865</v>
      </c>
      <c r="AF154" s="37">
        <f t="shared" si="42"/>
        <v>114725</v>
      </c>
      <c r="AG154" s="37">
        <f t="shared" si="33"/>
        <v>60524.497999999672</v>
      </c>
    </row>
    <row r="155" spans="1:33" ht="15" customHeight="1" x14ac:dyDescent="0.15">
      <c r="A155" s="102">
        <v>42885</v>
      </c>
      <c r="B155" s="20" t="s">
        <v>35</v>
      </c>
      <c r="C155" s="8">
        <v>50824</v>
      </c>
      <c r="D155" s="37">
        <v>21389</v>
      </c>
      <c r="E155" s="37">
        <v>73822</v>
      </c>
      <c r="F155" s="12">
        <v>3371</v>
      </c>
      <c r="G155" s="37">
        <v>2889</v>
      </c>
      <c r="H155" s="24"/>
      <c r="I155" s="36"/>
      <c r="J155" s="8">
        <f t="shared" si="30"/>
        <v>52433</v>
      </c>
      <c r="K155" s="37">
        <v>209</v>
      </c>
      <c r="L155" s="37">
        <v>787</v>
      </c>
      <c r="M155" s="127">
        <f t="shared" si="34"/>
        <v>613</v>
      </c>
      <c r="N155" s="74">
        <f t="shared" si="44"/>
        <v>1846463</v>
      </c>
      <c r="O155" s="75">
        <f t="shared" si="44"/>
        <v>845361</v>
      </c>
      <c r="P155" s="75">
        <f t="shared" si="44"/>
        <v>2752325</v>
      </c>
      <c r="Q155" s="76">
        <f t="shared" si="29"/>
        <v>8745709.6099999994</v>
      </c>
      <c r="R155" s="76">
        <f t="shared" si="29"/>
        <v>3938380</v>
      </c>
      <c r="S155" s="76">
        <f t="shared" si="29"/>
        <v>12988813.107999999</v>
      </c>
      <c r="T155" s="80">
        <f>N155/'2016'!N155-1</f>
        <v>0.15268856808427622</v>
      </c>
      <c r="U155" s="80">
        <f>O155/'2016'!O155-1</f>
        <v>0.15557356903346453</v>
      </c>
      <c r="V155" s="80">
        <f>P155/'2016'!P155-1</f>
        <v>0.12638863594973593</v>
      </c>
      <c r="W155" s="81">
        <f>Q155/'2016'!Q155-1</f>
        <v>0.11332111558836244</v>
      </c>
      <c r="X155" s="81">
        <f>R155/'2016'!R155-1</f>
        <v>8.8350741211959738E-2</v>
      </c>
      <c r="Y155" s="81">
        <f>S155/'2016'!S155-1</f>
        <v>9.3193554601675332E-2</v>
      </c>
      <c r="Z155" s="136"/>
      <c r="AA155" s="136"/>
      <c r="AB155" s="105"/>
      <c r="AC155" s="105"/>
      <c r="AD155" s="37">
        <f t="shared" si="32"/>
        <v>9050433.1079999991</v>
      </c>
      <c r="AE155" s="37">
        <f t="shared" si="41"/>
        <v>128074</v>
      </c>
      <c r="AF155" s="37">
        <f t="shared" si="42"/>
        <v>115512</v>
      </c>
      <c r="AG155" s="37">
        <f t="shared" si="33"/>
        <v>61137.497999999672</v>
      </c>
    </row>
    <row r="156" spans="1:33" s="1" customFormat="1" ht="15" customHeight="1" x14ac:dyDescent="0.15">
      <c r="A156" s="25">
        <v>42886</v>
      </c>
      <c r="B156" s="25" t="s">
        <v>36</v>
      </c>
      <c r="C156" s="42">
        <v>65762</v>
      </c>
      <c r="D156" s="43">
        <v>26904</v>
      </c>
      <c r="E156" s="43">
        <v>94263</v>
      </c>
      <c r="F156" s="122">
        <v>4796</v>
      </c>
      <c r="G156" s="43">
        <v>2673</v>
      </c>
      <c r="H156" s="30"/>
      <c r="I156" s="30"/>
      <c r="J156" s="42">
        <f t="shared" si="30"/>
        <v>67359</v>
      </c>
      <c r="K156" s="43">
        <v>392</v>
      </c>
      <c r="L156" s="43">
        <v>785</v>
      </c>
      <c r="M156" s="130">
        <f t="shared" si="34"/>
        <v>420</v>
      </c>
      <c r="N156" s="87">
        <v>1912230.87</v>
      </c>
      <c r="O156" s="88">
        <v>872265</v>
      </c>
      <c r="P156" s="88">
        <v>2846588.21</v>
      </c>
      <c r="Q156" s="87">
        <v>8811477.8200000003</v>
      </c>
      <c r="R156" s="87">
        <v>3965284</v>
      </c>
      <c r="S156" s="87">
        <v>13083076.318</v>
      </c>
      <c r="T156" s="89">
        <f>N156/'2016'!N156-1</f>
        <v>0.1520406912855512</v>
      </c>
      <c r="U156" s="89">
        <f>O156/'2016'!O156-1</f>
        <v>0.15187294158661913</v>
      </c>
      <c r="V156" s="89">
        <f>P156/'2016'!P156-1</f>
        <v>0.1249664911459798</v>
      </c>
      <c r="W156" s="89">
        <f>Q156/'2016'!Q156-1</f>
        <v>0.11347374481313777</v>
      </c>
      <c r="X156" s="89">
        <f>R156/'2016'!R156-1</f>
        <v>8.8055976676384873E-2</v>
      </c>
      <c r="Y156" s="89">
        <f>S156/'2016'!S156-1</f>
        <v>9.3133852511093407E-2</v>
      </c>
      <c r="Z156" s="141">
        <f>[15]日发电量查询!$D$12/10000</f>
        <v>61.937674999999999</v>
      </c>
      <c r="AA156" s="141">
        <f>[15]日发电量查询!$D$11/10000</f>
        <v>819.21010699999999</v>
      </c>
      <c r="AB156" s="43">
        <v>4258.08</v>
      </c>
      <c r="AC156" s="43">
        <f>AA156*10000/AB156</f>
        <v>1923.8955280314133</v>
      </c>
      <c r="AD156" s="43">
        <v>9117792.318</v>
      </c>
      <c r="AE156" s="43">
        <v>127799.89</v>
      </c>
      <c r="AF156" s="43">
        <f t="shared" si="42"/>
        <v>116297</v>
      </c>
      <c r="AG156" s="43">
        <f t="shared" si="33"/>
        <v>62217.607999999658</v>
      </c>
    </row>
    <row r="157" spans="1:33" ht="15" customHeight="1" x14ac:dyDescent="0.15">
      <c r="A157" s="102">
        <v>42887</v>
      </c>
      <c r="B157" s="14" t="s">
        <v>37</v>
      </c>
      <c r="C157" s="32">
        <v>67196</v>
      </c>
      <c r="D157" s="33">
        <f>21459+9333</f>
        <v>30792</v>
      </c>
      <c r="E157" s="33">
        <v>99454</v>
      </c>
      <c r="F157" s="119">
        <v>5016.6000000000004</v>
      </c>
      <c r="G157" s="33">
        <v>3309.5</v>
      </c>
      <c r="H157" s="19"/>
      <c r="I157" s="19"/>
      <c r="J157" s="32">
        <f t="shared" si="30"/>
        <v>68662</v>
      </c>
      <c r="K157" s="33">
        <v>449</v>
      </c>
      <c r="L157" s="33">
        <v>786</v>
      </c>
      <c r="M157" s="128">
        <f t="shared" si="34"/>
        <v>231</v>
      </c>
      <c r="N157" s="77">
        <f>C157</f>
        <v>67196</v>
      </c>
      <c r="O157" s="78">
        <f>D157</f>
        <v>30792</v>
      </c>
      <c r="P157" s="78">
        <f>E157</f>
        <v>99454</v>
      </c>
      <c r="Q157" s="77">
        <f>Q$156+N157</f>
        <v>8878673.8200000003</v>
      </c>
      <c r="R157" s="77">
        <f>R$156+O157</f>
        <v>3996076</v>
      </c>
      <c r="S157" s="77">
        <f>S$156+P157</f>
        <v>13182530.318</v>
      </c>
      <c r="T157" s="82">
        <f>N157/'2016'!N157-1</f>
        <v>0.33877908830092451</v>
      </c>
      <c r="U157" s="82">
        <f>O157/'2016'!O157-1</f>
        <v>-1.8519108787811156E-2</v>
      </c>
      <c r="V157" s="82">
        <f>P157/'2016'!P157-1</f>
        <v>0.1943413673427723</v>
      </c>
      <c r="W157" s="82">
        <f>Q157/'2016'!Q157-1</f>
        <v>0.11489375472064167</v>
      </c>
      <c r="X157" s="82">
        <f>R157/'2016'!R157-1</f>
        <v>8.714634409105293E-2</v>
      </c>
      <c r="Y157" s="82">
        <f>S157/'2016'!S157-1</f>
        <v>9.3833144964068582E-2</v>
      </c>
      <c r="Z157" s="138">
        <v>61.97</v>
      </c>
      <c r="AA157" s="138">
        <f>Q157/10000-Z157</f>
        <v>825.89738199999999</v>
      </c>
      <c r="AB157" s="33">
        <v>4258.08</v>
      </c>
      <c r="AC157" s="33">
        <f>AA157*10000/AB157</f>
        <v>1939.6004349378125</v>
      </c>
      <c r="AD157" s="33">
        <f t="shared" si="32"/>
        <v>9186454.318</v>
      </c>
      <c r="AE157" s="33">
        <f t="shared" si="41"/>
        <v>128248.89</v>
      </c>
      <c r="AF157" s="33">
        <f t="shared" si="42"/>
        <v>117083</v>
      </c>
      <c r="AG157" s="33">
        <f t="shared" si="33"/>
        <v>62448.607999999658</v>
      </c>
    </row>
    <row r="158" spans="1:33" ht="15" customHeight="1" x14ac:dyDescent="0.15">
      <c r="A158" s="102">
        <v>42888</v>
      </c>
      <c r="B158" s="20" t="s">
        <v>38</v>
      </c>
      <c r="C158" s="8">
        <v>66618</v>
      </c>
      <c r="D158" s="37">
        <f>22783+9158</f>
        <v>31941</v>
      </c>
      <c r="E158" s="37">
        <v>100132</v>
      </c>
      <c r="F158" s="12">
        <v>5053.1000000000004</v>
      </c>
      <c r="G158" s="37">
        <v>3276.5</v>
      </c>
      <c r="H158" s="24"/>
      <c r="I158" s="36"/>
      <c r="J158" s="8">
        <f t="shared" si="30"/>
        <v>68191</v>
      </c>
      <c r="K158" s="37">
        <v>236</v>
      </c>
      <c r="L158" s="37">
        <v>782</v>
      </c>
      <c r="M158" s="127">
        <f t="shared" si="34"/>
        <v>555</v>
      </c>
      <c r="N158" s="74">
        <f t="shared" ref="N158:P173" si="45">N157+C158</f>
        <v>133814</v>
      </c>
      <c r="O158" s="75">
        <f t="shared" si="45"/>
        <v>62733</v>
      </c>
      <c r="P158" s="75">
        <f t="shared" si="45"/>
        <v>199586</v>
      </c>
      <c r="Q158" s="76">
        <f t="shared" ref="Q158:S186" si="46">Q$156+N158</f>
        <v>8945291.8200000003</v>
      </c>
      <c r="R158" s="76">
        <f t="shared" si="46"/>
        <v>4028017</v>
      </c>
      <c r="S158" s="76">
        <f t="shared" si="46"/>
        <v>13282662.318</v>
      </c>
      <c r="T158" s="80">
        <f>N158/'2016'!N158-1</f>
        <v>0.38850092868334496</v>
      </c>
      <c r="U158" s="80">
        <f>O158/'2016'!O158-1</f>
        <v>-2.245457661981487E-2</v>
      </c>
      <c r="V158" s="80">
        <f>P158/'2016'!P158-1</f>
        <v>0.21560912623488004</v>
      </c>
      <c r="W158" s="81">
        <f>Q158/'2016'!Q158-1</f>
        <v>0.11678280912213879</v>
      </c>
      <c r="X158" s="81">
        <f>R158/'2016'!R158-1</f>
        <v>8.6143664274086706E-2</v>
      </c>
      <c r="Y158" s="81">
        <f>S158/'2016'!S158-1</f>
        <v>9.4791265481638742E-2</v>
      </c>
      <c r="Z158" s="136"/>
      <c r="AA158" s="136"/>
      <c r="AB158" s="105"/>
      <c r="AC158" s="105"/>
      <c r="AD158" s="37">
        <f t="shared" si="32"/>
        <v>9254645.318</v>
      </c>
      <c r="AE158" s="37">
        <f t="shared" si="41"/>
        <v>128484.89</v>
      </c>
      <c r="AF158" s="37">
        <f t="shared" si="42"/>
        <v>117865</v>
      </c>
      <c r="AG158" s="37">
        <f t="shared" si="33"/>
        <v>63003.607999999658</v>
      </c>
    </row>
    <row r="159" spans="1:33" ht="15" customHeight="1" x14ac:dyDescent="0.15">
      <c r="A159" s="102">
        <v>42889</v>
      </c>
      <c r="B159" s="20" t="s">
        <v>39</v>
      </c>
      <c r="C159" s="70">
        <v>65245</v>
      </c>
      <c r="D159" s="71">
        <f>22553+8732</f>
        <v>31285</v>
      </c>
      <c r="E159" s="71">
        <v>98115</v>
      </c>
      <c r="F159" s="120">
        <v>4920.3999999999996</v>
      </c>
      <c r="G159" s="71">
        <v>3336.2</v>
      </c>
      <c r="H159" s="24"/>
      <c r="I159" s="24"/>
      <c r="J159" s="70">
        <f t="shared" si="30"/>
        <v>66830</v>
      </c>
      <c r="K159" s="71">
        <v>226</v>
      </c>
      <c r="L159" s="71">
        <v>783</v>
      </c>
      <c r="M159" s="129">
        <f t="shared" si="34"/>
        <v>576</v>
      </c>
      <c r="N159" s="74">
        <f t="shared" si="45"/>
        <v>199059</v>
      </c>
      <c r="O159" s="75">
        <f t="shared" si="45"/>
        <v>94018</v>
      </c>
      <c r="P159" s="75">
        <f t="shared" si="45"/>
        <v>297701</v>
      </c>
      <c r="Q159" s="76">
        <f t="shared" si="46"/>
        <v>9010536.8200000003</v>
      </c>
      <c r="R159" s="76">
        <f t="shared" si="46"/>
        <v>4059302</v>
      </c>
      <c r="S159" s="76">
        <f t="shared" si="46"/>
        <v>13380777.318</v>
      </c>
      <c r="T159" s="80">
        <f>N159/'2016'!N159-1</f>
        <v>0.41772846083172488</v>
      </c>
      <c r="U159" s="80">
        <f>O159/'2016'!O159-1</f>
        <v>-4.7571773000790185E-2</v>
      </c>
      <c r="V159" s="80">
        <f>P159/'2016'!P159-1</f>
        <v>0.21381303998597412</v>
      </c>
      <c r="W159" s="81">
        <f>Q159/'2016'!Q159-1</f>
        <v>0.11877793767250933</v>
      </c>
      <c r="X159" s="81">
        <f>R159/'2016'!R159-1</f>
        <v>8.4479156119451115E-2</v>
      </c>
      <c r="Y159" s="81">
        <f>S159/'2016'!S159-1</f>
        <v>9.5557193810576146E-2</v>
      </c>
      <c r="Z159" s="139"/>
      <c r="AA159" s="139"/>
      <c r="AB159" s="105"/>
      <c r="AC159" s="105"/>
      <c r="AD159" s="37">
        <f t="shared" si="32"/>
        <v>9321475.318</v>
      </c>
      <c r="AE159" s="71">
        <f t="shared" si="41"/>
        <v>128710.89</v>
      </c>
      <c r="AF159" s="71">
        <f t="shared" si="42"/>
        <v>118648</v>
      </c>
      <c r="AG159" s="71">
        <f t="shared" si="33"/>
        <v>63579.607999999658</v>
      </c>
    </row>
    <row r="160" spans="1:33" ht="15" customHeight="1" x14ac:dyDescent="0.15">
      <c r="A160" s="102">
        <v>42890</v>
      </c>
      <c r="B160" s="20" t="s">
        <v>1</v>
      </c>
      <c r="C160" s="8">
        <v>56416</v>
      </c>
      <c r="D160" s="37">
        <f>24864+8818</f>
        <v>33682</v>
      </c>
      <c r="E160" s="37">
        <v>91731</v>
      </c>
      <c r="F160" s="12">
        <v>4500.2</v>
      </c>
      <c r="G160" s="37">
        <v>3227.4</v>
      </c>
      <c r="H160" s="24"/>
      <c r="I160" s="36"/>
      <c r="J160" s="8">
        <f t="shared" si="30"/>
        <v>58049</v>
      </c>
      <c r="K160" s="37">
        <v>211</v>
      </c>
      <c r="L160" s="37">
        <v>783</v>
      </c>
      <c r="M160" s="127">
        <f t="shared" si="34"/>
        <v>639</v>
      </c>
      <c r="N160" s="74">
        <f t="shared" si="45"/>
        <v>255475</v>
      </c>
      <c r="O160" s="75">
        <f t="shared" si="45"/>
        <v>127700</v>
      </c>
      <c r="P160" s="75">
        <f t="shared" si="45"/>
        <v>389432</v>
      </c>
      <c r="Q160" s="76">
        <f t="shared" si="46"/>
        <v>9066952.8200000003</v>
      </c>
      <c r="R160" s="76">
        <f t="shared" si="46"/>
        <v>4092984</v>
      </c>
      <c r="S160" s="76">
        <f t="shared" si="46"/>
        <v>13472508.318</v>
      </c>
      <c r="T160" s="80">
        <f>N160/'2016'!N160-1</f>
        <v>0.38276222281158501</v>
      </c>
      <c r="U160" s="80">
        <f>O160/'2016'!O160-1</f>
        <v>-3.956799362218999E-2</v>
      </c>
      <c r="V160" s="80">
        <f>P160/'2016'!P160-1</f>
        <v>0.19423600015946363</v>
      </c>
      <c r="W160" s="81">
        <f>Q160/'2016'!Q160-1</f>
        <v>0.11961740176284796</v>
      </c>
      <c r="X160" s="81">
        <f>R160/'2016'!R160-1</f>
        <v>8.3563654384995134E-2</v>
      </c>
      <c r="Y160" s="81">
        <f>S160/'2016'!S160-1</f>
        <v>9.5815432829544633E-2</v>
      </c>
      <c r="Z160" s="136"/>
      <c r="AA160" s="136"/>
      <c r="AB160" s="105"/>
      <c r="AC160" s="105"/>
      <c r="AD160" s="37">
        <f t="shared" si="32"/>
        <v>9379524.318</v>
      </c>
      <c r="AE160" s="37">
        <f t="shared" si="41"/>
        <v>128921.89</v>
      </c>
      <c r="AF160" s="37">
        <f t="shared" si="42"/>
        <v>119431</v>
      </c>
      <c r="AG160" s="37">
        <f t="shared" si="33"/>
        <v>64218.607999999658</v>
      </c>
    </row>
    <row r="161" spans="1:33" ht="15" customHeight="1" x14ac:dyDescent="0.15">
      <c r="A161" s="102">
        <v>42891</v>
      </c>
      <c r="B161" s="20" t="s">
        <v>34</v>
      </c>
      <c r="C161" s="8">
        <v>55783</v>
      </c>
      <c r="D161" s="37">
        <f>25689+9111</f>
        <v>34800</v>
      </c>
      <c r="E161" s="37">
        <v>92965</v>
      </c>
      <c r="F161" s="12">
        <v>4802.3</v>
      </c>
      <c r="G161" s="37">
        <v>3081</v>
      </c>
      <c r="H161" s="24"/>
      <c r="I161" s="36"/>
      <c r="J161" s="8">
        <f t="shared" si="30"/>
        <v>58165</v>
      </c>
      <c r="K161" s="37">
        <v>1221</v>
      </c>
      <c r="L161" s="37">
        <v>782</v>
      </c>
      <c r="M161" s="127">
        <f t="shared" si="34"/>
        <v>379</v>
      </c>
      <c r="N161" s="74">
        <f t="shared" si="45"/>
        <v>311258</v>
      </c>
      <c r="O161" s="75">
        <f t="shared" si="45"/>
        <v>162500</v>
      </c>
      <c r="P161" s="75">
        <f t="shared" si="45"/>
        <v>482397</v>
      </c>
      <c r="Q161" s="76">
        <f t="shared" si="46"/>
        <v>9122735.8200000003</v>
      </c>
      <c r="R161" s="76">
        <f t="shared" si="46"/>
        <v>4127784</v>
      </c>
      <c r="S161" s="76">
        <f t="shared" si="46"/>
        <v>13565473.318</v>
      </c>
      <c r="T161" s="80">
        <f>N161/'2016'!N161-1</f>
        <v>0.37113833494121318</v>
      </c>
      <c r="U161" s="80">
        <f>O161/'2016'!O161-1</f>
        <v>-2.3226178740592962E-2</v>
      </c>
      <c r="V161" s="80">
        <f>P161/'2016'!P161-1</f>
        <v>0.19349659069541891</v>
      </c>
      <c r="W161" s="81">
        <f>Q161/'2016'!Q161-1</f>
        <v>0.12065900293716236</v>
      </c>
      <c r="X161" s="81">
        <f>R161/'2016'!R161-1</f>
        <v>8.3197773450241597E-2</v>
      </c>
      <c r="Y161" s="81">
        <f>S161/'2016'!S161-1</f>
        <v>9.6412501656887084E-2</v>
      </c>
      <c r="Z161" s="136"/>
      <c r="AA161" s="136"/>
      <c r="AB161" s="105"/>
      <c r="AC161" s="105"/>
      <c r="AD161" s="37">
        <f t="shared" si="32"/>
        <v>9437689.318</v>
      </c>
      <c r="AE161" s="37">
        <f t="shared" si="41"/>
        <v>130142.89</v>
      </c>
      <c r="AF161" s="37">
        <f t="shared" si="42"/>
        <v>120213</v>
      </c>
      <c r="AG161" s="37">
        <f t="shared" si="33"/>
        <v>64597.607999999658</v>
      </c>
    </row>
    <row r="162" spans="1:33" ht="15" customHeight="1" x14ac:dyDescent="0.15">
      <c r="A162" s="102">
        <v>42892</v>
      </c>
      <c r="B162" s="20" t="s">
        <v>35</v>
      </c>
      <c r="C162" s="8">
        <v>58938</v>
      </c>
      <c r="D162" s="37">
        <f>27619+9031</f>
        <v>36650</v>
      </c>
      <c r="E162" s="37">
        <v>97273</v>
      </c>
      <c r="F162" s="12">
        <v>4858.1000000000004</v>
      </c>
      <c r="G162" s="37">
        <v>3119.1</v>
      </c>
      <c r="H162" s="24"/>
      <c r="I162" s="36"/>
      <c r="J162" s="8">
        <f t="shared" si="30"/>
        <v>60623</v>
      </c>
      <c r="K162" s="37">
        <v>199</v>
      </c>
      <c r="L162" s="37">
        <v>782</v>
      </c>
      <c r="M162" s="127">
        <f t="shared" si="34"/>
        <v>704</v>
      </c>
      <c r="N162" s="74">
        <f t="shared" si="45"/>
        <v>370196</v>
      </c>
      <c r="O162" s="75">
        <f t="shared" si="45"/>
        <v>199150</v>
      </c>
      <c r="P162" s="75">
        <f t="shared" si="45"/>
        <v>579670</v>
      </c>
      <c r="Q162" s="76">
        <f t="shared" si="46"/>
        <v>9181673.8200000003</v>
      </c>
      <c r="R162" s="76">
        <f t="shared" si="46"/>
        <v>4164434</v>
      </c>
      <c r="S162" s="76">
        <f t="shared" si="46"/>
        <v>13662746.318</v>
      </c>
      <c r="T162" s="80">
        <f>N162/'2016'!N162-1</f>
        <v>0.34816746299965029</v>
      </c>
      <c r="U162" s="80">
        <f>O162/'2016'!O162-1</f>
        <v>-8.241826647742867E-3</v>
      </c>
      <c r="V162" s="80">
        <f>P162/'2016'!P162-1</f>
        <v>0.18622216674272352</v>
      </c>
      <c r="W162" s="81">
        <f>Q162/'2016'!Q162-1</f>
        <v>0.12134432001582796</v>
      </c>
      <c r="X162" s="81">
        <f>R162/'2016'!R162-1</f>
        <v>8.3027062452212919E-2</v>
      </c>
      <c r="Y162" s="81">
        <f>S162/'2016'!S162-1</f>
        <v>9.6785540529117586E-2</v>
      </c>
      <c r="Z162" s="136"/>
      <c r="AA162" s="136"/>
      <c r="AB162" s="105"/>
      <c r="AC162" s="105"/>
      <c r="AD162" s="37">
        <f t="shared" si="32"/>
        <v>9498312.318</v>
      </c>
      <c r="AE162" s="37">
        <f t="shared" si="41"/>
        <v>130341.89</v>
      </c>
      <c r="AF162" s="37">
        <f t="shared" si="42"/>
        <v>120995</v>
      </c>
      <c r="AG162" s="37">
        <f t="shared" si="33"/>
        <v>65301.607999999658</v>
      </c>
    </row>
    <row r="163" spans="1:33" ht="15" customHeight="1" x14ac:dyDescent="0.15">
      <c r="A163" s="102">
        <v>42893</v>
      </c>
      <c r="B163" s="20" t="s">
        <v>36</v>
      </c>
      <c r="C163" s="8">
        <v>60340</v>
      </c>
      <c r="D163" s="37">
        <f>26571+8979</f>
        <v>35550</v>
      </c>
      <c r="E163" s="37">
        <v>97515</v>
      </c>
      <c r="F163" s="12">
        <v>4907.7</v>
      </c>
      <c r="G163" s="37">
        <v>3260.4</v>
      </c>
      <c r="H163" s="24"/>
      <c r="I163" s="36"/>
      <c r="J163" s="8">
        <f t="shared" si="30"/>
        <v>61965</v>
      </c>
      <c r="K163" s="37">
        <v>276</v>
      </c>
      <c r="L163" s="37">
        <v>786</v>
      </c>
      <c r="M163" s="127">
        <f t="shared" si="34"/>
        <v>563</v>
      </c>
      <c r="N163" s="74">
        <f t="shared" si="45"/>
        <v>430536</v>
      </c>
      <c r="O163" s="75">
        <f t="shared" si="45"/>
        <v>234700</v>
      </c>
      <c r="P163" s="75">
        <f t="shared" si="45"/>
        <v>677185</v>
      </c>
      <c r="Q163" s="76">
        <f t="shared" si="46"/>
        <v>9242013.8200000003</v>
      </c>
      <c r="R163" s="76">
        <f t="shared" si="46"/>
        <v>4199984</v>
      </c>
      <c r="S163" s="76">
        <f t="shared" si="46"/>
        <v>13760261.318</v>
      </c>
      <c r="T163" s="80">
        <f>N163/'2016'!N163-1</f>
        <v>0.32942208169163689</v>
      </c>
      <c r="U163" s="80">
        <f>O163/'2016'!O163-1</f>
        <v>-8.3154461101627719E-3</v>
      </c>
      <c r="V163" s="80">
        <f>P163/'2016'!P163-1</f>
        <v>0.17330956167981726</v>
      </c>
      <c r="W163" s="81">
        <f>Q163/'2016'!Q163-1</f>
        <v>0.1219637638538098</v>
      </c>
      <c r="X163" s="81">
        <f>R163/'2016'!R163-1</f>
        <v>8.2179197705359197E-2</v>
      </c>
      <c r="Y163" s="81">
        <f>S163/'2016'!S163-1</f>
        <v>9.6822329953919928E-2</v>
      </c>
      <c r="Z163" s="136">
        <f>(Z164-Z157)/7*6+Z157</f>
        <v>64.181428571428569</v>
      </c>
      <c r="AA163" s="136">
        <f>Q163/10000-Z163</f>
        <v>860.01995342857151</v>
      </c>
      <c r="AB163" s="105"/>
      <c r="AC163" s="105"/>
      <c r="AD163" s="37">
        <f t="shared" si="32"/>
        <v>9560277.318</v>
      </c>
      <c r="AE163" s="37">
        <f t="shared" si="41"/>
        <v>130617.89</v>
      </c>
      <c r="AF163" s="37">
        <f t="shared" si="42"/>
        <v>121781</v>
      </c>
      <c r="AG163" s="37">
        <f t="shared" si="33"/>
        <v>65864.607999999658</v>
      </c>
    </row>
    <row r="164" spans="1:33" ht="15" customHeight="1" x14ac:dyDescent="0.15">
      <c r="A164" s="102">
        <v>42894</v>
      </c>
      <c r="B164" s="14" t="s">
        <v>37</v>
      </c>
      <c r="C164" s="32">
        <v>59642</v>
      </c>
      <c r="D164" s="33">
        <f>29231+8722</f>
        <v>37953</v>
      </c>
      <c r="E164" s="33">
        <v>99403</v>
      </c>
      <c r="F164" s="119">
        <v>4959.8999999999996</v>
      </c>
      <c r="G164" s="33">
        <v>3308.7</v>
      </c>
      <c r="H164" s="19"/>
      <c r="I164" s="19"/>
      <c r="J164" s="32">
        <f t="shared" si="30"/>
        <v>61450</v>
      </c>
      <c r="K164" s="33">
        <v>448</v>
      </c>
      <c r="L164" s="33">
        <v>781</v>
      </c>
      <c r="M164" s="128">
        <f t="shared" si="34"/>
        <v>579</v>
      </c>
      <c r="N164" s="77">
        <f t="shared" si="45"/>
        <v>490178</v>
      </c>
      <c r="O164" s="78">
        <f t="shared" si="45"/>
        <v>272653</v>
      </c>
      <c r="P164" s="78">
        <f t="shared" si="45"/>
        <v>776588</v>
      </c>
      <c r="Q164" s="77">
        <f t="shared" si="46"/>
        <v>9301655.8200000003</v>
      </c>
      <c r="R164" s="77">
        <f t="shared" si="46"/>
        <v>4237937</v>
      </c>
      <c r="S164" s="77">
        <f t="shared" si="46"/>
        <v>13859664.318</v>
      </c>
      <c r="T164" s="82">
        <f>N164/'2016'!N164-1</f>
        <v>0.31172362118333385</v>
      </c>
      <c r="U164" s="82">
        <f>O164/'2016'!O164-1</f>
        <v>3.4041394335511121E-3</v>
      </c>
      <c r="V164" s="82">
        <f>P164/'2016'!P164-1</f>
        <v>0.16859228049055752</v>
      </c>
      <c r="W164" s="82">
        <f>Q164/'2016'!Q164-1</f>
        <v>0.12241332137431815</v>
      </c>
      <c r="X164" s="82">
        <f>R164/'2016'!R164-1</f>
        <v>8.2182210222764729E-2</v>
      </c>
      <c r="Y164" s="82">
        <f>S164/'2016'!S164-1</f>
        <v>9.710330150601254E-2</v>
      </c>
      <c r="Z164" s="138">
        <v>64.55</v>
      </c>
      <c r="AA164" s="138">
        <f>Q164/10000-Z164</f>
        <v>865.61558200000013</v>
      </c>
      <c r="AB164" s="33">
        <v>4258.08</v>
      </c>
      <c r="AC164" s="33">
        <f>AA164*10000/AB164</f>
        <v>2032.8776866568976</v>
      </c>
      <c r="AD164" s="33">
        <f t="shared" si="32"/>
        <v>9621727.318</v>
      </c>
      <c r="AE164" s="33">
        <f t="shared" si="41"/>
        <v>131065.89</v>
      </c>
      <c r="AF164" s="33">
        <f t="shared" si="42"/>
        <v>122562</v>
      </c>
      <c r="AG164" s="33">
        <f t="shared" si="33"/>
        <v>66443.607999999658</v>
      </c>
    </row>
    <row r="165" spans="1:33" ht="15" customHeight="1" x14ac:dyDescent="0.15">
      <c r="A165" s="102">
        <v>42895</v>
      </c>
      <c r="B165" s="20" t="s">
        <v>38</v>
      </c>
      <c r="C165" s="8">
        <v>68815</v>
      </c>
      <c r="D165" s="37">
        <f>19978+8973</f>
        <v>28951</v>
      </c>
      <c r="E165" s="37">
        <v>99907</v>
      </c>
      <c r="F165" s="12">
        <v>5054.2</v>
      </c>
      <c r="G165" s="37">
        <v>3311.2</v>
      </c>
      <c r="H165" s="24"/>
      <c r="I165" s="36"/>
      <c r="J165" s="8">
        <f t="shared" si="30"/>
        <v>70956</v>
      </c>
      <c r="K165" s="37">
        <v>796</v>
      </c>
      <c r="L165" s="37">
        <v>782</v>
      </c>
      <c r="M165" s="127">
        <f t="shared" si="34"/>
        <v>563</v>
      </c>
      <c r="N165" s="74">
        <f t="shared" si="45"/>
        <v>558993</v>
      </c>
      <c r="O165" s="75">
        <f t="shared" si="45"/>
        <v>301604</v>
      </c>
      <c r="P165" s="75">
        <f t="shared" si="45"/>
        <v>876495</v>
      </c>
      <c r="Q165" s="76">
        <f t="shared" si="46"/>
        <v>9370470.8200000003</v>
      </c>
      <c r="R165" s="76">
        <f t="shared" si="46"/>
        <v>4266888</v>
      </c>
      <c r="S165" s="76">
        <f t="shared" si="46"/>
        <v>13959571.318</v>
      </c>
      <c r="T165" s="80">
        <f>N165/'2016'!N165-1</f>
        <v>0.36209194601272432</v>
      </c>
      <c r="U165" s="80">
        <f>O165/'2016'!O165-1</f>
        <v>1.0506989023948865E-2</v>
      </c>
      <c r="V165" s="80">
        <f>P165/'2016'!P165-1</f>
        <v>0.20133305555631709</v>
      </c>
      <c r="W165" s="81">
        <f>Q165/'2016'!Q165-1</f>
        <v>0.12573136665811302</v>
      </c>
      <c r="X165" s="81">
        <f>R165/'2016'!R165-1</f>
        <v>8.2185620883205246E-2</v>
      </c>
      <c r="Y165" s="81">
        <f>S165/'2016'!S165-1</f>
        <v>9.9350758157929153E-2</v>
      </c>
      <c r="Z165" s="136"/>
      <c r="AA165" s="136"/>
      <c r="AB165" s="105"/>
      <c r="AC165" s="105"/>
      <c r="AD165" s="37">
        <f t="shared" si="32"/>
        <v>9692683.318</v>
      </c>
      <c r="AE165" s="37">
        <f t="shared" si="41"/>
        <v>131861.89000000001</v>
      </c>
      <c r="AF165" s="37">
        <f t="shared" si="42"/>
        <v>123344</v>
      </c>
      <c r="AG165" s="37">
        <f t="shared" si="33"/>
        <v>67006.607999999658</v>
      </c>
    </row>
    <row r="166" spans="1:33" ht="15" customHeight="1" x14ac:dyDescent="0.15">
      <c r="A166" s="102">
        <v>42896</v>
      </c>
      <c r="B166" s="20" t="s">
        <v>39</v>
      </c>
      <c r="C166" s="70">
        <v>68973</v>
      </c>
      <c r="D166" s="71">
        <f>19245+8669</f>
        <v>27914</v>
      </c>
      <c r="E166" s="71">
        <v>100237</v>
      </c>
      <c r="F166" s="120">
        <v>4985</v>
      </c>
      <c r="G166" s="71">
        <v>3240.1</v>
      </c>
      <c r="H166" s="24"/>
      <c r="I166" s="24"/>
      <c r="J166" s="70">
        <f t="shared" si="30"/>
        <v>72323</v>
      </c>
      <c r="K166" s="71">
        <v>1994</v>
      </c>
      <c r="L166" s="71">
        <v>780</v>
      </c>
      <c r="M166" s="129">
        <f t="shared" si="34"/>
        <v>576</v>
      </c>
      <c r="N166" s="74">
        <f t="shared" si="45"/>
        <v>627966</v>
      </c>
      <c r="O166" s="75">
        <f t="shared" si="45"/>
        <v>329518</v>
      </c>
      <c r="P166" s="75">
        <f t="shared" si="45"/>
        <v>976732</v>
      </c>
      <c r="Q166" s="76">
        <f t="shared" si="46"/>
        <v>9439443.8200000003</v>
      </c>
      <c r="R166" s="76">
        <f t="shared" si="46"/>
        <v>4294802</v>
      </c>
      <c r="S166" s="76">
        <f t="shared" si="46"/>
        <v>14059808.318</v>
      </c>
      <c r="T166" s="80">
        <f>N166/'2016'!N166-1</f>
        <v>0.3768557314722849</v>
      </c>
      <c r="U166" s="80">
        <f>O166/'2016'!O166-1</f>
        <v>8.2275440673869049E-3</v>
      </c>
      <c r="V166" s="80">
        <f>P166/'2016'!P166-1</f>
        <v>0.21107501549907015</v>
      </c>
      <c r="W166" s="81">
        <f>Q166/'2016'!Q166-1</f>
        <v>0.12782631168312908</v>
      </c>
      <c r="X166" s="81">
        <f>R166/'2016'!R166-1</f>
        <v>8.1486118567567933E-2</v>
      </c>
      <c r="Y166" s="81">
        <f>S166/'2016'!S166-1</f>
        <v>0.10057966097926929</v>
      </c>
      <c r="Z166" s="139"/>
      <c r="AA166" s="139"/>
      <c r="AB166" s="105"/>
      <c r="AC166" s="105"/>
      <c r="AD166" s="37">
        <f t="shared" si="32"/>
        <v>9765006.318</v>
      </c>
      <c r="AE166" s="71">
        <f t="shared" si="41"/>
        <v>133855.89000000001</v>
      </c>
      <c r="AF166" s="71">
        <f t="shared" si="42"/>
        <v>124124</v>
      </c>
      <c r="AG166" s="71">
        <f t="shared" si="33"/>
        <v>67582.607999999658</v>
      </c>
    </row>
    <row r="167" spans="1:33" ht="15" customHeight="1" x14ac:dyDescent="0.15">
      <c r="A167" s="102">
        <v>42897</v>
      </c>
      <c r="B167" s="20" t="s">
        <v>1</v>
      </c>
      <c r="C167" s="8">
        <v>63023</v>
      </c>
      <c r="D167" s="37">
        <f>18761+8692</f>
        <v>27453</v>
      </c>
      <c r="E167" s="37">
        <v>92132</v>
      </c>
      <c r="F167" s="12">
        <v>4609.8</v>
      </c>
      <c r="G167" s="37">
        <v>3296.3</v>
      </c>
      <c r="H167" s="24"/>
      <c r="I167" s="36"/>
      <c r="J167" s="8">
        <f t="shared" si="30"/>
        <v>64679</v>
      </c>
      <c r="K167" s="37">
        <v>473</v>
      </c>
      <c r="L167" s="37">
        <v>781</v>
      </c>
      <c r="M167" s="127">
        <f t="shared" si="34"/>
        <v>402</v>
      </c>
      <c r="N167" s="74">
        <f t="shared" si="45"/>
        <v>690989</v>
      </c>
      <c r="O167" s="75">
        <f t="shared" si="45"/>
        <v>356971</v>
      </c>
      <c r="P167" s="75">
        <f t="shared" si="45"/>
        <v>1068864</v>
      </c>
      <c r="Q167" s="76">
        <f t="shared" si="46"/>
        <v>9502466.8200000003</v>
      </c>
      <c r="R167" s="76">
        <f t="shared" si="46"/>
        <v>4322255</v>
      </c>
      <c r="S167" s="76">
        <f t="shared" si="46"/>
        <v>14151940.318</v>
      </c>
      <c r="T167" s="80">
        <f>N167/'2016'!N167-1</f>
        <v>0.35496009569190345</v>
      </c>
      <c r="U167" s="80">
        <f>O167/'2016'!O167-1</f>
        <v>-4.3402048576690611E-4</v>
      </c>
      <c r="V167" s="80">
        <f>P167/'2016'!P167-1</f>
        <v>0.19580999305245572</v>
      </c>
      <c r="W167" s="81">
        <f>Q167/'2016'!Q167-1</f>
        <v>0.12809369959397987</v>
      </c>
      <c r="X167" s="81">
        <f>R167/'2016'!R167-1</f>
        <v>8.0158420552687515E-2</v>
      </c>
      <c r="Y167" s="81">
        <f>S167/'2016'!S167-1</f>
        <v>0.10026916108709716</v>
      </c>
      <c r="Z167" s="136"/>
      <c r="AA167" s="136"/>
      <c r="AB167" s="105"/>
      <c r="AC167" s="105"/>
      <c r="AD167" s="37">
        <f t="shared" si="32"/>
        <v>9829685.318</v>
      </c>
      <c r="AE167" s="37">
        <f t="shared" si="41"/>
        <v>134328.89000000001</v>
      </c>
      <c r="AF167" s="37">
        <f t="shared" si="42"/>
        <v>124905</v>
      </c>
      <c r="AG167" s="37">
        <f t="shared" si="33"/>
        <v>67984.607999999658</v>
      </c>
    </row>
    <row r="168" spans="1:33" ht="15" customHeight="1" x14ac:dyDescent="0.15">
      <c r="A168" s="102">
        <v>42898</v>
      </c>
      <c r="B168" s="20" t="s">
        <v>34</v>
      </c>
      <c r="C168" s="8">
        <v>60753</v>
      </c>
      <c r="D168" s="37">
        <f>19783+8966</f>
        <v>28749</v>
      </c>
      <c r="E168" s="37">
        <v>91700</v>
      </c>
      <c r="F168" s="12">
        <v>4735.8999999999996</v>
      </c>
      <c r="G168" s="37">
        <v>2983.1</v>
      </c>
      <c r="H168" s="24"/>
      <c r="I168" s="36"/>
      <c r="J168" s="8">
        <f t="shared" si="30"/>
        <v>62951</v>
      </c>
      <c r="K168" s="37">
        <v>1132</v>
      </c>
      <c r="L168" s="37">
        <v>781</v>
      </c>
      <c r="M168" s="127">
        <f t="shared" si="34"/>
        <v>285</v>
      </c>
      <c r="N168" s="74">
        <f t="shared" si="45"/>
        <v>751742</v>
      </c>
      <c r="O168" s="75">
        <f t="shared" si="45"/>
        <v>385720</v>
      </c>
      <c r="P168" s="75">
        <f t="shared" si="45"/>
        <v>1160564</v>
      </c>
      <c r="Q168" s="76">
        <f t="shared" si="46"/>
        <v>9563219.8200000003</v>
      </c>
      <c r="R168" s="76">
        <f t="shared" si="46"/>
        <v>4351004</v>
      </c>
      <c r="S168" s="76">
        <f t="shared" si="46"/>
        <v>14243640.318</v>
      </c>
      <c r="T168" s="80">
        <f>N168/'2016'!N168-1</f>
        <v>0.3347122991917959</v>
      </c>
      <c r="U168" s="80">
        <f>O168/'2016'!O168-1</f>
        <v>-6.365423206617371E-3</v>
      </c>
      <c r="V168" s="80">
        <f>P168/'2016'!P168-1</f>
        <v>0.18328665360925855</v>
      </c>
      <c r="W168" s="81">
        <f>Q168/'2016'!Q168-1</f>
        <v>0.12817362408863708</v>
      </c>
      <c r="X168" s="81">
        <f>R168/'2016'!R168-1</f>
        <v>7.8966593479189218E-2</v>
      </c>
      <c r="Y168" s="81">
        <f>S168/'2016'!S168-1</f>
        <v>9.9962192130808925E-2</v>
      </c>
      <c r="Z168" s="136"/>
      <c r="AA168" s="136"/>
      <c r="AB168" s="105"/>
      <c r="AC168" s="105"/>
      <c r="AD168" s="37">
        <f t="shared" si="32"/>
        <v>9892636.318</v>
      </c>
      <c r="AE168" s="37">
        <f t="shared" si="41"/>
        <v>135460.89000000001</v>
      </c>
      <c r="AF168" s="37">
        <f t="shared" si="42"/>
        <v>125686</v>
      </c>
      <c r="AG168" s="37">
        <f t="shared" si="33"/>
        <v>68269.607999999658</v>
      </c>
    </row>
    <row r="169" spans="1:33" ht="15" customHeight="1" x14ac:dyDescent="0.15">
      <c r="A169" s="102">
        <v>42899</v>
      </c>
      <c r="B169" s="20" t="s">
        <v>35</v>
      </c>
      <c r="C169" s="8">
        <v>51992</v>
      </c>
      <c r="D169" s="37">
        <f>27470+9493</f>
        <v>36963</v>
      </c>
      <c r="E169" s="37">
        <v>91315</v>
      </c>
      <c r="F169" s="12">
        <v>4705.5</v>
      </c>
      <c r="G169" s="37">
        <v>3016.6</v>
      </c>
      <c r="H169" s="24"/>
      <c r="I169" s="36"/>
      <c r="J169" s="8">
        <f t="shared" si="30"/>
        <v>54352</v>
      </c>
      <c r="K169" s="37">
        <v>1324</v>
      </c>
      <c r="L169" s="37">
        <v>781</v>
      </c>
      <c r="M169" s="127">
        <f t="shared" si="34"/>
        <v>255</v>
      </c>
      <c r="N169" s="74">
        <f t="shared" si="45"/>
        <v>803734</v>
      </c>
      <c r="O169" s="75">
        <f t="shared" si="45"/>
        <v>422683</v>
      </c>
      <c r="P169" s="75">
        <f t="shared" si="45"/>
        <v>1251879</v>
      </c>
      <c r="Q169" s="76">
        <f t="shared" si="46"/>
        <v>9615211.8200000003</v>
      </c>
      <c r="R169" s="76">
        <f t="shared" si="46"/>
        <v>4387967</v>
      </c>
      <c r="S169" s="76">
        <f t="shared" si="46"/>
        <v>14334955.318</v>
      </c>
      <c r="T169" s="80">
        <f>N169/'2016'!N169-1</f>
        <v>0.30659773870776341</v>
      </c>
      <c r="U169" s="80">
        <f>O169/'2016'!O169-1</f>
        <v>3.8521734380529971E-3</v>
      </c>
      <c r="V169" s="80">
        <f>P169/'2016'!P169-1</f>
        <v>0.17191677463322574</v>
      </c>
      <c r="W169" s="81">
        <f>Q169/'2016'!Q169-1</f>
        <v>0.12740297102538523</v>
      </c>
      <c r="X169" s="81">
        <f>R169/'2016'!R169-1</f>
        <v>7.9334910203973097E-2</v>
      </c>
      <c r="Y169" s="81">
        <f>S169/'2016'!S169-1</f>
        <v>9.958938189920663E-2</v>
      </c>
      <c r="Z169" s="136"/>
      <c r="AA169" s="136"/>
      <c r="AB169" s="105"/>
      <c r="AC169" s="105"/>
      <c r="AD169" s="37">
        <f t="shared" si="32"/>
        <v>9946988.318</v>
      </c>
      <c r="AE169" s="37">
        <f t="shared" si="41"/>
        <v>136784.89000000001</v>
      </c>
      <c r="AF169" s="37">
        <f t="shared" si="42"/>
        <v>126467</v>
      </c>
      <c r="AG169" s="37">
        <f t="shared" si="33"/>
        <v>68524.607999999658</v>
      </c>
    </row>
    <row r="170" spans="1:33" ht="15" customHeight="1" x14ac:dyDescent="0.15">
      <c r="A170" s="102">
        <v>42900</v>
      </c>
      <c r="B170" s="20" t="s">
        <v>36</v>
      </c>
      <c r="C170" s="8">
        <v>50311</v>
      </c>
      <c r="D170" s="37">
        <f>27086+9586</f>
        <v>36672</v>
      </c>
      <c r="E170" s="37">
        <v>89410</v>
      </c>
      <c r="F170" s="12">
        <v>4551.1000000000004</v>
      </c>
      <c r="G170" s="37">
        <v>2921.5</v>
      </c>
      <c r="H170" s="24"/>
      <c r="I170" s="36"/>
      <c r="J170" s="8">
        <f t="shared" si="30"/>
        <v>52738</v>
      </c>
      <c r="K170" s="37">
        <v>1211</v>
      </c>
      <c r="L170" s="37">
        <v>784</v>
      </c>
      <c r="M170" s="127">
        <f t="shared" si="34"/>
        <v>432</v>
      </c>
      <c r="N170" s="74">
        <f t="shared" si="45"/>
        <v>854045</v>
      </c>
      <c r="O170" s="75">
        <f t="shared" si="45"/>
        <v>459355</v>
      </c>
      <c r="P170" s="75">
        <f t="shared" si="45"/>
        <v>1341289</v>
      </c>
      <c r="Q170" s="76">
        <f t="shared" si="46"/>
        <v>9665522.8200000003</v>
      </c>
      <c r="R170" s="76">
        <f t="shared" si="46"/>
        <v>4424639</v>
      </c>
      <c r="S170" s="76">
        <f t="shared" si="46"/>
        <v>14424365.318</v>
      </c>
      <c r="T170" s="80">
        <f>N170/'2016'!N170-1</f>
        <v>0.27332757831521093</v>
      </c>
      <c r="U170" s="80">
        <f>O170/'2016'!O170-1</f>
        <v>1.0626478191518629E-2</v>
      </c>
      <c r="V170" s="80">
        <f>P170/'2016'!P170-1</f>
        <v>0.15623577645062969</v>
      </c>
      <c r="W170" s="81">
        <f>Q170/'2016'!Q170-1</f>
        <v>0.12596375303434604</v>
      </c>
      <c r="X170" s="81">
        <f>R170/'2016'!R170-1</f>
        <v>7.9469857766717888E-2</v>
      </c>
      <c r="Y170" s="81">
        <f>S170/'2016'!S170-1</f>
        <v>9.8709621539769365E-2</v>
      </c>
      <c r="Z170" s="136">
        <f>(Z171-Z164)/7*6+Z164</f>
        <v>66.804285714285726</v>
      </c>
      <c r="AA170" s="136">
        <f>Q170/10000-Z170</f>
        <v>899.74799628571429</v>
      </c>
      <c r="AB170" s="105"/>
      <c r="AC170" s="105"/>
      <c r="AD170" s="37">
        <f t="shared" si="32"/>
        <v>9999726.318</v>
      </c>
      <c r="AE170" s="37">
        <f t="shared" si="41"/>
        <v>137995.89000000001</v>
      </c>
      <c r="AF170" s="37">
        <f t="shared" si="42"/>
        <v>127251</v>
      </c>
      <c r="AG170" s="37">
        <f t="shared" si="33"/>
        <v>68956.607999999658</v>
      </c>
    </row>
    <row r="171" spans="1:33" ht="15" customHeight="1" x14ac:dyDescent="0.15">
      <c r="A171" s="102">
        <v>42901</v>
      </c>
      <c r="B171" s="14" t="s">
        <v>37</v>
      </c>
      <c r="C171" s="32">
        <v>50580</v>
      </c>
      <c r="D171" s="33">
        <f>26126+9470</f>
        <v>35596</v>
      </c>
      <c r="E171" s="33">
        <v>89248</v>
      </c>
      <c r="F171" s="119">
        <v>4517.2</v>
      </c>
      <c r="G171" s="33">
        <v>2944.8</v>
      </c>
      <c r="H171" s="19"/>
      <c r="I171" s="19"/>
      <c r="J171" s="32">
        <f t="shared" si="30"/>
        <v>53652</v>
      </c>
      <c r="K171" s="33">
        <v>1815</v>
      </c>
      <c r="L171" s="33">
        <v>782</v>
      </c>
      <c r="M171" s="128">
        <f t="shared" si="34"/>
        <v>475</v>
      </c>
      <c r="N171" s="77">
        <f t="shared" si="45"/>
        <v>904625</v>
      </c>
      <c r="O171" s="78">
        <f t="shared" si="45"/>
        <v>494951</v>
      </c>
      <c r="P171" s="78">
        <f t="shared" si="45"/>
        <v>1430537</v>
      </c>
      <c r="Q171" s="77">
        <f t="shared" si="46"/>
        <v>9716102.8200000003</v>
      </c>
      <c r="R171" s="77">
        <f t="shared" si="46"/>
        <v>4460235</v>
      </c>
      <c r="S171" s="77">
        <f t="shared" si="46"/>
        <v>14513613.318</v>
      </c>
      <c r="T171" s="82">
        <f>N171/'2016'!N171-1</f>
        <v>0.24492362908741616</v>
      </c>
      <c r="U171" s="82">
        <f>O171/'2016'!O171-1</f>
        <v>1.3309448254683165E-2</v>
      </c>
      <c r="V171" s="82">
        <f>P171/'2016'!P171-1</f>
        <v>0.14180436340765312</v>
      </c>
      <c r="W171" s="82">
        <f>Q171/'2016'!Q171-1</f>
        <v>0.12452889381369836</v>
      </c>
      <c r="X171" s="82">
        <f>R171/'2016'!R171-1</f>
        <v>7.9221839782715131E-2</v>
      </c>
      <c r="Y171" s="82">
        <f>S171/'2016'!S171-1</f>
        <v>9.7745961928363156E-2</v>
      </c>
      <c r="Z171" s="138">
        <v>67.180000000000007</v>
      </c>
      <c r="AA171" s="138">
        <f>Q171/10000-Z171</f>
        <v>904.43028200000003</v>
      </c>
      <c r="AB171" s="33">
        <v>4258.08</v>
      </c>
      <c r="AC171" s="33">
        <f>AA171*10000/AB171</f>
        <v>2124.0330900311878</v>
      </c>
      <c r="AD171" s="33">
        <f t="shared" si="32"/>
        <v>10053378.318</v>
      </c>
      <c r="AE171" s="33">
        <f t="shared" si="41"/>
        <v>139810.89000000001</v>
      </c>
      <c r="AF171" s="33">
        <f t="shared" si="42"/>
        <v>128033</v>
      </c>
      <c r="AG171" s="33">
        <f t="shared" si="33"/>
        <v>69431.607999999658</v>
      </c>
    </row>
    <row r="172" spans="1:33" ht="15" customHeight="1" x14ac:dyDescent="0.15">
      <c r="A172" s="102">
        <v>42902</v>
      </c>
      <c r="B172" s="20" t="s">
        <v>38</v>
      </c>
      <c r="C172" s="8">
        <v>50186</v>
      </c>
      <c r="D172" s="37">
        <f>26427+10039</f>
        <v>36466</v>
      </c>
      <c r="E172" s="37">
        <v>89202</v>
      </c>
      <c r="F172" s="12">
        <v>4538.3</v>
      </c>
      <c r="G172" s="37">
        <v>2932.9</v>
      </c>
      <c r="H172" s="24"/>
      <c r="I172" s="36"/>
      <c r="J172" s="8">
        <f t="shared" si="30"/>
        <v>52736</v>
      </c>
      <c r="K172" s="37">
        <v>1359</v>
      </c>
      <c r="L172" s="37">
        <v>780</v>
      </c>
      <c r="M172" s="127">
        <f t="shared" si="34"/>
        <v>411</v>
      </c>
      <c r="N172" s="74">
        <f t="shared" si="45"/>
        <v>954811</v>
      </c>
      <c r="O172" s="75">
        <f t="shared" si="45"/>
        <v>531417</v>
      </c>
      <c r="P172" s="75">
        <f t="shared" si="45"/>
        <v>1519739</v>
      </c>
      <c r="Q172" s="76">
        <f t="shared" si="46"/>
        <v>9766288.8200000003</v>
      </c>
      <c r="R172" s="76">
        <f t="shared" si="46"/>
        <v>4496701</v>
      </c>
      <c r="S172" s="76">
        <f t="shared" si="46"/>
        <v>14602815.318</v>
      </c>
      <c r="T172" s="80">
        <f>N172/'2016'!N172-1</f>
        <v>0.22930496402766543</v>
      </c>
      <c r="U172" s="80">
        <f>O172/'2016'!O172-1</f>
        <v>1.7229564178738777E-2</v>
      </c>
      <c r="V172" s="80">
        <f>P172/'2016'!P172-1</f>
        <v>0.1353409409259847</v>
      </c>
      <c r="W172" s="81">
        <f>Q172/'2016'!Q172-1</f>
        <v>0.12382643183232256</v>
      </c>
      <c r="X172" s="81">
        <f>R172/'2016'!R172-1</f>
        <v>7.9176037387044262E-2</v>
      </c>
      <c r="Y172" s="81">
        <f>S172/'2016'!S172-1</f>
        <v>9.7379543393256496E-2</v>
      </c>
      <c r="Z172" s="136"/>
      <c r="AA172" s="136"/>
      <c r="AB172" s="105"/>
      <c r="AC172" s="105"/>
      <c r="AD172" s="37">
        <f t="shared" si="32"/>
        <v>10106114.318</v>
      </c>
      <c r="AE172" s="37">
        <f t="shared" si="41"/>
        <v>141169.89000000001</v>
      </c>
      <c r="AF172" s="37">
        <f t="shared" si="42"/>
        <v>128813</v>
      </c>
      <c r="AG172" s="37">
        <f t="shared" si="33"/>
        <v>69842.607999999658</v>
      </c>
    </row>
    <row r="173" spans="1:33" ht="15" customHeight="1" x14ac:dyDescent="0.15">
      <c r="A173" s="102">
        <v>42903</v>
      </c>
      <c r="B173" s="20" t="s">
        <v>39</v>
      </c>
      <c r="C173" s="70">
        <v>47961</v>
      </c>
      <c r="D173" s="71">
        <f>27191+10101</f>
        <v>37292</v>
      </c>
      <c r="E173" s="71">
        <v>88523</v>
      </c>
      <c r="F173" s="120">
        <v>4481.3999999999996</v>
      </c>
      <c r="G173" s="71">
        <v>2901.8</v>
      </c>
      <c r="H173" s="24"/>
      <c r="I173" s="24"/>
      <c r="J173" s="70">
        <f t="shared" si="30"/>
        <v>51231</v>
      </c>
      <c r="K173" s="71">
        <v>1842</v>
      </c>
      <c r="L173" s="71">
        <v>782</v>
      </c>
      <c r="M173" s="129">
        <f t="shared" si="34"/>
        <v>646</v>
      </c>
      <c r="N173" s="74">
        <f t="shared" si="45"/>
        <v>1002772</v>
      </c>
      <c r="O173" s="75">
        <f t="shared" si="45"/>
        <v>568709</v>
      </c>
      <c r="P173" s="75">
        <f t="shared" si="45"/>
        <v>1608262</v>
      </c>
      <c r="Q173" s="76">
        <f t="shared" si="46"/>
        <v>9814249.8200000003</v>
      </c>
      <c r="R173" s="76">
        <f t="shared" si="46"/>
        <v>4533993</v>
      </c>
      <c r="S173" s="76">
        <f t="shared" si="46"/>
        <v>14691338.318</v>
      </c>
      <c r="T173" s="80">
        <f>N173/'2016'!N173-1</f>
        <v>0.21241710344160514</v>
      </c>
      <c r="U173" s="80">
        <f>O173/'2016'!O173-1</f>
        <v>2.1228723241878411E-2</v>
      </c>
      <c r="V173" s="80">
        <f>P173/'2016'!P173-1</f>
        <v>0.12826841117561427</v>
      </c>
      <c r="W173" s="81">
        <f>Q173/'2016'!Q173-1</f>
        <v>0.12283633778413994</v>
      </c>
      <c r="X173" s="81">
        <f>R173/'2016'!R173-1</f>
        <v>7.9197869592517733E-2</v>
      </c>
      <c r="Y173" s="81">
        <f>S173/'2016'!S173-1</f>
        <v>9.6873010922859493E-2</v>
      </c>
      <c r="Z173" s="139"/>
      <c r="AA173" s="139"/>
      <c r="AB173" s="105"/>
      <c r="AC173" s="105"/>
      <c r="AD173" s="37">
        <f t="shared" si="32"/>
        <v>10157345.318</v>
      </c>
      <c r="AE173" s="71">
        <f t="shared" si="41"/>
        <v>143011.89000000001</v>
      </c>
      <c r="AF173" s="71">
        <f t="shared" si="42"/>
        <v>129595</v>
      </c>
      <c r="AG173" s="71">
        <f t="shared" si="33"/>
        <v>70488.607999999658</v>
      </c>
    </row>
    <row r="174" spans="1:33" ht="15" customHeight="1" x14ac:dyDescent="0.15">
      <c r="A174" s="102">
        <v>42904</v>
      </c>
      <c r="B174" s="20" t="s">
        <v>1</v>
      </c>
      <c r="C174" s="8">
        <v>44585</v>
      </c>
      <c r="D174" s="37">
        <f>26934+10091</f>
        <v>37025</v>
      </c>
      <c r="E174" s="37">
        <v>84656</v>
      </c>
      <c r="F174" s="12">
        <v>4152.3</v>
      </c>
      <c r="G174" s="37">
        <v>2918.8</v>
      </c>
      <c r="H174" s="24"/>
      <c r="I174" s="36"/>
      <c r="J174" s="8">
        <f t="shared" si="30"/>
        <v>47631</v>
      </c>
      <c r="K174" s="37">
        <v>1649</v>
      </c>
      <c r="L174" s="37">
        <v>780</v>
      </c>
      <c r="M174" s="127">
        <f t="shared" si="34"/>
        <v>617</v>
      </c>
      <c r="N174" s="74">
        <f t="shared" ref="N174:P175" si="47">N173+C174</f>
        <v>1047357</v>
      </c>
      <c r="O174" s="75">
        <f t="shared" si="47"/>
        <v>605734</v>
      </c>
      <c r="P174" s="75">
        <f t="shared" si="47"/>
        <v>1692918</v>
      </c>
      <c r="Q174" s="76">
        <f t="shared" si="46"/>
        <v>9858834.8200000003</v>
      </c>
      <c r="R174" s="76">
        <f t="shared" si="46"/>
        <v>4571018</v>
      </c>
      <c r="S174" s="76">
        <f t="shared" si="46"/>
        <v>14775994.318</v>
      </c>
      <c r="T174" s="80">
        <f>N174/'2016'!N174-1</f>
        <v>0.18589570845288272</v>
      </c>
      <c r="U174" s="80">
        <f>O174/'2016'!O174-1</f>
        <v>3.4927924741709582E-2</v>
      </c>
      <c r="V174" s="80">
        <f>P174/'2016'!P174-1</f>
        <v>0.11968068043903135</v>
      </c>
      <c r="W174" s="81">
        <f>Q174/'2016'!Q174-1</f>
        <v>0.12074483774050693</v>
      </c>
      <c r="X174" s="81">
        <f>R174/'2016'!R174-1</f>
        <v>8.0704244732326291E-2</v>
      </c>
      <c r="Y174" s="81">
        <f>S174/'2016'!S174-1</f>
        <v>9.6111356381205049E-2</v>
      </c>
      <c r="Z174" s="136"/>
      <c r="AA174" s="136"/>
      <c r="AB174" s="105"/>
      <c r="AC174" s="105"/>
      <c r="AD174" s="37">
        <f t="shared" si="32"/>
        <v>10204976.318</v>
      </c>
      <c r="AE174" s="37">
        <f t="shared" si="41"/>
        <v>144660.89000000001</v>
      </c>
      <c r="AF174" s="37">
        <f t="shared" si="42"/>
        <v>130375</v>
      </c>
      <c r="AG174" s="37">
        <f t="shared" si="33"/>
        <v>71105.607999999658</v>
      </c>
    </row>
    <row r="175" spans="1:33" ht="15" customHeight="1" x14ac:dyDescent="0.15">
      <c r="A175" s="102">
        <v>42905</v>
      </c>
      <c r="B175" s="20" t="s">
        <v>34</v>
      </c>
      <c r="C175" s="8">
        <v>51147</v>
      </c>
      <c r="D175" s="37">
        <f>26090+10014</f>
        <v>36104</v>
      </c>
      <c r="E175" s="37">
        <v>90903</v>
      </c>
      <c r="F175" s="12">
        <v>4761.1000000000004</v>
      </c>
      <c r="G175" s="37">
        <v>2860.4</v>
      </c>
      <c r="H175" s="24"/>
      <c r="I175" s="36"/>
      <c r="J175" s="8">
        <f t="shared" si="30"/>
        <v>54799</v>
      </c>
      <c r="K175" s="37">
        <v>2648</v>
      </c>
      <c r="L175" s="37">
        <v>780</v>
      </c>
      <c r="M175" s="127">
        <f t="shared" si="34"/>
        <v>224</v>
      </c>
      <c r="N175" s="74">
        <f t="shared" si="47"/>
        <v>1098504</v>
      </c>
      <c r="O175" s="75">
        <f t="shared" si="47"/>
        <v>641838</v>
      </c>
      <c r="P175" s="75">
        <f t="shared" si="47"/>
        <v>1783821</v>
      </c>
      <c r="Q175" s="76">
        <f t="shared" si="46"/>
        <v>9909981.8200000003</v>
      </c>
      <c r="R175" s="76">
        <f t="shared" si="46"/>
        <v>4607122</v>
      </c>
      <c r="S175" s="76">
        <f t="shared" si="46"/>
        <v>14866897.318</v>
      </c>
      <c r="T175" s="80">
        <f>N175/'2016'!N175-1</f>
        <v>0.17372197261503453</v>
      </c>
      <c r="U175" s="80">
        <f>O175/'2016'!O175-1</f>
        <v>4.6066238247119751E-2</v>
      </c>
      <c r="V175" s="80">
        <f>P175/'2016'!P175-1</f>
        <v>0.1181832713276938</v>
      </c>
      <c r="W175" s="81">
        <f>Q175/'2016'!Q175-1</f>
        <v>0.1198456011457476</v>
      </c>
      <c r="X175" s="81">
        <f>R175/'2016'!R175-1</f>
        <v>8.2005228809745923E-2</v>
      </c>
      <c r="Y175" s="81">
        <f>S175/'2016'!S175-1</f>
        <v>9.6080022872820026E-2</v>
      </c>
      <c r="Z175" s="136"/>
      <c r="AA175" s="136"/>
      <c r="AB175" s="105"/>
      <c r="AC175" s="105"/>
      <c r="AD175" s="37">
        <f t="shared" si="32"/>
        <v>10259775.318</v>
      </c>
      <c r="AE175" s="37">
        <f t="shared" si="41"/>
        <v>147308.89000000001</v>
      </c>
      <c r="AF175" s="37">
        <f t="shared" si="42"/>
        <v>131155</v>
      </c>
      <c r="AG175" s="37">
        <f t="shared" si="33"/>
        <v>71329.607999999658</v>
      </c>
    </row>
    <row r="176" spans="1:33" ht="15" customHeight="1" x14ac:dyDescent="0.15">
      <c r="A176" s="102">
        <v>42906</v>
      </c>
      <c r="B176" s="20" t="s">
        <v>35</v>
      </c>
      <c r="C176" s="8">
        <v>50762</v>
      </c>
      <c r="D176" s="123">
        <f>28691+10296</f>
        <v>38987</v>
      </c>
      <c r="E176" s="37">
        <v>94579</v>
      </c>
      <c r="F176" s="12">
        <v>4771.8999999999996</v>
      </c>
      <c r="G176" s="37">
        <v>3065.4</v>
      </c>
      <c r="H176" s="24"/>
      <c r="I176" s="36"/>
      <c r="J176" s="8">
        <f t="shared" si="30"/>
        <v>55592</v>
      </c>
      <c r="K176" s="37">
        <v>3671</v>
      </c>
      <c r="L176" s="37">
        <v>780</v>
      </c>
      <c r="M176" s="127">
        <f t="shared" si="34"/>
        <v>379</v>
      </c>
      <c r="N176" s="74">
        <f t="shared" ref="N176" si="48">N175+C176</f>
        <v>1149266</v>
      </c>
      <c r="O176" s="75">
        <f t="shared" ref="O176" si="49">O175+D176</f>
        <v>680825</v>
      </c>
      <c r="P176" s="75">
        <f t="shared" ref="P176" si="50">P175+E176</f>
        <v>1878400</v>
      </c>
      <c r="Q176" s="76">
        <f t="shared" ref="Q176" si="51">Q$156+N176</f>
        <v>9960743.8200000003</v>
      </c>
      <c r="R176" s="76">
        <f t="shared" ref="R176" si="52">R$156+O176</f>
        <v>4646109</v>
      </c>
      <c r="S176" s="76">
        <f t="shared" ref="S176" si="53">S$156+P176</f>
        <v>14961476.318</v>
      </c>
      <c r="T176" s="80">
        <f>N176/'2016'!N176-1</f>
        <v>0.16136627522153324</v>
      </c>
      <c r="U176" s="80">
        <f>O176/'2016'!O176-1</f>
        <v>5.8501516642646134E-2</v>
      </c>
      <c r="V176" s="80">
        <f>P176/'2016'!P176-1</f>
        <v>0.11771268762179621</v>
      </c>
      <c r="W176" s="81">
        <f>Q176/'2016'!Q176-1</f>
        <v>0.11879701685393518</v>
      </c>
      <c r="X176" s="81">
        <f>R176/'2016'!R176-1</f>
        <v>8.3622385816494837E-2</v>
      </c>
      <c r="Y176" s="81">
        <f>S176/'2016'!S176-1</f>
        <v>9.6160199874173902E-2</v>
      </c>
      <c r="Z176" s="136"/>
      <c r="AA176" s="136"/>
      <c r="AB176" s="105"/>
      <c r="AC176" s="105"/>
      <c r="AD176" s="37">
        <f t="shared" si="32"/>
        <v>10315367.318</v>
      </c>
      <c r="AE176" s="37">
        <f t="shared" si="41"/>
        <v>150979.89000000001</v>
      </c>
      <c r="AF176" s="37">
        <f t="shared" si="42"/>
        <v>131935</v>
      </c>
      <c r="AG176" s="37">
        <f t="shared" si="33"/>
        <v>71708.607999999658</v>
      </c>
    </row>
    <row r="177" spans="1:33" ht="15" customHeight="1" x14ac:dyDescent="0.15">
      <c r="A177" s="102">
        <v>42907</v>
      </c>
      <c r="B177" s="20" t="s">
        <v>36</v>
      </c>
      <c r="C177" s="8">
        <v>49810</v>
      </c>
      <c r="D177" s="37">
        <f>30603+9987</f>
        <v>40590</v>
      </c>
      <c r="E177" s="37">
        <v>94956</v>
      </c>
      <c r="F177" s="12">
        <v>4962</v>
      </c>
      <c r="G177" s="37">
        <v>3121.8</v>
      </c>
      <c r="H177" s="24"/>
      <c r="I177" s="36"/>
      <c r="J177" s="8">
        <f t="shared" si="30"/>
        <v>54366</v>
      </c>
      <c r="K177" s="37">
        <v>3523</v>
      </c>
      <c r="L177" s="37">
        <v>778</v>
      </c>
      <c r="M177" s="127">
        <f t="shared" si="34"/>
        <v>255</v>
      </c>
      <c r="N177" s="74">
        <f t="shared" ref="N177:P185" si="54">N176+C177</f>
        <v>1199076</v>
      </c>
      <c r="O177" s="75">
        <f t="shared" si="54"/>
        <v>721415</v>
      </c>
      <c r="P177" s="75">
        <f t="shared" si="54"/>
        <v>1973356</v>
      </c>
      <c r="Q177" s="76">
        <f t="shared" si="46"/>
        <v>10010553.82</v>
      </c>
      <c r="R177" s="76">
        <f t="shared" si="46"/>
        <v>4686699</v>
      </c>
      <c r="S177" s="76">
        <f t="shared" si="46"/>
        <v>15056432.318</v>
      </c>
      <c r="T177" s="80">
        <f>N177/'2016'!N177-1</f>
        <v>0.13637966132535739</v>
      </c>
      <c r="U177" s="80">
        <f>O177/'2016'!O177-1</f>
        <v>7.2079261478469769E-2</v>
      </c>
      <c r="V177" s="80">
        <f>P177/'2016'!P177-1</f>
        <v>0.10880948380828981</v>
      </c>
      <c r="W177" s="81">
        <f>Q177/'2016'!Q177-1</f>
        <v>0.11616864475521749</v>
      </c>
      <c r="X177" s="81">
        <f>R177/'2016'!R177-1</f>
        <v>8.5565773134841372E-2</v>
      </c>
      <c r="Y177" s="81">
        <f>S177/'2016'!S177-1</f>
        <v>9.5163077799952145E-2</v>
      </c>
      <c r="Z177" s="136">
        <f>(Z178-Z171)/7*6+Z171</f>
        <v>69.348571428571418</v>
      </c>
      <c r="AA177" s="136">
        <f>Q177/10000-Z177</f>
        <v>931.7068105714286</v>
      </c>
      <c r="AB177" s="105"/>
      <c r="AC177" s="105"/>
      <c r="AD177" s="37">
        <f t="shared" si="32"/>
        <v>10369733.318</v>
      </c>
      <c r="AE177" s="37">
        <f t="shared" si="41"/>
        <v>154502.89000000001</v>
      </c>
      <c r="AF177" s="37">
        <f t="shared" si="42"/>
        <v>132713</v>
      </c>
      <c r="AG177" s="37">
        <f t="shared" si="33"/>
        <v>71963.607999999658</v>
      </c>
    </row>
    <row r="178" spans="1:33" ht="15" customHeight="1" x14ac:dyDescent="0.15">
      <c r="A178" s="102">
        <v>42908</v>
      </c>
      <c r="B178" s="14" t="s">
        <v>37</v>
      </c>
      <c r="C178" s="32">
        <v>49899</v>
      </c>
      <c r="D178" s="33">
        <f>30469+9916</f>
        <v>40385</v>
      </c>
      <c r="E178" s="33">
        <v>94306</v>
      </c>
      <c r="F178" s="119">
        <v>4793.5</v>
      </c>
      <c r="G178" s="33">
        <v>2989.5</v>
      </c>
      <c r="H178" s="19"/>
      <c r="I178" s="19"/>
      <c r="J178" s="32">
        <f t="shared" si="30"/>
        <v>53921</v>
      </c>
      <c r="K178" s="33">
        <v>2879</v>
      </c>
      <c r="L178" s="33">
        <v>781</v>
      </c>
      <c r="M178" s="128">
        <f t="shared" si="34"/>
        <v>362</v>
      </c>
      <c r="N178" s="77">
        <f t="shared" si="54"/>
        <v>1248975</v>
      </c>
      <c r="O178" s="78">
        <f t="shared" si="54"/>
        <v>761800</v>
      </c>
      <c r="P178" s="78">
        <f t="shared" si="54"/>
        <v>2067662</v>
      </c>
      <c r="Q178" s="77">
        <f t="shared" si="46"/>
        <v>10060452.82</v>
      </c>
      <c r="R178" s="77">
        <f t="shared" si="46"/>
        <v>4727084</v>
      </c>
      <c r="S178" s="77">
        <f t="shared" si="46"/>
        <v>15150738.318</v>
      </c>
      <c r="T178" s="82">
        <f>N178/'2016'!N178-1</f>
        <v>0.11162782418306172</v>
      </c>
      <c r="U178" s="82">
        <f>O178/'2016'!O178-1</f>
        <v>7.8871787318653741E-2</v>
      </c>
      <c r="V178" s="82">
        <f>P178/'2016'!P178-1</f>
        <v>9.7122924384836828E-2</v>
      </c>
      <c r="W178" s="82">
        <f>Q178/'2016'!Q178-1</f>
        <v>0.11324424608097017</v>
      </c>
      <c r="X178" s="82">
        <f>R178/'2016'!R178-1</f>
        <v>8.6565330792006234E-2</v>
      </c>
      <c r="Y178" s="82">
        <f>S178/'2016'!S178-1</f>
        <v>9.3676541759732945E-2</v>
      </c>
      <c r="Z178" s="138">
        <v>69.709999999999994</v>
      </c>
      <c r="AA178" s="138">
        <f>Q178/10000-Z178</f>
        <v>936.33528200000001</v>
      </c>
      <c r="AB178" s="33">
        <v>4258.08</v>
      </c>
      <c r="AC178" s="33">
        <f>AA178*10000/AB178</f>
        <v>2198.9612266561458</v>
      </c>
      <c r="AD178" s="33">
        <f t="shared" si="32"/>
        <v>10423654.318</v>
      </c>
      <c r="AE178" s="33">
        <f t="shared" si="41"/>
        <v>157381.89000000001</v>
      </c>
      <c r="AF178" s="33">
        <f t="shared" si="42"/>
        <v>133494</v>
      </c>
      <c r="AG178" s="33">
        <f t="shared" si="33"/>
        <v>72325.607999999658</v>
      </c>
    </row>
    <row r="179" spans="1:33" ht="15" customHeight="1" x14ac:dyDescent="0.15">
      <c r="A179" s="102">
        <v>42909</v>
      </c>
      <c r="B179" s="20" t="s">
        <v>38</v>
      </c>
      <c r="C179" s="8">
        <v>48518</v>
      </c>
      <c r="D179" s="37">
        <f>33810+9910</f>
        <v>43720</v>
      </c>
      <c r="E179" s="37">
        <v>96760</v>
      </c>
      <c r="F179" s="12">
        <v>4974.7</v>
      </c>
      <c r="G179" s="37">
        <v>3063.5</v>
      </c>
      <c r="H179" s="24"/>
      <c r="I179" s="36"/>
      <c r="J179" s="8">
        <f t="shared" si="30"/>
        <v>53040</v>
      </c>
      <c r="K179" s="37">
        <v>3371</v>
      </c>
      <c r="L179" s="37">
        <v>778</v>
      </c>
      <c r="M179" s="127">
        <f t="shared" si="34"/>
        <v>373</v>
      </c>
      <c r="N179" s="74">
        <f t="shared" si="54"/>
        <v>1297493</v>
      </c>
      <c r="O179" s="75">
        <f t="shared" si="54"/>
        <v>805520</v>
      </c>
      <c r="P179" s="75">
        <f t="shared" si="54"/>
        <v>2164422</v>
      </c>
      <c r="Q179" s="76">
        <f t="shared" si="46"/>
        <v>10108970.82</v>
      </c>
      <c r="R179" s="76">
        <f t="shared" si="46"/>
        <v>4770804</v>
      </c>
      <c r="S179" s="76">
        <f t="shared" si="46"/>
        <v>15247498.318</v>
      </c>
      <c r="T179" s="80">
        <f>N179/'2016'!N179-1</f>
        <v>8.5315002354665381E-2</v>
      </c>
      <c r="U179" s="80">
        <f>O179/'2016'!O179-1</f>
        <v>8.6612537484166641E-2</v>
      </c>
      <c r="V179" s="80">
        <f>P179/'2016'!P179-1</f>
        <v>8.5045681843817E-2</v>
      </c>
      <c r="W179" s="81">
        <f>Q179/'2016'!Q179-1</f>
        <v>0.10977808765438857</v>
      </c>
      <c r="X179" s="81">
        <f>R179/'2016'!R179-1</f>
        <v>8.7811992097933E-2</v>
      </c>
      <c r="Y179" s="81">
        <f>S179/'2016'!S179-1</f>
        <v>9.1978379864138482E-2</v>
      </c>
      <c r="Z179" s="136"/>
      <c r="AA179" s="136"/>
      <c r="AB179" s="105"/>
      <c r="AC179" s="105"/>
      <c r="AD179" s="37">
        <f t="shared" si="32"/>
        <v>10476694.318</v>
      </c>
      <c r="AE179" s="37">
        <f t="shared" si="41"/>
        <v>160752.89000000001</v>
      </c>
      <c r="AF179" s="37">
        <f t="shared" si="42"/>
        <v>134272</v>
      </c>
      <c r="AG179" s="37">
        <f t="shared" si="33"/>
        <v>72698.607999999658</v>
      </c>
    </row>
    <row r="180" spans="1:33" ht="15" customHeight="1" x14ac:dyDescent="0.15">
      <c r="A180" s="102">
        <v>42910</v>
      </c>
      <c r="B180" s="20" t="s">
        <v>39</v>
      </c>
      <c r="C180" s="70">
        <v>44606</v>
      </c>
      <c r="D180" s="71">
        <f>34815+10089</f>
        <v>44904</v>
      </c>
      <c r="E180" s="71">
        <v>94401</v>
      </c>
      <c r="F180" s="120">
        <v>4854.6000000000004</v>
      </c>
      <c r="G180" s="71">
        <v>3051.4</v>
      </c>
      <c r="H180" s="24"/>
      <c r="I180" s="24"/>
      <c r="J180" s="70">
        <f t="shared" si="30"/>
        <v>49497</v>
      </c>
      <c r="K180" s="71">
        <v>3714</v>
      </c>
      <c r="L180" s="71">
        <v>779</v>
      </c>
      <c r="M180" s="129">
        <f t="shared" si="34"/>
        <v>398</v>
      </c>
      <c r="N180" s="74">
        <f t="shared" si="54"/>
        <v>1342099</v>
      </c>
      <c r="O180" s="75">
        <f t="shared" si="54"/>
        <v>850424</v>
      </c>
      <c r="P180" s="75">
        <f t="shared" si="54"/>
        <v>2258823</v>
      </c>
      <c r="Q180" s="76">
        <f t="shared" si="46"/>
        <v>10153576.82</v>
      </c>
      <c r="R180" s="76">
        <f t="shared" si="46"/>
        <v>4815708</v>
      </c>
      <c r="S180" s="76">
        <f t="shared" si="46"/>
        <v>15341899.318</v>
      </c>
      <c r="T180" s="80">
        <f>N180/'2016'!N180-1</f>
        <v>5.941606957213641E-2</v>
      </c>
      <c r="U180" s="80">
        <f>O180/'2016'!O180-1</f>
        <v>9.3970212536050868E-2</v>
      </c>
      <c r="V180" s="80">
        <f>P180/'2016'!P180-1</f>
        <v>7.2843162166847497E-2</v>
      </c>
      <c r="W180" s="81">
        <f>Q180/'2016'!Q180-1</f>
        <v>0.10601412018650302</v>
      </c>
      <c r="X180" s="81">
        <f>R180/'2016'!R180-1</f>
        <v>8.9095740169783388E-2</v>
      </c>
      <c r="Y180" s="81">
        <f>S180/'2016'!S180-1</f>
        <v>9.0098358752431107E-2</v>
      </c>
      <c r="Z180" s="139"/>
      <c r="AA180" s="139"/>
      <c r="AB180" s="105"/>
      <c r="AC180" s="105"/>
      <c r="AD180" s="37">
        <f t="shared" si="32"/>
        <v>10526191.318</v>
      </c>
      <c r="AE180" s="71">
        <f t="shared" si="41"/>
        <v>164466.89000000001</v>
      </c>
      <c r="AF180" s="71">
        <f t="shared" si="42"/>
        <v>135051</v>
      </c>
      <c r="AG180" s="71">
        <f t="shared" si="33"/>
        <v>73096.607999999658</v>
      </c>
    </row>
    <row r="181" spans="1:33" ht="15" customHeight="1" x14ac:dyDescent="0.15">
      <c r="A181" s="102">
        <v>42911</v>
      </c>
      <c r="B181" s="20" t="s">
        <v>1</v>
      </c>
      <c r="C181" s="8">
        <v>39604</v>
      </c>
      <c r="D181" s="37">
        <f>34222+9796</f>
        <v>44018</v>
      </c>
      <c r="E181" s="37">
        <v>87312</v>
      </c>
      <c r="F181" s="12">
        <v>4372.3</v>
      </c>
      <c r="G181" s="37">
        <v>3013.9</v>
      </c>
      <c r="H181" s="24"/>
      <c r="I181" s="36"/>
      <c r="J181" s="8">
        <f t="shared" si="30"/>
        <v>43294</v>
      </c>
      <c r="K181" s="37">
        <v>2687</v>
      </c>
      <c r="L181" s="37">
        <v>780</v>
      </c>
      <c r="M181" s="127">
        <f t="shared" si="34"/>
        <v>223</v>
      </c>
      <c r="N181" s="74">
        <f t="shared" si="54"/>
        <v>1381703</v>
      </c>
      <c r="O181" s="75">
        <f t="shared" si="54"/>
        <v>894442</v>
      </c>
      <c r="P181" s="75">
        <f t="shared" si="54"/>
        <v>2346135</v>
      </c>
      <c r="Q181" s="76">
        <f t="shared" si="46"/>
        <v>10193180.82</v>
      </c>
      <c r="R181" s="76">
        <f t="shared" si="46"/>
        <v>4859726</v>
      </c>
      <c r="S181" s="76">
        <f t="shared" si="46"/>
        <v>15429211.318</v>
      </c>
      <c r="T181" s="80">
        <f>N181/'2016'!N181-1</f>
        <v>4.2618455446022718E-2</v>
      </c>
      <c r="U181" s="80">
        <f>O181/'2016'!O181-1</f>
        <v>0.10523181099248724</v>
      </c>
      <c r="V181" s="80">
        <f>P181/'2016'!P181-1</f>
        <v>6.7356996723047624E-2</v>
      </c>
      <c r="W181" s="81">
        <f>Q181/'2016'!Q181-1</f>
        <v>0.10331010105613037</v>
      </c>
      <c r="X181" s="81">
        <f>R181/'2016'!R181-1</f>
        <v>9.1177022018993359E-2</v>
      </c>
      <c r="Y181" s="81">
        <f>S181/'2016'!S181-1</f>
        <v>8.913430418301882E-2</v>
      </c>
      <c r="Z181" s="136"/>
      <c r="AA181" s="136"/>
      <c r="AB181" s="105"/>
      <c r="AC181" s="105"/>
      <c r="AD181" s="37">
        <f t="shared" si="32"/>
        <v>10569485.318</v>
      </c>
      <c r="AE181" s="37">
        <f t="shared" si="41"/>
        <v>167153.89000000001</v>
      </c>
      <c r="AF181" s="37">
        <f t="shared" si="42"/>
        <v>135831</v>
      </c>
      <c r="AG181" s="37">
        <f t="shared" si="33"/>
        <v>73319.607999999658</v>
      </c>
    </row>
    <row r="182" spans="1:33" ht="15" customHeight="1" x14ac:dyDescent="0.15">
      <c r="A182" s="102">
        <v>42912</v>
      </c>
      <c r="B182" s="20" t="s">
        <v>34</v>
      </c>
      <c r="C182" s="8">
        <v>41504</v>
      </c>
      <c r="D182" s="37">
        <f>35541+9891</f>
        <v>45432</v>
      </c>
      <c r="E182" s="37">
        <v>91107</v>
      </c>
      <c r="F182" s="12">
        <v>4698.8</v>
      </c>
      <c r="G182" s="37">
        <v>2831.9</v>
      </c>
      <c r="H182" s="24"/>
      <c r="I182" s="36"/>
      <c r="J182" s="8">
        <f t="shared" si="30"/>
        <v>45675</v>
      </c>
      <c r="K182" s="37">
        <v>3105</v>
      </c>
      <c r="L182" s="37">
        <v>775</v>
      </c>
      <c r="M182" s="127">
        <f t="shared" si="34"/>
        <v>291</v>
      </c>
      <c r="N182" s="74">
        <f t="shared" si="54"/>
        <v>1423207</v>
      </c>
      <c r="O182" s="75">
        <f t="shared" si="54"/>
        <v>939874</v>
      </c>
      <c r="P182" s="75">
        <f t="shared" si="54"/>
        <v>2437242</v>
      </c>
      <c r="Q182" s="76">
        <f t="shared" si="46"/>
        <v>10234684.82</v>
      </c>
      <c r="R182" s="76">
        <f t="shared" si="46"/>
        <v>4905158</v>
      </c>
      <c r="S182" s="76">
        <f t="shared" si="46"/>
        <v>15520318.318</v>
      </c>
      <c r="T182" s="80">
        <f>N182/'2016'!N182-1</f>
        <v>3.7875108476084218E-2</v>
      </c>
      <c r="U182" s="80">
        <f>O182/'2016'!O182-1</f>
        <v>0.11564763124564514</v>
      </c>
      <c r="V182" s="80">
        <f>P182/'2016'!P182-1</f>
        <v>6.9463934516867054E-2</v>
      </c>
      <c r="W182" s="81">
        <f>Q182/'2016'!Q182-1</f>
        <v>0.10230856694073198</v>
      </c>
      <c r="X182" s="81">
        <f>R182/'2016'!R182-1</f>
        <v>9.3236593740513962E-2</v>
      </c>
      <c r="Y182" s="81">
        <f>S182/'2016'!S182-1</f>
        <v>8.9347725577037185E-2</v>
      </c>
      <c r="Z182" s="136"/>
      <c r="AA182" s="136"/>
      <c r="AB182" s="105"/>
      <c r="AC182" s="105"/>
      <c r="AD182" s="37">
        <f t="shared" si="32"/>
        <v>10615160.318</v>
      </c>
      <c r="AE182" s="37">
        <f t="shared" si="41"/>
        <v>170258.89</v>
      </c>
      <c r="AF182" s="37">
        <f t="shared" si="42"/>
        <v>136606</v>
      </c>
      <c r="AG182" s="37">
        <f t="shared" si="33"/>
        <v>73610.607999999658</v>
      </c>
    </row>
    <row r="183" spans="1:33" ht="15" customHeight="1" x14ac:dyDescent="0.15">
      <c r="A183" s="102">
        <v>42913</v>
      </c>
      <c r="B183" s="20" t="s">
        <v>35</v>
      </c>
      <c r="C183" s="8">
        <v>40872</v>
      </c>
      <c r="D183" s="37">
        <f>34964+10738</f>
        <v>45702</v>
      </c>
      <c r="E183" s="37">
        <v>90648</v>
      </c>
      <c r="F183" s="12">
        <v>4703.2</v>
      </c>
      <c r="G183" s="37">
        <v>2984.1</v>
      </c>
      <c r="H183" s="24"/>
      <c r="I183" s="36"/>
      <c r="J183" s="8">
        <f t="shared" si="30"/>
        <v>44946</v>
      </c>
      <c r="K183" s="37">
        <v>2922</v>
      </c>
      <c r="L183" s="37">
        <v>783</v>
      </c>
      <c r="M183" s="127">
        <f t="shared" si="34"/>
        <v>369</v>
      </c>
      <c r="N183" s="74">
        <f t="shared" si="54"/>
        <v>1464079</v>
      </c>
      <c r="O183" s="75">
        <f t="shared" si="54"/>
        <v>985576</v>
      </c>
      <c r="P183" s="75">
        <f t="shared" si="54"/>
        <v>2527890</v>
      </c>
      <c r="Q183" s="76">
        <f t="shared" si="46"/>
        <v>10275556.82</v>
      </c>
      <c r="R183" s="76">
        <f t="shared" si="46"/>
        <v>4950860</v>
      </c>
      <c r="S183" s="76">
        <f t="shared" si="46"/>
        <v>15610966.318</v>
      </c>
      <c r="T183" s="80">
        <f>N183/'2016'!N183-1</f>
        <v>2.8610551401055062E-2</v>
      </c>
      <c r="U183" s="80">
        <f>O183/'2016'!O183-1</f>
        <v>0.12344391363770568</v>
      </c>
      <c r="V183" s="80">
        <f>P183/'2016'!P183-1</f>
        <v>6.7598209161219058E-2</v>
      </c>
      <c r="W183" s="81">
        <f>Q183/'2016'!Q183-1</f>
        <v>0.10053678865665638</v>
      </c>
      <c r="X183" s="81">
        <f>R183/'2016'!R183-1</f>
        <v>9.4921860486512077E-2</v>
      </c>
      <c r="Y183" s="81">
        <f>S183/'2016'!S183-1</f>
        <v>8.8916286912308351E-2</v>
      </c>
      <c r="Z183" s="136"/>
      <c r="AA183" s="136"/>
      <c r="AB183" s="105"/>
      <c r="AC183" s="105"/>
      <c r="AD183" s="37">
        <f t="shared" si="32"/>
        <v>10660106.318</v>
      </c>
      <c r="AE183" s="37">
        <f t="shared" si="41"/>
        <v>173180.89</v>
      </c>
      <c r="AF183" s="37">
        <f t="shared" si="42"/>
        <v>137389</v>
      </c>
      <c r="AG183" s="37">
        <f t="shared" si="33"/>
        <v>73979.607999999658</v>
      </c>
    </row>
    <row r="184" spans="1:33" ht="15" customHeight="1" x14ac:dyDescent="0.15">
      <c r="A184" s="102">
        <v>42914</v>
      </c>
      <c r="B184" s="20" t="s">
        <v>36</v>
      </c>
      <c r="C184" s="8">
        <v>40669</v>
      </c>
      <c r="D184" s="37">
        <f>36610+10198</f>
        <v>46808</v>
      </c>
      <c r="E184" s="37">
        <v>91829</v>
      </c>
      <c r="F184" s="12">
        <v>4728.2</v>
      </c>
      <c r="G184" s="37">
        <v>2983.7</v>
      </c>
      <c r="H184" s="24"/>
      <c r="I184" s="36"/>
      <c r="J184" s="8">
        <f t="shared" si="30"/>
        <v>45021</v>
      </c>
      <c r="K184" s="37">
        <v>3240</v>
      </c>
      <c r="L184" s="37">
        <v>779</v>
      </c>
      <c r="M184" s="127">
        <f t="shared" si="34"/>
        <v>333</v>
      </c>
      <c r="N184" s="74">
        <f t="shared" si="54"/>
        <v>1504748</v>
      </c>
      <c r="O184" s="75">
        <f t="shared" si="54"/>
        <v>1032384</v>
      </c>
      <c r="P184" s="75">
        <f t="shared" si="54"/>
        <v>2619719</v>
      </c>
      <c r="Q184" s="76">
        <f t="shared" si="46"/>
        <v>10316225.82</v>
      </c>
      <c r="R184" s="76">
        <f t="shared" si="46"/>
        <v>4997668</v>
      </c>
      <c r="S184" s="76">
        <f t="shared" si="46"/>
        <v>15702795.318</v>
      </c>
      <c r="T184" s="80">
        <f>N184/'2016'!N184-1</f>
        <v>1.69827388113164E-2</v>
      </c>
      <c r="U184" s="80">
        <f>O184/'2016'!O184-1</f>
        <v>0.1305929572297635</v>
      </c>
      <c r="V184" s="80">
        <f>P184/'2016'!P184-1</f>
        <v>6.4232076226689472E-2</v>
      </c>
      <c r="W184" s="81">
        <f>Q184/'2016'!Q184-1</f>
        <v>9.8274324737363639E-2</v>
      </c>
      <c r="X184" s="81">
        <f>R184/'2016'!R184-1</f>
        <v>9.6578614199420265E-2</v>
      </c>
      <c r="Y184" s="81">
        <f>S184/'2016'!S184-1</f>
        <v>8.8203521728352774E-2</v>
      </c>
      <c r="Z184" s="136">
        <f>(Z185-Z178)/7*6+Z178</f>
        <v>71.510000000000005</v>
      </c>
      <c r="AA184" s="136">
        <f>Q184/10000-Z184</f>
        <v>960.11258199999997</v>
      </c>
      <c r="AB184" s="105"/>
      <c r="AC184" s="105"/>
      <c r="AD184" s="37">
        <f t="shared" si="32"/>
        <v>10705127.318</v>
      </c>
      <c r="AE184" s="37">
        <f t="shared" si="41"/>
        <v>176420.89</v>
      </c>
      <c r="AF184" s="37">
        <f t="shared" si="42"/>
        <v>138168</v>
      </c>
      <c r="AG184" s="37">
        <f t="shared" si="33"/>
        <v>74312.607999999658</v>
      </c>
    </row>
    <row r="185" spans="1:33" ht="15" customHeight="1" x14ac:dyDescent="0.15">
      <c r="A185" s="102">
        <v>42915</v>
      </c>
      <c r="B185" s="14" t="s">
        <v>37</v>
      </c>
      <c r="C185" s="32">
        <v>41208</v>
      </c>
      <c r="D185" s="33">
        <f>37491+11087</f>
        <v>48578</v>
      </c>
      <c r="E185" s="33">
        <v>93908</v>
      </c>
      <c r="F185" s="119">
        <v>4745.3999999999996</v>
      </c>
      <c r="G185" s="33">
        <v>2973.6</v>
      </c>
      <c r="H185" s="19"/>
      <c r="I185" s="19"/>
      <c r="J185" s="32">
        <f t="shared" si="30"/>
        <v>45330</v>
      </c>
      <c r="K185" s="33">
        <v>2793</v>
      </c>
      <c r="L185" s="33">
        <v>778</v>
      </c>
      <c r="M185" s="128">
        <f t="shared" si="34"/>
        <v>551</v>
      </c>
      <c r="N185" s="77">
        <f t="shared" si="54"/>
        <v>1545956</v>
      </c>
      <c r="O185" s="78">
        <f t="shared" si="54"/>
        <v>1080962</v>
      </c>
      <c r="P185" s="78">
        <f t="shared" si="54"/>
        <v>2713627</v>
      </c>
      <c r="Q185" s="77">
        <f t="shared" si="46"/>
        <v>10357433.82</v>
      </c>
      <c r="R185" s="77">
        <f t="shared" si="46"/>
        <v>5046246</v>
      </c>
      <c r="S185" s="77">
        <f t="shared" si="46"/>
        <v>15796703.318</v>
      </c>
      <c r="T185" s="82">
        <f>N185/'2016'!N185-1</f>
        <v>1.0305936663908888E-2</v>
      </c>
      <c r="U185" s="82">
        <f>O185/'2016'!O185-1</f>
        <v>0.13618394844633741</v>
      </c>
      <c r="V185" s="82">
        <f>P185/'2016'!P185-1</f>
        <v>6.3173071460614239E-2</v>
      </c>
      <c r="W185" s="82">
        <f>Q185/'2016'!Q185-1</f>
        <v>9.6757190966369144E-2</v>
      </c>
      <c r="X185" s="82">
        <f>R185/'2016'!R185-1</f>
        <v>9.8019222885730617E-2</v>
      </c>
      <c r="Y185" s="82">
        <f>S185/'2016'!S185-1</f>
        <v>8.7867512919573176E-2</v>
      </c>
      <c r="Z185" s="138">
        <v>71.81</v>
      </c>
      <c r="AA185" s="138">
        <f>Q185/10000-Z185</f>
        <v>963.93338200000017</v>
      </c>
      <c r="AB185" s="33">
        <v>4258.08</v>
      </c>
      <c r="AC185" s="33">
        <f>AA185*10000/AB185</f>
        <v>2263.7747106677193</v>
      </c>
      <c r="AD185" s="33">
        <f t="shared" si="32"/>
        <v>10750457.318</v>
      </c>
      <c r="AE185" s="33">
        <f t="shared" si="41"/>
        <v>179213.89</v>
      </c>
      <c r="AF185" s="33">
        <f t="shared" si="42"/>
        <v>138946</v>
      </c>
      <c r="AG185" s="33">
        <f t="shared" si="33"/>
        <v>74863.607999999658</v>
      </c>
    </row>
    <row r="186" spans="1:33" s="1" customFormat="1" ht="15" customHeight="1" x14ac:dyDescent="0.15">
      <c r="A186" s="25">
        <v>42916</v>
      </c>
      <c r="B186" s="25" t="s">
        <v>38</v>
      </c>
      <c r="C186" s="42">
        <v>44399</v>
      </c>
      <c r="D186" s="43">
        <f>36897+11145</f>
        <v>48042</v>
      </c>
      <c r="E186" s="43">
        <v>96287</v>
      </c>
      <c r="F186" s="122">
        <v>4901.2</v>
      </c>
      <c r="G186" s="43">
        <v>3015</v>
      </c>
      <c r="H186" s="30"/>
      <c r="I186" s="30"/>
      <c r="J186" s="42">
        <f t="shared" si="30"/>
        <v>48245</v>
      </c>
      <c r="K186" s="43">
        <v>2464</v>
      </c>
      <c r="L186" s="43">
        <v>714</v>
      </c>
      <c r="M186" s="130">
        <f t="shared" si="34"/>
        <v>668</v>
      </c>
      <c r="N186" s="87">
        <v>1590356.35</v>
      </c>
      <c r="O186" s="88">
        <f t="shared" ref="O186" si="55">O185+D186</f>
        <v>1129004</v>
      </c>
      <c r="P186" s="88">
        <v>2809993.67</v>
      </c>
      <c r="Q186" s="87">
        <f t="shared" si="46"/>
        <v>10401834.17</v>
      </c>
      <c r="R186" s="87">
        <v>5094369</v>
      </c>
      <c r="S186" s="87">
        <f t="shared" si="46"/>
        <v>15893069.988</v>
      </c>
      <c r="T186" s="89">
        <f>N186/'2016'!N186-1</f>
        <v>5.3151873512911063E-3</v>
      </c>
      <c r="U186" s="89">
        <f>O186/'2016'!O186-1</f>
        <v>0.13305467044684738</v>
      </c>
      <c r="V186" s="89">
        <f>P186/'2016'!P186-1</f>
        <v>5.9962984198594471E-2</v>
      </c>
      <c r="W186" s="89">
        <f>Q186/'2016'!Q186-1</f>
        <v>9.5454462352551728E-2</v>
      </c>
      <c r="X186" s="89">
        <f>R186/'2016'!R186-1</f>
        <v>9.7735088777797019E-2</v>
      </c>
      <c r="Y186" s="89">
        <f>S186/'2016'!S186-1</f>
        <v>8.7118782508935677E-2</v>
      </c>
      <c r="Z186" s="141">
        <f>720429.16/10000</f>
        <v>72.042916000000005</v>
      </c>
      <c r="AA186" s="141">
        <f>9681405.01/10000</f>
        <v>968.14050099999997</v>
      </c>
      <c r="AB186" s="43">
        <v>4258.08</v>
      </c>
      <c r="AC186" s="43">
        <f>AA186*10000/AB186</f>
        <v>2273.6550299665578</v>
      </c>
      <c r="AD186" s="43">
        <v>10798700.99</v>
      </c>
      <c r="AE186" s="43">
        <v>181679.23</v>
      </c>
      <c r="AF186" s="43">
        <v>139661.82</v>
      </c>
      <c r="AG186" s="43">
        <f t="shared" si="33"/>
        <v>75525.770000000281</v>
      </c>
    </row>
    <row r="187" spans="1:33" ht="15" customHeight="1" x14ac:dyDescent="0.15">
      <c r="A187" s="102">
        <v>42917</v>
      </c>
      <c r="B187" s="20" t="s">
        <v>39</v>
      </c>
      <c r="C187" s="70">
        <v>40740</v>
      </c>
      <c r="D187" s="71">
        <f>38006+11134</f>
        <v>49140</v>
      </c>
      <c r="E187" s="71">
        <v>94041</v>
      </c>
      <c r="F187" s="120">
        <v>4645</v>
      </c>
      <c r="G187" s="71">
        <v>3066.2</v>
      </c>
      <c r="H187" s="24"/>
      <c r="I187" s="24"/>
      <c r="J187" s="70">
        <f t="shared" si="30"/>
        <v>44901</v>
      </c>
      <c r="K187" s="71">
        <v>2707</v>
      </c>
      <c r="L187" s="71">
        <v>773</v>
      </c>
      <c r="M187" s="129">
        <f t="shared" si="34"/>
        <v>681</v>
      </c>
      <c r="N187" s="74">
        <f>C187</f>
        <v>40740</v>
      </c>
      <c r="O187" s="75">
        <f>D187</f>
        <v>49140</v>
      </c>
      <c r="P187" s="75">
        <f>E187</f>
        <v>94041</v>
      </c>
      <c r="Q187" s="76">
        <f t="shared" ref="Q187:S202" si="56">Q$186+N187</f>
        <v>10442574.17</v>
      </c>
      <c r="R187" s="76">
        <f t="shared" si="56"/>
        <v>5143509</v>
      </c>
      <c r="S187" s="76">
        <f t="shared" si="56"/>
        <v>15987110.988</v>
      </c>
      <c r="T187" s="80">
        <f>N187/'2016'!N187-1</f>
        <v>-0.22697430837539367</v>
      </c>
      <c r="U187" s="80">
        <f>O187/'2016'!O187-1</f>
        <v>0.16796995697953565</v>
      </c>
      <c r="V187" s="80">
        <f>P187/'2016'!P187-1</f>
        <v>-2.2757739190073845E-2</v>
      </c>
      <c r="W187" s="81">
        <f>Q187/'2016'!Q187-1</f>
        <v>9.3674784013201284E-2</v>
      </c>
      <c r="X187" s="81">
        <f>R187/'2016'!R187-1</f>
        <v>9.8366109864606699E-2</v>
      </c>
      <c r="Y187" s="81">
        <f>S187/'2016'!S187-1</f>
        <v>8.6400261000635137E-2</v>
      </c>
      <c r="Z187" s="139"/>
      <c r="AA187" s="139"/>
      <c r="AB187" s="105"/>
      <c r="AC187" s="105"/>
      <c r="AD187" s="37">
        <f t="shared" si="32"/>
        <v>10843601.988</v>
      </c>
      <c r="AE187" s="71">
        <f t="shared" si="41"/>
        <v>184386.23</v>
      </c>
      <c r="AF187" s="71">
        <f t="shared" si="42"/>
        <v>140434.82</v>
      </c>
      <c r="AG187" s="71">
        <f t="shared" si="33"/>
        <v>76206.767999999953</v>
      </c>
    </row>
    <row r="188" spans="1:33" ht="15" customHeight="1" x14ac:dyDescent="0.15">
      <c r="A188" s="102">
        <v>42918</v>
      </c>
      <c r="B188" s="20" t="s">
        <v>1</v>
      </c>
      <c r="C188" s="8">
        <v>42435</v>
      </c>
      <c r="D188" s="37">
        <f>36915+10956</f>
        <v>47871</v>
      </c>
      <c r="E188" s="37">
        <v>94462</v>
      </c>
      <c r="F188" s="12">
        <v>4566.5</v>
      </c>
      <c r="G188" s="37">
        <v>3097</v>
      </c>
      <c r="H188" s="24"/>
      <c r="I188" s="36"/>
      <c r="J188" s="8">
        <f t="shared" si="30"/>
        <v>46591</v>
      </c>
      <c r="K188" s="37">
        <v>2665</v>
      </c>
      <c r="L188" s="37">
        <v>774</v>
      </c>
      <c r="M188" s="127">
        <f t="shared" si="34"/>
        <v>717</v>
      </c>
      <c r="N188" s="74">
        <f t="shared" ref="N188:P203" si="57">C188+N187</f>
        <v>83175</v>
      </c>
      <c r="O188" s="75">
        <f t="shared" si="57"/>
        <v>97011</v>
      </c>
      <c r="P188" s="75">
        <f t="shared" si="57"/>
        <v>188503</v>
      </c>
      <c r="Q188" s="76">
        <f t="shared" si="56"/>
        <v>10485009.17</v>
      </c>
      <c r="R188" s="76">
        <f t="shared" si="56"/>
        <v>5191380</v>
      </c>
      <c r="S188" s="76">
        <f t="shared" si="56"/>
        <v>16081572.988</v>
      </c>
      <c r="T188" s="80">
        <f>N188/'2016'!N188-1</f>
        <v>-0.2239690240716552</v>
      </c>
      <c r="U188" s="80">
        <f>O188/'2016'!O188-1</f>
        <v>0.14929687592555285</v>
      </c>
      <c r="V188" s="80">
        <f>P188/'2016'!P188-1</f>
        <v>-3.2360233461836585E-2</v>
      </c>
      <c r="W188" s="81">
        <f>Q188/'2016'!Q188-1</f>
        <v>9.1889209321903476E-2</v>
      </c>
      <c r="X188" s="81">
        <f>R188/'2016'!R188-1</f>
        <v>9.8656165261684636E-2</v>
      </c>
      <c r="Y188" s="81">
        <f>S188/'2016'!S188-1</f>
        <v>8.5547636468105814E-2</v>
      </c>
      <c r="Z188" s="136"/>
      <c r="AA188" s="136"/>
      <c r="AB188" s="105"/>
      <c r="AC188" s="105"/>
      <c r="AD188" s="37">
        <f t="shared" si="32"/>
        <v>10890192.988</v>
      </c>
      <c r="AE188" s="37">
        <f t="shared" si="41"/>
        <v>187051.23</v>
      </c>
      <c r="AF188" s="37">
        <f t="shared" si="42"/>
        <v>141208.82</v>
      </c>
      <c r="AG188" s="37">
        <f t="shared" si="33"/>
        <v>76923.767999999953</v>
      </c>
    </row>
    <row r="189" spans="1:33" ht="15" customHeight="1" x14ac:dyDescent="0.15">
      <c r="A189" s="102">
        <v>42919</v>
      </c>
      <c r="B189" s="20" t="s">
        <v>34</v>
      </c>
      <c r="C189" s="8">
        <v>55312</v>
      </c>
      <c r="D189" s="37">
        <f>33337+11072</f>
        <v>44409</v>
      </c>
      <c r="E189" s="37">
        <v>104123</v>
      </c>
      <c r="F189" s="12">
        <v>5360.2</v>
      </c>
      <c r="G189" s="37">
        <v>3175.5</v>
      </c>
      <c r="H189" s="24"/>
      <c r="I189" s="36"/>
      <c r="J189" s="8">
        <f t="shared" si="30"/>
        <v>59714</v>
      </c>
      <c r="K189" s="37">
        <v>2903</v>
      </c>
      <c r="L189" s="37">
        <v>771</v>
      </c>
      <c r="M189" s="127">
        <f t="shared" si="34"/>
        <v>728</v>
      </c>
      <c r="N189" s="74">
        <f t="shared" si="57"/>
        <v>138487</v>
      </c>
      <c r="O189" s="75">
        <f t="shared" si="57"/>
        <v>141420</v>
      </c>
      <c r="P189" s="75">
        <f t="shared" si="57"/>
        <v>292626</v>
      </c>
      <c r="Q189" s="76">
        <f t="shared" si="56"/>
        <v>10540321.17</v>
      </c>
      <c r="R189" s="76">
        <f t="shared" si="56"/>
        <v>5235789</v>
      </c>
      <c r="S189" s="76">
        <f t="shared" si="56"/>
        <v>16185695.988</v>
      </c>
      <c r="T189" s="80">
        <f>N189/'2016'!N189-1</f>
        <v>-0.12939039033375455</v>
      </c>
      <c r="U189" s="80">
        <f>O189/'2016'!O189-1</f>
        <v>0.12154424476977499</v>
      </c>
      <c r="V189" s="80">
        <f>P189/'2016'!P189-1</f>
        <v>9.9397403242840188E-3</v>
      </c>
      <c r="W189" s="81">
        <f>Q189/'2016'!Q189-1</f>
        <v>9.1749892278435441E-2</v>
      </c>
      <c r="X189" s="81">
        <f>R189/'2016'!R189-1</f>
        <v>9.8364889171020042E-2</v>
      </c>
      <c r="Y189" s="81">
        <f>S189/'2016'!S189-1</f>
        <v>8.5618880652655216E-2</v>
      </c>
      <c r="Z189" s="136"/>
      <c r="AA189" s="136"/>
      <c r="AB189" s="105"/>
      <c r="AC189" s="105"/>
      <c r="AD189" s="37">
        <f t="shared" si="32"/>
        <v>10949906.988</v>
      </c>
      <c r="AE189" s="37">
        <f t="shared" si="41"/>
        <v>189954.23</v>
      </c>
      <c r="AF189" s="37">
        <f t="shared" si="42"/>
        <v>141979.82</v>
      </c>
      <c r="AG189" s="37">
        <f t="shared" si="33"/>
        <v>77651.767999999953</v>
      </c>
    </row>
    <row r="190" spans="1:33" ht="15" customHeight="1" x14ac:dyDescent="0.15">
      <c r="A190" s="102">
        <v>42920</v>
      </c>
      <c r="B190" s="20" t="s">
        <v>35</v>
      </c>
      <c r="C190" s="8">
        <v>52621</v>
      </c>
      <c r="D190" s="37">
        <f>37281+11351</f>
        <v>48632</v>
      </c>
      <c r="E190" s="37">
        <v>105751</v>
      </c>
      <c r="F190" s="12">
        <v>5345.8</v>
      </c>
      <c r="G190" s="37">
        <v>3339.3</v>
      </c>
      <c r="H190" s="24"/>
      <c r="I190" s="36"/>
      <c r="J190" s="8">
        <f t="shared" si="30"/>
        <v>57119</v>
      </c>
      <c r="K190" s="37">
        <v>3096</v>
      </c>
      <c r="L190" s="37">
        <v>772</v>
      </c>
      <c r="M190" s="127">
        <f t="shared" si="34"/>
        <v>630</v>
      </c>
      <c r="N190" s="74">
        <f t="shared" si="57"/>
        <v>191108</v>
      </c>
      <c r="O190" s="75">
        <f t="shared" si="57"/>
        <v>190052</v>
      </c>
      <c r="P190" s="75">
        <f t="shared" si="57"/>
        <v>398377</v>
      </c>
      <c r="Q190" s="76">
        <f t="shared" si="56"/>
        <v>10592942.17</v>
      </c>
      <c r="R190" s="76">
        <f t="shared" si="56"/>
        <v>5284421</v>
      </c>
      <c r="S190" s="76">
        <f t="shared" si="56"/>
        <v>16291446.988</v>
      </c>
      <c r="T190" s="80">
        <f>N190/'2016'!N190-1</f>
        <v>-0.12665487631556094</v>
      </c>
      <c r="U190" s="80">
        <f>O190/'2016'!O190-1</f>
        <v>0.12612062784786127</v>
      </c>
      <c r="V190" s="80">
        <f>P190/'2016'!P190-1</f>
        <v>1.0116966330026012E-2</v>
      </c>
      <c r="W190" s="81">
        <f>Q190/'2016'!Q190-1</f>
        <v>9.045124422061801E-2</v>
      </c>
      <c r="X190" s="81">
        <f>R190/'2016'!R190-1</f>
        <v>9.8731133176853447E-2</v>
      </c>
      <c r="Y190" s="81">
        <f>S190/'2016'!S190-1</f>
        <v>8.5096079620994747E-2</v>
      </c>
      <c r="Z190" s="136"/>
      <c r="AA190" s="136"/>
      <c r="AB190" s="105"/>
      <c r="AC190" s="105"/>
      <c r="AD190" s="37">
        <f t="shared" si="32"/>
        <v>11007025.988</v>
      </c>
      <c r="AE190" s="37">
        <f t="shared" si="41"/>
        <v>193050.23</v>
      </c>
      <c r="AF190" s="37">
        <f t="shared" si="42"/>
        <v>142751.82</v>
      </c>
      <c r="AG190" s="37">
        <f t="shared" si="33"/>
        <v>78281.767999999953</v>
      </c>
    </row>
    <row r="191" spans="1:33" ht="15" customHeight="1" x14ac:dyDescent="0.15">
      <c r="A191" s="102">
        <v>42921</v>
      </c>
      <c r="B191" s="20" t="s">
        <v>36</v>
      </c>
      <c r="C191" s="8">
        <v>53935</v>
      </c>
      <c r="D191" s="37">
        <f>38257+11036</f>
        <v>49293</v>
      </c>
      <c r="E191" s="37">
        <v>108563</v>
      </c>
      <c r="F191" s="12">
        <v>5557.7</v>
      </c>
      <c r="G191" s="37">
        <v>3417</v>
      </c>
      <c r="H191" s="24"/>
      <c r="I191" s="36"/>
      <c r="J191" s="8">
        <f t="shared" si="30"/>
        <v>59270</v>
      </c>
      <c r="K191" s="37">
        <v>3522</v>
      </c>
      <c r="L191" s="37">
        <v>786</v>
      </c>
      <c r="M191" s="127">
        <f t="shared" si="34"/>
        <v>1027</v>
      </c>
      <c r="N191" s="74">
        <f t="shared" si="57"/>
        <v>245043</v>
      </c>
      <c r="O191" s="75">
        <f t="shared" si="57"/>
        <v>239345</v>
      </c>
      <c r="P191" s="75">
        <f t="shared" si="57"/>
        <v>506940</v>
      </c>
      <c r="Q191" s="76">
        <f t="shared" si="56"/>
        <v>10646877.17</v>
      </c>
      <c r="R191" s="76">
        <f t="shared" si="56"/>
        <v>5333714</v>
      </c>
      <c r="S191" s="76">
        <f t="shared" si="56"/>
        <v>16400009.988</v>
      </c>
      <c r="T191" s="80">
        <f>N191/'2016'!N191-1</f>
        <v>-0.12334045270625615</v>
      </c>
      <c r="U191" s="80">
        <f>O191/'2016'!O191-1</f>
        <v>0.12669525634205936</v>
      </c>
      <c r="V191" s="80">
        <f>P191/'2016'!P191-1</f>
        <v>9.5530556036826919E-3</v>
      </c>
      <c r="W191" s="81">
        <f>Q191/'2016'!Q191-1</f>
        <v>8.9197938203390947E-2</v>
      </c>
      <c r="X191" s="81">
        <f>R191/'2016'!R191-1</f>
        <v>9.9002705620235165E-2</v>
      </c>
      <c r="Y191" s="81">
        <f>S191/'2016'!S191-1</f>
        <v>8.4543054712849175E-2</v>
      </c>
      <c r="Z191" s="136">
        <f>(Z192-Z185)/7*6+Z185</f>
        <v>75.007142857142867</v>
      </c>
      <c r="AA191" s="136">
        <f>Q191/10000-Z191</f>
        <v>989.68057414285715</v>
      </c>
      <c r="AB191" s="105"/>
      <c r="AC191" s="105"/>
      <c r="AD191" s="37">
        <f t="shared" si="32"/>
        <v>11066295.988</v>
      </c>
      <c r="AE191" s="37">
        <f t="shared" si="41"/>
        <v>196572.23</v>
      </c>
      <c r="AF191" s="37">
        <f t="shared" si="42"/>
        <v>143537.82</v>
      </c>
      <c r="AG191" s="37">
        <f t="shared" si="33"/>
        <v>79308.767999999953</v>
      </c>
    </row>
    <row r="192" spans="1:33" ht="15" customHeight="1" x14ac:dyDescent="0.15">
      <c r="A192" s="102">
        <v>42922</v>
      </c>
      <c r="B192" s="14" t="s">
        <v>37</v>
      </c>
      <c r="C192" s="32">
        <v>56190</v>
      </c>
      <c r="D192" s="33">
        <f>39564+11203</f>
        <v>50767</v>
      </c>
      <c r="E192" s="33">
        <v>111939</v>
      </c>
      <c r="F192" s="119">
        <v>5617.3</v>
      </c>
      <c r="G192" s="33">
        <v>3433</v>
      </c>
      <c r="H192" s="19"/>
      <c r="I192" s="19"/>
      <c r="J192" s="32">
        <f t="shared" si="30"/>
        <v>61172</v>
      </c>
      <c r="K192" s="33">
        <v>3434</v>
      </c>
      <c r="L192" s="33">
        <v>768</v>
      </c>
      <c r="M192" s="128">
        <f t="shared" si="34"/>
        <v>780</v>
      </c>
      <c r="N192" s="77">
        <f t="shared" si="57"/>
        <v>301233</v>
      </c>
      <c r="O192" s="78">
        <f t="shared" si="57"/>
        <v>290112</v>
      </c>
      <c r="P192" s="78">
        <f t="shared" si="57"/>
        <v>618879</v>
      </c>
      <c r="Q192" s="77">
        <f t="shared" si="56"/>
        <v>10703067.17</v>
      </c>
      <c r="R192" s="77">
        <f t="shared" si="56"/>
        <v>5384481</v>
      </c>
      <c r="S192" s="77">
        <f t="shared" si="56"/>
        <v>16511948.988</v>
      </c>
      <c r="T192" s="82">
        <f>N192/'2016'!N192-1</f>
        <v>-0.12110089601708585</v>
      </c>
      <c r="U192" s="82">
        <f>O192/'2016'!O192-1</f>
        <v>0.13700745432170369</v>
      </c>
      <c r="V192" s="82">
        <f>P192/'2016'!P192-1</f>
        <v>1.232033525968057E-2</v>
      </c>
      <c r="W192" s="82">
        <f>Q192/'2016'!Q192-1</f>
        <v>8.7910191813738159E-2</v>
      </c>
      <c r="X192" s="82">
        <f>R192/'2016'!R192-1</f>
        <v>9.9781778995472692E-2</v>
      </c>
      <c r="Y192" s="82">
        <f>S192/'2016'!S192-1</f>
        <v>8.4116455687226699E-2</v>
      </c>
      <c r="Z192" s="138">
        <v>75.540000000000006</v>
      </c>
      <c r="AA192" s="138">
        <f>Q192/10000-Z192</f>
        <v>994.76671699999997</v>
      </c>
      <c r="AB192" s="33">
        <v>4258.08</v>
      </c>
      <c r="AC192" s="33">
        <f>AA192*10000/AB192</f>
        <v>2336.1860674294517</v>
      </c>
      <c r="AD192" s="33">
        <f t="shared" si="32"/>
        <v>11127467.988</v>
      </c>
      <c r="AE192" s="33">
        <f t="shared" si="41"/>
        <v>200006.23</v>
      </c>
      <c r="AF192" s="33">
        <f t="shared" si="42"/>
        <v>144305.82</v>
      </c>
      <c r="AG192" s="33">
        <f t="shared" si="33"/>
        <v>80088.767999999953</v>
      </c>
    </row>
    <row r="193" spans="1:33" ht="15" customHeight="1" x14ac:dyDescent="0.15">
      <c r="A193" s="102">
        <v>42923</v>
      </c>
      <c r="B193" s="20" t="s">
        <v>38</v>
      </c>
      <c r="C193" s="8">
        <v>61028</v>
      </c>
      <c r="D193" s="37">
        <f>40246+11246</f>
        <v>51492</v>
      </c>
      <c r="E193" s="37">
        <v>117384</v>
      </c>
      <c r="F193" s="12">
        <v>5846.9</v>
      </c>
      <c r="G193" s="37">
        <v>3723.1</v>
      </c>
      <c r="H193" s="24"/>
      <c r="I193" s="36"/>
      <c r="J193" s="8">
        <f t="shared" si="30"/>
        <v>65892</v>
      </c>
      <c r="K193" s="37">
        <v>3309</v>
      </c>
      <c r="L193" s="37">
        <v>768</v>
      </c>
      <c r="M193" s="127">
        <f t="shared" si="34"/>
        <v>787</v>
      </c>
      <c r="N193" s="74">
        <f t="shared" si="57"/>
        <v>362261</v>
      </c>
      <c r="O193" s="75">
        <f t="shared" si="57"/>
        <v>341604</v>
      </c>
      <c r="P193" s="75">
        <f t="shared" si="57"/>
        <v>736263</v>
      </c>
      <c r="Q193" s="76">
        <f t="shared" si="56"/>
        <v>10764095.17</v>
      </c>
      <c r="R193" s="76">
        <f t="shared" si="56"/>
        <v>5435973</v>
      </c>
      <c r="S193" s="76">
        <f t="shared" si="56"/>
        <v>16629332.988</v>
      </c>
      <c r="T193" s="80">
        <f>N193/'2016'!N193-1</f>
        <v>-0.10429209699313369</v>
      </c>
      <c r="U193" s="80">
        <f>O193/'2016'!O193-1</f>
        <v>0.14378126443939965</v>
      </c>
      <c r="V193" s="80">
        <f>P193/'2016'!P193-1</f>
        <v>2.1504988463614261E-2</v>
      </c>
      <c r="W193" s="81">
        <f>Q193/'2016'!Q193-1</f>
        <v>8.7294201795332649E-2</v>
      </c>
      <c r="X193" s="81">
        <f>R193/'2016'!R193-1</f>
        <v>0.10051924683295477</v>
      </c>
      <c r="Y193" s="81">
        <f>S193/'2016'!S193-1</f>
        <v>8.4035903561914482E-2</v>
      </c>
      <c r="Z193" s="136"/>
      <c r="AA193" s="136"/>
      <c r="AB193" s="105"/>
      <c r="AC193" s="105"/>
      <c r="AD193" s="37">
        <f t="shared" si="32"/>
        <v>11193359.988</v>
      </c>
      <c r="AE193" s="37">
        <f t="shared" si="41"/>
        <v>203315.23</v>
      </c>
      <c r="AF193" s="37">
        <f t="shared" si="42"/>
        <v>145073.82</v>
      </c>
      <c r="AG193" s="37">
        <f t="shared" si="33"/>
        <v>80875.767999999953</v>
      </c>
    </row>
    <row r="194" spans="1:33" ht="15" customHeight="1" x14ac:dyDescent="0.15">
      <c r="A194" s="102">
        <v>42924</v>
      </c>
      <c r="B194" s="20" t="s">
        <v>39</v>
      </c>
      <c r="C194" s="70">
        <v>60096</v>
      </c>
      <c r="D194" s="71">
        <f>40843+11177</f>
        <v>52020</v>
      </c>
      <c r="E194" s="71">
        <v>116659</v>
      </c>
      <c r="F194" s="120">
        <v>5757.9</v>
      </c>
      <c r="G194" s="71">
        <v>3832.7</v>
      </c>
      <c r="H194" s="24"/>
      <c r="I194" s="24"/>
      <c r="J194" s="70">
        <f t="shared" si="30"/>
        <v>64639</v>
      </c>
      <c r="K194" s="71">
        <v>3018</v>
      </c>
      <c r="L194" s="71">
        <v>761</v>
      </c>
      <c r="M194" s="129">
        <f t="shared" si="34"/>
        <v>764</v>
      </c>
      <c r="N194" s="74">
        <f t="shared" si="57"/>
        <v>422357</v>
      </c>
      <c r="O194" s="75">
        <f t="shared" si="57"/>
        <v>393624</v>
      </c>
      <c r="P194" s="75">
        <f t="shared" si="57"/>
        <v>852922</v>
      </c>
      <c r="Q194" s="76">
        <f t="shared" si="56"/>
        <v>10824191.17</v>
      </c>
      <c r="R194" s="76">
        <f t="shared" si="56"/>
        <v>5487993</v>
      </c>
      <c r="S194" s="76">
        <f t="shared" si="56"/>
        <v>16745991.988</v>
      </c>
      <c r="T194" s="80">
        <f>N194/'2016'!N194-1</f>
        <v>-8.9333727190597401E-2</v>
      </c>
      <c r="U194" s="80">
        <f>O194/'2016'!O194-1</f>
        <v>0.15377445319232508</v>
      </c>
      <c r="V194" s="80">
        <f>P194/'2016'!P194-1</f>
        <v>3.11326571321493E-2</v>
      </c>
      <c r="W194" s="81">
        <f>Q194/'2016'!Q194-1</f>
        <v>8.684911398861761E-2</v>
      </c>
      <c r="X194" s="81">
        <f>R194/'2016'!R194-1</f>
        <v>0.10157263343237055</v>
      </c>
      <c r="Y194" s="81">
        <f>S194/'2016'!S194-1</f>
        <v>8.412071126017806E-2</v>
      </c>
      <c r="Z194" s="139"/>
      <c r="AA194" s="139"/>
      <c r="AB194" s="105"/>
      <c r="AC194" s="105"/>
      <c r="AD194" s="37">
        <f t="shared" si="32"/>
        <v>11257998.988</v>
      </c>
      <c r="AE194" s="71">
        <f t="shared" si="41"/>
        <v>206333.23</v>
      </c>
      <c r="AF194" s="71">
        <f t="shared" si="42"/>
        <v>145834.82</v>
      </c>
      <c r="AG194" s="71">
        <f t="shared" si="33"/>
        <v>81639.767999999953</v>
      </c>
    </row>
    <row r="195" spans="1:33" ht="15" customHeight="1" x14ac:dyDescent="0.15">
      <c r="A195" s="102">
        <v>42925</v>
      </c>
      <c r="B195" s="20" t="s">
        <v>1</v>
      </c>
      <c r="C195" s="8">
        <v>53578</v>
      </c>
      <c r="D195" s="37">
        <f>40252+11143</f>
        <v>51395</v>
      </c>
      <c r="E195" s="37">
        <v>109258</v>
      </c>
      <c r="F195" s="12">
        <v>5101.6000000000004</v>
      </c>
      <c r="G195" s="37">
        <v>3828.6</v>
      </c>
      <c r="H195" s="24"/>
      <c r="I195" s="36"/>
      <c r="J195" s="8">
        <f t="shared" si="30"/>
        <v>57863</v>
      </c>
      <c r="K195" s="37">
        <v>2808</v>
      </c>
      <c r="L195" s="37">
        <v>764</v>
      </c>
      <c r="M195" s="127">
        <f t="shared" si="34"/>
        <v>713</v>
      </c>
      <c r="N195" s="74">
        <f t="shared" si="57"/>
        <v>475935</v>
      </c>
      <c r="O195" s="75">
        <f t="shared" si="57"/>
        <v>445019</v>
      </c>
      <c r="P195" s="75">
        <f t="shared" si="57"/>
        <v>962180</v>
      </c>
      <c r="Q195" s="76">
        <f t="shared" si="56"/>
        <v>10877769.17</v>
      </c>
      <c r="R195" s="76">
        <f t="shared" si="56"/>
        <v>5539388</v>
      </c>
      <c r="S195" s="76">
        <f t="shared" si="56"/>
        <v>16855249.987999998</v>
      </c>
      <c r="T195" s="80">
        <f>N195/'2016'!N195-1</f>
        <v>-0.10310601377937922</v>
      </c>
      <c r="U195" s="80">
        <f>O195/'2016'!O195-1</f>
        <v>0.19802670543261724</v>
      </c>
      <c r="V195" s="80">
        <f>P195/'2016'!P195-1</f>
        <v>3.6117332873880192E-2</v>
      </c>
      <c r="W195" s="81">
        <f>Q195/'2016'!Q195-1</f>
        <v>8.4945318213993204E-2</v>
      </c>
      <c r="X195" s="81">
        <f>R195/'2016'!R195-1</f>
        <v>0.10516772872915614</v>
      </c>
      <c r="Y195" s="81">
        <f>S195/'2016'!S195-1</f>
        <v>8.4072619889707267E-2</v>
      </c>
      <c r="Z195" s="136"/>
      <c r="AA195" s="136"/>
      <c r="AB195" s="105"/>
      <c r="AC195" s="105"/>
      <c r="AD195" s="37">
        <f t="shared" si="32"/>
        <v>11315861.987999998</v>
      </c>
      <c r="AE195" s="37">
        <f t="shared" si="41"/>
        <v>209141.23</v>
      </c>
      <c r="AF195" s="37">
        <f t="shared" si="42"/>
        <v>146598.82</v>
      </c>
      <c r="AG195" s="37">
        <f t="shared" si="33"/>
        <v>82352.76799999809</v>
      </c>
    </row>
    <row r="196" spans="1:33" ht="15" customHeight="1" x14ac:dyDescent="0.15">
      <c r="A196" s="102">
        <v>42926</v>
      </c>
      <c r="B196" s="20" t="s">
        <v>34</v>
      </c>
      <c r="C196" s="8">
        <v>63845</v>
      </c>
      <c r="D196" s="37">
        <f>37664+11081</f>
        <v>48745</v>
      </c>
      <c r="E196" s="37">
        <v>116806</v>
      </c>
      <c r="F196" s="12">
        <v>5913.9</v>
      </c>
      <c r="G196" s="37">
        <v>3745.3</v>
      </c>
      <c r="H196" s="24"/>
      <c r="I196" s="36"/>
      <c r="J196" s="8">
        <f t="shared" si="30"/>
        <v>68061</v>
      </c>
      <c r="K196" s="37">
        <v>2751</v>
      </c>
      <c r="L196" s="37">
        <v>761</v>
      </c>
      <c r="M196" s="127">
        <f t="shared" si="34"/>
        <v>704</v>
      </c>
      <c r="N196" s="74">
        <f t="shared" si="57"/>
        <v>539780</v>
      </c>
      <c r="O196" s="75">
        <f t="shared" si="57"/>
        <v>493764</v>
      </c>
      <c r="P196" s="75">
        <f t="shared" si="57"/>
        <v>1078986</v>
      </c>
      <c r="Q196" s="76">
        <f t="shared" si="56"/>
        <v>10941614.17</v>
      </c>
      <c r="R196" s="76">
        <f t="shared" si="56"/>
        <v>5588133</v>
      </c>
      <c r="S196" s="76">
        <f t="shared" si="56"/>
        <v>16972055.987999998</v>
      </c>
      <c r="T196" s="80">
        <f>N196/'2016'!N196-1</f>
        <v>-9.3204493491090501E-2</v>
      </c>
      <c r="U196" s="80">
        <f>O196/'2016'!O196-1</f>
        <v>0.2375688946034753</v>
      </c>
      <c r="V196" s="80">
        <f>P196/'2016'!P196-1</f>
        <v>5.3879430331219336E-2</v>
      </c>
      <c r="W196" s="81">
        <f>Q196/'2016'!Q196-1</f>
        <v>8.4325285470440603E-2</v>
      </c>
      <c r="X196" s="81">
        <f>R196/'2016'!R196-1</f>
        <v>0.10880516784565364</v>
      </c>
      <c r="Y196" s="81">
        <f>S196/'2016'!S196-1</f>
        <v>8.4943327879442032E-2</v>
      </c>
      <c r="Z196" s="136"/>
      <c r="AA196" s="136"/>
      <c r="AB196" s="105"/>
      <c r="AC196" s="105"/>
      <c r="AD196" s="37">
        <f t="shared" si="32"/>
        <v>11383922.987999998</v>
      </c>
      <c r="AE196" s="37">
        <f t="shared" si="41"/>
        <v>211892.23</v>
      </c>
      <c r="AF196" s="37">
        <f t="shared" si="42"/>
        <v>147359.82</v>
      </c>
      <c r="AG196" s="37">
        <f t="shared" si="33"/>
        <v>83056.76799999809</v>
      </c>
    </row>
    <row r="197" spans="1:33" ht="15" customHeight="1" x14ac:dyDescent="0.15">
      <c r="A197" s="102">
        <v>42927</v>
      </c>
      <c r="B197" s="20" t="s">
        <v>35</v>
      </c>
      <c r="C197" s="8">
        <v>67774</v>
      </c>
      <c r="D197" s="37">
        <f>36832+10863</f>
        <v>47695</v>
      </c>
      <c r="E197" s="37">
        <v>119500</v>
      </c>
      <c r="F197" s="12">
        <v>5938.1</v>
      </c>
      <c r="G197" s="37">
        <v>3784.6</v>
      </c>
      <c r="H197" s="24"/>
      <c r="I197" s="36"/>
      <c r="J197" s="8">
        <f t="shared" ref="J197:J260" si="58">E197-D197</f>
        <v>71805</v>
      </c>
      <c r="K197" s="37">
        <v>2472</v>
      </c>
      <c r="L197" s="37">
        <v>762</v>
      </c>
      <c r="M197" s="127">
        <f t="shared" si="34"/>
        <v>797</v>
      </c>
      <c r="N197" s="74">
        <f t="shared" si="57"/>
        <v>607554</v>
      </c>
      <c r="O197" s="75">
        <f t="shared" si="57"/>
        <v>541459</v>
      </c>
      <c r="P197" s="75">
        <f t="shared" si="57"/>
        <v>1198486</v>
      </c>
      <c r="Q197" s="76">
        <f t="shared" si="56"/>
        <v>11009388.17</v>
      </c>
      <c r="R197" s="76">
        <f t="shared" si="56"/>
        <v>5635828</v>
      </c>
      <c r="S197" s="76">
        <f t="shared" si="56"/>
        <v>17091555.987999998</v>
      </c>
      <c r="T197" s="80">
        <f>N197/'2016'!N197-1</f>
        <v>-7.7134099104709808E-2</v>
      </c>
      <c r="U197" s="80">
        <f>O197/'2016'!O197-1</f>
        <v>0.23857179456679867</v>
      </c>
      <c r="V197" s="80">
        <f>P197/'2016'!P197-1</f>
        <v>6.3456767337609188E-2</v>
      </c>
      <c r="W197" s="81">
        <f>Q197/'2016'!Q197-1</f>
        <v>8.4264456062443704E-2</v>
      </c>
      <c r="X197" s="81">
        <f>R197/'2016'!R197-1</f>
        <v>0.1098597784466373</v>
      </c>
      <c r="Y197" s="81">
        <f>S197/'2016'!S197-1</f>
        <v>8.5425290354997463E-2</v>
      </c>
      <c r="Z197" s="136"/>
      <c r="AA197" s="136"/>
      <c r="AB197" s="105"/>
      <c r="AC197" s="105"/>
      <c r="AD197" s="37">
        <f t="shared" si="32"/>
        <v>11455727.987999998</v>
      </c>
      <c r="AE197" s="37">
        <f t="shared" si="41"/>
        <v>214364.23</v>
      </c>
      <c r="AF197" s="37">
        <f t="shared" si="42"/>
        <v>148121.82</v>
      </c>
      <c r="AG197" s="37">
        <f t="shared" si="33"/>
        <v>83853.76799999809</v>
      </c>
    </row>
    <row r="198" spans="1:33" ht="15" customHeight="1" x14ac:dyDescent="0.15">
      <c r="A198" s="102">
        <v>42928</v>
      </c>
      <c r="B198" s="20" t="s">
        <v>36</v>
      </c>
      <c r="C198" s="8">
        <v>73029</v>
      </c>
      <c r="D198" s="37">
        <f>36946+10978</f>
        <v>47924</v>
      </c>
      <c r="E198" s="37">
        <v>124541</v>
      </c>
      <c r="F198" s="12">
        <v>6172</v>
      </c>
      <c r="G198" s="37">
        <v>3983.7</v>
      </c>
      <c r="H198" s="24"/>
      <c r="I198" s="36"/>
      <c r="J198" s="8">
        <f t="shared" si="58"/>
        <v>76617</v>
      </c>
      <c r="K198" s="37">
        <v>2033</v>
      </c>
      <c r="L198" s="37">
        <v>760</v>
      </c>
      <c r="M198" s="127">
        <f t="shared" ref="M198:M261" si="59">J198-K198-L198-C198</f>
        <v>795</v>
      </c>
      <c r="N198" s="74">
        <f t="shared" si="57"/>
        <v>680583</v>
      </c>
      <c r="O198" s="75">
        <f t="shared" si="57"/>
        <v>589383</v>
      </c>
      <c r="P198" s="75">
        <f t="shared" si="57"/>
        <v>1323027</v>
      </c>
      <c r="Q198" s="76">
        <f t="shared" si="56"/>
        <v>11082417.17</v>
      </c>
      <c r="R198" s="76">
        <f t="shared" si="56"/>
        <v>5683752</v>
      </c>
      <c r="S198" s="76">
        <f t="shared" si="56"/>
        <v>17216096.987999998</v>
      </c>
      <c r="T198" s="80">
        <f>N198/'2016'!N198-1</f>
        <v>-5.7957935096303537E-2</v>
      </c>
      <c r="U198" s="80">
        <f>O198/'2016'!O198-1</f>
        <v>0.2265039882298836</v>
      </c>
      <c r="V198" s="80">
        <f>P198/'2016'!P198-1</f>
        <v>7.0184208674381798E-2</v>
      </c>
      <c r="W198" s="81">
        <f>Q198/'2016'!Q198-1</f>
        <v>8.4607469475644015E-2</v>
      </c>
      <c r="X198" s="81">
        <f>R198/'2016'!R198-1</f>
        <v>0.10981756919430641</v>
      </c>
      <c r="Y198" s="81">
        <f>S198/'2016'!S198-1</f>
        <v>8.5798402505394833E-2</v>
      </c>
      <c r="Z198" s="136">
        <f>(Z199-Z192)/7*6+Z192</f>
        <v>78.325714285714298</v>
      </c>
      <c r="AA198" s="136">
        <f>Q198/10000-Z198</f>
        <v>1029.9160027142857</v>
      </c>
      <c r="AB198" s="105"/>
      <c r="AC198" s="105"/>
      <c r="AD198" s="37">
        <f t="shared" ref="AD198:AD261" si="60">S198-R198</f>
        <v>11532344.987999998</v>
      </c>
      <c r="AE198" s="37">
        <f t="shared" si="41"/>
        <v>216397.23</v>
      </c>
      <c r="AF198" s="37">
        <f t="shared" si="42"/>
        <v>148881.82</v>
      </c>
      <c r="AG198" s="37">
        <f t="shared" ref="AG198:AG261" si="61">AD198-Q198-AE198-AF198</f>
        <v>84648.76799999809</v>
      </c>
    </row>
    <row r="199" spans="1:33" ht="15" customHeight="1" x14ac:dyDescent="0.15">
      <c r="A199" s="102">
        <v>42929</v>
      </c>
      <c r="B199" s="14" t="s">
        <v>37</v>
      </c>
      <c r="C199" s="32">
        <v>73913</v>
      </c>
      <c r="D199" s="33">
        <f>39513+10660</f>
        <v>50173</v>
      </c>
      <c r="E199" s="33">
        <v>126949</v>
      </c>
      <c r="F199" s="119">
        <v>6290.9</v>
      </c>
      <c r="G199" s="33">
        <v>4096.8999999999996</v>
      </c>
      <c r="H199" s="19"/>
      <c r="I199" s="19"/>
      <c r="J199" s="32">
        <f t="shared" si="58"/>
        <v>76776</v>
      </c>
      <c r="K199" s="33">
        <v>1382</v>
      </c>
      <c r="L199" s="33">
        <v>754</v>
      </c>
      <c r="M199" s="128">
        <f t="shared" si="59"/>
        <v>727</v>
      </c>
      <c r="N199" s="77">
        <f t="shared" si="57"/>
        <v>754496</v>
      </c>
      <c r="O199" s="78">
        <f t="shared" si="57"/>
        <v>639556</v>
      </c>
      <c r="P199" s="78">
        <f t="shared" si="57"/>
        <v>1449976</v>
      </c>
      <c r="Q199" s="77">
        <f t="shared" si="56"/>
        <v>11156330.17</v>
      </c>
      <c r="R199" s="77">
        <f t="shared" si="56"/>
        <v>5733925</v>
      </c>
      <c r="S199" s="77">
        <f t="shared" si="56"/>
        <v>17343045.987999998</v>
      </c>
      <c r="T199" s="82">
        <f>N199/'2016'!N199-1</f>
        <v>-4.8270416253028969E-2</v>
      </c>
      <c r="U199" s="82">
        <f>O199/'2016'!O199-1</f>
        <v>0.22492851219171173</v>
      </c>
      <c r="V199" s="82">
        <f>P199/'2016'!P199-1</f>
        <v>7.3069866885329793E-2</v>
      </c>
      <c r="W199" s="82">
        <f>Q199/'2016'!Q199-1</f>
        <v>8.4379676589153352E-2</v>
      </c>
      <c r="X199" s="82">
        <f>R199/'2016'!R199-1</f>
        <v>0.11059794298455694</v>
      </c>
      <c r="Y199" s="82">
        <f>S199/'2016'!S199-1</f>
        <v>8.5930137615279012E-2</v>
      </c>
      <c r="Z199" s="138">
        <v>78.790000000000006</v>
      </c>
      <c r="AA199" s="138">
        <f>Q199/10000-Z199</f>
        <v>1036.8430169999999</v>
      </c>
      <c r="AB199" s="33">
        <v>4258.08</v>
      </c>
      <c r="AC199" s="33">
        <f>AA199*10000/AB199</f>
        <v>2435.0012611317779</v>
      </c>
      <c r="AD199" s="33">
        <f t="shared" si="60"/>
        <v>11609120.987999998</v>
      </c>
      <c r="AE199" s="33">
        <f t="shared" ref="AE199:AE262" si="62">AE198+K199</f>
        <v>217779.23</v>
      </c>
      <c r="AF199" s="33">
        <f t="shared" ref="AF199:AF262" si="63">AF198+L199</f>
        <v>149635.82</v>
      </c>
      <c r="AG199" s="33">
        <f t="shared" si="61"/>
        <v>85375.76799999809</v>
      </c>
    </row>
    <row r="200" spans="1:33" ht="15" customHeight="1" x14ac:dyDescent="0.15">
      <c r="A200" s="102">
        <v>42930</v>
      </c>
      <c r="B200" s="20" t="s">
        <v>38</v>
      </c>
      <c r="C200" s="8">
        <v>74526</v>
      </c>
      <c r="D200" s="37">
        <f>41302+9500</f>
        <v>50802</v>
      </c>
      <c r="E200" s="37">
        <v>128214</v>
      </c>
      <c r="F200" s="12">
        <v>6326.8</v>
      </c>
      <c r="G200" s="37">
        <v>4178.1000000000004</v>
      </c>
      <c r="H200" s="24"/>
      <c r="I200" s="36"/>
      <c r="J200" s="8">
        <f t="shared" si="58"/>
        <v>77412</v>
      </c>
      <c r="K200" s="37">
        <v>1318</v>
      </c>
      <c r="L200" s="37">
        <v>755</v>
      </c>
      <c r="M200" s="127">
        <f t="shared" si="59"/>
        <v>813</v>
      </c>
      <c r="N200" s="74">
        <f t="shared" si="57"/>
        <v>829022</v>
      </c>
      <c r="O200" s="75">
        <f t="shared" si="57"/>
        <v>690358</v>
      </c>
      <c r="P200" s="75">
        <f t="shared" si="57"/>
        <v>1578190</v>
      </c>
      <c r="Q200" s="76">
        <f t="shared" si="56"/>
        <v>11230856.17</v>
      </c>
      <c r="R200" s="76">
        <f t="shared" si="56"/>
        <v>5784727</v>
      </c>
      <c r="S200" s="76">
        <f t="shared" si="56"/>
        <v>17471259.987999998</v>
      </c>
      <c r="T200" s="80">
        <f>N200/'2016'!N200-1</f>
        <v>-3.9394220296169236E-2</v>
      </c>
      <c r="U200" s="80">
        <f>O200/'2016'!O200-1</f>
        <v>0.22089800884603616</v>
      </c>
      <c r="V200" s="80">
        <f>P200/'2016'!P200-1</f>
        <v>7.6032522542485603E-2</v>
      </c>
      <c r="W200" s="81">
        <f>Q200/'2016'!Q200-1</f>
        <v>8.4219492432811682E-2</v>
      </c>
      <c r="X200" s="81">
        <f>R200/'2016'!R200-1</f>
        <v>0.11111181539268844</v>
      </c>
      <c r="Y200" s="81">
        <f>S200/'2016'!S200-1</f>
        <v>8.6107976710600775E-2</v>
      </c>
      <c r="Z200" s="136"/>
      <c r="AA200" s="136"/>
      <c r="AB200" s="105"/>
      <c r="AC200" s="105"/>
      <c r="AD200" s="37">
        <f t="shared" si="60"/>
        <v>11686532.987999998</v>
      </c>
      <c r="AE200" s="37">
        <f t="shared" si="62"/>
        <v>219097.23</v>
      </c>
      <c r="AF200" s="37">
        <f t="shared" si="63"/>
        <v>150390.82</v>
      </c>
      <c r="AG200" s="37">
        <f t="shared" si="61"/>
        <v>86188.76799999809</v>
      </c>
    </row>
    <row r="201" spans="1:33" ht="15" customHeight="1" x14ac:dyDescent="0.15">
      <c r="A201" s="102">
        <v>42931</v>
      </c>
      <c r="B201" s="20" t="s">
        <v>39</v>
      </c>
      <c r="C201" s="8">
        <v>70483</v>
      </c>
      <c r="D201" s="71">
        <f>42086+10937</f>
        <v>53023</v>
      </c>
      <c r="E201" s="71">
        <v>125568</v>
      </c>
      <c r="F201" s="120">
        <v>6070.6</v>
      </c>
      <c r="G201" s="71">
        <v>4151.7</v>
      </c>
      <c r="H201" s="24"/>
      <c r="I201" s="24"/>
      <c r="J201" s="70">
        <f t="shared" si="58"/>
        <v>72545</v>
      </c>
      <c r="K201" s="71">
        <v>369</v>
      </c>
      <c r="L201" s="71">
        <v>753</v>
      </c>
      <c r="M201" s="129">
        <f t="shared" si="59"/>
        <v>940</v>
      </c>
      <c r="N201" s="74">
        <f t="shared" si="57"/>
        <v>899505</v>
      </c>
      <c r="O201" s="75">
        <f t="shared" si="57"/>
        <v>743381</v>
      </c>
      <c r="P201" s="75">
        <f t="shared" si="57"/>
        <v>1703758</v>
      </c>
      <c r="Q201" s="76">
        <f t="shared" si="56"/>
        <v>11301339.17</v>
      </c>
      <c r="R201" s="76">
        <f t="shared" si="56"/>
        <v>5837750</v>
      </c>
      <c r="S201" s="76">
        <f t="shared" si="56"/>
        <v>17596827.987999998</v>
      </c>
      <c r="T201" s="80">
        <f>N201/'2016'!N201-1</f>
        <v>-3.9259309894025374E-2</v>
      </c>
      <c r="U201" s="80">
        <f>O201/'2016'!O201-1</f>
        <v>0.22082283657241208</v>
      </c>
      <c r="V201" s="80">
        <f>P201/'2016'!P201-1</f>
        <v>7.4631930436713123E-2</v>
      </c>
      <c r="W201" s="81">
        <f>Q201/'2016'!Q201-1</f>
        <v>8.3363697793449543E-2</v>
      </c>
      <c r="X201" s="81">
        <f>R201/'2016'!R201-1</f>
        <v>0.11201211188867677</v>
      </c>
      <c r="Y201" s="81">
        <f>S201/'2016'!S201-1</f>
        <v>8.5897108253096155E-2</v>
      </c>
      <c r="Z201" s="139"/>
      <c r="AA201" s="139"/>
      <c r="AB201" s="105"/>
      <c r="AC201" s="105"/>
      <c r="AD201" s="37">
        <f t="shared" si="60"/>
        <v>11759077.987999998</v>
      </c>
      <c r="AE201" s="71">
        <f t="shared" si="62"/>
        <v>219466.23</v>
      </c>
      <c r="AF201" s="71">
        <f t="shared" si="63"/>
        <v>151143.82</v>
      </c>
      <c r="AG201" s="71">
        <f t="shared" si="61"/>
        <v>87128.76799999809</v>
      </c>
    </row>
    <row r="202" spans="1:33" ht="15" customHeight="1" x14ac:dyDescent="0.15">
      <c r="A202" s="102">
        <v>42932</v>
      </c>
      <c r="B202" s="20" t="s">
        <v>1</v>
      </c>
      <c r="C202" s="8">
        <v>65244</v>
      </c>
      <c r="D202" s="37">
        <f>41792+10928</f>
        <v>52720</v>
      </c>
      <c r="E202" s="37">
        <v>120737</v>
      </c>
      <c r="F202" s="12">
        <v>5662.5</v>
      </c>
      <c r="G202" s="37">
        <v>4156.3</v>
      </c>
      <c r="H202" s="24"/>
      <c r="I202" s="36"/>
      <c r="J202" s="8">
        <f t="shared" si="58"/>
        <v>68017</v>
      </c>
      <c r="K202" s="37">
        <v>1067</v>
      </c>
      <c r="L202" s="37">
        <v>746</v>
      </c>
      <c r="M202" s="127">
        <f t="shared" si="59"/>
        <v>960</v>
      </c>
      <c r="N202" s="74">
        <f t="shared" si="57"/>
        <v>964749</v>
      </c>
      <c r="O202" s="75">
        <f t="shared" si="57"/>
        <v>796101</v>
      </c>
      <c r="P202" s="75">
        <f t="shared" si="57"/>
        <v>1824495</v>
      </c>
      <c r="Q202" s="76">
        <f t="shared" si="56"/>
        <v>11366583.17</v>
      </c>
      <c r="R202" s="76">
        <f t="shared" si="56"/>
        <v>5890470</v>
      </c>
      <c r="S202" s="76">
        <f t="shared" si="56"/>
        <v>17717564.987999998</v>
      </c>
      <c r="T202" s="80">
        <f>N202/'2016'!N202-1</f>
        <v>-3.5261612122266639E-2</v>
      </c>
      <c r="U202" s="80">
        <f>O202/'2016'!O202-1</f>
        <v>0.22297957453084094</v>
      </c>
      <c r="V202" s="80">
        <f>P202/'2016'!P202-1</f>
        <v>7.7905389837117367E-2</v>
      </c>
      <c r="W202" s="81">
        <f>Q202/'2016'!Q202-1</f>
        <v>8.2999792672299622E-2</v>
      </c>
      <c r="X202" s="81">
        <f>R202/'2016'!R202-1</f>
        <v>0.1131417345332888</v>
      </c>
      <c r="Y202" s="81">
        <f>S202/'2016'!S202-1</f>
        <v>8.6162750385113451E-2</v>
      </c>
      <c r="Z202" s="136"/>
      <c r="AA202" s="136"/>
      <c r="AB202" s="105"/>
      <c r="AC202" s="105"/>
      <c r="AD202" s="37">
        <f t="shared" si="60"/>
        <v>11827094.987999998</v>
      </c>
      <c r="AE202" s="37">
        <f t="shared" si="62"/>
        <v>220533.23</v>
      </c>
      <c r="AF202" s="37">
        <f t="shared" si="63"/>
        <v>151889.82</v>
      </c>
      <c r="AG202" s="37">
        <f t="shared" si="61"/>
        <v>88088.76799999809</v>
      </c>
    </row>
    <row r="203" spans="1:33" ht="15" customHeight="1" x14ac:dyDescent="0.15">
      <c r="A203" s="102">
        <v>42933</v>
      </c>
      <c r="B203" s="20" t="s">
        <v>34</v>
      </c>
      <c r="C203" s="8">
        <v>73554</v>
      </c>
      <c r="D203" s="37">
        <f>42451+10935</f>
        <v>53386</v>
      </c>
      <c r="E203" s="37">
        <v>129259</v>
      </c>
      <c r="F203" s="12">
        <v>6305.7</v>
      </c>
      <c r="G203" s="37">
        <v>4107</v>
      </c>
      <c r="H203" s="24"/>
      <c r="I203" s="36"/>
      <c r="J203" s="8">
        <f t="shared" si="58"/>
        <v>75873</v>
      </c>
      <c r="K203" s="37">
        <v>632</v>
      </c>
      <c r="L203" s="37">
        <v>747</v>
      </c>
      <c r="M203" s="127">
        <f t="shared" si="59"/>
        <v>940</v>
      </c>
      <c r="N203" s="74">
        <f t="shared" si="57"/>
        <v>1038303</v>
      </c>
      <c r="O203" s="75">
        <f t="shared" si="57"/>
        <v>849487</v>
      </c>
      <c r="P203" s="75">
        <f t="shared" si="57"/>
        <v>1953754</v>
      </c>
      <c r="Q203" s="76">
        <f t="shared" ref="Q203:S216" si="64">Q$186+N203</f>
        <v>11440137.17</v>
      </c>
      <c r="R203" s="76">
        <f t="shared" si="64"/>
        <v>5943856</v>
      </c>
      <c r="S203" s="76">
        <f t="shared" si="64"/>
        <v>17846823.987999998</v>
      </c>
      <c r="T203" s="80">
        <f>N203/'2016'!N203-1</f>
        <v>-1.7657143181521451E-2</v>
      </c>
      <c r="U203" s="80">
        <f>O203/'2016'!O203-1</f>
        <v>0.22494661054465181</v>
      </c>
      <c r="V203" s="80">
        <f>P203/'2016'!P203-1</f>
        <v>8.9415227080228199E-2</v>
      </c>
      <c r="W203" s="81">
        <f>Q203/'2016'!Q203-1</f>
        <v>8.4124818986967664E-2</v>
      </c>
      <c r="X203" s="81">
        <f>R203/'2016'!R203-1</f>
        <v>0.11427333614657931</v>
      </c>
      <c r="Y203" s="81">
        <f>S203/'2016'!S203-1</f>
        <v>8.7369710261582245E-2</v>
      </c>
      <c r="Z203" s="136"/>
      <c r="AA203" s="136"/>
      <c r="AB203" s="105"/>
      <c r="AC203" s="105"/>
      <c r="AD203" s="37">
        <f t="shared" si="60"/>
        <v>11902967.987999998</v>
      </c>
      <c r="AE203" s="37">
        <f t="shared" si="62"/>
        <v>221165.23</v>
      </c>
      <c r="AF203" s="37">
        <f t="shared" si="63"/>
        <v>152636.82</v>
      </c>
      <c r="AG203" s="37">
        <f t="shared" si="61"/>
        <v>89028.76799999809</v>
      </c>
    </row>
    <row r="204" spans="1:33" ht="15" customHeight="1" x14ac:dyDescent="0.15">
      <c r="A204" s="102">
        <v>42934</v>
      </c>
      <c r="B204" s="20" t="s">
        <v>35</v>
      </c>
      <c r="C204" s="8">
        <v>80585</v>
      </c>
      <c r="D204" s="37">
        <f>41287+10783</f>
        <v>52070</v>
      </c>
      <c r="E204" s="37">
        <v>134455</v>
      </c>
      <c r="F204" s="12">
        <v>6528</v>
      </c>
      <c r="G204" s="37">
        <v>4383.5</v>
      </c>
      <c r="H204" s="24"/>
      <c r="I204" s="36"/>
      <c r="J204" s="8">
        <f t="shared" si="58"/>
        <v>82385</v>
      </c>
      <c r="K204" s="37">
        <v>229</v>
      </c>
      <c r="L204" s="37">
        <v>745</v>
      </c>
      <c r="M204" s="127">
        <f t="shared" si="59"/>
        <v>826</v>
      </c>
      <c r="N204" s="74">
        <f t="shared" ref="N204:P216" si="65">C204+N203</f>
        <v>1118888</v>
      </c>
      <c r="O204" s="75">
        <f t="shared" si="65"/>
        <v>901557</v>
      </c>
      <c r="P204" s="75">
        <f t="shared" si="65"/>
        <v>2088209</v>
      </c>
      <c r="Q204" s="76">
        <f t="shared" si="64"/>
        <v>11520722.17</v>
      </c>
      <c r="R204" s="76">
        <f t="shared" si="64"/>
        <v>5995926</v>
      </c>
      <c r="S204" s="76">
        <f t="shared" si="64"/>
        <v>17981278.987999998</v>
      </c>
      <c r="T204" s="80">
        <f>N204/'2016'!N204-1</f>
        <v>-2.019351524146562E-3</v>
      </c>
      <c r="U204" s="80">
        <f>O204/'2016'!O204-1</f>
        <v>0.22630784297723006</v>
      </c>
      <c r="V204" s="80">
        <f>P204/'2016'!P204-1</f>
        <v>9.8551456566055018E-2</v>
      </c>
      <c r="W204" s="81">
        <f>Q204/'2016'!Q204-1</f>
        <v>8.5160872079327099E-2</v>
      </c>
      <c r="X204" s="81">
        <f>R204/'2016'!R204-1</f>
        <v>0.11531776531906734</v>
      </c>
      <c r="Y204" s="81">
        <f>S204/'2016'!S204-1</f>
        <v>8.8434258737286831E-2</v>
      </c>
      <c r="Z204" s="136"/>
      <c r="AA204" s="136"/>
      <c r="AB204" s="105"/>
      <c r="AC204" s="105"/>
      <c r="AD204" s="37">
        <f t="shared" si="60"/>
        <v>11985352.987999998</v>
      </c>
      <c r="AE204" s="37">
        <f t="shared" si="62"/>
        <v>221394.23</v>
      </c>
      <c r="AF204" s="37">
        <f t="shared" si="63"/>
        <v>153381.82</v>
      </c>
      <c r="AG204" s="37">
        <f t="shared" si="61"/>
        <v>89854.76799999809</v>
      </c>
    </row>
    <row r="205" spans="1:33" ht="15" customHeight="1" x14ac:dyDescent="0.15">
      <c r="A205" s="102">
        <v>42935</v>
      </c>
      <c r="B205" s="20" t="s">
        <v>36</v>
      </c>
      <c r="C205" s="8">
        <v>82936</v>
      </c>
      <c r="D205" s="37">
        <f>40562+11092</f>
        <v>51654</v>
      </c>
      <c r="E205" s="37">
        <v>137051</v>
      </c>
      <c r="F205" s="12">
        <v>6641.1</v>
      </c>
      <c r="G205" s="37">
        <v>4490.3999999999996</v>
      </c>
      <c r="H205" s="24"/>
      <c r="I205" s="36"/>
      <c r="J205" s="8">
        <f t="shared" si="58"/>
        <v>85397</v>
      </c>
      <c r="K205" s="37">
        <v>862</v>
      </c>
      <c r="L205" s="37">
        <v>746</v>
      </c>
      <c r="M205" s="127">
        <f t="shared" si="59"/>
        <v>853</v>
      </c>
      <c r="N205" s="74">
        <f t="shared" si="65"/>
        <v>1201824</v>
      </c>
      <c r="O205" s="75">
        <f t="shared" si="65"/>
        <v>953211</v>
      </c>
      <c r="P205" s="75">
        <f t="shared" si="65"/>
        <v>2225260</v>
      </c>
      <c r="Q205" s="76">
        <f t="shared" si="64"/>
        <v>11603658.17</v>
      </c>
      <c r="R205" s="76">
        <f t="shared" si="64"/>
        <v>6047580</v>
      </c>
      <c r="S205" s="76">
        <f t="shared" si="64"/>
        <v>18118329.987999998</v>
      </c>
      <c r="T205" s="80">
        <f>N205/'2016'!N205-1</f>
        <v>1.1153767520047264E-2</v>
      </c>
      <c r="U205" s="80">
        <f>O205/'2016'!O205-1</f>
        <v>0.22694169133736652</v>
      </c>
      <c r="V205" s="80">
        <f>P205/'2016'!P205-1</f>
        <v>0.10636520701527608</v>
      </c>
      <c r="W205" s="81">
        <f>Q205/'2016'!Q205-1</f>
        <v>8.6076246782811561E-2</v>
      </c>
      <c r="X205" s="81">
        <f>R205/'2016'!R205-1</f>
        <v>0.11626335898997731</v>
      </c>
      <c r="Y205" s="81">
        <f>S205/'2016'!S205-1</f>
        <v>8.9446445133889441E-2</v>
      </c>
      <c r="Z205" s="136">
        <f>(Z206-Z199)/7*6+Z199</f>
        <v>83.178571428571431</v>
      </c>
      <c r="AA205" s="136">
        <f>Q205/10000-Z205</f>
        <v>1077.1872455714285</v>
      </c>
      <c r="AB205" s="105"/>
      <c r="AC205" s="105"/>
      <c r="AD205" s="37">
        <f t="shared" si="60"/>
        <v>12070749.987999998</v>
      </c>
      <c r="AE205" s="37">
        <f t="shared" si="62"/>
        <v>222256.23</v>
      </c>
      <c r="AF205" s="37">
        <f t="shared" si="63"/>
        <v>154127.82</v>
      </c>
      <c r="AG205" s="37">
        <f t="shared" si="61"/>
        <v>90707.76799999809</v>
      </c>
    </row>
    <row r="206" spans="1:33" ht="15" customHeight="1" x14ac:dyDescent="0.15">
      <c r="A206" s="102">
        <v>42936</v>
      </c>
      <c r="B206" s="14" t="s">
        <v>37</v>
      </c>
      <c r="C206" s="32">
        <v>84556</v>
      </c>
      <c r="D206" s="33">
        <f>40596+10956</f>
        <v>51552</v>
      </c>
      <c r="E206" s="33">
        <v>138366</v>
      </c>
      <c r="F206" s="119">
        <v>6708</v>
      </c>
      <c r="G206" s="33">
        <v>4540.2</v>
      </c>
      <c r="H206" s="19"/>
      <c r="I206" s="19"/>
      <c r="J206" s="32">
        <f t="shared" si="58"/>
        <v>86814</v>
      </c>
      <c r="K206" s="33">
        <v>670</v>
      </c>
      <c r="L206" s="33">
        <v>744</v>
      </c>
      <c r="M206" s="128">
        <f t="shared" si="59"/>
        <v>844</v>
      </c>
      <c r="N206" s="77">
        <f t="shared" si="65"/>
        <v>1286380</v>
      </c>
      <c r="O206" s="78">
        <f t="shared" si="65"/>
        <v>1004763</v>
      </c>
      <c r="P206" s="78">
        <f t="shared" si="65"/>
        <v>2363626</v>
      </c>
      <c r="Q206" s="77">
        <f t="shared" si="64"/>
        <v>11688214.17</v>
      </c>
      <c r="R206" s="77">
        <f t="shared" si="64"/>
        <v>6099132</v>
      </c>
      <c r="S206" s="77">
        <f t="shared" si="64"/>
        <v>18256695.987999998</v>
      </c>
      <c r="T206" s="82">
        <f>N206/'2016'!N206-1</f>
        <v>1.9493843236119135E-2</v>
      </c>
      <c r="U206" s="82">
        <f>O206/'2016'!O206-1</f>
        <v>0.22657273338761641</v>
      </c>
      <c r="V206" s="82">
        <f>P206/'2016'!P206-1</f>
        <v>0.110614815991249</v>
      </c>
      <c r="W206" s="82">
        <f>Q206/'2016'!Q206-1</f>
        <v>8.6544568055319848E-2</v>
      </c>
      <c r="X206" s="82">
        <f>R206/'2016'!R206-1</f>
        <v>0.11706471270959162</v>
      </c>
      <c r="Y206" s="82">
        <f>S206/'2016'!S206-1</f>
        <v>9.010454883955088E-2</v>
      </c>
      <c r="Z206" s="138">
        <v>83.91</v>
      </c>
      <c r="AA206" s="138">
        <f>Q206/10000-Z206</f>
        <v>1084.9114169999998</v>
      </c>
      <c r="AB206" s="33">
        <v>4258.08</v>
      </c>
      <c r="AC206" s="33">
        <f>AA206*10000/AB206</f>
        <v>2547.8887597226917</v>
      </c>
      <c r="AD206" s="33">
        <f t="shared" si="60"/>
        <v>12157563.987999998</v>
      </c>
      <c r="AE206" s="33">
        <f t="shared" si="62"/>
        <v>222926.23</v>
      </c>
      <c r="AF206" s="33">
        <f t="shared" si="63"/>
        <v>154871.82</v>
      </c>
      <c r="AG206" s="33">
        <f t="shared" si="61"/>
        <v>91551.76799999809</v>
      </c>
    </row>
    <row r="207" spans="1:33" ht="15" customHeight="1" x14ac:dyDescent="0.15">
      <c r="A207" s="102">
        <v>42937</v>
      </c>
      <c r="B207" s="20" t="s">
        <v>38</v>
      </c>
      <c r="C207" s="8">
        <v>86409</v>
      </c>
      <c r="D207" s="37">
        <f>41315+10905</f>
        <v>52220</v>
      </c>
      <c r="E207" s="37">
        <v>140793</v>
      </c>
      <c r="F207" s="12">
        <v>6834.2</v>
      </c>
      <c r="G207" s="37">
        <v>4589.8</v>
      </c>
      <c r="H207" s="24"/>
      <c r="I207" s="36"/>
      <c r="J207" s="8">
        <f t="shared" si="58"/>
        <v>88573</v>
      </c>
      <c r="K207" s="37">
        <v>551</v>
      </c>
      <c r="L207" s="37">
        <v>741</v>
      </c>
      <c r="M207" s="127">
        <f t="shared" si="59"/>
        <v>872</v>
      </c>
      <c r="N207" s="74">
        <f t="shared" si="65"/>
        <v>1372789</v>
      </c>
      <c r="O207" s="75">
        <f t="shared" si="65"/>
        <v>1056983</v>
      </c>
      <c r="P207" s="75">
        <f t="shared" si="65"/>
        <v>2504419</v>
      </c>
      <c r="Q207" s="76">
        <f t="shared" si="64"/>
        <v>11774623.17</v>
      </c>
      <c r="R207" s="76">
        <f t="shared" si="64"/>
        <v>6151352</v>
      </c>
      <c r="S207" s="76">
        <f t="shared" si="64"/>
        <v>18397488.987999998</v>
      </c>
      <c r="T207" s="80">
        <f>N207/'2016'!N207-1</f>
        <v>2.5850473323788092E-2</v>
      </c>
      <c r="U207" s="80">
        <f>O207/'2016'!O207-1</f>
        <v>0.22414062671912305</v>
      </c>
      <c r="V207" s="80">
        <f>P207/'2016'!P207-1</f>
        <v>0.11256629745774038</v>
      </c>
      <c r="W207" s="81">
        <f>Q207/'2016'!Q207-1</f>
        <v>8.6856823930113292E-2</v>
      </c>
      <c r="X207" s="81">
        <f>R207/'2016'!R207-1</f>
        <v>0.11756426716887258</v>
      </c>
      <c r="Y207" s="81">
        <f>S207/'2016'!S207-1</f>
        <v>9.0514247527528902E-2</v>
      </c>
      <c r="Z207" s="136"/>
      <c r="AA207" s="136"/>
      <c r="AB207" s="105"/>
      <c r="AC207" s="105"/>
      <c r="AD207" s="37">
        <f t="shared" si="60"/>
        <v>12246136.987999998</v>
      </c>
      <c r="AE207" s="37">
        <f t="shared" si="62"/>
        <v>223477.23</v>
      </c>
      <c r="AF207" s="37">
        <f t="shared" si="63"/>
        <v>155612.82</v>
      </c>
      <c r="AG207" s="37">
        <f t="shared" si="61"/>
        <v>92423.76799999809</v>
      </c>
    </row>
    <row r="208" spans="1:33" ht="15" customHeight="1" x14ac:dyDescent="0.15">
      <c r="A208" s="102">
        <v>42938</v>
      </c>
      <c r="B208" s="20" t="s">
        <v>39</v>
      </c>
      <c r="C208" s="70">
        <v>84545</v>
      </c>
      <c r="D208" s="71">
        <f>41050+10851</f>
        <v>51901</v>
      </c>
      <c r="E208" s="71">
        <v>138840</v>
      </c>
      <c r="F208" s="120">
        <v>6676.3</v>
      </c>
      <c r="G208" s="71">
        <v>4672.1000000000004</v>
      </c>
      <c r="H208" s="24"/>
      <c r="I208" s="24"/>
      <c r="J208" s="70">
        <f t="shared" si="58"/>
        <v>86939</v>
      </c>
      <c r="K208" s="71">
        <v>800</v>
      </c>
      <c r="L208" s="71">
        <v>744</v>
      </c>
      <c r="M208" s="129">
        <f t="shared" si="59"/>
        <v>850</v>
      </c>
      <c r="N208" s="74">
        <f t="shared" si="65"/>
        <v>1457334</v>
      </c>
      <c r="O208" s="75">
        <f t="shared" si="65"/>
        <v>1108884</v>
      </c>
      <c r="P208" s="75">
        <f t="shared" si="65"/>
        <v>2643259</v>
      </c>
      <c r="Q208" s="76">
        <f t="shared" si="64"/>
        <v>11859168.17</v>
      </c>
      <c r="R208" s="76">
        <f t="shared" si="64"/>
        <v>6203253</v>
      </c>
      <c r="S208" s="76">
        <f t="shared" si="64"/>
        <v>18536328.987999998</v>
      </c>
      <c r="T208" s="80">
        <f>N208/'2016'!N208-1</f>
        <v>2.7631812758611929E-2</v>
      </c>
      <c r="U208" s="80">
        <f>O208/'2016'!O208-1</f>
        <v>0.22035084630114676</v>
      </c>
      <c r="V208" s="80">
        <f>P208/'2016'!P208-1</f>
        <v>0.1114414693977781</v>
      </c>
      <c r="W208" s="81">
        <f>Q208/'2016'!Q208-1</f>
        <v>8.6641370092487291E-2</v>
      </c>
      <c r="X208" s="81">
        <f>R208/'2016'!R208-1</f>
        <v>0.11781200333005382</v>
      </c>
      <c r="Y208" s="81">
        <f>S208/'2016'!S208-1</f>
        <v>9.0521887355371256E-2</v>
      </c>
      <c r="Z208" s="139"/>
      <c r="AA208" s="139"/>
      <c r="AB208" s="105"/>
      <c r="AC208" s="105"/>
      <c r="AD208" s="37">
        <f t="shared" si="60"/>
        <v>12333075.987999998</v>
      </c>
      <c r="AE208" s="71">
        <f t="shared" si="62"/>
        <v>224277.23</v>
      </c>
      <c r="AF208" s="71">
        <f t="shared" si="63"/>
        <v>156356.82</v>
      </c>
      <c r="AG208" s="71">
        <f t="shared" si="61"/>
        <v>93273.76799999809</v>
      </c>
    </row>
    <row r="209" spans="1:33" ht="15" customHeight="1" x14ac:dyDescent="0.15">
      <c r="A209" s="102">
        <v>42939</v>
      </c>
      <c r="B209" s="20" t="s">
        <v>1</v>
      </c>
      <c r="C209" s="8">
        <v>79757</v>
      </c>
      <c r="D209" s="37">
        <f>40437+10871</f>
        <v>51308</v>
      </c>
      <c r="E209" s="37">
        <v>133183</v>
      </c>
      <c r="F209" s="12">
        <v>6201.9</v>
      </c>
      <c r="G209" s="37">
        <v>4584.8999999999996</v>
      </c>
      <c r="H209" s="24"/>
      <c r="I209" s="36"/>
      <c r="J209" s="8">
        <f t="shared" si="58"/>
        <v>81875</v>
      </c>
      <c r="K209" s="37">
        <v>551</v>
      </c>
      <c r="L209" s="37">
        <v>739</v>
      </c>
      <c r="M209" s="127">
        <f t="shared" si="59"/>
        <v>828</v>
      </c>
      <c r="N209" s="74">
        <f t="shared" si="65"/>
        <v>1537091</v>
      </c>
      <c r="O209" s="75">
        <f t="shared" si="65"/>
        <v>1160192</v>
      </c>
      <c r="P209" s="75">
        <f t="shared" si="65"/>
        <v>2776442</v>
      </c>
      <c r="Q209" s="76">
        <f t="shared" si="64"/>
        <v>11938925.17</v>
      </c>
      <c r="R209" s="76">
        <f t="shared" si="64"/>
        <v>6254561</v>
      </c>
      <c r="S209" s="76">
        <f t="shared" si="64"/>
        <v>18669511.987999998</v>
      </c>
      <c r="T209" s="80">
        <f>N209/'2016'!N209-1</f>
        <v>2.7157588186983661E-2</v>
      </c>
      <c r="U209" s="80">
        <f>O209/'2016'!O209-1</f>
        <v>0.21523612005802839</v>
      </c>
      <c r="V209" s="80">
        <f>P209/'2016'!P209-1</f>
        <v>0.10844194082197678</v>
      </c>
      <c r="W209" s="81">
        <f>Q209/'2016'!Q209-1</f>
        <v>8.6156442260857169E-2</v>
      </c>
      <c r="X209" s="81">
        <f>R209/'2016'!R209-1</f>
        <v>0.11778311340978154</v>
      </c>
      <c r="Y209" s="81">
        <f>S209/'2016'!S209-1</f>
        <v>9.0237783046587028E-2</v>
      </c>
      <c r="Z209" s="136"/>
      <c r="AA209" s="136"/>
      <c r="AB209" s="105"/>
      <c r="AC209" s="143"/>
      <c r="AD209" s="37">
        <f t="shared" si="60"/>
        <v>12414950.987999998</v>
      </c>
      <c r="AE209" s="37">
        <f t="shared" si="62"/>
        <v>224828.23</v>
      </c>
      <c r="AF209" s="37">
        <f t="shared" si="63"/>
        <v>157095.82</v>
      </c>
      <c r="AG209" s="37">
        <f t="shared" si="61"/>
        <v>94101.76799999809</v>
      </c>
    </row>
    <row r="210" spans="1:33" ht="15" customHeight="1" x14ac:dyDescent="0.15">
      <c r="A210" s="102">
        <v>42940</v>
      </c>
      <c r="B210" s="20" t="s">
        <v>34</v>
      </c>
      <c r="C210" s="8">
        <v>88643</v>
      </c>
      <c r="D210" s="37">
        <f>40446+10855</f>
        <v>51301</v>
      </c>
      <c r="E210" s="37">
        <v>142382</v>
      </c>
      <c r="F210" s="12">
        <v>6933.1</v>
      </c>
      <c r="G210" s="37">
        <v>4521.3</v>
      </c>
      <c r="H210" s="24"/>
      <c r="I210" s="36"/>
      <c r="J210" s="8">
        <f t="shared" si="58"/>
        <v>91081</v>
      </c>
      <c r="K210" s="37">
        <v>874</v>
      </c>
      <c r="L210" s="37">
        <v>741</v>
      </c>
      <c r="M210" s="127">
        <f t="shared" si="59"/>
        <v>823</v>
      </c>
      <c r="N210" s="74">
        <f t="shared" si="65"/>
        <v>1625734</v>
      </c>
      <c r="O210" s="75">
        <f t="shared" si="65"/>
        <v>1211493</v>
      </c>
      <c r="P210" s="75">
        <f t="shared" si="65"/>
        <v>2918824</v>
      </c>
      <c r="Q210" s="76">
        <f t="shared" si="64"/>
        <v>12027568.17</v>
      </c>
      <c r="R210" s="76">
        <f t="shared" si="64"/>
        <v>6305862</v>
      </c>
      <c r="S210" s="76">
        <f t="shared" si="64"/>
        <v>18811893.987999998</v>
      </c>
      <c r="T210" s="80">
        <f>N210/'2016'!N210-1</f>
        <v>3.3763693569268449E-2</v>
      </c>
      <c r="U210" s="80">
        <f>O210/'2016'!O210-1</f>
        <v>0.2138904336063725</v>
      </c>
      <c r="V210" s="80">
        <f>P210/'2016'!P210-1</f>
        <v>0.11130004054833531</v>
      </c>
      <c r="W210" s="81">
        <f>Q210/'2016'!Q210-1</f>
        <v>8.668897976678358E-2</v>
      </c>
      <c r="X210" s="81">
        <f>R210/'2016'!R210-1</f>
        <v>0.11829361613456713</v>
      </c>
      <c r="Y210" s="81">
        <f>S210/'2016'!S210-1</f>
        <v>9.0801502290075442E-2</v>
      </c>
      <c r="Z210" s="136"/>
      <c r="AA210" s="136"/>
      <c r="AB210" s="105"/>
      <c r="AC210" s="105"/>
      <c r="AD210" s="37">
        <f t="shared" si="60"/>
        <v>12506031.987999998</v>
      </c>
      <c r="AE210" s="37">
        <f t="shared" si="62"/>
        <v>225702.23</v>
      </c>
      <c r="AF210" s="37">
        <f t="shared" si="63"/>
        <v>157836.82</v>
      </c>
      <c r="AG210" s="37">
        <f t="shared" si="61"/>
        <v>94924.76799999809</v>
      </c>
    </row>
    <row r="211" spans="1:33" ht="15" customHeight="1" x14ac:dyDescent="0.15">
      <c r="A211" s="102">
        <v>42941</v>
      </c>
      <c r="B211" s="20" t="s">
        <v>35</v>
      </c>
      <c r="C211" s="8">
        <v>91399</v>
      </c>
      <c r="D211" s="37">
        <f>40650+10848</f>
        <v>51498</v>
      </c>
      <c r="E211" s="37">
        <v>145277</v>
      </c>
      <c r="F211" s="12">
        <v>6982.6</v>
      </c>
      <c r="G211" s="37">
        <v>4772.1000000000004</v>
      </c>
      <c r="H211" s="24"/>
      <c r="I211" s="36"/>
      <c r="J211" s="8">
        <f t="shared" si="58"/>
        <v>93779</v>
      </c>
      <c r="K211" s="37">
        <v>849</v>
      </c>
      <c r="L211" s="37">
        <v>741</v>
      </c>
      <c r="M211" s="127">
        <f t="shared" si="59"/>
        <v>790</v>
      </c>
      <c r="N211" s="74">
        <f t="shared" si="65"/>
        <v>1717133</v>
      </c>
      <c r="O211" s="75">
        <f t="shared" si="65"/>
        <v>1262991</v>
      </c>
      <c r="P211" s="75">
        <f t="shared" si="65"/>
        <v>3064101</v>
      </c>
      <c r="Q211" s="76">
        <f t="shared" si="64"/>
        <v>12118967.17</v>
      </c>
      <c r="R211" s="76">
        <f t="shared" si="64"/>
        <v>6357360</v>
      </c>
      <c r="S211" s="76">
        <f t="shared" si="64"/>
        <v>18957170.987999998</v>
      </c>
      <c r="T211" s="80">
        <f>N211/'2016'!N211-1</f>
        <v>3.8529672008501104E-2</v>
      </c>
      <c r="U211" s="80">
        <f>O211/'2016'!O211-1</f>
        <v>0.21084127703919875</v>
      </c>
      <c r="V211" s="80">
        <f>P211/'2016'!P211-1</f>
        <v>0.1124923618516287</v>
      </c>
      <c r="W211" s="81">
        <f>Q211/'2016'!Q211-1</f>
        <v>8.7012268857906694E-2</v>
      </c>
      <c r="X211" s="81">
        <f>R211/'2016'!R211-1</f>
        <v>0.11849164715091076</v>
      </c>
      <c r="Y211" s="81">
        <f>S211/'2016'!S211-1</f>
        <v>9.1141274899907643E-2</v>
      </c>
      <c r="Z211" s="136"/>
      <c r="AA211" s="136"/>
      <c r="AB211" s="105"/>
      <c r="AC211" s="105"/>
      <c r="AD211" s="37">
        <f t="shared" si="60"/>
        <v>12599810.987999998</v>
      </c>
      <c r="AE211" s="37">
        <f t="shared" si="62"/>
        <v>226551.23</v>
      </c>
      <c r="AF211" s="37">
        <f t="shared" si="63"/>
        <v>158577.82</v>
      </c>
      <c r="AG211" s="37">
        <f t="shared" si="61"/>
        <v>95714.76799999809</v>
      </c>
    </row>
    <row r="212" spans="1:33" ht="15" customHeight="1" x14ac:dyDescent="0.15">
      <c r="A212" s="102">
        <v>42942</v>
      </c>
      <c r="B212" s="20" t="s">
        <v>36</v>
      </c>
      <c r="C212" s="8">
        <v>90501</v>
      </c>
      <c r="D212" s="37">
        <f>41029+10832</f>
        <v>51861</v>
      </c>
      <c r="E212" s="37">
        <v>144544</v>
      </c>
      <c r="F212" s="12">
        <v>6961.8</v>
      </c>
      <c r="G212" s="37">
        <v>4796.8999999999996</v>
      </c>
      <c r="H212" s="24"/>
      <c r="I212" s="36"/>
      <c r="J212" s="8">
        <f t="shared" si="58"/>
        <v>92683</v>
      </c>
      <c r="K212" s="37">
        <v>620</v>
      </c>
      <c r="L212" s="37">
        <v>737</v>
      </c>
      <c r="M212" s="127">
        <f t="shared" si="59"/>
        <v>825</v>
      </c>
      <c r="N212" s="74">
        <f t="shared" si="65"/>
        <v>1807634</v>
      </c>
      <c r="O212" s="75">
        <f t="shared" si="65"/>
        <v>1314852</v>
      </c>
      <c r="P212" s="75">
        <f t="shared" si="65"/>
        <v>3208645</v>
      </c>
      <c r="Q212" s="76">
        <f t="shared" si="64"/>
        <v>12209468.17</v>
      </c>
      <c r="R212" s="76">
        <f t="shared" si="64"/>
        <v>6409221</v>
      </c>
      <c r="S212" s="76">
        <f t="shared" si="64"/>
        <v>19101714.987999998</v>
      </c>
      <c r="T212" s="80">
        <f>N212/'2016'!N212-1</f>
        <v>4.1450998105650338E-2</v>
      </c>
      <c r="U212" s="80">
        <f>O212/'2016'!O212-1</f>
        <v>0.2073396146546207</v>
      </c>
      <c r="V212" s="80">
        <f>P212/'2016'!P212-1</f>
        <v>0.11240754191057811</v>
      </c>
      <c r="W212" s="81">
        <f>Q212/'2016'!Q212-1</f>
        <v>8.7108633416432601E-2</v>
      </c>
      <c r="X212" s="81">
        <f>R212/'2016'!R212-1</f>
        <v>0.11856717341067791</v>
      </c>
      <c r="Y212" s="81">
        <f>S212/'2016'!S212-1</f>
        <v>9.1286051297151172E-2</v>
      </c>
      <c r="Z212" s="136">
        <f>(Z213-Z206)/7*6+Z206</f>
        <v>90.098571428571432</v>
      </c>
      <c r="AA212" s="136">
        <f>Q212/10000-Z212</f>
        <v>1130.8482455714286</v>
      </c>
      <c r="AB212" s="105"/>
      <c r="AC212" s="105"/>
      <c r="AD212" s="37">
        <f t="shared" si="60"/>
        <v>12692493.987999998</v>
      </c>
      <c r="AE212" s="37">
        <f t="shared" si="62"/>
        <v>227171.23</v>
      </c>
      <c r="AF212" s="37">
        <f t="shared" si="63"/>
        <v>159314.82</v>
      </c>
      <c r="AG212" s="37">
        <f t="shared" si="61"/>
        <v>96539.76799999809</v>
      </c>
    </row>
    <row r="213" spans="1:33" ht="15" customHeight="1" x14ac:dyDescent="0.15">
      <c r="A213" s="102">
        <v>42943</v>
      </c>
      <c r="B213" s="14" t="s">
        <v>37</v>
      </c>
      <c r="C213" s="32">
        <v>88591</v>
      </c>
      <c r="D213" s="33">
        <f>10108+38471</f>
        <v>48579</v>
      </c>
      <c r="E213" s="33">
        <v>142561</v>
      </c>
      <c r="F213" s="119">
        <v>6853.6</v>
      </c>
      <c r="G213" s="33">
        <v>4735.1000000000004</v>
      </c>
      <c r="H213" s="19"/>
      <c r="I213" s="19"/>
      <c r="J213" s="32">
        <f t="shared" si="58"/>
        <v>93982</v>
      </c>
      <c r="K213" s="33">
        <v>1165</v>
      </c>
      <c r="L213" s="33">
        <v>740</v>
      </c>
      <c r="M213" s="128">
        <f t="shared" si="59"/>
        <v>3486</v>
      </c>
      <c r="N213" s="77">
        <f t="shared" si="65"/>
        <v>1896225</v>
      </c>
      <c r="O213" s="78">
        <f t="shared" si="65"/>
        <v>1363431</v>
      </c>
      <c r="P213" s="78">
        <f t="shared" si="65"/>
        <v>3351206</v>
      </c>
      <c r="Q213" s="77">
        <f t="shared" si="64"/>
        <v>12298059.17</v>
      </c>
      <c r="R213" s="77">
        <f t="shared" si="64"/>
        <v>6457800</v>
      </c>
      <c r="S213" s="77">
        <f t="shared" si="64"/>
        <v>19244275.987999998</v>
      </c>
      <c r="T213" s="82">
        <f>N213/'2016'!N213-1</f>
        <v>4.4120991334714033E-2</v>
      </c>
      <c r="U213" s="82">
        <f>O213/'2016'!O213-1</f>
        <v>0.1987313114617173</v>
      </c>
      <c r="V213" s="82">
        <f>P213/'2016'!P213-1</f>
        <v>0.111422639657208</v>
      </c>
      <c r="W213" s="82">
        <f>Q213/'2016'!Q213-1</f>
        <v>8.721274665501122E-2</v>
      </c>
      <c r="X213" s="82">
        <f>R213/'2016'!R213-1</f>
        <v>0.11761544911516486</v>
      </c>
      <c r="Y213" s="82">
        <f>S213/'2016'!S213-1</f>
        <v>9.1274341550360738E-2</v>
      </c>
      <c r="Z213" s="138">
        <v>91.13</v>
      </c>
      <c r="AA213" s="138">
        <f>Q213/10000-Z213</f>
        <v>1138.675917</v>
      </c>
      <c r="AB213" s="33">
        <v>4258.08</v>
      </c>
      <c r="AC213" s="33">
        <f>AA213*10000/AB213</f>
        <v>2674.1534142148575</v>
      </c>
      <c r="AD213" s="33">
        <f t="shared" si="60"/>
        <v>12786475.987999998</v>
      </c>
      <c r="AE213" s="33">
        <f t="shared" si="62"/>
        <v>228336.23</v>
      </c>
      <c r="AF213" s="33">
        <f t="shared" si="63"/>
        <v>160054.82</v>
      </c>
      <c r="AG213" s="33">
        <f t="shared" si="61"/>
        <v>100025.76799999809</v>
      </c>
    </row>
    <row r="214" spans="1:33" ht="15" customHeight="1" x14ac:dyDescent="0.15">
      <c r="A214" s="102">
        <v>42944</v>
      </c>
      <c r="B214" s="20" t="s">
        <v>38</v>
      </c>
      <c r="C214" s="8">
        <v>86875</v>
      </c>
      <c r="D214" s="37">
        <f>40601+10094</f>
        <v>50695</v>
      </c>
      <c r="E214" s="37">
        <v>140764</v>
      </c>
      <c r="F214" s="12">
        <v>6749.9</v>
      </c>
      <c r="G214" s="37">
        <v>4679</v>
      </c>
      <c r="H214" s="24"/>
      <c r="I214" s="36"/>
      <c r="J214" s="8">
        <f t="shared" si="58"/>
        <v>90069</v>
      </c>
      <c r="K214" s="37">
        <v>1593</v>
      </c>
      <c r="L214" s="37">
        <v>739</v>
      </c>
      <c r="M214" s="127">
        <f t="shared" si="59"/>
        <v>862</v>
      </c>
      <c r="N214" s="74">
        <f t="shared" si="65"/>
        <v>1983100</v>
      </c>
      <c r="O214" s="75">
        <f t="shared" si="65"/>
        <v>1414126</v>
      </c>
      <c r="P214" s="75">
        <f t="shared" si="65"/>
        <v>3491970</v>
      </c>
      <c r="Q214" s="76">
        <f t="shared" si="64"/>
        <v>12384934.17</v>
      </c>
      <c r="R214" s="76">
        <f t="shared" si="64"/>
        <v>6508495</v>
      </c>
      <c r="S214" s="76">
        <f t="shared" si="64"/>
        <v>19385039.987999998</v>
      </c>
      <c r="T214" s="80">
        <f>N214/'2016'!N214-1</f>
        <v>4.5487758973185688E-2</v>
      </c>
      <c r="U214" s="80">
        <f>O214/'2016'!O214-1</f>
        <v>0.19307336663066965</v>
      </c>
      <c r="V214" s="80">
        <f>P214/'2016'!P214-1</f>
        <v>0.11023854118743759</v>
      </c>
      <c r="W214" s="81">
        <f>Q214/'2016'!Q214-1</f>
        <v>8.7134983382151532E-2</v>
      </c>
      <c r="X214" s="81">
        <f>R214/'2016'!R214-1</f>
        <v>0.11713107269381817</v>
      </c>
      <c r="Y214" s="81">
        <f>S214/'2016'!S214-1</f>
        <v>9.1212142967916243E-2</v>
      </c>
      <c r="Z214" s="136"/>
      <c r="AA214" s="136"/>
      <c r="AB214" s="105"/>
      <c r="AC214" s="105"/>
      <c r="AD214" s="37">
        <f t="shared" si="60"/>
        <v>12876544.987999998</v>
      </c>
      <c r="AE214" s="37">
        <f t="shared" si="62"/>
        <v>229929.23</v>
      </c>
      <c r="AF214" s="37">
        <f t="shared" si="63"/>
        <v>160793.82</v>
      </c>
      <c r="AG214" s="37">
        <f t="shared" si="61"/>
        <v>100887.76799999809</v>
      </c>
    </row>
    <row r="215" spans="1:33" ht="15" customHeight="1" x14ac:dyDescent="0.15">
      <c r="A215" s="102">
        <v>42945</v>
      </c>
      <c r="B215" s="20" t="s">
        <v>39</v>
      </c>
      <c r="C215" s="70">
        <v>77655</v>
      </c>
      <c r="D215" s="71">
        <f>41443+10132</f>
        <v>51575</v>
      </c>
      <c r="E215" s="71">
        <v>133648</v>
      </c>
      <c r="F215" s="120">
        <v>6334.2</v>
      </c>
      <c r="G215" s="71">
        <v>4617.7</v>
      </c>
      <c r="H215" s="24"/>
      <c r="I215" s="24"/>
      <c r="J215" s="70">
        <f t="shared" si="58"/>
        <v>82073</v>
      </c>
      <c r="K215" s="71">
        <v>2761</v>
      </c>
      <c r="L215" s="71">
        <v>741</v>
      </c>
      <c r="M215" s="129">
        <f t="shared" si="59"/>
        <v>916</v>
      </c>
      <c r="N215" s="74">
        <f t="shared" si="65"/>
        <v>2060755</v>
      </c>
      <c r="O215" s="75">
        <f t="shared" si="65"/>
        <v>1465701</v>
      </c>
      <c r="P215" s="75">
        <f t="shared" si="65"/>
        <v>3625618</v>
      </c>
      <c r="Q215" s="76">
        <f t="shared" si="64"/>
        <v>12462589.17</v>
      </c>
      <c r="R215" s="76">
        <f t="shared" si="64"/>
        <v>6560070</v>
      </c>
      <c r="S215" s="76">
        <f t="shared" si="64"/>
        <v>19518687.987999998</v>
      </c>
      <c r="T215" s="80">
        <f>N215/'2016'!N215-1</f>
        <v>4.1792419540909842E-2</v>
      </c>
      <c r="U215" s="80">
        <f>O215/'2016'!O215-1</f>
        <v>0.18894831237918486</v>
      </c>
      <c r="V215" s="80">
        <f>P215/'2016'!P215-1</f>
        <v>0.10692576221364525</v>
      </c>
      <c r="W215" s="81">
        <f>Q215/'2016'!Q215-1</f>
        <v>8.6202900639968272E-2</v>
      </c>
      <c r="X215" s="81">
        <f>R215/'2016'!R215-1</f>
        <v>0.11687932264715961</v>
      </c>
      <c r="Y215" s="81">
        <f>S215/'2016'!S215-1</f>
        <v>9.0744167088203431E-2</v>
      </c>
      <c r="Z215" s="139"/>
      <c r="AA215" s="139"/>
      <c r="AB215" s="105"/>
      <c r="AC215" s="105"/>
      <c r="AD215" s="37">
        <f t="shared" si="60"/>
        <v>12958617.987999998</v>
      </c>
      <c r="AE215" s="71">
        <f t="shared" si="62"/>
        <v>232690.23</v>
      </c>
      <c r="AF215" s="71">
        <f t="shared" si="63"/>
        <v>161534.82</v>
      </c>
      <c r="AG215" s="71">
        <f t="shared" si="61"/>
        <v>101803.76799999812</v>
      </c>
    </row>
    <row r="216" spans="1:33" ht="15" customHeight="1" x14ac:dyDescent="0.15">
      <c r="A216" s="102">
        <v>42946</v>
      </c>
      <c r="B216" s="20" t="s">
        <v>1</v>
      </c>
      <c r="C216" s="8">
        <v>60555</v>
      </c>
      <c r="D216" s="37">
        <f>41877+9975</f>
        <v>51852</v>
      </c>
      <c r="E216" s="37">
        <v>116669</v>
      </c>
      <c r="F216" s="12">
        <v>5397.7</v>
      </c>
      <c r="G216" s="37">
        <v>4309.7</v>
      </c>
      <c r="H216" s="24"/>
      <c r="I216" s="36"/>
      <c r="J216" s="8">
        <f t="shared" si="58"/>
        <v>64817</v>
      </c>
      <c r="K216" s="37">
        <v>2800</v>
      </c>
      <c r="L216" s="37">
        <v>743</v>
      </c>
      <c r="M216" s="127">
        <f t="shared" si="59"/>
        <v>719</v>
      </c>
      <c r="N216" s="74">
        <f t="shared" si="65"/>
        <v>2121310</v>
      </c>
      <c r="O216" s="75">
        <f t="shared" si="65"/>
        <v>1517553</v>
      </c>
      <c r="P216" s="75">
        <f t="shared" si="65"/>
        <v>3742287</v>
      </c>
      <c r="Q216" s="76">
        <f t="shared" si="64"/>
        <v>12523144.17</v>
      </c>
      <c r="R216" s="76">
        <f t="shared" si="64"/>
        <v>6611922</v>
      </c>
      <c r="S216" s="76">
        <f t="shared" si="64"/>
        <v>19635356.987999998</v>
      </c>
      <c r="T216" s="80">
        <f>N216/'2016'!N216-1</f>
        <v>3.1865438337660201E-2</v>
      </c>
      <c r="U216" s="80">
        <f>O216/'2016'!O216-1</f>
        <v>0.18550214710962409</v>
      </c>
      <c r="V216" s="80">
        <f>P216/'2016'!P216-1</f>
        <v>0.10007278384081153</v>
      </c>
      <c r="W216" s="81">
        <f>Q216/'2016'!Q216-1</f>
        <v>8.4137387877954772E-2</v>
      </c>
      <c r="X216" s="81">
        <f>R216/'2016'!R216-1</f>
        <v>0.11671026650878513</v>
      </c>
      <c r="Y216" s="81">
        <f>S216/'2016'!S216-1</f>
        <v>8.9564090618121872E-2</v>
      </c>
      <c r="Z216" s="136"/>
      <c r="AA216" s="136"/>
      <c r="AB216" s="105"/>
      <c r="AC216" s="105"/>
      <c r="AD216" s="37">
        <f t="shared" si="60"/>
        <v>13023434.987999998</v>
      </c>
      <c r="AE216" s="37">
        <f t="shared" si="62"/>
        <v>235490.23</v>
      </c>
      <c r="AF216" s="37">
        <f t="shared" si="63"/>
        <v>162277.82</v>
      </c>
      <c r="AG216" s="37">
        <f t="shared" si="61"/>
        <v>102522.76799999812</v>
      </c>
    </row>
    <row r="217" spans="1:33" s="101" customFormat="1" ht="15" customHeight="1" x14ac:dyDescent="0.15">
      <c r="A217" s="108">
        <v>42947</v>
      </c>
      <c r="B217" s="25" t="s">
        <v>34</v>
      </c>
      <c r="C217" s="42">
        <v>72054</v>
      </c>
      <c r="D217" s="43">
        <f>35104+10191</f>
        <v>45295</v>
      </c>
      <c r="E217" s="43">
        <v>120317</v>
      </c>
      <c r="F217" s="122">
        <v>6035.7</v>
      </c>
      <c r="G217" s="43">
        <v>3919.1</v>
      </c>
      <c r="H217" s="30"/>
      <c r="I217" s="30"/>
      <c r="J217" s="42">
        <f t="shared" si="58"/>
        <v>75022</v>
      </c>
      <c r="K217" s="43">
        <v>1307</v>
      </c>
      <c r="L217" s="43">
        <v>746</v>
      </c>
      <c r="M217" s="130">
        <f t="shared" si="59"/>
        <v>915</v>
      </c>
      <c r="N217" s="87">
        <f>C217+N216</f>
        <v>2193364</v>
      </c>
      <c r="O217" s="88">
        <f>D217+O216</f>
        <v>1562848</v>
      </c>
      <c r="P217" s="88">
        <f t="shared" ref="P217" si="66">E217+P216</f>
        <v>3862604</v>
      </c>
      <c r="Q217" s="142" t="s">
        <v>54</v>
      </c>
      <c r="R217" s="142">
        <v>6660436</v>
      </c>
      <c r="S217" s="142" t="s">
        <v>55</v>
      </c>
      <c r="T217" s="89">
        <f>N217/'2016'!N217-1</f>
        <v>3.1229841932541635E-2</v>
      </c>
      <c r="U217" s="89">
        <f>O217/'2016'!O217-1</f>
        <v>0.17946519673249584</v>
      </c>
      <c r="V217" s="89">
        <f>P217/'2016'!P217-1</f>
        <v>9.781122997141023E-2</v>
      </c>
      <c r="W217" s="89">
        <f>Q217/'2016'!Q217-1</f>
        <v>8.370120571576023E-2</v>
      </c>
      <c r="X217" s="89">
        <f>R217/'2016'!R217-1</f>
        <v>0.11642737126390079</v>
      </c>
      <c r="Y217" s="89">
        <f>S217/'2016'!S217-1</f>
        <v>8.9217246122698324E-2</v>
      </c>
      <c r="Z217" s="141">
        <f>[16]日发电量查询!$D$12/10000</f>
        <v>94.687922</v>
      </c>
      <c r="AA217" s="141">
        <f>[16]日发电量查询!$D$11/10000</f>
        <v>1164.8319919999999</v>
      </c>
      <c r="AB217" s="43">
        <v>4258.08</v>
      </c>
      <c r="AC217" s="43">
        <f>AA217*10000/AB217</f>
        <v>2735.5803366775635</v>
      </c>
      <c r="AD217" s="144" t="str">
        <f>[16]日发电量查询!$D$4</f>
        <v>13095678.948</v>
      </c>
      <c r="AE217" s="43" t="str">
        <f>[16]日发电量查询!$D$14</f>
        <v>236796.680</v>
      </c>
      <c r="AF217" s="43">
        <f t="shared" si="63"/>
        <v>163023.82</v>
      </c>
      <c r="AG217" s="43">
        <f t="shared" si="61"/>
        <v>100659.30800000019</v>
      </c>
    </row>
    <row r="218" spans="1:33" ht="15" customHeight="1" x14ac:dyDescent="0.15">
      <c r="A218" s="102">
        <v>42948</v>
      </c>
      <c r="B218" s="20" t="s">
        <v>35</v>
      </c>
      <c r="C218" s="8">
        <v>63339</v>
      </c>
      <c r="D218" s="37">
        <f>37742+10223</f>
        <v>47965</v>
      </c>
      <c r="E218" s="37">
        <v>113859</v>
      </c>
      <c r="F218" s="12">
        <v>5527.1</v>
      </c>
      <c r="G218" s="37">
        <v>3831.7</v>
      </c>
      <c r="H218" s="24"/>
      <c r="I218" s="36"/>
      <c r="J218" s="8">
        <f t="shared" si="58"/>
        <v>65894</v>
      </c>
      <c r="K218" s="37">
        <v>1037</v>
      </c>
      <c r="L218" s="37">
        <v>747</v>
      </c>
      <c r="M218" s="127">
        <f t="shared" si="59"/>
        <v>771</v>
      </c>
      <c r="N218" s="74">
        <f>C218</f>
        <v>63339</v>
      </c>
      <c r="O218" s="75">
        <f>D218</f>
        <v>47965</v>
      </c>
      <c r="P218" s="75">
        <f>E218</f>
        <v>113859</v>
      </c>
      <c r="Q218" s="76">
        <f>Q$217+N218</f>
        <v>12658538.140000001</v>
      </c>
      <c r="R218" s="76">
        <f>R$217+O218</f>
        <v>6708401</v>
      </c>
      <c r="S218" s="76">
        <f>S$217+P218</f>
        <v>19869973.947999999</v>
      </c>
      <c r="T218" s="80">
        <f>N218/'2016'!N218-1</f>
        <v>-0.13665916990390514</v>
      </c>
      <c r="U218" s="80">
        <f>O218/'2016'!O218-1</f>
        <v>5.4453921913471648E-2</v>
      </c>
      <c r="V218" s="80">
        <f>P218/'2016'!P218-1</f>
        <v>-5.30531113291971E-2</v>
      </c>
      <c r="W218" s="81">
        <f>Q218/'2016'!Q218-1</f>
        <v>8.2318931756100389E-2</v>
      </c>
      <c r="X218" s="81">
        <f>R218/'2016'!R218-1</f>
        <v>0.11595841589956035</v>
      </c>
      <c r="Y218" s="81">
        <f>S218/'2016'!S218-1</f>
        <v>8.8280332293706687E-2</v>
      </c>
      <c r="Z218" s="136"/>
      <c r="AA218" s="136"/>
      <c r="AB218" s="105"/>
      <c r="AC218" s="105"/>
      <c r="AD218" s="37">
        <f t="shared" si="60"/>
        <v>13161572.947999999</v>
      </c>
      <c r="AE218" s="37">
        <f t="shared" si="62"/>
        <v>237833.68</v>
      </c>
      <c r="AF218" s="37">
        <f t="shared" si="63"/>
        <v>163770.82</v>
      </c>
      <c r="AG218" s="37">
        <f t="shared" si="61"/>
        <v>101430.30799999833</v>
      </c>
    </row>
    <row r="219" spans="1:33" ht="15" customHeight="1" x14ac:dyDescent="0.15">
      <c r="A219" s="102">
        <v>42949</v>
      </c>
      <c r="B219" s="20" t="s">
        <v>36</v>
      </c>
      <c r="C219" s="8">
        <v>71398</v>
      </c>
      <c r="D219" s="37">
        <f>36632+9993</f>
        <v>46625</v>
      </c>
      <c r="E219" s="37">
        <v>121120</v>
      </c>
      <c r="F219" s="12">
        <v>5986.4</v>
      </c>
      <c r="G219" s="37">
        <v>3784.5</v>
      </c>
      <c r="H219" s="24"/>
      <c r="I219" s="36"/>
      <c r="J219" s="8">
        <f t="shared" si="58"/>
        <v>74495</v>
      </c>
      <c r="K219" s="37">
        <v>1504</v>
      </c>
      <c r="L219" s="37">
        <v>743</v>
      </c>
      <c r="M219" s="127">
        <f t="shared" si="59"/>
        <v>850</v>
      </c>
      <c r="N219" s="74">
        <f t="shared" ref="N219:P234" si="67">N218+C219</f>
        <v>134737</v>
      </c>
      <c r="O219" s="75">
        <f t="shared" si="67"/>
        <v>94590</v>
      </c>
      <c r="P219" s="75">
        <f t="shared" si="67"/>
        <v>234979</v>
      </c>
      <c r="Q219" s="76">
        <f t="shared" ref="Q219:S247" si="68">Q$217+N219</f>
        <v>12729936.140000001</v>
      </c>
      <c r="R219" s="76">
        <f t="shared" si="68"/>
        <v>6755026</v>
      </c>
      <c r="S219" s="76">
        <f t="shared" si="68"/>
        <v>19991093.947999999</v>
      </c>
      <c r="T219" s="80">
        <f>N219/'2016'!N219-1</f>
        <v>-0.10247733494980715</v>
      </c>
      <c r="U219" s="80">
        <f>O219/'2016'!O219-1</f>
        <v>4.8692875673518321E-2</v>
      </c>
      <c r="V219" s="80">
        <f>P219/'2016'!P219-1</f>
        <v>-3.3338407046152985E-2</v>
      </c>
      <c r="W219" s="81">
        <f>Q219/'2016'!Q219-1</f>
        <v>8.1327089749409609E-2</v>
      </c>
      <c r="X219" s="81">
        <f>R219/'2016'!R219-1</f>
        <v>0.11541854206523539</v>
      </c>
      <c r="Y219" s="81">
        <f>S219/'2016'!S219-1</f>
        <v>8.7596484400247254E-2</v>
      </c>
      <c r="Z219" s="136">
        <f>(Z220-Z213)/7*6+Z213</f>
        <v>95.732857142857142</v>
      </c>
      <c r="AA219" s="136">
        <f>Q219/10000-Z219</f>
        <v>1177.260756857143</v>
      </c>
      <c r="AB219" s="105"/>
      <c r="AC219" s="105"/>
      <c r="AD219" s="37">
        <f t="shared" si="60"/>
        <v>13236067.947999999</v>
      </c>
      <c r="AE219" s="37">
        <f t="shared" si="62"/>
        <v>239337.68</v>
      </c>
      <c r="AF219" s="37">
        <f t="shared" si="63"/>
        <v>164513.82</v>
      </c>
      <c r="AG219" s="37">
        <f t="shared" si="61"/>
        <v>102280.30799999833</v>
      </c>
    </row>
    <row r="220" spans="1:33" ht="15" customHeight="1" x14ac:dyDescent="0.15">
      <c r="A220" s="102">
        <v>42950</v>
      </c>
      <c r="B220" s="14" t="s">
        <v>37</v>
      </c>
      <c r="C220" s="32">
        <v>79745</v>
      </c>
      <c r="D220" s="33">
        <f>10106+34027</f>
        <v>44133</v>
      </c>
      <c r="E220" s="33">
        <v>128977</v>
      </c>
      <c r="F220" s="119">
        <v>6409</v>
      </c>
      <c r="G220" s="33">
        <v>4067.2</v>
      </c>
      <c r="H220" s="19"/>
      <c r="I220" s="19"/>
      <c r="J220" s="32">
        <f t="shared" si="58"/>
        <v>84844</v>
      </c>
      <c r="K220" s="33">
        <v>1093</v>
      </c>
      <c r="L220" s="33">
        <v>744</v>
      </c>
      <c r="M220" s="128">
        <f t="shared" si="59"/>
        <v>3262</v>
      </c>
      <c r="N220" s="77">
        <f t="shared" si="67"/>
        <v>214482</v>
      </c>
      <c r="O220" s="78">
        <f t="shared" si="67"/>
        <v>138723</v>
      </c>
      <c r="P220" s="78">
        <f t="shared" si="67"/>
        <v>363956</v>
      </c>
      <c r="Q220" s="77">
        <f t="shared" si="68"/>
        <v>12809681.140000001</v>
      </c>
      <c r="R220" s="77">
        <f t="shared" si="68"/>
        <v>6799159</v>
      </c>
      <c r="S220" s="77">
        <f t="shared" si="68"/>
        <v>20120070.947999999</v>
      </c>
      <c r="T220" s="82">
        <f>N220/'2016'!N220-1</f>
        <v>-3.5931965695176094E-2</v>
      </c>
      <c r="U220" s="82">
        <f>O220/'2016'!O220-1</f>
        <v>5.2933988113761821E-2</v>
      </c>
      <c r="V220" s="82">
        <f>P220/'2016'!P220-1</f>
        <v>1.6123133276192858E-2</v>
      </c>
      <c r="W220" s="82">
        <f>Q220/'2016'!Q220-1</f>
        <v>8.1454197839452291E-2</v>
      </c>
      <c r="X220" s="82">
        <f>R220/'2016'!R220-1</f>
        <v>0.11505548825217549</v>
      </c>
      <c r="Y220" s="82">
        <f>S220/'2016'!S220-1</f>
        <v>8.7801761375593035E-2</v>
      </c>
      <c r="Z220" s="138">
        <v>96.5</v>
      </c>
      <c r="AA220" s="138">
        <f>Q220/10000-Z220</f>
        <v>1184.468114</v>
      </c>
      <c r="AB220" s="33">
        <v>4258.08</v>
      </c>
      <c r="AC220" s="33">
        <f>AA220*10000/AB220</f>
        <v>2781.6953039867735</v>
      </c>
      <c r="AD220" s="33">
        <f t="shared" si="60"/>
        <v>13320911.947999999</v>
      </c>
      <c r="AE220" s="33">
        <f t="shared" si="62"/>
        <v>240430.68</v>
      </c>
      <c r="AF220" s="33">
        <f t="shared" si="63"/>
        <v>165257.82</v>
      </c>
      <c r="AG220" s="33">
        <f t="shared" si="61"/>
        <v>105542.30799999833</v>
      </c>
    </row>
    <row r="221" spans="1:33" ht="15" customHeight="1" x14ac:dyDescent="0.15">
      <c r="A221" s="102">
        <v>42951</v>
      </c>
      <c r="B221" s="20" t="s">
        <v>38</v>
      </c>
      <c r="C221" s="8">
        <v>84748</v>
      </c>
      <c r="D221" s="37">
        <f>10172+34003</f>
        <v>44175</v>
      </c>
      <c r="E221" s="37">
        <v>134664</v>
      </c>
      <c r="F221" s="12">
        <v>6712.7</v>
      </c>
      <c r="G221" s="37">
        <v>4319.1000000000004</v>
      </c>
      <c r="H221" s="24"/>
      <c r="I221" s="36"/>
      <c r="J221" s="8">
        <f t="shared" si="58"/>
        <v>90489</v>
      </c>
      <c r="K221" s="37">
        <v>1768</v>
      </c>
      <c r="L221" s="37">
        <v>732</v>
      </c>
      <c r="M221" s="127">
        <f t="shared" si="59"/>
        <v>3241</v>
      </c>
      <c r="N221" s="74">
        <f t="shared" si="67"/>
        <v>299230</v>
      </c>
      <c r="O221" s="75">
        <f t="shared" si="67"/>
        <v>182898</v>
      </c>
      <c r="P221" s="75">
        <f t="shared" si="67"/>
        <v>498620</v>
      </c>
      <c r="Q221" s="76">
        <f t="shared" si="68"/>
        <v>12894429.140000001</v>
      </c>
      <c r="R221" s="76">
        <f t="shared" si="68"/>
        <v>6843334</v>
      </c>
      <c r="S221" s="76">
        <f t="shared" si="68"/>
        <v>20254734.947999999</v>
      </c>
      <c r="T221" s="80">
        <f>N221/'2016'!N221-1</f>
        <v>1.7491482083472176E-2</v>
      </c>
      <c r="U221" s="80">
        <f>O221/'2016'!O221-1</f>
        <v>4.5460001714824561E-2</v>
      </c>
      <c r="V221" s="80">
        <f>P221/'2016'!P221-1</f>
        <v>5.1617012481387503E-2</v>
      </c>
      <c r="W221" s="81">
        <f>Q221/'2016'!Q221-1</f>
        <v>8.2067220034914623E-2</v>
      </c>
      <c r="X221" s="81">
        <f>R221/'2016'!R221-1</f>
        <v>0.11440558247118893</v>
      </c>
      <c r="Y221" s="81">
        <f>S221/'2016'!S221-1</f>
        <v>8.8259371899921168E-2</v>
      </c>
      <c r="Z221" s="136"/>
      <c r="AA221" s="136"/>
      <c r="AB221" s="105"/>
      <c r="AC221" s="105"/>
      <c r="AD221" s="37">
        <f t="shared" si="60"/>
        <v>13411400.947999999</v>
      </c>
      <c r="AE221" s="37">
        <f t="shared" si="62"/>
        <v>242198.68</v>
      </c>
      <c r="AF221" s="37">
        <f t="shared" si="63"/>
        <v>165989.82</v>
      </c>
      <c r="AG221" s="37">
        <f t="shared" si="61"/>
        <v>108783.30799999833</v>
      </c>
    </row>
    <row r="222" spans="1:33" ht="15" customHeight="1" x14ac:dyDescent="0.15">
      <c r="A222" s="102">
        <v>42952</v>
      </c>
      <c r="B222" s="20" t="s">
        <v>39</v>
      </c>
      <c r="C222" s="70">
        <v>84368</v>
      </c>
      <c r="D222" s="71">
        <f>10132+33262</f>
        <v>43394</v>
      </c>
      <c r="E222" s="71">
        <v>134242</v>
      </c>
      <c r="F222" s="120">
        <v>6594.1</v>
      </c>
      <c r="G222" s="71">
        <v>4405.7</v>
      </c>
      <c r="H222" s="24"/>
      <c r="I222" s="24"/>
      <c r="J222" s="70">
        <f t="shared" si="58"/>
        <v>90848</v>
      </c>
      <c r="K222" s="71">
        <v>2466</v>
      </c>
      <c r="L222" s="71">
        <v>741</v>
      </c>
      <c r="M222" s="129">
        <f t="shared" si="59"/>
        <v>3273</v>
      </c>
      <c r="N222" s="74">
        <f t="shared" si="67"/>
        <v>383598</v>
      </c>
      <c r="O222" s="75">
        <f t="shared" si="67"/>
        <v>226292</v>
      </c>
      <c r="P222" s="75">
        <f t="shared" si="67"/>
        <v>632862</v>
      </c>
      <c r="Q222" s="76">
        <f t="shared" si="68"/>
        <v>12978797.140000001</v>
      </c>
      <c r="R222" s="76">
        <f t="shared" si="68"/>
        <v>6886728</v>
      </c>
      <c r="S222" s="76">
        <f t="shared" si="68"/>
        <v>20388976.947999999</v>
      </c>
      <c r="T222" s="80">
        <f>N222/'2016'!N222-1</f>
        <v>4.7953120517969072E-2</v>
      </c>
      <c r="U222" s="80">
        <f>O222/'2016'!O222-1</f>
        <v>3.089608673864519E-2</v>
      </c>
      <c r="V222" s="80">
        <f>P222/'2016'!P222-1</f>
        <v>6.8480384129015581E-2</v>
      </c>
      <c r="W222" s="81">
        <f>Q222/'2016'!Q222-1</f>
        <v>8.2609703217333852E-2</v>
      </c>
      <c r="X222" s="81">
        <f>R222/'2016'!R222-1</f>
        <v>0.11339198151505547</v>
      </c>
      <c r="Y222" s="81">
        <f>S222/'2016'!S222-1</f>
        <v>8.8561488973215141E-2</v>
      </c>
      <c r="Z222" s="139"/>
      <c r="AA222" s="139"/>
      <c r="AB222" s="105"/>
      <c r="AC222" s="105"/>
      <c r="AD222" s="37">
        <f t="shared" si="60"/>
        <v>13502248.947999999</v>
      </c>
      <c r="AE222" s="71">
        <f t="shared" si="62"/>
        <v>244664.68</v>
      </c>
      <c r="AF222" s="71">
        <f t="shared" si="63"/>
        <v>166730.82</v>
      </c>
      <c r="AG222" s="71">
        <f t="shared" si="61"/>
        <v>112056.30799999833</v>
      </c>
    </row>
    <row r="223" spans="1:33" ht="15" customHeight="1" x14ac:dyDescent="0.15">
      <c r="A223" s="102">
        <v>42953</v>
      </c>
      <c r="B223" s="20" t="s">
        <v>1</v>
      </c>
      <c r="C223" s="8">
        <v>73988</v>
      </c>
      <c r="D223" s="37">
        <f>9763+37912</f>
        <v>47675</v>
      </c>
      <c r="E223" s="37">
        <v>126811</v>
      </c>
      <c r="F223" s="12">
        <v>6075.3</v>
      </c>
      <c r="G223" s="37">
        <v>4326.8999999999996</v>
      </c>
      <c r="H223" s="24"/>
      <c r="I223" s="36"/>
      <c r="J223" s="8">
        <f t="shared" si="58"/>
        <v>79136</v>
      </c>
      <c r="K223" s="37">
        <v>1358</v>
      </c>
      <c r="L223" s="37">
        <v>742</v>
      </c>
      <c r="M223" s="127">
        <f t="shared" si="59"/>
        <v>3048</v>
      </c>
      <c r="N223" s="74">
        <f t="shared" si="67"/>
        <v>457586</v>
      </c>
      <c r="O223" s="75">
        <f t="shared" si="67"/>
        <v>273967</v>
      </c>
      <c r="P223" s="75">
        <f t="shared" si="67"/>
        <v>759673</v>
      </c>
      <c r="Q223" s="76">
        <f t="shared" si="68"/>
        <v>13052785.140000001</v>
      </c>
      <c r="R223" s="76">
        <f t="shared" si="68"/>
        <v>6934403</v>
      </c>
      <c r="S223" s="76">
        <f t="shared" si="68"/>
        <v>20515787.947999999</v>
      </c>
      <c r="T223" s="80">
        <f>N223/'2016'!N223-1</f>
        <v>4.6793752902448027E-2</v>
      </c>
      <c r="U223" s="80">
        <f>O223/'2016'!O223-1</f>
        <v>4.2143422293904553E-2</v>
      </c>
      <c r="V223" s="80">
        <f>P223/'2016'!P223-1</f>
        <v>7.2963246489476274E-2</v>
      </c>
      <c r="W223" s="81">
        <f>Q223/'2016'!Q223-1</f>
        <v>8.2363392180884176E-2</v>
      </c>
      <c r="X223" s="81">
        <f>R223/'2016'!R223-1</f>
        <v>0.11329216714273982</v>
      </c>
      <c r="Y223" s="81">
        <f>S223/'2016'!S223-1</f>
        <v>8.8606606677030797E-2</v>
      </c>
      <c r="Z223" s="136"/>
      <c r="AA223" s="136"/>
      <c r="AB223" s="105"/>
      <c r="AC223" s="105"/>
      <c r="AD223" s="37">
        <f t="shared" si="60"/>
        <v>13581384.947999999</v>
      </c>
      <c r="AE223" s="37">
        <f t="shared" si="62"/>
        <v>246022.68</v>
      </c>
      <c r="AF223" s="37">
        <f t="shared" si="63"/>
        <v>167472.82</v>
      </c>
      <c r="AG223" s="37">
        <f t="shared" si="61"/>
        <v>115104.30799999833</v>
      </c>
    </row>
    <row r="224" spans="1:33" ht="15" customHeight="1" x14ac:dyDescent="0.15">
      <c r="A224" s="102">
        <v>42954</v>
      </c>
      <c r="B224" s="20" t="s">
        <v>34</v>
      </c>
      <c r="C224" s="8">
        <v>82856</v>
      </c>
      <c r="D224" s="37">
        <f>10133+36545</f>
        <v>46678</v>
      </c>
      <c r="E224" s="37">
        <v>135238</v>
      </c>
      <c r="F224" s="12">
        <v>6652.6</v>
      </c>
      <c r="G224" s="37">
        <v>4259.8999999999996</v>
      </c>
      <c r="H224" s="24"/>
      <c r="I224" s="36"/>
      <c r="J224" s="8">
        <f t="shared" si="58"/>
        <v>88560</v>
      </c>
      <c r="K224" s="37">
        <v>1683</v>
      </c>
      <c r="L224" s="37">
        <v>740</v>
      </c>
      <c r="M224" s="127">
        <f t="shared" si="59"/>
        <v>3281</v>
      </c>
      <c r="N224" s="74">
        <f t="shared" si="67"/>
        <v>540442</v>
      </c>
      <c r="O224" s="75">
        <f t="shared" si="67"/>
        <v>320645</v>
      </c>
      <c r="P224" s="75">
        <f t="shared" si="67"/>
        <v>894911</v>
      </c>
      <c r="Q224" s="76">
        <f t="shared" si="68"/>
        <v>13135641.140000001</v>
      </c>
      <c r="R224" s="76">
        <f t="shared" si="68"/>
        <v>6981081</v>
      </c>
      <c r="S224" s="76">
        <f t="shared" si="68"/>
        <v>20651025.947999999</v>
      </c>
      <c r="T224" s="80">
        <f>N224/'2016'!N224-1</f>
        <v>7.3080558180908417E-2</v>
      </c>
      <c r="U224" s="80">
        <f>O224/'2016'!O224-1</f>
        <v>5.2872664943866665E-2</v>
      </c>
      <c r="V224" s="80">
        <f>P224/'2016'!P224-1</f>
        <v>9.3493858718762146E-2</v>
      </c>
      <c r="W224" s="81">
        <f>Q224/'2016'!Q224-1</f>
        <v>8.3260093351268383E-2</v>
      </c>
      <c r="X224" s="81">
        <f>R224/'2016'!R224-1</f>
        <v>0.11334061942867679</v>
      </c>
      <c r="Y224" s="81">
        <f>S224/'2016'!S224-1</f>
        <v>8.9401879365118564E-2</v>
      </c>
      <c r="Z224" s="136"/>
      <c r="AA224" s="136"/>
      <c r="AB224" s="105"/>
      <c r="AC224" s="105"/>
      <c r="AD224" s="37">
        <f t="shared" si="60"/>
        <v>13669944.947999999</v>
      </c>
      <c r="AE224" s="37">
        <f t="shared" si="62"/>
        <v>247705.68</v>
      </c>
      <c r="AF224" s="37">
        <f t="shared" si="63"/>
        <v>168212.82</v>
      </c>
      <c r="AG224" s="37">
        <f t="shared" si="61"/>
        <v>118385.30799999833</v>
      </c>
    </row>
    <row r="225" spans="1:33" ht="15" customHeight="1" x14ac:dyDescent="0.15">
      <c r="A225" s="102">
        <v>42955</v>
      </c>
      <c r="B225" s="20" t="s">
        <v>35</v>
      </c>
      <c r="C225" s="8">
        <v>85355</v>
      </c>
      <c r="D225" s="37">
        <f>10197+37236</f>
        <v>47433</v>
      </c>
      <c r="E225" s="37">
        <v>137831</v>
      </c>
      <c r="F225" s="12">
        <v>6854.9</v>
      </c>
      <c r="G225" s="37">
        <v>4469.6000000000004</v>
      </c>
      <c r="H225" s="24"/>
      <c r="I225" s="36"/>
      <c r="J225" s="8">
        <f t="shared" si="58"/>
        <v>90398</v>
      </c>
      <c r="K225" s="37">
        <v>1058</v>
      </c>
      <c r="L225" s="37">
        <v>744</v>
      </c>
      <c r="M225" s="127">
        <f t="shared" si="59"/>
        <v>3241</v>
      </c>
      <c r="N225" s="74">
        <f t="shared" si="67"/>
        <v>625797</v>
      </c>
      <c r="O225" s="75">
        <f t="shared" si="67"/>
        <v>368078</v>
      </c>
      <c r="P225" s="75">
        <f t="shared" si="67"/>
        <v>1032742</v>
      </c>
      <c r="Q225" s="76">
        <f t="shared" si="68"/>
        <v>13220996.140000001</v>
      </c>
      <c r="R225" s="76">
        <f t="shared" si="68"/>
        <v>7028514</v>
      </c>
      <c r="S225" s="76">
        <f t="shared" si="68"/>
        <v>20788856.947999999</v>
      </c>
      <c r="T225" s="80">
        <f>N225/'2016'!N225-1</f>
        <v>8.557486477953602E-2</v>
      </c>
      <c r="U225" s="80">
        <f>O225/'2016'!O225-1</f>
        <v>6.2059612776639739E-2</v>
      </c>
      <c r="V225" s="80">
        <f>P225/'2016'!P225-1</f>
        <v>0.10468103859541023</v>
      </c>
      <c r="W225" s="81">
        <f>Q225/'2016'!Q225-1</f>
        <v>8.378974685907048E-2</v>
      </c>
      <c r="X225" s="81">
        <f>R225/'2016'!R225-1</f>
        <v>0.11344242412337069</v>
      </c>
      <c r="Y225" s="81">
        <f>S225/'2016'!S225-1</f>
        <v>8.9975224764488937E-2</v>
      </c>
      <c r="Z225" s="136"/>
      <c r="AA225" s="136"/>
      <c r="AB225" s="105"/>
      <c r="AC225" s="105"/>
      <c r="AD225" s="37">
        <f t="shared" si="60"/>
        <v>13760342.947999999</v>
      </c>
      <c r="AE225" s="37">
        <f t="shared" si="62"/>
        <v>248763.68</v>
      </c>
      <c r="AF225" s="37">
        <f t="shared" si="63"/>
        <v>168956.82</v>
      </c>
      <c r="AG225" s="37">
        <f t="shared" si="61"/>
        <v>121626.30799999833</v>
      </c>
    </row>
    <row r="226" spans="1:33" ht="15" customHeight="1" x14ac:dyDescent="0.15">
      <c r="A226" s="102">
        <v>42956</v>
      </c>
      <c r="B226" s="20" t="s">
        <v>36</v>
      </c>
      <c r="C226" s="8">
        <v>78299</v>
      </c>
      <c r="D226" s="37">
        <f>40116+9942</f>
        <v>50058</v>
      </c>
      <c r="E226" s="37">
        <v>131107</v>
      </c>
      <c r="F226" s="12">
        <v>6551.7</v>
      </c>
      <c r="G226" s="37">
        <v>4429.8</v>
      </c>
      <c r="H226" s="24"/>
      <c r="I226" s="36"/>
      <c r="J226" s="8">
        <f t="shared" si="58"/>
        <v>81049</v>
      </c>
      <c r="K226" s="37">
        <v>1389</v>
      </c>
      <c r="L226" s="37">
        <v>741</v>
      </c>
      <c r="M226" s="127">
        <f t="shared" si="59"/>
        <v>620</v>
      </c>
      <c r="N226" s="74">
        <f t="shared" si="67"/>
        <v>704096</v>
      </c>
      <c r="O226" s="75">
        <f t="shared" si="67"/>
        <v>418136</v>
      </c>
      <c r="P226" s="75">
        <f t="shared" si="67"/>
        <v>1163849</v>
      </c>
      <c r="Q226" s="76">
        <f t="shared" si="68"/>
        <v>13299295.140000001</v>
      </c>
      <c r="R226" s="76">
        <f t="shared" si="68"/>
        <v>7078572</v>
      </c>
      <c r="S226" s="76">
        <f t="shared" si="68"/>
        <v>20919963.947999999</v>
      </c>
      <c r="T226" s="80">
        <f>N226/'2016'!N226-1</f>
        <v>9.3102902227204076E-2</v>
      </c>
      <c r="U226" s="80">
        <f>O226/'2016'!O226-1</f>
        <v>7.2338810398816289E-2</v>
      </c>
      <c r="V226" s="80">
        <f>P226/'2016'!P226-1</f>
        <v>0.11088638090401992</v>
      </c>
      <c r="W226" s="81">
        <f>Q226/'2016'!Q226-1</f>
        <v>8.4194897377959821E-2</v>
      </c>
      <c r="X226" s="81">
        <f>R226/'2016'!R226-1</f>
        <v>0.11372252361906332</v>
      </c>
      <c r="Y226" s="81">
        <f>S226/'2016'!S226-1</f>
        <v>9.04005429320065E-2</v>
      </c>
      <c r="Z226" s="136">
        <f>(Z227-Z220)/7*6+Z220</f>
        <v>101.24</v>
      </c>
      <c r="AA226" s="136">
        <f>Q226/10000-Z226</f>
        <v>1228.6895140000001</v>
      </c>
      <c r="AB226" s="105"/>
      <c r="AC226" s="105"/>
      <c r="AD226" s="37">
        <f t="shared" si="60"/>
        <v>13841391.947999999</v>
      </c>
      <c r="AE226" s="37">
        <f t="shared" si="62"/>
        <v>250152.68</v>
      </c>
      <c r="AF226" s="37">
        <f t="shared" si="63"/>
        <v>169697.82</v>
      </c>
      <c r="AG226" s="37">
        <f t="shared" si="61"/>
        <v>122246.30799999833</v>
      </c>
    </row>
    <row r="227" spans="1:33" ht="15" customHeight="1" x14ac:dyDescent="0.15">
      <c r="A227" s="102">
        <v>42957</v>
      </c>
      <c r="B227" s="14" t="s">
        <v>37</v>
      </c>
      <c r="C227" s="32">
        <v>75004</v>
      </c>
      <c r="D227" s="33">
        <v>50248</v>
      </c>
      <c r="E227" s="33">
        <v>127251</v>
      </c>
      <c r="F227" s="119">
        <v>6132</v>
      </c>
      <c r="G227" s="33">
        <v>4210</v>
      </c>
      <c r="H227" s="19"/>
      <c r="I227" s="19"/>
      <c r="J227" s="32">
        <f t="shared" si="58"/>
        <v>77003</v>
      </c>
      <c r="K227" s="33">
        <v>512</v>
      </c>
      <c r="L227" s="33">
        <v>742</v>
      </c>
      <c r="M227" s="128">
        <f t="shared" si="59"/>
        <v>745</v>
      </c>
      <c r="N227" s="77">
        <f t="shared" si="67"/>
        <v>779100</v>
      </c>
      <c r="O227" s="78">
        <f t="shared" si="67"/>
        <v>468384</v>
      </c>
      <c r="P227" s="78">
        <f t="shared" si="67"/>
        <v>1291100</v>
      </c>
      <c r="Q227" s="77">
        <f t="shared" si="68"/>
        <v>13374299.140000001</v>
      </c>
      <c r="R227" s="77">
        <f t="shared" si="68"/>
        <v>7128820</v>
      </c>
      <c r="S227" s="77">
        <f t="shared" si="68"/>
        <v>21047214.947999999</v>
      </c>
      <c r="T227" s="82">
        <f>N227/'2016'!N227-1</f>
        <v>8.9184209275470883E-2</v>
      </c>
      <c r="U227" s="82">
        <f>O227/'2016'!O227-1</f>
        <v>7.9708441100399652E-2</v>
      </c>
      <c r="V227" s="82">
        <f>P227/'2016'!P227-1</f>
        <v>0.10850581383867897</v>
      </c>
      <c r="W227" s="82">
        <f>Q227/'2016'!Q227-1</f>
        <v>8.4019095297931168E-2</v>
      </c>
      <c r="X227" s="82">
        <f>R227/'2016'!R227-1</f>
        <v>0.11393834729190044</v>
      </c>
      <c r="Y227" s="82">
        <f>S227/'2016'!S227-1</f>
        <v>9.038111906612567E-2</v>
      </c>
      <c r="Z227" s="138">
        <v>102.03</v>
      </c>
      <c r="AA227" s="138">
        <f>Q227/10000-Z227</f>
        <v>1235.3999140000001</v>
      </c>
      <c r="AB227" s="33">
        <v>4258.08</v>
      </c>
      <c r="AC227" s="33">
        <f>AA227*10000/AB227</f>
        <v>2901.3074296396499</v>
      </c>
      <c r="AD227" s="33">
        <f t="shared" si="60"/>
        <v>13918394.947999999</v>
      </c>
      <c r="AE227" s="33">
        <f t="shared" si="62"/>
        <v>250664.68</v>
      </c>
      <c r="AF227" s="33">
        <f t="shared" si="63"/>
        <v>170439.82</v>
      </c>
      <c r="AG227" s="33">
        <f t="shared" si="61"/>
        <v>122991.30799999833</v>
      </c>
    </row>
    <row r="228" spans="1:33" ht="15" customHeight="1" x14ac:dyDescent="0.15">
      <c r="A228" s="102">
        <v>42958</v>
      </c>
      <c r="B228" s="20" t="s">
        <v>38</v>
      </c>
      <c r="C228" s="8">
        <v>78959</v>
      </c>
      <c r="D228" s="37">
        <f>39602+10268</f>
        <v>49870</v>
      </c>
      <c r="E228" s="37">
        <v>131315</v>
      </c>
      <c r="F228" s="12">
        <v>6441.7</v>
      </c>
      <c r="G228" s="37">
        <v>4208.3999999999996</v>
      </c>
      <c r="H228" s="24"/>
      <c r="I228" s="36"/>
      <c r="J228" s="8">
        <f t="shared" si="58"/>
        <v>81445</v>
      </c>
      <c r="K228" s="37">
        <v>905</v>
      </c>
      <c r="L228" s="37">
        <v>744</v>
      </c>
      <c r="M228" s="127">
        <f t="shared" si="59"/>
        <v>837</v>
      </c>
      <c r="N228" s="74">
        <f t="shared" si="67"/>
        <v>858059</v>
      </c>
      <c r="O228" s="75">
        <f t="shared" si="67"/>
        <v>518254</v>
      </c>
      <c r="P228" s="75">
        <f t="shared" si="67"/>
        <v>1422415</v>
      </c>
      <c r="Q228" s="76">
        <f t="shared" si="68"/>
        <v>13453258.140000001</v>
      </c>
      <c r="R228" s="76">
        <f t="shared" si="68"/>
        <v>7178690</v>
      </c>
      <c r="S228" s="76">
        <f t="shared" si="68"/>
        <v>21178529.947999999</v>
      </c>
      <c r="T228" s="80">
        <f>N228/'2016'!N228-1</f>
        <v>8.7554817612613745E-2</v>
      </c>
      <c r="U228" s="80">
        <f>O228/'2016'!O228-1</f>
        <v>8.781820929607731E-2</v>
      </c>
      <c r="V228" s="80">
        <f>P228/'2016'!P228-1</f>
        <v>0.10869699078927564</v>
      </c>
      <c r="W228" s="81">
        <f>Q228/'2016'!Q228-1</f>
        <v>8.3946176453834287E-2</v>
      </c>
      <c r="X228" s="81">
        <f>R228/'2016'!R228-1</f>
        <v>0.11431167676456599</v>
      </c>
      <c r="Y228" s="81">
        <f>S228/'2016'!S228-1</f>
        <v>9.0504096946294466E-2</v>
      </c>
      <c r="Z228" s="136"/>
      <c r="AA228" s="136"/>
      <c r="AB228" s="105"/>
      <c r="AC228" s="105"/>
      <c r="AD228" s="37">
        <f t="shared" si="60"/>
        <v>13999839.947999999</v>
      </c>
      <c r="AE228" s="37">
        <f t="shared" si="62"/>
        <v>251569.68</v>
      </c>
      <c r="AF228" s="37">
        <f t="shared" si="63"/>
        <v>171183.82</v>
      </c>
      <c r="AG228" s="37">
        <f t="shared" si="61"/>
        <v>123828.30799999833</v>
      </c>
    </row>
    <row r="229" spans="1:33" ht="15" customHeight="1" x14ac:dyDescent="0.15">
      <c r="A229" s="102">
        <v>42959</v>
      </c>
      <c r="B229" s="20" t="s">
        <v>39</v>
      </c>
      <c r="C229" s="70">
        <v>74181</v>
      </c>
      <c r="D229" s="71">
        <f>37481+10271</f>
        <v>47752</v>
      </c>
      <c r="E229" s="71">
        <v>124679</v>
      </c>
      <c r="F229" s="120">
        <v>5988.7</v>
      </c>
      <c r="G229" s="71">
        <v>4328.3999999999996</v>
      </c>
      <c r="H229" s="24"/>
      <c r="I229" s="24"/>
      <c r="J229" s="70">
        <f t="shared" si="58"/>
        <v>76927</v>
      </c>
      <c r="K229" s="71">
        <v>1453</v>
      </c>
      <c r="L229" s="71">
        <v>743</v>
      </c>
      <c r="M229" s="129">
        <f t="shared" si="59"/>
        <v>550</v>
      </c>
      <c r="N229" s="74">
        <f t="shared" si="67"/>
        <v>932240</v>
      </c>
      <c r="O229" s="75">
        <f t="shared" si="67"/>
        <v>566006</v>
      </c>
      <c r="P229" s="75">
        <f t="shared" si="67"/>
        <v>1547094</v>
      </c>
      <c r="Q229" s="76">
        <f t="shared" si="68"/>
        <v>13527439.140000001</v>
      </c>
      <c r="R229" s="76">
        <f t="shared" si="68"/>
        <v>7226442</v>
      </c>
      <c r="S229" s="76">
        <f t="shared" si="68"/>
        <v>21303208.947999999</v>
      </c>
      <c r="T229" s="80">
        <f>N229/'2016'!N229-1</f>
        <v>7.6223658356941781E-2</v>
      </c>
      <c r="U229" s="80">
        <f>O229/'2016'!O229-1</f>
        <v>9.1666200559714195E-2</v>
      </c>
      <c r="V229" s="80">
        <f>P229/'2016'!P229-1</f>
        <v>0.10163711700498235</v>
      </c>
      <c r="W229" s="81">
        <f>Q229/'2016'!Q229-1</f>
        <v>8.3182560422080831E-2</v>
      </c>
      <c r="X229" s="81">
        <f>R229/'2016'!R229-1</f>
        <v>0.11444749778967034</v>
      </c>
      <c r="Y229" s="81">
        <f>S229/'2016'!S229-1</f>
        <v>9.0109771201625444E-2</v>
      </c>
      <c r="Z229" s="139"/>
      <c r="AA229" s="139"/>
      <c r="AB229" s="105"/>
      <c r="AC229" s="105"/>
      <c r="AD229" s="37">
        <f t="shared" si="60"/>
        <v>14076766.947999999</v>
      </c>
      <c r="AE229" s="71">
        <f t="shared" si="62"/>
        <v>253022.68</v>
      </c>
      <c r="AF229" s="71">
        <f t="shared" si="63"/>
        <v>171926.82</v>
      </c>
      <c r="AG229" s="71">
        <f t="shared" si="61"/>
        <v>124378.30799999833</v>
      </c>
    </row>
    <row r="230" spans="1:33" ht="15" customHeight="1" x14ac:dyDescent="0.15">
      <c r="A230" s="102">
        <v>42960</v>
      </c>
      <c r="B230" s="20" t="s">
        <v>1</v>
      </c>
      <c r="C230" s="8">
        <v>69216</v>
      </c>
      <c r="D230" s="37">
        <f>39041+10261</f>
        <v>49302</v>
      </c>
      <c r="E230" s="37">
        <v>120825</v>
      </c>
      <c r="F230" s="12">
        <v>5886.6</v>
      </c>
      <c r="G230" s="37">
        <v>4058.2</v>
      </c>
      <c r="H230" s="24"/>
      <c r="I230" s="36"/>
      <c r="J230" s="8">
        <f t="shared" si="58"/>
        <v>71523</v>
      </c>
      <c r="K230" s="37">
        <v>809</v>
      </c>
      <c r="L230" s="37">
        <v>744</v>
      </c>
      <c r="M230" s="127">
        <f t="shared" si="59"/>
        <v>754</v>
      </c>
      <c r="N230" s="74">
        <f t="shared" si="67"/>
        <v>1001456</v>
      </c>
      <c r="O230" s="75">
        <f t="shared" si="67"/>
        <v>615308</v>
      </c>
      <c r="P230" s="75">
        <f t="shared" si="67"/>
        <v>1667919</v>
      </c>
      <c r="Q230" s="76">
        <f t="shared" si="68"/>
        <v>13596655.140000001</v>
      </c>
      <c r="R230" s="76">
        <f t="shared" si="68"/>
        <v>7275744</v>
      </c>
      <c r="S230" s="76">
        <f t="shared" si="68"/>
        <v>21424033.947999999</v>
      </c>
      <c r="T230" s="80">
        <f>N230/'2016'!N230-1</f>
        <v>6.2769285626355753E-2</v>
      </c>
      <c r="U230" s="80">
        <f>O230/'2016'!O230-1</f>
        <v>9.8587726972450884E-2</v>
      </c>
      <c r="V230" s="80">
        <f>P230/'2016'!P230-1</f>
        <v>9.4213181185704542E-2</v>
      </c>
      <c r="W230" s="81">
        <f>Q230/'2016'!Q230-1</f>
        <v>8.2131385718034355E-2</v>
      </c>
      <c r="X230" s="81">
        <f>R230/'2016'!R230-1</f>
        <v>0.11489628004434005</v>
      </c>
      <c r="Y230" s="81">
        <f>S230/'2016'!S230-1</f>
        <v>8.9604555008539144E-2</v>
      </c>
      <c r="Z230" s="136"/>
      <c r="AA230" s="136"/>
      <c r="AB230" s="105"/>
      <c r="AC230" s="105"/>
      <c r="AD230" s="37">
        <f t="shared" si="60"/>
        <v>14148289.947999999</v>
      </c>
      <c r="AE230" s="37">
        <f t="shared" si="62"/>
        <v>253831.67999999999</v>
      </c>
      <c r="AF230" s="37">
        <f t="shared" si="63"/>
        <v>172670.82</v>
      </c>
      <c r="AG230" s="37">
        <f t="shared" si="61"/>
        <v>125132.30799999833</v>
      </c>
    </row>
    <row r="231" spans="1:33" ht="15" customHeight="1" x14ac:dyDescent="0.15">
      <c r="A231" s="102">
        <v>42961</v>
      </c>
      <c r="B231" s="20" t="s">
        <v>34</v>
      </c>
      <c r="C231" s="8">
        <v>77110</v>
      </c>
      <c r="D231" s="37">
        <f>39048+10247</f>
        <v>49295</v>
      </c>
      <c r="E231" s="37">
        <v>129104</v>
      </c>
      <c r="F231" s="12">
        <v>6469.4</v>
      </c>
      <c r="G231" s="37">
        <v>4049.8</v>
      </c>
      <c r="H231" s="24"/>
      <c r="I231" s="36"/>
      <c r="J231" s="8">
        <f t="shared" si="58"/>
        <v>79809</v>
      </c>
      <c r="K231" s="37">
        <v>1197</v>
      </c>
      <c r="L231" s="37">
        <v>743</v>
      </c>
      <c r="M231" s="127">
        <f t="shared" si="59"/>
        <v>759</v>
      </c>
      <c r="N231" s="74">
        <f t="shared" si="67"/>
        <v>1078566</v>
      </c>
      <c r="O231" s="75">
        <f t="shared" si="67"/>
        <v>664603</v>
      </c>
      <c r="P231" s="75">
        <f t="shared" si="67"/>
        <v>1797023</v>
      </c>
      <c r="Q231" s="76">
        <f t="shared" si="68"/>
        <v>13673765.140000001</v>
      </c>
      <c r="R231" s="76">
        <f t="shared" si="68"/>
        <v>7325039</v>
      </c>
      <c r="S231" s="76">
        <f t="shared" si="68"/>
        <v>21553137.947999999</v>
      </c>
      <c r="T231" s="80">
        <f>N231/'2016'!N231-1</f>
        <v>6.5465041845468086E-2</v>
      </c>
      <c r="U231" s="80">
        <f>O231/'2016'!O231-1</f>
        <v>0.10123312367027437</v>
      </c>
      <c r="V231" s="80">
        <f>P231/'2016'!P231-1</f>
        <v>9.6006367367849732E-2</v>
      </c>
      <c r="W231" s="81">
        <f>Q231/'2016'!Q231-1</f>
        <v>8.2240117226489273E-2</v>
      </c>
      <c r="X231" s="81">
        <f>R231/'2016'!R231-1</f>
        <v>0.11503151907127585</v>
      </c>
      <c r="Y231" s="81">
        <f>S231/'2016'!S231-1</f>
        <v>8.9780082917146231E-2</v>
      </c>
      <c r="Z231" s="136"/>
      <c r="AA231" s="136"/>
      <c r="AB231" s="105"/>
      <c r="AC231" s="105"/>
      <c r="AD231" s="37">
        <f t="shared" si="60"/>
        <v>14228098.947999999</v>
      </c>
      <c r="AE231" s="37">
        <f t="shared" si="62"/>
        <v>255028.68</v>
      </c>
      <c r="AF231" s="37">
        <f t="shared" si="63"/>
        <v>173413.82</v>
      </c>
      <c r="AG231" s="37">
        <f t="shared" si="61"/>
        <v>125891.30799999833</v>
      </c>
    </row>
    <row r="232" spans="1:33" ht="15" customHeight="1" x14ac:dyDescent="0.15">
      <c r="A232" s="102">
        <v>42962</v>
      </c>
      <c r="B232" s="20" t="s">
        <v>35</v>
      </c>
      <c r="C232" s="8">
        <v>78711</v>
      </c>
      <c r="D232" s="37">
        <f>37732+10140</f>
        <v>47872</v>
      </c>
      <c r="E232" s="37">
        <v>128497</v>
      </c>
      <c r="F232" s="12">
        <v>6262.3</v>
      </c>
      <c r="G232" s="37">
        <v>4191.6000000000004</v>
      </c>
      <c r="H232" s="24"/>
      <c r="I232" s="36"/>
      <c r="J232" s="8">
        <f t="shared" si="58"/>
        <v>80625</v>
      </c>
      <c r="K232" s="37">
        <v>315</v>
      </c>
      <c r="L232" s="37">
        <v>740</v>
      </c>
      <c r="M232" s="127">
        <f t="shared" si="59"/>
        <v>859</v>
      </c>
      <c r="N232" s="74">
        <f t="shared" si="67"/>
        <v>1157277</v>
      </c>
      <c r="O232" s="75">
        <f t="shared" si="67"/>
        <v>712475</v>
      </c>
      <c r="P232" s="75">
        <f t="shared" si="67"/>
        <v>1925520</v>
      </c>
      <c r="Q232" s="76">
        <f t="shared" si="68"/>
        <v>13752476.140000001</v>
      </c>
      <c r="R232" s="76">
        <f t="shared" si="68"/>
        <v>7372911</v>
      </c>
      <c r="S232" s="76">
        <f t="shared" si="68"/>
        <v>21681634.947999999</v>
      </c>
      <c r="T232" s="80">
        <f>N232/'2016'!N232-1</f>
        <v>6.3487993824607791E-2</v>
      </c>
      <c r="U232" s="80">
        <f>O232/'2016'!O232-1</f>
        <v>9.7734965895837078E-2</v>
      </c>
      <c r="V232" s="80">
        <f>P232/'2016'!P232-1</f>
        <v>9.2200504488724411E-2</v>
      </c>
      <c r="W232" s="81">
        <f>Q232/'2016'!Q232-1</f>
        <v>8.1970693550515117E-2</v>
      </c>
      <c r="X232" s="81">
        <f>R232/'2016'!R232-1</f>
        <v>0.11459330610082796</v>
      </c>
      <c r="Y232" s="81">
        <f>S232/'2016'!S232-1</f>
        <v>8.9481526166955261E-2</v>
      </c>
      <c r="Z232" s="136"/>
      <c r="AA232" s="136"/>
      <c r="AB232" s="105"/>
      <c r="AC232" s="105"/>
      <c r="AD232" s="37">
        <f t="shared" si="60"/>
        <v>14308723.947999999</v>
      </c>
      <c r="AE232" s="37">
        <f t="shared" si="62"/>
        <v>255343.68</v>
      </c>
      <c r="AF232" s="37">
        <f t="shared" si="63"/>
        <v>174153.82</v>
      </c>
      <c r="AG232" s="37">
        <f t="shared" si="61"/>
        <v>126750.30799999833</v>
      </c>
    </row>
    <row r="233" spans="1:33" ht="15" customHeight="1" x14ac:dyDescent="0.15">
      <c r="A233" s="102">
        <v>42963</v>
      </c>
      <c r="B233" s="20" t="s">
        <v>36</v>
      </c>
      <c r="C233" s="8">
        <v>74121</v>
      </c>
      <c r="D233" s="37">
        <f>37652+9932</f>
        <v>47584</v>
      </c>
      <c r="E233" s="37">
        <v>123977</v>
      </c>
      <c r="F233" s="12">
        <v>6277.8</v>
      </c>
      <c r="G233" s="37">
        <v>4079.6</v>
      </c>
      <c r="H233" s="24"/>
      <c r="I233" s="36"/>
      <c r="J233" s="8">
        <f t="shared" si="58"/>
        <v>76393</v>
      </c>
      <c r="K233" s="37">
        <v>766</v>
      </c>
      <c r="L233" s="37">
        <v>741</v>
      </c>
      <c r="M233" s="127">
        <f t="shared" si="59"/>
        <v>765</v>
      </c>
      <c r="N233" s="74">
        <f t="shared" si="67"/>
        <v>1231398</v>
      </c>
      <c r="O233" s="75">
        <f t="shared" si="67"/>
        <v>760059</v>
      </c>
      <c r="P233" s="75">
        <f t="shared" si="67"/>
        <v>2049497</v>
      </c>
      <c r="Q233" s="76">
        <f t="shared" si="68"/>
        <v>13826597.140000001</v>
      </c>
      <c r="R233" s="76">
        <f t="shared" si="68"/>
        <v>7420495</v>
      </c>
      <c r="S233" s="76">
        <f t="shared" si="68"/>
        <v>21805611.947999999</v>
      </c>
      <c r="T233" s="80">
        <f>N233/'2016'!N233-1</f>
        <v>5.6586774710862597E-2</v>
      </c>
      <c r="U233" s="80">
        <f>O233/'2016'!O233-1</f>
        <v>9.3503081712868363E-2</v>
      </c>
      <c r="V233" s="80">
        <f>P233/'2016'!P233-1</f>
        <v>8.5645619748555779E-2</v>
      </c>
      <c r="W233" s="81">
        <f>Q233/'2016'!Q233-1</f>
        <v>8.1230070129122645E-2</v>
      </c>
      <c r="X233" s="81">
        <f>R233/'2016'!R233-1</f>
        <v>0.11403521677799278</v>
      </c>
      <c r="Y233" s="81">
        <f>S233/'2016'!S233-1</f>
        <v>8.8880550720941143E-2</v>
      </c>
      <c r="Z233" s="136">
        <f>(Z234-Z227)/7*6+Z227</f>
        <v>106.17</v>
      </c>
      <c r="AA233" s="136">
        <f>Q233/10000-Z233</f>
        <v>1276.489714</v>
      </c>
      <c r="AB233" s="105"/>
      <c r="AC233" s="105"/>
      <c r="AD233" s="37">
        <f t="shared" si="60"/>
        <v>14385116.947999999</v>
      </c>
      <c r="AE233" s="37">
        <f t="shared" si="62"/>
        <v>256109.68</v>
      </c>
      <c r="AF233" s="37">
        <f t="shared" si="63"/>
        <v>174894.82</v>
      </c>
      <c r="AG233" s="37">
        <f t="shared" si="61"/>
        <v>127515.30799999833</v>
      </c>
    </row>
    <row r="234" spans="1:33" ht="15" customHeight="1" x14ac:dyDescent="0.15">
      <c r="A234" s="102">
        <v>42964</v>
      </c>
      <c r="B234" s="14" t="s">
        <v>37</v>
      </c>
      <c r="C234" s="32">
        <v>72219</v>
      </c>
      <c r="D234" s="33">
        <f>38039+10101</f>
        <v>48140</v>
      </c>
      <c r="E234" s="33">
        <v>122878</v>
      </c>
      <c r="F234" s="119">
        <v>6181.2</v>
      </c>
      <c r="G234" s="33">
        <v>3946.2</v>
      </c>
      <c r="H234" s="19"/>
      <c r="I234" s="19"/>
      <c r="J234" s="32">
        <f t="shared" si="58"/>
        <v>74738</v>
      </c>
      <c r="K234" s="33">
        <v>953</v>
      </c>
      <c r="L234" s="33">
        <v>739</v>
      </c>
      <c r="M234" s="128">
        <f t="shared" si="59"/>
        <v>827</v>
      </c>
      <c r="N234" s="77">
        <f t="shared" si="67"/>
        <v>1303617</v>
      </c>
      <c r="O234" s="78">
        <f t="shared" si="67"/>
        <v>808199</v>
      </c>
      <c r="P234" s="78">
        <f t="shared" si="67"/>
        <v>2172375</v>
      </c>
      <c r="Q234" s="77">
        <f t="shared" si="68"/>
        <v>13898816.140000001</v>
      </c>
      <c r="R234" s="77">
        <f t="shared" si="68"/>
        <v>7468635</v>
      </c>
      <c r="S234" s="77">
        <f t="shared" si="68"/>
        <v>21928489.947999999</v>
      </c>
      <c r="T234" s="82">
        <f>N234/'2016'!N234-1</f>
        <v>4.6513700191703089E-2</v>
      </c>
      <c r="U234" s="82">
        <f>O234/'2016'!O234-1</f>
        <v>9.9819418191814169E-2</v>
      </c>
      <c r="V234" s="82">
        <f>P234/'2016'!P234-1</f>
        <v>7.8912393729084762E-2</v>
      </c>
      <c r="W234" s="82">
        <f>Q234/'2016'!Q234-1</f>
        <v>8.0101319024838746E-2</v>
      </c>
      <c r="X234" s="82">
        <f>R234/'2016'!R234-1</f>
        <v>0.11460602221112892</v>
      </c>
      <c r="Y234" s="82">
        <f>S234/'2016'!S234-1</f>
        <v>8.8187606044993982E-2</v>
      </c>
      <c r="Z234" s="138">
        <v>106.86</v>
      </c>
      <c r="AA234" s="138">
        <f>Q234/10000-Z234</f>
        <v>1283.0216140000002</v>
      </c>
      <c r="AB234" s="33">
        <v>4258.08</v>
      </c>
      <c r="AC234" s="33">
        <f>AA234*10000/AB234</f>
        <v>3013.1458638635258</v>
      </c>
      <c r="AD234" s="33">
        <f t="shared" si="60"/>
        <v>14459854.947999999</v>
      </c>
      <c r="AE234" s="33">
        <f t="shared" si="62"/>
        <v>257062.68</v>
      </c>
      <c r="AF234" s="33">
        <f t="shared" si="63"/>
        <v>175633.82</v>
      </c>
      <c r="AG234" s="33">
        <f t="shared" si="61"/>
        <v>128342.30799999833</v>
      </c>
    </row>
    <row r="235" spans="1:33" ht="15" customHeight="1" x14ac:dyDescent="0.15">
      <c r="A235" s="102">
        <v>42965</v>
      </c>
      <c r="B235" s="20" t="s">
        <v>38</v>
      </c>
      <c r="C235" s="8">
        <v>71209</v>
      </c>
      <c r="D235" s="37">
        <f>37922+10018</f>
        <v>47940</v>
      </c>
      <c r="E235" s="37">
        <v>121425</v>
      </c>
      <c r="F235" s="12">
        <v>6012.7</v>
      </c>
      <c r="G235" s="37">
        <v>3836.4</v>
      </c>
      <c r="H235" s="24"/>
      <c r="I235" s="36"/>
      <c r="J235" s="8">
        <f t="shared" si="58"/>
        <v>73485</v>
      </c>
      <c r="K235" s="37">
        <v>657</v>
      </c>
      <c r="L235" s="37">
        <v>743</v>
      </c>
      <c r="M235" s="127">
        <f t="shared" si="59"/>
        <v>876</v>
      </c>
      <c r="N235" s="74">
        <f t="shared" ref="N235:P248" si="69">N234+C235</f>
        <v>1374826</v>
      </c>
      <c r="O235" s="75">
        <f t="shared" si="69"/>
        <v>856139</v>
      </c>
      <c r="P235" s="75">
        <f t="shared" si="69"/>
        <v>2293800</v>
      </c>
      <c r="Q235" s="76">
        <f t="shared" si="68"/>
        <v>13970025.140000001</v>
      </c>
      <c r="R235" s="76">
        <f t="shared" si="68"/>
        <v>7516575</v>
      </c>
      <c r="S235" s="76">
        <f t="shared" si="68"/>
        <v>22049914.947999999</v>
      </c>
      <c r="T235" s="80">
        <f>N235/'2016'!N235-1</f>
        <v>3.5925156802406377E-2</v>
      </c>
      <c r="U235" s="80">
        <f>O235/'2016'!O235-1</f>
        <v>0.10036501510185714</v>
      </c>
      <c r="V235" s="80">
        <f>P235/'2016'!P235-1</f>
        <v>7.1833097204206275E-2</v>
      </c>
      <c r="W235" s="81">
        <f>Q235/'2016'!Q235-1</f>
        <v>7.8804823862841822E-2</v>
      </c>
      <c r="X235" s="81">
        <f>R235/'2016'!R235-1</f>
        <v>0.11457424178123699</v>
      </c>
      <c r="Y235" s="81">
        <f>S235/'2016'!S235-1</f>
        <v>8.7382579032426966E-2</v>
      </c>
      <c r="Z235" s="136"/>
      <c r="AA235" s="136"/>
      <c r="AB235" s="105"/>
      <c r="AC235" s="105"/>
      <c r="AD235" s="37">
        <f t="shared" si="60"/>
        <v>14533339.947999999</v>
      </c>
      <c r="AE235" s="37">
        <f t="shared" si="62"/>
        <v>257719.67999999999</v>
      </c>
      <c r="AF235" s="37">
        <f t="shared" si="63"/>
        <v>176376.82</v>
      </c>
      <c r="AG235" s="37">
        <f t="shared" si="61"/>
        <v>129218.30799999833</v>
      </c>
    </row>
    <row r="236" spans="1:33" ht="15" customHeight="1" x14ac:dyDescent="0.15">
      <c r="A236" s="102">
        <v>42966</v>
      </c>
      <c r="B236" s="20" t="s">
        <v>39</v>
      </c>
      <c r="C236" s="70">
        <v>75105</v>
      </c>
      <c r="D236" s="71">
        <f>37817+10015</f>
        <v>47832</v>
      </c>
      <c r="E236" s="71">
        <v>125044</v>
      </c>
      <c r="F236" s="120">
        <v>6200.5</v>
      </c>
      <c r="G236" s="71">
        <v>4025.4</v>
      </c>
      <c r="H236" s="24"/>
      <c r="I236" s="24"/>
      <c r="J236" s="70">
        <f t="shared" si="58"/>
        <v>77212</v>
      </c>
      <c r="K236" s="71">
        <v>497</v>
      </c>
      <c r="L236" s="71">
        <v>744</v>
      </c>
      <c r="M236" s="129">
        <f t="shared" si="59"/>
        <v>866</v>
      </c>
      <c r="N236" s="74">
        <f t="shared" si="69"/>
        <v>1449931</v>
      </c>
      <c r="O236" s="75">
        <f t="shared" si="69"/>
        <v>903971</v>
      </c>
      <c r="P236" s="75">
        <f t="shared" si="69"/>
        <v>2418844</v>
      </c>
      <c r="Q236" s="76">
        <f t="shared" si="68"/>
        <v>14045130.140000001</v>
      </c>
      <c r="R236" s="76">
        <f t="shared" si="68"/>
        <v>7564407</v>
      </c>
      <c r="S236" s="76">
        <f t="shared" si="68"/>
        <v>22174958.947999999</v>
      </c>
      <c r="T236" s="80">
        <f>N236/'2016'!N236-1</f>
        <v>2.6918587686022732E-2</v>
      </c>
      <c r="U236" s="80">
        <f>O236/'2016'!O236-1</f>
        <v>0.10122588402403765</v>
      </c>
      <c r="V236" s="80">
        <f>P236/'2016'!P236-1</f>
        <v>6.5577085311136374E-2</v>
      </c>
      <c r="W236" s="81">
        <f>Q236/'2016'!Q236-1</f>
        <v>7.7550307783723182E-2</v>
      </c>
      <c r="X236" s="81">
        <f>R236/'2016'!R236-1</f>
        <v>0.11458870073562721</v>
      </c>
      <c r="Y236" s="81">
        <f>S236/'2016'!S236-1</f>
        <v>8.6587732730385225E-2</v>
      </c>
      <c r="Z236" s="139"/>
      <c r="AA236" s="139"/>
      <c r="AB236" s="105"/>
      <c r="AC236" s="105"/>
      <c r="AD236" s="37">
        <f t="shared" si="60"/>
        <v>14610551.947999999</v>
      </c>
      <c r="AE236" s="71">
        <f t="shared" si="62"/>
        <v>258216.68</v>
      </c>
      <c r="AF236" s="71">
        <f t="shared" si="63"/>
        <v>177120.82</v>
      </c>
      <c r="AG236" s="71">
        <f t="shared" si="61"/>
        <v>130084.30799999833</v>
      </c>
    </row>
    <row r="237" spans="1:33" ht="15" customHeight="1" x14ac:dyDescent="0.15">
      <c r="A237" s="102">
        <v>42967</v>
      </c>
      <c r="B237" s="20" t="s">
        <v>1</v>
      </c>
      <c r="C237" s="8">
        <v>65754</v>
      </c>
      <c r="D237" s="37">
        <f>36937+10041</f>
        <v>46978</v>
      </c>
      <c r="E237" s="37">
        <v>114471</v>
      </c>
      <c r="F237" s="12">
        <v>5391.6</v>
      </c>
      <c r="G237" s="37">
        <v>4061.2</v>
      </c>
      <c r="H237" s="24"/>
      <c r="I237" s="36"/>
      <c r="J237" s="8">
        <f t="shared" si="58"/>
        <v>67493</v>
      </c>
      <c r="K237" s="37">
        <v>384</v>
      </c>
      <c r="L237" s="37">
        <v>743</v>
      </c>
      <c r="M237" s="127">
        <f t="shared" si="59"/>
        <v>612</v>
      </c>
      <c r="N237" s="74">
        <f t="shared" si="69"/>
        <v>1515685</v>
      </c>
      <c r="O237" s="75">
        <f t="shared" si="69"/>
        <v>950949</v>
      </c>
      <c r="P237" s="75">
        <f t="shared" si="69"/>
        <v>2533315</v>
      </c>
      <c r="Q237" s="76">
        <f t="shared" si="68"/>
        <v>14110884.140000001</v>
      </c>
      <c r="R237" s="76">
        <f t="shared" si="68"/>
        <v>7611385</v>
      </c>
      <c r="S237" s="76">
        <f t="shared" si="68"/>
        <v>22289429.947999999</v>
      </c>
      <c r="T237" s="80">
        <f>N237/'2016'!N237-1</f>
        <v>1.5336373276634063E-2</v>
      </c>
      <c r="U237" s="80">
        <f>O237/'2016'!O237-1</f>
        <v>0.10055389415598848</v>
      </c>
      <c r="V237" s="80">
        <f>P237/'2016'!P237-1</f>
        <v>5.7447356480745171E-2</v>
      </c>
      <c r="W237" s="81">
        <f>Q237/'2016'!Q237-1</f>
        <v>7.5919811101363255E-2</v>
      </c>
      <c r="X237" s="81">
        <f>R237/'2016'!R237-1</f>
        <v>0.11441919017404611</v>
      </c>
      <c r="Y237" s="81">
        <f>S237/'2016'!S237-1</f>
        <v>8.551059892237034E-2</v>
      </c>
      <c r="Z237" s="136"/>
      <c r="AA237" s="136"/>
      <c r="AB237" s="105"/>
      <c r="AC237" s="105"/>
      <c r="AD237" s="37">
        <f t="shared" si="60"/>
        <v>14678044.947999999</v>
      </c>
      <c r="AE237" s="37">
        <f t="shared" si="62"/>
        <v>258600.68</v>
      </c>
      <c r="AF237" s="37">
        <f t="shared" si="63"/>
        <v>177863.82</v>
      </c>
      <c r="AG237" s="37">
        <f t="shared" si="61"/>
        <v>130696.30799999833</v>
      </c>
    </row>
    <row r="238" spans="1:33" ht="15" customHeight="1" x14ac:dyDescent="0.15">
      <c r="A238" s="102">
        <v>42968</v>
      </c>
      <c r="B238" s="20" t="s">
        <v>34</v>
      </c>
      <c r="C238" s="8">
        <v>69880</v>
      </c>
      <c r="D238" s="37">
        <f>37954+10063</f>
        <v>48017</v>
      </c>
      <c r="E238" s="37">
        <v>120102</v>
      </c>
      <c r="F238" s="12">
        <v>5967.1</v>
      </c>
      <c r="G238" s="37">
        <v>3714.2</v>
      </c>
      <c r="H238" s="24"/>
      <c r="I238" s="36"/>
      <c r="J238" s="8">
        <f t="shared" si="58"/>
        <v>72085</v>
      </c>
      <c r="K238" s="37">
        <v>623</v>
      </c>
      <c r="L238" s="37">
        <v>745</v>
      </c>
      <c r="M238" s="127">
        <f t="shared" si="59"/>
        <v>837</v>
      </c>
      <c r="N238" s="74">
        <f t="shared" si="69"/>
        <v>1585565</v>
      </c>
      <c r="O238" s="75">
        <f t="shared" si="69"/>
        <v>998966</v>
      </c>
      <c r="P238" s="75">
        <f t="shared" si="69"/>
        <v>2653417</v>
      </c>
      <c r="Q238" s="76">
        <f t="shared" si="68"/>
        <v>14180764.140000001</v>
      </c>
      <c r="R238" s="76">
        <f t="shared" si="68"/>
        <v>7659402</v>
      </c>
      <c r="S238" s="76">
        <f t="shared" si="68"/>
        <v>22409531.947999999</v>
      </c>
      <c r="T238" s="80">
        <f>N238/'2016'!N238-1</f>
        <v>1.0563476782212256E-2</v>
      </c>
      <c r="U238" s="80">
        <f>O238/'2016'!O238-1</f>
        <v>0.10577869283433228</v>
      </c>
      <c r="V238" s="80">
        <f>P238/'2016'!P238-1</f>
        <v>5.6170861828150231E-2</v>
      </c>
      <c r="W238" s="81">
        <f>Q238/'2016'!Q238-1</f>
        <v>7.5002159743384089E-2</v>
      </c>
      <c r="X238" s="81">
        <f>R238/'2016'!R238-1</f>
        <v>0.11502691777402863</v>
      </c>
      <c r="Y238" s="81">
        <f>S238/'2016'!S238-1</f>
        <v>8.5196830008090751E-2</v>
      </c>
      <c r="Z238" s="136"/>
      <c r="AA238" s="136"/>
      <c r="AB238" s="105"/>
      <c r="AC238" s="105"/>
      <c r="AD238" s="37">
        <f t="shared" si="60"/>
        <v>14750129.947999999</v>
      </c>
      <c r="AE238" s="37">
        <f t="shared" si="62"/>
        <v>259223.67999999999</v>
      </c>
      <c r="AF238" s="37">
        <f t="shared" si="63"/>
        <v>178608.82</v>
      </c>
      <c r="AG238" s="37">
        <f t="shared" si="61"/>
        <v>131533.30799999833</v>
      </c>
    </row>
    <row r="239" spans="1:33" ht="15" customHeight="1" x14ac:dyDescent="0.15">
      <c r="A239" s="102">
        <v>42969</v>
      </c>
      <c r="B239" s="20" t="s">
        <v>35</v>
      </c>
      <c r="C239" s="8">
        <v>71191</v>
      </c>
      <c r="D239" s="37">
        <f>38065+9971</f>
        <v>48036</v>
      </c>
      <c r="E239" s="37">
        <v>122374</v>
      </c>
      <c r="F239" s="12">
        <v>5952</v>
      </c>
      <c r="G239" s="37">
        <v>3976</v>
      </c>
      <c r="H239" s="24"/>
      <c r="I239" s="36"/>
      <c r="J239" s="8">
        <f t="shared" si="58"/>
        <v>74338</v>
      </c>
      <c r="K239" s="37">
        <v>1489</v>
      </c>
      <c r="L239" s="37">
        <v>741</v>
      </c>
      <c r="M239" s="127">
        <f t="shared" si="59"/>
        <v>917</v>
      </c>
      <c r="N239" s="74">
        <f t="shared" si="69"/>
        <v>1656756</v>
      </c>
      <c r="O239" s="75">
        <f t="shared" si="69"/>
        <v>1047002</v>
      </c>
      <c r="P239" s="75">
        <f t="shared" si="69"/>
        <v>2775791</v>
      </c>
      <c r="Q239" s="76">
        <f t="shared" si="68"/>
        <v>14251955.140000001</v>
      </c>
      <c r="R239" s="76">
        <f t="shared" si="68"/>
        <v>7707438</v>
      </c>
      <c r="S239" s="76">
        <f t="shared" si="68"/>
        <v>22531905.947999999</v>
      </c>
      <c r="T239" s="80">
        <f>N239/'2016'!N239-1</f>
        <v>4.9868519625000385E-3</v>
      </c>
      <c r="U239" s="80">
        <f>O239/'2016'!O239-1</f>
        <v>0.1095554050717289</v>
      </c>
      <c r="V239" s="80">
        <f>P239/'2016'!P239-1</f>
        <v>5.4005122334174427E-2</v>
      </c>
      <c r="W239" s="81">
        <f>Q239/'2016'!Q239-1</f>
        <v>7.3923186671374763E-2</v>
      </c>
      <c r="X239" s="81">
        <f>R239/'2016'!R239-1</f>
        <v>0.11548887027675492</v>
      </c>
      <c r="Y239" s="81">
        <f>S239/'2016'!S239-1</f>
        <v>8.4752784381422641E-2</v>
      </c>
      <c r="Z239" s="136"/>
      <c r="AA239" s="136"/>
      <c r="AB239" s="105"/>
      <c r="AC239" s="105"/>
      <c r="AD239" s="37">
        <f t="shared" si="60"/>
        <v>14824467.947999999</v>
      </c>
      <c r="AE239" s="37">
        <f t="shared" si="62"/>
        <v>260712.68</v>
      </c>
      <c r="AF239" s="37">
        <f t="shared" si="63"/>
        <v>179349.82</v>
      </c>
      <c r="AG239" s="37">
        <f t="shared" si="61"/>
        <v>132450.30799999833</v>
      </c>
    </row>
    <row r="240" spans="1:33" ht="15" customHeight="1" x14ac:dyDescent="0.15">
      <c r="A240" s="102">
        <v>42970</v>
      </c>
      <c r="B240" s="20" t="s">
        <v>36</v>
      </c>
      <c r="C240" s="8">
        <v>69816</v>
      </c>
      <c r="D240" s="37">
        <f>39046+10049</f>
        <v>49095</v>
      </c>
      <c r="E240" s="37">
        <v>121654</v>
      </c>
      <c r="F240" s="12">
        <v>5850</v>
      </c>
      <c r="G240" s="37">
        <v>3959.5</v>
      </c>
      <c r="H240" s="24"/>
      <c r="I240" s="36"/>
      <c r="J240" s="8">
        <f t="shared" si="58"/>
        <v>72559</v>
      </c>
      <c r="K240" s="37">
        <v>1032</v>
      </c>
      <c r="L240" s="37">
        <v>743</v>
      </c>
      <c r="M240" s="127">
        <f t="shared" si="59"/>
        <v>968</v>
      </c>
      <c r="N240" s="74">
        <f t="shared" si="69"/>
        <v>1726572</v>
      </c>
      <c r="O240" s="75">
        <f t="shared" si="69"/>
        <v>1096097</v>
      </c>
      <c r="P240" s="75">
        <f t="shared" si="69"/>
        <v>2897445</v>
      </c>
      <c r="Q240" s="76">
        <f t="shared" si="68"/>
        <v>14321771.140000001</v>
      </c>
      <c r="R240" s="76">
        <f t="shared" si="68"/>
        <v>7756533</v>
      </c>
      <c r="S240" s="76">
        <f t="shared" si="68"/>
        <v>22653559.947999999</v>
      </c>
      <c r="T240" s="80">
        <f>N240/'2016'!N240-1</f>
        <v>5.6502184461382221E-4</v>
      </c>
      <c r="U240" s="80">
        <f>O240/'2016'!O240-1</f>
        <v>0.11319116350681058</v>
      </c>
      <c r="V240" s="80">
        <f>P240/'2016'!P240-1</f>
        <v>5.2444896789428208E-2</v>
      </c>
      <c r="W240" s="81">
        <f>Q240/'2016'!Q240-1</f>
        <v>7.2953552250721199E-2</v>
      </c>
      <c r="X240" s="81">
        <f>R240/'2016'!R240-1</f>
        <v>0.11596891270430931</v>
      </c>
      <c r="Y240" s="81">
        <f>S240/'2016'!S240-1</f>
        <v>8.4371297947588797E-2</v>
      </c>
      <c r="Z240" s="136">
        <f>(Z241-Z234)/7*6+Z234</f>
        <v>110.60571428571428</v>
      </c>
      <c r="AA240" s="136">
        <f>Q240/10000-Z240</f>
        <v>1321.5713997142857</v>
      </c>
      <c r="AB240" s="105"/>
      <c r="AC240" s="105"/>
      <c r="AD240" s="37">
        <f t="shared" si="60"/>
        <v>14897026.947999999</v>
      </c>
      <c r="AE240" s="37">
        <f t="shared" si="62"/>
        <v>261744.68</v>
      </c>
      <c r="AF240" s="37">
        <f t="shared" si="63"/>
        <v>180092.82</v>
      </c>
      <c r="AG240" s="37">
        <f t="shared" si="61"/>
        <v>133418.30799999833</v>
      </c>
    </row>
    <row r="241" spans="1:33" ht="15" customHeight="1" x14ac:dyDescent="0.15">
      <c r="A241" s="102">
        <v>42971</v>
      </c>
      <c r="B241" s="14" t="s">
        <v>37</v>
      </c>
      <c r="C241" s="32">
        <v>73819</v>
      </c>
      <c r="D241" s="33">
        <f>37780+10071</f>
        <v>47851</v>
      </c>
      <c r="E241" s="33">
        <v>124638</v>
      </c>
      <c r="F241" s="119">
        <v>6057.8</v>
      </c>
      <c r="G241" s="33">
        <v>3957</v>
      </c>
      <c r="H241" s="19"/>
      <c r="I241" s="19"/>
      <c r="J241" s="32">
        <f t="shared" si="58"/>
        <v>76787</v>
      </c>
      <c r="K241" s="33">
        <v>1124</v>
      </c>
      <c r="L241" s="33">
        <v>744</v>
      </c>
      <c r="M241" s="128">
        <f t="shared" si="59"/>
        <v>1100</v>
      </c>
      <c r="N241" s="77">
        <f t="shared" si="69"/>
        <v>1800391</v>
      </c>
      <c r="O241" s="78">
        <f t="shared" si="69"/>
        <v>1143948</v>
      </c>
      <c r="P241" s="78">
        <f t="shared" si="69"/>
        <v>3022083</v>
      </c>
      <c r="Q241" s="77">
        <f t="shared" si="68"/>
        <v>14395590.140000001</v>
      </c>
      <c r="R241" s="77">
        <f t="shared" si="68"/>
        <v>7804384</v>
      </c>
      <c r="S241" s="77">
        <f t="shared" si="68"/>
        <v>22778197.947999999</v>
      </c>
      <c r="T241" s="82">
        <f>N241/'2016'!N241-1</f>
        <v>2.5442387942680167E-3</v>
      </c>
      <c r="U241" s="82">
        <f>O241/'2016'!O241-1</f>
        <v>0.11618730552430501</v>
      </c>
      <c r="V241" s="82">
        <f>P241/'2016'!P241-1</f>
        <v>5.4828640428844722E-2</v>
      </c>
      <c r="W241" s="82">
        <f>Q241/'2016'!Q241-1</f>
        <v>7.2839590487943529E-2</v>
      </c>
      <c r="X241" s="82">
        <f>R241/'2016'!R241-1</f>
        <v>0.11639217654149747</v>
      </c>
      <c r="Y241" s="82">
        <f>S241/'2016'!S241-1</f>
        <v>8.4526307284282343E-2</v>
      </c>
      <c r="Z241" s="138">
        <v>111.23</v>
      </c>
      <c r="AA241" s="138">
        <f>Q241/10000-Z241</f>
        <v>1328.3290140000001</v>
      </c>
      <c r="AB241" s="33">
        <v>4258.08</v>
      </c>
      <c r="AC241" s="33">
        <f>AA241*10000/AB241</f>
        <v>3119.5492193664754</v>
      </c>
      <c r="AD241" s="33">
        <f t="shared" si="60"/>
        <v>14973813.947999999</v>
      </c>
      <c r="AE241" s="33">
        <f t="shared" si="62"/>
        <v>262868.68</v>
      </c>
      <c r="AF241" s="33">
        <f t="shared" si="63"/>
        <v>180836.82</v>
      </c>
      <c r="AG241" s="33">
        <f t="shared" si="61"/>
        <v>134518.30799999833</v>
      </c>
    </row>
    <row r="242" spans="1:33" ht="15" customHeight="1" x14ac:dyDescent="0.15">
      <c r="A242" s="102">
        <v>42972</v>
      </c>
      <c r="B242" s="20" t="s">
        <v>38</v>
      </c>
      <c r="C242" s="8">
        <v>76120</v>
      </c>
      <c r="D242" s="37">
        <f>36244+10101</f>
        <v>46345</v>
      </c>
      <c r="E242" s="37">
        <v>125250</v>
      </c>
      <c r="F242" s="12">
        <v>6116.3</v>
      </c>
      <c r="G242" s="37">
        <v>4122.8999999999996</v>
      </c>
      <c r="H242" s="24"/>
      <c r="I242" s="36"/>
      <c r="J242" s="8">
        <f t="shared" si="58"/>
        <v>78905</v>
      </c>
      <c r="K242" s="37">
        <v>1140</v>
      </c>
      <c r="L242" s="37">
        <v>741</v>
      </c>
      <c r="M242" s="127">
        <f t="shared" si="59"/>
        <v>904</v>
      </c>
      <c r="N242" s="74">
        <f t="shared" si="69"/>
        <v>1876511</v>
      </c>
      <c r="O242" s="75">
        <f t="shared" si="69"/>
        <v>1190293</v>
      </c>
      <c r="P242" s="75">
        <f t="shared" si="69"/>
        <v>3147333</v>
      </c>
      <c r="Q242" s="76">
        <f t="shared" si="68"/>
        <v>14471710.140000001</v>
      </c>
      <c r="R242" s="76">
        <f t="shared" si="68"/>
        <v>7850729</v>
      </c>
      <c r="S242" s="76">
        <f t="shared" si="68"/>
        <v>22903447.947999999</v>
      </c>
      <c r="T242" s="80">
        <f>N242/'2016'!N242-1</f>
        <v>4.4578073989538503E-3</v>
      </c>
      <c r="U242" s="80">
        <f>O242/'2016'!O242-1</f>
        <v>0.12148855562391714</v>
      </c>
      <c r="V242" s="80">
        <f>P242/'2016'!P242-1</f>
        <v>5.7700586462663184E-2</v>
      </c>
      <c r="W242" s="81">
        <f>Q242/'2016'!Q242-1</f>
        <v>7.2727531089485264E-2</v>
      </c>
      <c r="X242" s="81">
        <f>R242/'2016'!R242-1</f>
        <v>0.11719178580256506</v>
      </c>
      <c r="Y242" s="81">
        <f>S242/'2016'!S242-1</f>
        <v>8.4775444985882853E-2</v>
      </c>
      <c r="Z242" s="136"/>
      <c r="AA242" s="136"/>
      <c r="AB242" s="105"/>
      <c r="AC242" s="105"/>
      <c r="AD242" s="37">
        <f t="shared" si="60"/>
        <v>15052718.947999999</v>
      </c>
      <c r="AE242" s="37">
        <f t="shared" si="62"/>
        <v>264008.68</v>
      </c>
      <c r="AF242" s="37">
        <f t="shared" si="63"/>
        <v>181577.82</v>
      </c>
      <c r="AG242" s="37">
        <f t="shared" si="61"/>
        <v>135422.30799999833</v>
      </c>
    </row>
    <row r="243" spans="1:33" ht="15" customHeight="1" x14ac:dyDescent="0.15">
      <c r="A243" s="102">
        <v>42973</v>
      </c>
      <c r="B243" s="20" t="s">
        <v>39</v>
      </c>
      <c r="C243" s="70">
        <v>63176</v>
      </c>
      <c r="D243" s="71">
        <f>37919+10188</f>
        <v>48107</v>
      </c>
      <c r="E243" s="71">
        <v>113275</v>
      </c>
      <c r="F243" s="120">
        <v>5389.3</v>
      </c>
      <c r="G243" s="71">
        <v>3985.8</v>
      </c>
      <c r="H243" s="24"/>
      <c r="I243" s="24"/>
      <c r="J243" s="70">
        <f t="shared" si="58"/>
        <v>65168</v>
      </c>
      <c r="K243" s="71">
        <v>681</v>
      </c>
      <c r="L243" s="71">
        <v>740</v>
      </c>
      <c r="M243" s="129">
        <f t="shared" si="59"/>
        <v>571</v>
      </c>
      <c r="N243" s="74">
        <f t="shared" si="69"/>
        <v>1939687</v>
      </c>
      <c r="O243" s="75">
        <f t="shared" si="69"/>
        <v>1238400</v>
      </c>
      <c r="P243" s="75">
        <f t="shared" si="69"/>
        <v>3260608</v>
      </c>
      <c r="Q243" s="76">
        <f t="shared" si="68"/>
        <v>14534886.140000001</v>
      </c>
      <c r="R243" s="76">
        <f t="shared" si="68"/>
        <v>7898836</v>
      </c>
      <c r="S243" s="76">
        <f t="shared" si="68"/>
        <v>23016722.947999999</v>
      </c>
      <c r="T243" s="80">
        <f>N243/'2016'!N243-1</f>
        <v>1.2528003468816884E-3</v>
      </c>
      <c r="U243" s="80">
        <f>O243/'2016'!O243-1</f>
        <v>0.12871487462825049</v>
      </c>
      <c r="V243" s="80">
        <f>P243/'2016'!P243-1</f>
        <v>5.8004501845808631E-2</v>
      </c>
      <c r="W243" s="81">
        <f>Q243/'2016'!Q243-1</f>
        <v>7.1921846661097799E-2</v>
      </c>
      <c r="X243" s="81">
        <f>R243/'2016'!R243-1</f>
        <v>0.11833612368638091</v>
      </c>
      <c r="Y243" s="81">
        <f>S243/'2016'!S243-1</f>
        <v>8.4684067841305888E-2</v>
      </c>
      <c r="Z243" s="139"/>
      <c r="AA243" s="139"/>
      <c r="AB243" s="105"/>
      <c r="AC243" s="105"/>
      <c r="AD243" s="37">
        <f t="shared" si="60"/>
        <v>15117886.947999999</v>
      </c>
      <c r="AE243" s="71">
        <f t="shared" si="62"/>
        <v>264689.68</v>
      </c>
      <c r="AF243" s="71">
        <f t="shared" si="63"/>
        <v>182317.82</v>
      </c>
      <c r="AG243" s="71">
        <f t="shared" si="61"/>
        <v>135993.30799999833</v>
      </c>
    </row>
    <row r="244" spans="1:33" ht="15" customHeight="1" x14ac:dyDescent="0.15">
      <c r="A244" s="102">
        <v>42974</v>
      </c>
      <c r="B244" s="20" t="s">
        <v>1</v>
      </c>
      <c r="C244" s="8">
        <v>58281</v>
      </c>
      <c r="D244" s="37">
        <f>39233+10146</f>
        <v>49379</v>
      </c>
      <c r="E244" s="37">
        <v>110119</v>
      </c>
      <c r="F244" s="12">
        <v>5185.6000000000004</v>
      </c>
      <c r="G244" s="37">
        <v>3686</v>
      </c>
      <c r="H244" s="24"/>
      <c r="I244" s="36"/>
      <c r="J244" s="8">
        <f t="shared" si="58"/>
        <v>60740</v>
      </c>
      <c r="K244" s="37">
        <v>712</v>
      </c>
      <c r="L244" s="37">
        <v>746</v>
      </c>
      <c r="M244" s="127">
        <f t="shared" si="59"/>
        <v>1001</v>
      </c>
      <c r="N244" s="74">
        <f t="shared" si="69"/>
        <v>1997968</v>
      </c>
      <c r="O244" s="75">
        <f t="shared" si="69"/>
        <v>1287779</v>
      </c>
      <c r="P244" s="75">
        <f t="shared" si="69"/>
        <v>3370727</v>
      </c>
      <c r="Q244" s="76">
        <f t="shared" si="68"/>
        <v>14593167.140000001</v>
      </c>
      <c r="R244" s="76">
        <f t="shared" si="68"/>
        <v>7948215</v>
      </c>
      <c r="S244" s="76">
        <f t="shared" si="68"/>
        <v>23126841.947999999</v>
      </c>
      <c r="T244" s="80">
        <f>N244/'2016'!N244-1</f>
        <v>2.3156973780846801E-3</v>
      </c>
      <c r="U244" s="80">
        <f>O244/'2016'!O244-1</f>
        <v>0.13862181895989201</v>
      </c>
      <c r="V244" s="80">
        <f>P244/'2016'!P244-1</f>
        <v>6.1950000189030519E-2</v>
      </c>
      <c r="W244" s="81">
        <f>Q244/'2016'!Q244-1</f>
        <v>7.1786324110259869E-2</v>
      </c>
      <c r="X244" s="81">
        <f>R244/'2016'!R244-1</f>
        <v>0.11996441799638879</v>
      </c>
      <c r="Y244" s="81">
        <f>S244/'2016'!S244-1</f>
        <v>8.5156211296000706E-2</v>
      </c>
      <c r="Z244" s="136"/>
      <c r="AA244" s="136"/>
      <c r="AB244" s="105"/>
      <c r="AC244" s="105"/>
      <c r="AD244" s="37">
        <f t="shared" si="60"/>
        <v>15178626.947999999</v>
      </c>
      <c r="AE244" s="37">
        <f t="shared" si="62"/>
        <v>265401.68</v>
      </c>
      <c r="AF244" s="37">
        <f t="shared" si="63"/>
        <v>183063.82</v>
      </c>
      <c r="AG244" s="37">
        <f t="shared" si="61"/>
        <v>136994.30799999833</v>
      </c>
    </row>
    <row r="245" spans="1:33" ht="15" customHeight="1" x14ac:dyDescent="0.15">
      <c r="A245" s="102">
        <v>42975</v>
      </c>
      <c r="B245" s="20" t="s">
        <v>34</v>
      </c>
      <c r="C245" s="8">
        <v>71868</v>
      </c>
      <c r="D245" s="37">
        <f>36576+10134</f>
        <v>46710</v>
      </c>
      <c r="E245" s="37">
        <v>121716</v>
      </c>
      <c r="F245" s="12">
        <v>6004.5</v>
      </c>
      <c r="G245" s="37">
        <v>3758.1</v>
      </c>
      <c r="H245" s="24"/>
      <c r="I245" s="36"/>
      <c r="J245" s="8">
        <f t="shared" si="58"/>
        <v>75006</v>
      </c>
      <c r="K245" s="37">
        <v>1412</v>
      </c>
      <c r="L245" s="37">
        <v>745</v>
      </c>
      <c r="M245" s="127">
        <f t="shared" si="59"/>
        <v>981</v>
      </c>
      <c r="N245" s="74">
        <f t="shared" si="69"/>
        <v>2069836</v>
      </c>
      <c r="O245" s="75">
        <f t="shared" si="69"/>
        <v>1334489</v>
      </c>
      <c r="P245" s="75">
        <f t="shared" si="69"/>
        <v>3492443</v>
      </c>
      <c r="Q245" s="76">
        <f t="shared" si="68"/>
        <v>14665035.140000001</v>
      </c>
      <c r="R245" s="76">
        <f t="shared" si="68"/>
        <v>7994925</v>
      </c>
      <c r="S245" s="76">
        <f t="shared" si="68"/>
        <v>23248557.947999999</v>
      </c>
      <c r="T245" s="80">
        <f>N245/'2016'!N245-1</f>
        <v>1.5652095402313604E-2</v>
      </c>
      <c r="U245" s="80">
        <f>O245/'2016'!O245-1</f>
        <v>0.14627815147488432</v>
      </c>
      <c r="V245" s="80">
        <f>P245/'2016'!P245-1</f>
        <v>7.3565241555353156E-2</v>
      </c>
      <c r="W245" s="81">
        <f>Q245/'2016'!Q245-1</f>
        <v>7.3549190506319473E-2</v>
      </c>
      <c r="X245" s="81">
        <f>R245/'2016'!R245-1</f>
        <v>0.12130140626119812</v>
      </c>
      <c r="Y245" s="81">
        <f>S245/'2016'!S245-1</f>
        <v>8.6836904954374239E-2</v>
      </c>
      <c r="Z245" s="136"/>
      <c r="AA245" s="136"/>
      <c r="AB245" s="105"/>
      <c r="AC245" s="105"/>
      <c r="AD245" s="37">
        <f t="shared" si="60"/>
        <v>15253632.947999999</v>
      </c>
      <c r="AE245" s="37">
        <f t="shared" si="62"/>
        <v>266813.68</v>
      </c>
      <c r="AF245" s="37">
        <f t="shared" si="63"/>
        <v>183808.82</v>
      </c>
      <c r="AG245" s="37">
        <f t="shared" si="61"/>
        <v>137975.30799999833</v>
      </c>
    </row>
    <row r="246" spans="1:33" ht="15" customHeight="1" x14ac:dyDescent="0.15">
      <c r="A246" s="102">
        <v>42976</v>
      </c>
      <c r="B246" s="20" t="s">
        <v>35</v>
      </c>
      <c r="C246" s="8">
        <v>74415</v>
      </c>
      <c r="D246" s="37">
        <f>35115+10088</f>
        <v>45203</v>
      </c>
      <c r="E246" s="37">
        <v>122756</v>
      </c>
      <c r="F246" s="12">
        <v>6058</v>
      </c>
      <c r="G246" s="37">
        <v>4070.6</v>
      </c>
      <c r="H246" s="24"/>
      <c r="I246" s="36"/>
      <c r="J246" s="8">
        <f t="shared" si="58"/>
        <v>77553</v>
      </c>
      <c r="K246" s="37">
        <v>1640</v>
      </c>
      <c r="L246" s="37">
        <v>744</v>
      </c>
      <c r="M246" s="127">
        <f t="shared" si="59"/>
        <v>754</v>
      </c>
      <c r="N246" s="74">
        <f t="shared" si="69"/>
        <v>2144251</v>
      </c>
      <c r="O246" s="75">
        <f t="shared" si="69"/>
        <v>1379692</v>
      </c>
      <c r="P246" s="75">
        <f t="shared" si="69"/>
        <v>3615199</v>
      </c>
      <c r="Q246" s="76">
        <f t="shared" si="68"/>
        <v>14739450.140000001</v>
      </c>
      <c r="R246" s="76">
        <f t="shared" si="68"/>
        <v>8040128</v>
      </c>
      <c r="S246" s="76">
        <f t="shared" si="68"/>
        <v>23371313.947999999</v>
      </c>
      <c r="T246" s="80">
        <f>N246/'2016'!N246-1</f>
        <v>2.895961518343948E-2</v>
      </c>
      <c r="U246" s="80">
        <f>O246/'2016'!O246-1</f>
        <v>0.15266919196560602</v>
      </c>
      <c r="V246" s="80">
        <f>P246/'2016'!P246-1</f>
        <v>8.4613822229729241E-2</v>
      </c>
      <c r="W246" s="81">
        <f>Q246/'2016'!Q246-1</f>
        <v>7.5378305425106706E-2</v>
      </c>
      <c r="X246" s="81">
        <f>R246/'2016'!R246-1</f>
        <v>0.12248363140569851</v>
      </c>
      <c r="Y246" s="81">
        <f>S246/'2016'!S246-1</f>
        <v>8.8502610951123328E-2</v>
      </c>
      <c r="Z246" s="136"/>
      <c r="AA246" s="136"/>
      <c r="AB246" s="105"/>
      <c r="AC246" s="105"/>
      <c r="AD246" s="37">
        <f t="shared" si="60"/>
        <v>15331185.947999999</v>
      </c>
      <c r="AE246" s="37">
        <f t="shared" si="62"/>
        <v>268453.68</v>
      </c>
      <c r="AF246" s="37">
        <f t="shared" si="63"/>
        <v>184552.82</v>
      </c>
      <c r="AG246" s="37">
        <f t="shared" si="61"/>
        <v>138729.30799999833</v>
      </c>
    </row>
    <row r="247" spans="1:33" ht="15" customHeight="1" x14ac:dyDescent="0.15">
      <c r="A247" s="102">
        <v>42977</v>
      </c>
      <c r="B247" s="20" t="s">
        <v>36</v>
      </c>
      <c r="C247" s="8">
        <v>68039</v>
      </c>
      <c r="D247" s="37">
        <f>31268+10216</f>
        <v>41484</v>
      </c>
      <c r="E247" s="37">
        <v>111748</v>
      </c>
      <c r="F247" s="12">
        <v>5456.5</v>
      </c>
      <c r="G247" s="37">
        <v>3820.3</v>
      </c>
      <c r="H247" s="24"/>
      <c r="I247" s="36"/>
      <c r="J247" s="8">
        <f t="shared" si="58"/>
        <v>70264</v>
      </c>
      <c r="K247" s="37">
        <v>864</v>
      </c>
      <c r="L247" s="37">
        <v>743</v>
      </c>
      <c r="M247" s="127">
        <f t="shared" si="59"/>
        <v>618</v>
      </c>
      <c r="N247" s="74">
        <f t="shared" si="69"/>
        <v>2212290</v>
      </c>
      <c r="O247" s="75">
        <f t="shared" si="69"/>
        <v>1421176</v>
      </c>
      <c r="P247" s="75">
        <f t="shared" si="69"/>
        <v>3726947</v>
      </c>
      <c r="Q247" s="76">
        <f t="shared" si="68"/>
        <v>14807489.140000001</v>
      </c>
      <c r="R247" s="76">
        <f t="shared" si="68"/>
        <v>8081612</v>
      </c>
      <c r="S247" s="76">
        <f t="shared" si="68"/>
        <v>23483061.947999999</v>
      </c>
      <c r="T247" s="80">
        <f>N247/'2016'!N247-1</f>
        <v>3.8155666333955951E-2</v>
      </c>
      <c r="U247" s="80">
        <f>O247/'2016'!O247-1</f>
        <v>0.15746402614029886</v>
      </c>
      <c r="V247" s="80">
        <f>P247/'2016'!P247-1</f>
        <v>9.201731899050114E-2</v>
      </c>
      <c r="W247" s="81">
        <f>Q247/'2016'!Q247-1</f>
        <v>7.6644268765507118E-2</v>
      </c>
      <c r="X247" s="81">
        <f>R247/'2016'!R247-1</f>
        <v>0.12343161028479988</v>
      </c>
      <c r="Y247" s="81">
        <f>S247/'2016'!S247-1</f>
        <v>8.9660680726191488E-2</v>
      </c>
      <c r="Z247" s="136">
        <f>(Z248-Z241)/7*6+Z241</f>
        <v>114.48303200000001</v>
      </c>
      <c r="AA247" s="136">
        <f>Q247/10000-Z247</f>
        <v>1366.2658819999999</v>
      </c>
      <c r="AB247" s="105"/>
      <c r="AC247" s="105"/>
      <c r="AD247" s="37">
        <f t="shared" si="60"/>
        <v>15401449.947999999</v>
      </c>
      <c r="AE247" s="37">
        <f t="shared" si="62"/>
        <v>269317.68</v>
      </c>
      <c r="AF247" s="37">
        <f t="shared" si="63"/>
        <v>185295.82</v>
      </c>
      <c r="AG247" s="37">
        <f t="shared" si="61"/>
        <v>139347.30799999833</v>
      </c>
    </row>
    <row r="248" spans="1:33" s="101" customFormat="1" ht="15" customHeight="1" x14ac:dyDescent="0.15">
      <c r="A248" s="108">
        <v>42978</v>
      </c>
      <c r="B248" s="25" t="s">
        <v>37</v>
      </c>
      <c r="C248" s="42">
        <v>56943</v>
      </c>
      <c r="D248" s="43">
        <f>32077+9785</f>
        <v>41862</v>
      </c>
      <c r="E248" s="43">
        <v>100313</v>
      </c>
      <c r="F248" s="122">
        <v>4850.3999999999996</v>
      </c>
      <c r="G248" s="43">
        <v>3500.7</v>
      </c>
      <c r="H248" s="30"/>
      <c r="I248" s="30"/>
      <c r="J248" s="42">
        <f t="shared" si="58"/>
        <v>58451</v>
      </c>
      <c r="K248" s="43">
        <v>290</v>
      </c>
      <c r="L248" s="43">
        <v>748</v>
      </c>
      <c r="M248" s="130">
        <f t="shared" si="59"/>
        <v>470</v>
      </c>
      <c r="N248" s="87">
        <f t="shared" si="69"/>
        <v>2269233</v>
      </c>
      <c r="O248" s="88">
        <f t="shared" si="69"/>
        <v>1463038</v>
      </c>
      <c r="P248" s="88">
        <f t="shared" si="69"/>
        <v>3827260</v>
      </c>
      <c r="Q248" s="87" t="s">
        <v>56</v>
      </c>
      <c r="R248" s="87">
        <v>8138008</v>
      </c>
      <c r="S248" s="87" t="s">
        <v>57</v>
      </c>
      <c r="T248" s="89">
        <f>N248/'2016'!N248-1</f>
        <v>4.1975021799332213E-2</v>
      </c>
      <c r="U248" s="89">
        <f>O248/'2016'!O248-1</f>
        <v>0.16331926201515379</v>
      </c>
      <c r="V248" s="89">
        <f>P248/'2016'!P248-1</f>
        <v>9.5900687847868316E-2</v>
      </c>
      <c r="W248" s="89">
        <f>Q248/'2016'!Q248-1</f>
        <v>7.7116387359322802E-2</v>
      </c>
      <c r="X248" s="89">
        <f>R248/'2016'!R248-1</f>
        <v>0.12660350143815546</v>
      </c>
      <c r="Y248" s="89">
        <f>S248/'2016'!S248-1</f>
        <v>9.0296356693692292E-2</v>
      </c>
      <c r="Z248" s="141">
        <v>115.025204</v>
      </c>
      <c r="AA248" s="141">
        <v>1371.41803</v>
      </c>
      <c r="AB248" s="43">
        <v>4258.08</v>
      </c>
      <c r="AC248" s="43">
        <f>AA248*10000/AB248</f>
        <v>3220.742752602112</v>
      </c>
      <c r="AD248" s="43" t="s">
        <v>58</v>
      </c>
      <c r="AE248" s="43" t="s">
        <v>59</v>
      </c>
      <c r="AF248" s="43">
        <f t="shared" si="63"/>
        <v>186043.82</v>
      </c>
      <c r="AG248" s="43">
        <f t="shared" si="61"/>
        <v>125293.87799999962</v>
      </c>
    </row>
    <row r="249" spans="1:33" ht="15" customHeight="1" x14ac:dyDescent="0.15">
      <c r="A249" s="102">
        <v>42979</v>
      </c>
      <c r="B249" s="20" t="s">
        <v>38</v>
      </c>
      <c r="C249" s="8">
        <v>52789</v>
      </c>
      <c r="D249" s="37">
        <f>31777+9782</f>
        <v>41559</v>
      </c>
      <c r="E249" s="37">
        <v>96105</v>
      </c>
      <c r="F249" s="12">
        <v>4648.3</v>
      </c>
      <c r="G249" s="37">
        <v>3279.1</v>
      </c>
      <c r="H249" s="24"/>
      <c r="I249" s="36"/>
      <c r="J249" s="8">
        <f t="shared" si="58"/>
        <v>54546</v>
      </c>
      <c r="K249" s="37">
        <v>287</v>
      </c>
      <c r="L249" s="37">
        <v>753</v>
      </c>
      <c r="M249" s="127">
        <f t="shared" si="59"/>
        <v>717</v>
      </c>
      <c r="N249" s="74">
        <f>C249</f>
        <v>52789</v>
      </c>
      <c r="O249" s="75">
        <f>D249</f>
        <v>41559</v>
      </c>
      <c r="P249" s="75">
        <f>E249</f>
        <v>96105</v>
      </c>
      <c r="Q249" s="76">
        <f t="shared" ref="Q249:S264" si="70">Q$248+N249</f>
        <v>14917221.34</v>
      </c>
      <c r="R249" s="76">
        <f t="shared" si="70"/>
        <v>8179567</v>
      </c>
      <c r="S249" s="76">
        <f t="shared" si="70"/>
        <v>23679480.508000001</v>
      </c>
      <c r="T249" s="80">
        <f>N249/'2016'!N249-1</f>
        <v>0.24095535861209716</v>
      </c>
      <c r="U249" s="80">
        <f>O249/'2016'!O249-1</f>
        <v>0.41646216768916156</v>
      </c>
      <c r="V249" s="80">
        <f>P249/'2016'!P249-1</f>
        <v>0.31425641025641027</v>
      </c>
      <c r="W249" s="81">
        <f>Q249/'2016'!Q249-1</f>
        <v>7.7619867267693765E-2</v>
      </c>
      <c r="X249" s="81">
        <f>R249/'2016'!R249-1</f>
        <v>0.1277760719300014</v>
      </c>
      <c r="Y249" s="81">
        <f>S249/'2016'!S249-1</f>
        <v>9.1050943661955097E-2</v>
      </c>
      <c r="Z249" s="136"/>
      <c r="AA249" s="136"/>
      <c r="AB249" s="105"/>
      <c r="AC249" s="105"/>
      <c r="AD249" s="37">
        <f t="shared" si="60"/>
        <v>15499913.508000001</v>
      </c>
      <c r="AE249" s="37">
        <f t="shared" si="62"/>
        <v>269884.46999999997</v>
      </c>
      <c r="AF249" s="37">
        <f t="shared" si="63"/>
        <v>186796.82</v>
      </c>
      <c r="AG249" s="37">
        <f t="shared" si="61"/>
        <v>126010.87800000148</v>
      </c>
    </row>
    <row r="250" spans="1:33" ht="15" customHeight="1" x14ac:dyDescent="0.15">
      <c r="A250" s="102">
        <v>42980</v>
      </c>
      <c r="B250" s="20" t="s">
        <v>39</v>
      </c>
      <c r="C250" s="70">
        <v>54136</v>
      </c>
      <c r="D250" s="71">
        <f>31722+9840</f>
        <v>41562</v>
      </c>
      <c r="E250" s="71">
        <v>97864</v>
      </c>
      <c r="F250" s="120">
        <v>4781.3</v>
      </c>
      <c r="G250" s="71">
        <v>3219.3</v>
      </c>
      <c r="H250" s="24"/>
      <c r="I250" s="24"/>
      <c r="J250" s="70">
        <f t="shared" si="58"/>
        <v>56302</v>
      </c>
      <c r="K250" s="71">
        <v>620</v>
      </c>
      <c r="L250" s="71">
        <v>756</v>
      </c>
      <c r="M250" s="129">
        <f t="shared" si="59"/>
        <v>790</v>
      </c>
      <c r="N250" s="74">
        <f t="shared" ref="N250:P265" si="71">C250+N249</f>
        <v>106925</v>
      </c>
      <c r="O250" s="75">
        <f t="shared" si="71"/>
        <v>83121</v>
      </c>
      <c r="P250" s="75">
        <f t="shared" si="71"/>
        <v>193969</v>
      </c>
      <c r="Q250" s="76">
        <f t="shared" si="70"/>
        <v>14971357.34</v>
      </c>
      <c r="R250" s="76">
        <f t="shared" si="70"/>
        <v>8221129</v>
      </c>
      <c r="S250" s="76">
        <f t="shared" si="70"/>
        <v>23777344.508000001</v>
      </c>
      <c r="T250" s="80">
        <f>N250/'2016'!N250-1</f>
        <v>0.19548081975827647</v>
      </c>
      <c r="U250" s="80">
        <f>O250/'2016'!O250-1</f>
        <v>0.48823676860273579</v>
      </c>
      <c r="V250" s="80">
        <f>P250/'2016'!P250-1</f>
        <v>0.31215288347708436</v>
      </c>
      <c r="W250" s="81">
        <f>Q250/'2016'!Q250-1</f>
        <v>7.7878583126386625E-2</v>
      </c>
      <c r="X250" s="81">
        <f>R250/'2016'!R250-1</f>
        <v>0.12937819508661574</v>
      </c>
      <c r="Y250" s="81">
        <f>S250/'2016'!S250-1</f>
        <v>9.1802272671167584E-2</v>
      </c>
      <c r="Z250" s="139"/>
      <c r="AA250" s="139"/>
      <c r="AB250" s="105"/>
      <c r="AC250" s="105"/>
      <c r="AD250" s="37">
        <f t="shared" si="60"/>
        <v>15556215.508000001</v>
      </c>
      <c r="AE250" s="71">
        <f t="shared" si="62"/>
        <v>270504.46999999997</v>
      </c>
      <c r="AF250" s="71">
        <f t="shared" si="63"/>
        <v>187552.82</v>
      </c>
      <c r="AG250" s="71">
        <f t="shared" si="61"/>
        <v>126800.87800000148</v>
      </c>
    </row>
    <row r="251" spans="1:33" ht="15" customHeight="1" x14ac:dyDescent="0.15">
      <c r="A251" s="102">
        <v>42981</v>
      </c>
      <c r="B251" s="20" t="s">
        <v>1</v>
      </c>
      <c r="C251" s="8">
        <v>53471</v>
      </c>
      <c r="D251" s="37">
        <f>31093+9973</f>
        <v>41066</v>
      </c>
      <c r="E251" s="37">
        <v>96713</v>
      </c>
      <c r="F251" s="12">
        <v>4561.2</v>
      </c>
      <c r="G251" s="37">
        <v>3353.3</v>
      </c>
      <c r="H251" s="24"/>
      <c r="I251" s="36"/>
      <c r="J251" s="8">
        <f t="shared" si="58"/>
        <v>55647</v>
      </c>
      <c r="K251" s="37">
        <v>627</v>
      </c>
      <c r="L251" s="37">
        <v>752</v>
      </c>
      <c r="M251" s="127">
        <f t="shared" si="59"/>
        <v>797</v>
      </c>
      <c r="N251" s="74">
        <f t="shared" si="71"/>
        <v>160396</v>
      </c>
      <c r="O251" s="75">
        <f t="shared" si="71"/>
        <v>124187</v>
      </c>
      <c r="P251" s="75">
        <f t="shared" si="71"/>
        <v>290682</v>
      </c>
      <c r="Q251" s="76">
        <f t="shared" si="70"/>
        <v>15024828.34</v>
      </c>
      <c r="R251" s="76">
        <f t="shared" si="70"/>
        <v>8262195</v>
      </c>
      <c r="S251" s="76">
        <f t="shared" si="70"/>
        <v>23874057.508000001</v>
      </c>
      <c r="T251" s="80">
        <f>N251/'2016'!N251-1</f>
        <v>0.15843679356343765</v>
      </c>
      <c r="U251" s="80">
        <f>O251/'2016'!O251-1</f>
        <v>0.55601358208768215</v>
      </c>
      <c r="V251" s="80">
        <f>P251/'2016'!P251-1</f>
        <v>0.30855905536623474</v>
      </c>
      <c r="W251" s="81">
        <f>Q251/'2016'!Q251-1</f>
        <v>7.792417913073324E-2</v>
      </c>
      <c r="X251" s="81">
        <f>R251/'2016'!R251-1</f>
        <v>0.13129612640860988</v>
      </c>
      <c r="Y251" s="81">
        <f>S251/'2016'!S251-1</f>
        <v>9.2515092246917119E-2</v>
      </c>
      <c r="Z251" s="136"/>
      <c r="AA251" s="136"/>
      <c r="AB251" s="105"/>
      <c r="AC251" s="105"/>
      <c r="AD251" s="37">
        <f t="shared" si="60"/>
        <v>15611862.508000001</v>
      </c>
      <c r="AE251" s="37">
        <f t="shared" si="62"/>
        <v>271131.46999999997</v>
      </c>
      <c r="AF251" s="37">
        <f t="shared" si="63"/>
        <v>188304.82</v>
      </c>
      <c r="AG251" s="37">
        <f t="shared" si="61"/>
        <v>127597.87800000148</v>
      </c>
    </row>
    <row r="252" spans="1:33" ht="15" customHeight="1" x14ac:dyDescent="0.15">
      <c r="A252" s="102">
        <v>42982</v>
      </c>
      <c r="B252" s="20" t="s">
        <v>34</v>
      </c>
      <c r="C252" s="8">
        <v>63964</v>
      </c>
      <c r="D252" s="37">
        <f>30550+10314</f>
        <v>40864</v>
      </c>
      <c r="E252" s="37">
        <v>107623</v>
      </c>
      <c r="F252" s="12">
        <v>5361.7</v>
      </c>
      <c r="G252" s="37">
        <v>3333.4</v>
      </c>
      <c r="H252" s="24"/>
      <c r="I252" s="36"/>
      <c r="J252" s="8">
        <f t="shared" si="58"/>
        <v>66759</v>
      </c>
      <c r="K252" s="37">
        <v>1136</v>
      </c>
      <c r="L252" s="37">
        <v>756</v>
      </c>
      <c r="M252" s="127">
        <f t="shared" si="59"/>
        <v>903</v>
      </c>
      <c r="N252" s="74">
        <f t="shared" si="71"/>
        <v>224360</v>
      </c>
      <c r="O252" s="75">
        <f t="shared" si="71"/>
        <v>165051</v>
      </c>
      <c r="P252" s="75">
        <f t="shared" si="71"/>
        <v>398305</v>
      </c>
      <c r="Q252" s="76">
        <f t="shared" si="70"/>
        <v>15088792.34</v>
      </c>
      <c r="R252" s="76">
        <f t="shared" si="70"/>
        <v>8303059</v>
      </c>
      <c r="S252" s="76">
        <f t="shared" si="70"/>
        <v>23981680.508000001</v>
      </c>
      <c r="T252" s="80">
        <f>N252/'2016'!N252-1</f>
        <v>0.22469254409187922</v>
      </c>
      <c r="U252" s="80">
        <f>O252/'2016'!O252-1</f>
        <v>0.60267029179006659</v>
      </c>
      <c r="V252" s="80">
        <f>P252/'2016'!P252-1</f>
        <v>0.36696066991557408</v>
      </c>
      <c r="W252" s="81">
        <f>Q252/'2016'!Q252-1</f>
        <v>7.9049786650706722E-2</v>
      </c>
      <c r="X252" s="81">
        <f>R252/'2016'!R252-1</f>
        <v>0.13329536145218013</v>
      </c>
      <c r="Y252" s="81">
        <f>S252/'2016'!S252-1</f>
        <v>9.3973750759646091E-2</v>
      </c>
      <c r="Z252" s="136"/>
      <c r="AA252" s="136"/>
      <c r="AB252" s="105"/>
      <c r="AC252" s="105"/>
      <c r="AD252" s="37">
        <f t="shared" si="60"/>
        <v>15678621.508000001</v>
      </c>
      <c r="AE252" s="37">
        <f t="shared" si="62"/>
        <v>272267.46999999997</v>
      </c>
      <c r="AF252" s="37">
        <f t="shared" si="63"/>
        <v>189060.82</v>
      </c>
      <c r="AG252" s="37">
        <f t="shared" si="61"/>
        <v>128500.87800000148</v>
      </c>
    </row>
    <row r="253" spans="1:33" ht="15" customHeight="1" x14ac:dyDescent="0.15">
      <c r="A253" s="102">
        <v>42983</v>
      </c>
      <c r="B253" s="20" t="s">
        <v>35</v>
      </c>
      <c r="C253" s="8">
        <v>72495</v>
      </c>
      <c r="D253" s="37">
        <f>30397+10486</f>
        <v>40883</v>
      </c>
      <c r="E253" s="37">
        <v>117027</v>
      </c>
      <c r="F253" s="12">
        <v>5744</v>
      </c>
      <c r="G253" s="37">
        <v>3676.4</v>
      </c>
      <c r="H253" s="24"/>
      <c r="I253" s="36"/>
      <c r="J253" s="8">
        <f t="shared" si="58"/>
        <v>76144</v>
      </c>
      <c r="K253" s="37">
        <v>2052</v>
      </c>
      <c r="L253" s="37">
        <v>753</v>
      </c>
      <c r="M253" s="127">
        <f t="shared" si="59"/>
        <v>844</v>
      </c>
      <c r="N253" s="74">
        <f t="shared" si="71"/>
        <v>296855</v>
      </c>
      <c r="O253" s="75">
        <f t="shared" si="71"/>
        <v>205934</v>
      </c>
      <c r="P253" s="75">
        <f t="shared" si="71"/>
        <v>515332</v>
      </c>
      <c r="Q253" s="76">
        <f t="shared" si="70"/>
        <v>15161287.34</v>
      </c>
      <c r="R253" s="76">
        <f t="shared" si="70"/>
        <v>8343942</v>
      </c>
      <c r="S253" s="76">
        <f t="shared" si="70"/>
        <v>24098707.508000001</v>
      </c>
      <c r="T253" s="80">
        <f>N253/'2016'!N253-1</f>
        <v>0.26671104454429462</v>
      </c>
      <c r="U253" s="80">
        <f>O253/'2016'!O253-1</f>
        <v>0.63996750868027896</v>
      </c>
      <c r="V253" s="80">
        <f>P253/'2016'!P253-1</f>
        <v>0.40665807747739868</v>
      </c>
      <c r="W253" s="81">
        <f>Q253/'2016'!Q253-1</f>
        <v>8.0282264618038335E-2</v>
      </c>
      <c r="X253" s="81">
        <f>R253/'2016'!R253-1</f>
        <v>0.13537525406307016</v>
      </c>
      <c r="Y253" s="81">
        <f>S253/'2016'!S253-1</f>
        <v>9.5565342522685226E-2</v>
      </c>
      <c r="Z253" s="136"/>
      <c r="AA253" s="136"/>
      <c r="AB253" s="105"/>
      <c r="AC253" s="105"/>
      <c r="AD253" s="37">
        <f t="shared" si="60"/>
        <v>15754765.508000001</v>
      </c>
      <c r="AE253" s="37">
        <f t="shared" si="62"/>
        <v>274319.46999999997</v>
      </c>
      <c r="AF253" s="37">
        <f t="shared" si="63"/>
        <v>189813.82</v>
      </c>
      <c r="AG253" s="37">
        <f t="shared" si="61"/>
        <v>129344.87800000148</v>
      </c>
    </row>
    <row r="254" spans="1:33" ht="15" customHeight="1" x14ac:dyDescent="0.15">
      <c r="A254" s="102">
        <v>42984</v>
      </c>
      <c r="B254" s="20" t="s">
        <v>36</v>
      </c>
      <c r="C254" s="8">
        <v>76192</v>
      </c>
      <c r="D254" s="37">
        <f>30388+10584</f>
        <v>40972</v>
      </c>
      <c r="E254" s="37">
        <v>120461</v>
      </c>
      <c r="F254" s="12">
        <v>5936.1</v>
      </c>
      <c r="G254" s="37">
        <v>3928.4</v>
      </c>
      <c r="H254" s="24"/>
      <c r="I254" s="36"/>
      <c r="J254" s="8">
        <f t="shared" si="58"/>
        <v>79489</v>
      </c>
      <c r="K254" s="37">
        <v>1889</v>
      </c>
      <c r="L254" s="37">
        <v>752</v>
      </c>
      <c r="M254" s="127">
        <f t="shared" si="59"/>
        <v>656</v>
      </c>
      <c r="N254" s="74">
        <f t="shared" si="71"/>
        <v>373047</v>
      </c>
      <c r="O254" s="75">
        <f t="shared" si="71"/>
        <v>246906</v>
      </c>
      <c r="P254" s="75">
        <f t="shared" si="71"/>
        <v>635793</v>
      </c>
      <c r="Q254" s="76">
        <f t="shared" si="70"/>
        <v>15237479.34</v>
      </c>
      <c r="R254" s="76">
        <f t="shared" si="70"/>
        <v>8384914</v>
      </c>
      <c r="S254" s="76">
        <f t="shared" si="70"/>
        <v>24219168.508000001</v>
      </c>
      <c r="T254" s="80">
        <f>N254/'2016'!N254-1</f>
        <v>0.32572470334872117</v>
      </c>
      <c r="U254" s="80">
        <f>O254/'2016'!O254-1</f>
        <v>0.60370226032735785</v>
      </c>
      <c r="V254" s="80">
        <f>P254/'2016'!P254-1</f>
        <v>0.43568152719537712</v>
      </c>
      <c r="W254" s="81">
        <f>Q254/'2016'!Q254-1</f>
        <v>8.208429851122756E-2</v>
      </c>
      <c r="X254" s="81">
        <f>R254/'2016'!R254-1</f>
        <v>0.13656007652509694</v>
      </c>
      <c r="Y254" s="81">
        <f>S254/'2016'!S254-1</f>
        <v>9.722579602765391E-2</v>
      </c>
      <c r="Z254" s="136">
        <f>(Z255-Z248)/7*6+Z248</f>
        <v>117.532172</v>
      </c>
      <c r="AA254" s="136">
        <f>Q254/10000-Z254</f>
        <v>1406.215762</v>
      </c>
      <c r="AB254" s="105"/>
      <c r="AC254" s="105"/>
      <c r="AD254" s="37">
        <f t="shared" si="60"/>
        <v>15834254.508000001</v>
      </c>
      <c r="AE254" s="37">
        <f t="shared" si="62"/>
        <v>276208.46999999997</v>
      </c>
      <c r="AF254" s="37">
        <f t="shared" si="63"/>
        <v>190565.82</v>
      </c>
      <c r="AG254" s="37">
        <f t="shared" si="61"/>
        <v>130000.87800000148</v>
      </c>
    </row>
    <row r="255" spans="1:33" ht="15" customHeight="1" x14ac:dyDescent="0.15">
      <c r="A255" s="102">
        <v>42985</v>
      </c>
      <c r="B255" s="14" t="s">
        <v>37</v>
      </c>
      <c r="C255" s="32">
        <v>65124</v>
      </c>
      <c r="D255" s="33">
        <f>33303+10738</f>
        <v>44041</v>
      </c>
      <c r="E255" s="33">
        <v>110465</v>
      </c>
      <c r="F255" s="119">
        <v>5487.6</v>
      </c>
      <c r="G255" s="33">
        <v>3845.6</v>
      </c>
      <c r="H255" s="19"/>
      <c r="I255" s="19"/>
      <c r="J255" s="32">
        <f t="shared" si="58"/>
        <v>66424</v>
      </c>
      <c r="K255" s="33">
        <v>260</v>
      </c>
      <c r="L255" s="33">
        <v>757</v>
      </c>
      <c r="M255" s="128">
        <f t="shared" si="59"/>
        <v>283</v>
      </c>
      <c r="N255" s="77">
        <f t="shared" si="71"/>
        <v>438171</v>
      </c>
      <c r="O255" s="78">
        <f t="shared" si="71"/>
        <v>290947</v>
      </c>
      <c r="P255" s="78">
        <f t="shared" si="71"/>
        <v>746258</v>
      </c>
      <c r="Q255" s="77">
        <f t="shared" si="70"/>
        <v>15302603.34</v>
      </c>
      <c r="R255" s="77">
        <f t="shared" si="70"/>
        <v>8428955</v>
      </c>
      <c r="S255" s="77">
        <f t="shared" si="70"/>
        <v>24329633.508000001</v>
      </c>
      <c r="T255" s="82">
        <f>N255/'2016'!N255-1</f>
        <v>0.33096910197684171</v>
      </c>
      <c r="U255" s="82">
        <f>O255/'2016'!O255-1</f>
        <v>0.55412934207222952</v>
      </c>
      <c r="V255" s="82">
        <f>P255/'2016'!P255-1</f>
        <v>0.42114063285546699</v>
      </c>
      <c r="W255" s="82">
        <f>Q255/'2016'!Q255-1</f>
        <v>8.3031092142339613E-2</v>
      </c>
      <c r="X255" s="82">
        <f>R255/'2016'!R255-1</f>
        <v>0.13740365617381789</v>
      </c>
      <c r="Y255" s="82">
        <f>S255/'2016'!S255-1</f>
        <v>9.8137815197867351E-2</v>
      </c>
      <c r="Z255" s="138">
        <v>117.95</v>
      </c>
      <c r="AA255" s="138">
        <f>Q255/10000-Z255</f>
        <v>1412.310334</v>
      </c>
      <c r="AB255" s="33">
        <v>4269.4799999999996</v>
      </c>
      <c r="AC255" s="33">
        <f>AA255*10000/AB255</f>
        <v>3307.9211847812853</v>
      </c>
      <c r="AD255" s="33">
        <f t="shared" si="60"/>
        <v>15900678.508000001</v>
      </c>
      <c r="AE255" s="33">
        <f t="shared" si="62"/>
        <v>276468.46999999997</v>
      </c>
      <c r="AF255" s="33">
        <f t="shared" si="63"/>
        <v>191322.82</v>
      </c>
      <c r="AG255" s="33">
        <f t="shared" si="61"/>
        <v>130283.87800000148</v>
      </c>
    </row>
    <row r="256" spans="1:33" ht="15" customHeight="1" x14ac:dyDescent="0.15">
      <c r="A256" s="102">
        <v>42986</v>
      </c>
      <c r="B256" s="20" t="s">
        <v>38</v>
      </c>
      <c r="C256" s="8">
        <v>58268</v>
      </c>
      <c r="D256" s="37">
        <f>33843+10839</f>
        <v>44682</v>
      </c>
      <c r="E256" s="37">
        <v>104664</v>
      </c>
      <c r="F256" s="12">
        <v>5252.6</v>
      </c>
      <c r="G256" s="37">
        <v>3514.6</v>
      </c>
      <c r="H256" s="24"/>
      <c r="I256" s="36"/>
      <c r="J256" s="8">
        <f t="shared" si="58"/>
        <v>59982</v>
      </c>
      <c r="K256" s="37">
        <v>656</v>
      </c>
      <c r="L256" s="37">
        <v>754</v>
      </c>
      <c r="M256" s="127">
        <f t="shared" si="59"/>
        <v>304</v>
      </c>
      <c r="N256" s="74">
        <f t="shared" si="71"/>
        <v>496439</v>
      </c>
      <c r="O256" s="75">
        <f t="shared" si="71"/>
        <v>335629</v>
      </c>
      <c r="P256" s="75">
        <f t="shared" si="71"/>
        <v>850922</v>
      </c>
      <c r="Q256" s="76">
        <f t="shared" si="70"/>
        <v>15360871.34</v>
      </c>
      <c r="R256" s="76">
        <f t="shared" si="70"/>
        <v>8473637</v>
      </c>
      <c r="S256" s="76">
        <f t="shared" si="70"/>
        <v>24434297.508000001</v>
      </c>
      <c r="T256" s="80">
        <f>N256/'2016'!N256-1</f>
        <v>0.29829043959004031</v>
      </c>
      <c r="U256" s="80">
        <f>O256/'2016'!O256-1</f>
        <v>0.51245549997746842</v>
      </c>
      <c r="V256" s="80">
        <f>P256/'2016'!P256-1</f>
        <v>0.38540389609332393</v>
      </c>
      <c r="W256" s="81">
        <f>Q256/'2016'!Q256-1</f>
        <v>8.3079495570237638E-2</v>
      </c>
      <c r="X256" s="81">
        <f>R256/'2016'!R256-1</f>
        <v>0.1381038141810802</v>
      </c>
      <c r="Y256" s="81">
        <f>S256/'2016'!S256-1</f>
        <v>9.8444750552083127E-2</v>
      </c>
      <c r="Z256" s="136"/>
      <c r="AA256" s="136"/>
      <c r="AB256" s="105"/>
      <c r="AC256" s="105"/>
      <c r="AD256" s="37">
        <f t="shared" si="60"/>
        <v>15960660.508000001</v>
      </c>
      <c r="AE256" s="37">
        <f t="shared" si="62"/>
        <v>277124.46999999997</v>
      </c>
      <c r="AF256" s="37">
        <f t="shared" si="63"/>
        <v>192076.82</v>
      </c>
      <c r="AG256" s="37">
        <f t="shared" si="61"/>
        <v>130587.87800000148</v>
      </c>
    </row>
    <row r="257" spans="1:33" ht="15" customHeight="1" x14ac:dyDescent="0.15">
      <c r="A257" s="102">
        <v>42987</v>
      </c>
      <c r="B257" s="20" t="s">
        <v>39</v>
      </c>
      <c r="C257" s="70">
        <v>57341</v>
      </c>
      <c r="D257" s="71">
        <f>34036+10866</f>
        <v>44902</v>
      </c>
      <c r="E257" s="71">
        <v>103800</v>
      </c>
      <c r="F257" s="120">
        <v>5093.8</v>
      </c>
      <c r="G257" s="71">
        <v>3410.9</v>
      </c>
      <c r="H257" s="24"/>
      <c r="I257" s="24"/>
      <c r="J257" s="70">
        <f t="shared" si="58"/>
        <v>58898</v>
      </c>
      <c r="K257" s="71">
        <v>328</v>
      </c>
      <c r="L257" s="71">
        <v>757</v>
      </c>
      <c r="M257" s="129">
        <f t="shared" si="59"/>
        <v>472</v>
      </c>
      <c r="N257" s="74">
        <f t="shared" si="71"/>
        <v>553780</v>
      </c>
      <c r="O257" s="75">
        <f t="shared" si="71"/>
        <v>380531</v>
      </c>
      <c r="P257" s="75">
        <f t="shared" si="71"/>
        <v>954722</v>
      </c>
      <c r="Q257" s="76">
        <f t="shared" si="70"/>
        <v>15418212.34</v>
      </c>
      <c r="R257" s="76">
        <f t="shared" si="70"/>
        <v>8518539</v>
      </c>
      <c r="S257" s="76">
        <f t="shared" si="70"/>
        <v>24538097.508000001</v>
      </c>
      <c r="T257" s="80">
        <f>N257/'2016'!N257-1</f>
        <v>0.26039556637913375</v>
      </c>
      <c r="U257" s="80">
        <f>O257/'2016'!O257-1</f>
        <v>0.47403507956429447</v>
      </c>
      <c r="V257" s="80">
        <f>P257/'2016'!P257-1</f>
        <v>0.34722151666525547</v>
      </c>
      <c r="W257" s="81">
        <f>Q257/'2016'!Q257-1</f>
        <v>8.2771566296196974E-2</v>
      </c>
      <c r="X257" s="81">
        <f>R257/'2016'!R257-1</f>
        <v>0.13859171345339161</v>
      </c>
      <c r="Y257" s="81">
        <f>S257/'2016'!S257-1</f>
        <v>9.8446827694631311E-2</v>
      </c>
      <c r="Z257" s="139"/>
      <c r="AA257" s="139"/>
      <c r="AB257" s="105"/>
      <c r="AC257" s="105"/>
      <c r="AD257" s="37">
        <f t="shared" si="60"/>
        <v>16019558.508000001</v>
      </c>
      <c r="AE257" s="71">
        <f t="shared" si="62"/>
        <v>277452.46999999997</v>
      </c>
      <c r="AF257" s="71">
        <f t="shared" si="63"/>
        <v>192833.82</v>
      </c>
      <c r="AG257" s="71">
        <f t="shared" si="61"/>
        <v>131059.87800000148</v>
      </c>
    </row>
    <row r="258" spans="1:33" ht="15" customHeight="1" x14ac:dyDescent="0.15">
      <c r="A258" s="102">
        <v>42988</v>
      </c>
      <c r="B258" s="20" t="s">
        <v>1</v>
      </c>
      <c r="C258" s="8">
        <v>57109</v>
      </c>
      <c r="D258" s="37">
        <f>37476+8420</f>
        <v>45896</v>
      </c>
      <c r="E258" s="37">
        <v>105310</v>
      </c>
      <c r="F258" s="12">
        <v>5149.3</v>
      </c>
      <c r="G258" s="37">
        <v>3432.2</v>
      </c>
      <c r="H258" s="24"/>
      <c r="I258" s="36"/>
      <c r="J258" s="8">
        <f t="shared" si="58"/>
        <v>59414</v>
      </c>
      <c r="K258" s="37">
        <v>734</v>
      </c>
      <c r="L258" s="37">
        <v>758</v>
      </c>
      <c r="M258" s="127">
        <f t="shared" si="59"/>
        <v>813</v>
      </c>
      <c r="N258" s="74">
        <f t="shared" si="71"/>
        <v>610889</v>
      </c>
      <c r="O258" s="75">
        <f t="shared" si="71"/>
        <v>426427</v>
      </c>
      <c r="P258" s="75">
        <f t="shared" si="71"/>
        <v>1060032</v>
      </c>
      <c r="Q258" s="76">
        <f t="shared" si="70"/>
        <v>15475321.34</v>
      </c>
      <c r="R258" s="76">
        <f t="shared" si="70"/>
        <v>8564435</v>
      </c>
      <c r="S258" s="76">
        <f t="shared" si="70"/>
        <v>24643407.508000001</v>
      </c>
      <c r="T258" s="80">
        <f>N258/'2016'!N258-1</f>
        <v>0.22834720083003912</v>
      </c>
      <c r="U258" s="80">
        <f>O258/'2016'!O258-1</f>
        <v>0.45074284625617045</v>
      </c>
      <c r="V258" s="80">
        <f>P258/'2016'!P258-1</f>
        <v>0.31926163404289221</v>
      </c>
      <c r="W258" s="81">
        <f>Q258/'2016'!Q258-1</f>
        <v>8.2376805346040083E-2</v>
      </c>
      <c r="X258" s="81">
        <f>R258/'2016'!R258-1</f>
        <v>0.13927759315489108</v>
      </c>
      <c r="Y258" s="81">
        <f>S258/'2016'!S258-1</f>
        <v>9.8497149607284618E-2</v>
      </c>
      <c r="Z258" s="136"/>
      <c r="AA258" s="136"/>
      <c r="AB258" s="105"/>
      <c r="AC258" s="105"/>
      <c r="AD258" s="37">
        <f t="shared" si="60"/>
        <v>16078972.508000001</v>
      </c>
      <c r="AE258" s="37">
        <f t="shared" si="62"/>
        <v>278186.46999999997</v>
      </c>
      <c r="AF258" s="37">
        <f t="shared" si="63"/>
        <v>193591.82</v>
      </c>
      <c r="AG258" s="37">
        <f t="shared" si="61"/>
        <v>131872.87800000148</v>
      </c>
    </row>
    <row r="259" spans="1:33" ht="15" customHeight="1" x14ac:dyDescent="0.15">
      <c r="A259" s="102">
        <v>42989</v>
      </c>
      <c r="B259" s="20" t="s">
        <v>34</v>
      </c>
      <c r="C259" s="8">
        <v>60676</v>
      </c>
      <c r="D259" s="37">
        <f>37619+8283</f>
        <v>45902</v>
      </c>
      <c r="E259" s="37">
        <v>108948</v>
      </c>
      <c r="F259" s="12">
        <v>5626</v>
      </c>
      <c r="G259" s="37">
        <v>3592.6</v>
      </c>
      <c r="H259" s="24"/>
      <c r="I259" s="36"/>
      <c r="J259" s="8">
        <f t="shared" si="58"/>
        <v>63046</v>
      </c>
      <c r="K259" s="37">
        <v>1124</v>
      </c>
      <c r="L259" s="37">
        <v>759</v>
      </c>
      <c r="M259" s="127">
        <f t="shared" si="59"/>
        <v>487</v>
      </c>
      <c r="N259" s="74">
        <f t="shared" si="71"/>
        <v>671565</v>
      </c>
      <c r="O259" s="75">
        <f t="shared" si="71"/>
        <v>472329</v>
      </c>
      <c r="P259" s="75">
        <f t="shared" si="71"/>
        <v>1168980</v>
      </c>
      <c r="Q259" s="76">
        <f t="shared" si="70"/>
        <v>15535997.34</v>
      </c>
      <c r="R259" s="76">
        <f t="shared" si="70"/>
        <v>8610337</v>
      </c>
      <c r="S259" s="76">
        <f t="shared" si="70"/>
        <v>24752355.508000001</v>
      </c>
      <c r="T259" s="80">
        <f>N259/'2016'!N259-1</f>
        <v>0.2277576167536588</v>
      </c>
      <c r="U259" s="80">
        <f>O259/'2016'!O259-1</f>
        <v>0.42955853778124831</v>
      </c>
      <c r="V259" s="80">
        <f>P259/'2016'!P259-1</f>
        <v>0.31242400665541714</v>
      </c>
      <c r="W259" s="81">
        <f>Q259/'2016'!Q259-1</f>
        <v>8.2859565232088928E-2</v>
      </c>
      <c r="X259" s="81">
        <f>R259/'2016'!R259-1</f>
        <v>0.13985454648471896</v>
      </c>
      <c r="Y259" s="81">
        <f>S259/'2016'!S259-1</f>
        <v>9.9081501030742203E-2</v>
      </c>
      <c r="Z259" s="136"/>
      <c r="AA259" s="136"/>
      <c r="AB259" s="105"/>
      <c r="AC259" s="105"/>
      <c r="AD259" s="37">
        <f t="shared" si="60"/>
        <v>16142018.508000001</v>
      </c>
      <c r="AE259" s="37">
        <f t="shared" si="62"/>
        <v>279310.46999999997</v>
      </c>
      <c r="AF259" s="37">
        <f t="shared" si="63"/>
        <v>194350.82</v>
      </c>
      <c r="AG259" s="37">
        <f t="shared" si="61"/>
        <v>132359.87800000148</v>
      </c>
    </row>
    <row r="260" spans="1:33" ht="15" customHeight="1" x14ac:dyDescent="0.15">
      <c r="A260" s="102">
        <v>42990</v>
      </c>
      <c r="B260" s="20" t="s">
        <v>35</v>
      </c>
      <c r="C260" s="8">
        <v>52887</v>
      </c>
      <c r="D260" s="37">
        <f>37374+8288</f>
        <v>45662</v>
      </c>
      <c r="E260" s="37">
        <v>101493</v>
      </c>
      <c r="F260" s="12">
        <v>5040.1000000000004</v>
      </c>
      <c r="G260" s="37">
        <v>3462.7</v>
      </c>
      <c r="H260" s="24"/>
      <c r="I260" s="36"/>
      <c r="J260" s="8">
        <f t="shared" si="58"/>
        <v>55831</v>
      </c>
      <c r="K260" s="37">
        <v>1678</v>
      </c>
      <c r="L260" s="37">
        <v>760</v>
      </c>
      <c r="M260" s="127">
        <f t="shared" si="59"/>
        <v>506</v>
      </c>
      <c r="N260" s="74">
        <f t="shared" si="71"/>
        <v>724452</v>
      </c>
      <c r="O260" s="75">
        <f t="shared" si="71"/>
        <v>517991</v>
      </c>
      <c r="P260" s="75">
        <f t="shared" si="71"/>
        <v>1270473</v>
      </c>
      <c r="Q260" s="76">
        <f t="shared" si="70"/>
        <v>15588884.34</v>
      </c>
      <c r="R260" s="76">
        <f t="shared" si="70"/>
        <v>8655999</v>
      </c>
      <c r="S260" s="76">
        <f t="shared" si="70"/>
        <v>24853848.508000001</v>
      </c>
      <c r="T260" s="80">
        <f>N260/'2016'!N260-1</f>
        <v>0.20761724414987781</v>
      </c>
      <c r="U260" s="80">
        <f>O260/'2016'!O260-1</f>
        <v>0.4164950708943489</v>
      </c>
      <c r="V260" s="80">
        <f>P260/'2016'!P260-1</f>
        <v>0.29618278555141231</v>
      </c>
      <c r="W260" s="81">
        <f>Q260/'2016'!Q260-1</f>
        <v>8.2552992643390555E-2</v>
      </c>
      <c r="X260" s="81">
        <f>R260/'2016'!R260-1</f>
        <v>0.14057195157206825</v>
      </c>
      <c r="Y260" s="81">
        <f>S260/'2016'!S260-1</f>
        <v>9.9221567972796798E-2</v>
      </c>
      <c r="Z260" s="136"/>
      <c r="AA260" s="136"/>
      <c r="AB260" s="105"/>
      <c r="AC260" s="105"/>
      <c r="AD260" s="37">
        <f t="shared" si="60"/>
        <v>16197849.508000001</v>
      </c>
      <c r="AE260" s="37">
        <f t="shared" si="62"/>
        <v>280988.46999999997</v>
      </c>
      <c r="AF260" s="37">
        <f t="shared" si="63"/>
        <v>195110.82</v>
      </c>
      <c r="AG260" s="37">
        <f t="shared" si="61"/>
        <v>132865.87800000148</v>
      </c>
    </row>
    <row r="261" spans="1:33" ht="15" customHeight="1" x14ac:dyDescent="0.15">
      <c r="A261" s="102">
        <v>42991</v>
      </c>
      <c r="B261" s="20" t="s">
        <v>36</v>
      </c>
      <c r="C261" s="8">
        <v>49840</v>
      </c>
      <c r="D261" s="37">
        <f>37897+8326</f>
        <v>46223</v>
      </c>
      <c r="E261" s="37">
        <v>99459</v>
      </c>
      <c r="F261" s="12">
        <v>4949.3</v>
      </c>
      <c r="G261" s="37">
        <v>3330.1</v>
      </c>
      <c r="H261" s="24"/>
      <c r="I261" s="36"/>
      <c r="J261" s="8">
        <f t="shared" ref="J261:J324" si="72">E261-D261</f>
        <v>53236</v>
      </c>
      <c r="K261" s="37">
        <v>1671</v>
      </c>
      <c r="L261" s="37">
        <v>759</v>
      </c>
      <c r="M261" s="127">
        <f t="shared" si="59"/>
        <v>966</v>
      </c>
      <c r="N261" s="74">
        <f t="shared" si="71"/>
        <v>774292</v>
      </c>
      <c r="O261" s="75">
        <f t="shared" si="71"/>
        <v>564214</v>
      </c>
      <c r="P261" s="75">
        <f t="shared" si="71"/>
        <v>1369932</v>
      </c>
      <c r="Q261" s="76">
        <f t="shared" si="70"/>
        <v>15638724.34</v>
      </c>
      <c r="R261" s="76">
        <f t="shared" si="70"/>
        <v>8702222</v>
      </c>
      <c r="S261" s="76">
        <f t="shared" si="70"/>
        <v>24953307.508000001</v>
      </c>
      <c r="T261" s="80">
        <f>N261/'2016'!N261-1</f>
        <v>0.18563503256204239</v>
      </c>
      <c r="U261" s="80">
        <f>O261/'2016'!O261-1</f>
        <v>0.40333937734267544</v>
      </c>
      <c r="V261" s="80">
        <f>P261/'2016'!P261-1</f>
        <v>0.27894408122911685</v>
      </c>
      <c r="W261" s="81">
        <f>Q261/'2016'!Q261-1</f>
        <v>8.2019726883969746E-2</v>
      </c>
      <c r="X261" s="81">
        <f>R261/'2016'!R261-1</f>
        <v>0.1411941973945452</v>
      </c>
      <c r="Y261" s="81">
        <f>S261/'2016'!S261-1</f>
        <v>9.9197517467561003E-2</v>
      </c>
      <c r="Z261" s="136">
        <f>(Z262-Z255)/7*6+Z255</f>
        <v>119.33</v>
      </c>
      <c r="AA261" s="136">
        <f>Q261/10000-Z261</f>
        <v>1444.542434</v>
      </c>
      <c r="AB261" s="105"/>
      <c r="AC261" s="105"/>
      <c r="AD261" s="37">
        <f t="shared" si="60"/>
        <v>16251085.508000001</v>
      </c>
      <c r="AE261" s="37">
        <f t="shared" si="62"/>
        <v>282659.46999999997</v>
      </c>
      <c r="AF261" s="37">
        <f t="shared" si="63"/>
        <v>195869.82</v>
      </c>
      <c r="AG261" s="37">
        <f t="shared" si="61"/>
        <v>133831.87800000148</v>
      </c>
    </row>
    <row r="262" spans="1:33" ht="15" customHeight="1" x14ac:dyDescent="0.15">
      <c r="A262" s="102">
        <v>42992</v>
      </c>
      <c r="B262" s="14" t="s">
        <v>37</v>
      </c>
      <c r="C262" s="32">
        <v>48193</v>
      </c>
      <c r="D262" s="33">
        <f>38301+8355</f>
        <v>46656</v>
      </c>
      <c r="E262" s="33">
        <v>97916</v>
      </c>
      <c r="F262" s="119">
        <v>4840.6000000000004</v>
      </c>
      <c r="G262" s="33">
        <v>3265</v>
      </c>
      <c r="H262" s="19"/>
      <c r="I262" s="19"/>
      <c r="J262" s="32">
        <f t="shared" si="72"/>
        <v>51260</v>
      </c>
      <c r="K262" s="33">
        <v>1246</v>
      </c>
      <c r="L262" s="33">
        <v>760</v>
      </c>
      <c r="M262" s="128">
        <f t="shared" ref="M262:M325" si="73">J262-K262-L262-C262</f>
        <v>1061</v>
      </c>
      <c r="N262" s="77">
        <f t="shared" si="71"/>
        <v>822485</v>
      </c>
      <c r="O262" s="78">
        <f t="shared" si="71"/>
        <v>610870</v>
      </c>
      <c r="P262" s="78">
        <f t="shared" si="71"/>
        <v>1467848</v>
      </c>
      <c r="Q262" s="77">
        <f t="shared" si="70"/>
        <v>15686917.34</v>
      </c>
      <c r="R262" s="77">
        <f t="shared" si="70"/>
        <v>8748878</v>
      </c>
      <c r="S262" s="77">
        <f t="shared" si="70"/>
        <v>25051223.508000001</v>
      </c>
      <c r="T262" s="82">
        <f>N262/'2016'!N262-1</f>
        <v>0.17032735613604211</v>
      </c>
      <c r="U262" s="82">
        <f>O262/'2016'!O262-1</f>
        <v>0.39214399336368899</v>
      </c>
      <c r="V262" s="82">
        <f>P262/'2016'!P262-1</f>
        <v>0.26613169650751267</v>
      </c>
      <c r="W262" s="82">
        <f>Q262/'2016'!Q262-1</f>
        <v>8.1633178864057854E-2</v>
      </c>
      <c r="X262" s="82">
        <f>R262/'2016'!R262-1</f>
        <v>0.14181027152859182</v>
      </c>
      <c r="Y262" s="82">
        <f>S262/'2016'!S262-1</f>
        <v>9.9241193522735749E-2</v>
      </c>
      <c r="Z262" s="138">
        <v>119.56</v>
      </c>
      <c r="AA262" s="138">
        <f>Q262/10000-Z262</f>
        <v>1449.1317340000001</v>
      </c>
      <c r="AB262" s="33">
        <v>4269.4799999999996</v>
      </c>
      <c r="AC262" s="33">
        <f>AA262*10000/AB262</f>
        <v>3394.1644743622178</v>
      </c>
      <c r="AD262" s="33">
        <f t="shared" ref="AD262:AD325" si="74">S262-R262</f>
        <v>16302345.508000001</v>
      </c>
      <c r="AE262" s="33">
        <f t="shared" si="62"/>
        <v>283905.46999999997</v>
      </c>
      <c r="AF262" s="33">
        <f t="shared" si="63"/>
        <v>196629.82</v>
      </c>
      <c r="AG262" s="33">
        <f t="shared" ref="AG262:AG325" si="75">AD262-Q262-AE262-AF262</f>
        <v>134892.87800000148</v>
      </c>
    </row>
    <row r="263" spans="1:33" ht="15" customHeight="1" x14ac:dyDescent="0.15">
      <c r="A263" s="102">
        <v>42993</v>
      </c>
      <c r="B263" s="20" t="s">
        <v>38</v>
      </c>
      <c r="C263" s="8">
        <v>57999</v>
      </c>
      <c r="D263" s="37">
        <f>30402+8363</f>
        <v>38765</v>
      </c>
      <c r="E263" s="37">
        <v>99730</v>
      </c>
      <c r="F263" s="12">
        <v>5037.2</v>
      </c>
      <c r="G263" s="37">
        <v>3308</v>
      </c>
      <c r="H263" s="24"/>
      <c r="I263" s="36"/>
      <c r="J263" s="8">
        <f t="shared" si="72"/>
        <v>60965</v>
      </c>
      <c r="K263" s="37">
        <v>1550</v>
      </c>
      <c r="L263" s="37">
        <v>762</v>
      </c>
      <c r="M263" s="127">
        <f t="shared" si="73"/>
        <v>654</v>
      </c>
      <c r="N263" s="74">
        <f t="shared" si="71"/>
        <v>880484</v>
      </c>
      <c r="O263" s="75">
        <f t="shared" si="71"/>
        <v>649635</v>
      </c>
      <c r="P263" s="75">
        <f t="shared" si="71"/>
        <v>1567578</v>
      </c>
      <c r="Q263" s="76">
        <f t="shared" si="70"/>
        <v>15744916.34</v>
      </c>
      <c r="R263" s="76">
        <f t="shared" si="70"/>
        <v>8787643</v>
      </c>
      <c r="S263" s="76">
        <f t="shared" si="70"/>
        <v>25150953.508000001</v>
      </c>
      <c r="T263" s="80">
        <f>N263/'2016'!N263-1</f>
        <v>0.18240368707161436</v>
      </c>
      <c r="U263" s="80">
        <f>O263/'2016'!O263-1</f>
        <v>0.40479846034080103</v>
      </c>
      <c r="V263" s="80">
        <f>P263/'2016'!P263-1</f>
        <v>0.27806757644787461</v>
      </c>
      <c r="W263" s="81">
        <f>Q263/'2016'!Q263-1</f>
        <v>8.250679930636684E-2</v>
      </c>
      <c r="X263" s="81">
        <f>R263/'2016'!R263-1</f>
        <v>0.14334168322397978</v>
      </c>
      <c r="Y263" s="81">
        <f>S263/'2016'!S263-1</f>
        <v>0.10037239013803534</v>
      </c>
      <c r="Z263" s="136"/>
      <c r="AA263" s="136"/>
      <c r="AB263" s="105"/>
      <c r="AC263" s="105"/>
      <c r="AD263" s="37">
        <f t="shared" si="74"/>
        <v>16363310.508000001</v>
      </c>
      <c r="AE263" s="37">
        <f t="shared" ref="AE263:AE326" si="76">AE262+K263</f>
        <v>285455.46999999997</v>
      </c>
      <c r="AF263" s="37">
        <f t="shared" ref="AF263:AF326" si="77">AF262+L263</f>
        <v>197391.82</v>
      </c>
      <c r="AG263" s="37">
        <f t="shared" si="75"/>
        <v>135546.87800000148</v>
      </c>
    </row>
    <row r="264" spans="1:33" ht="15" customHeight="1" x14ac:dyDescent="0.15">
      <c r="A264" s="102">
        <v>42994</v>
      </c>
      <c r="B264" s="20" t="s">
        <v>39</v>
      </c>
      <c r="C264" s="70">
        <v>52094</v>
      </c>
      <c r="D264" s="71">
        <f>34821+8272</f>
        <v>43093</v>
      </c>
      <c r="E264" s="71">
        <v>97992</v>
      </c>
      <c r="F264" s="120">
        <v>4827.3</v>
      </c>
      <c r="G264" s="71">
        <v>3294.1</v>
      </c>
      <c r="H264" s="24"/>
      <c r="I264" s="24"/>
      <c r="J264" s="70">
        <f t="shared" si="72"/>
        <v>54899</v>
      </c>
      <c r="K264" s="71">
        <v>987</v>
      </c>
      <c r="L264" s="71">
        <v>760</v>
      </c>
      <c r="M264" s="129">
        <f t="shared" si="73"/>
        <v>1058</v>
      </c>
      <c r="N264" s="74">
        <f t="shared" si="71"/>
        <v>932578</v>
      </c>
      <c r="O264" s="75">
        <f t="shared" si="71"/>
        <v>692728</v>
      </c>
      <c r="P264" s="75">
        <f t="shared" si="71"/>
        <v>1665570</v>
      </c>
      <c r="Q264" s="76">
        <f t="shared" si="70"/>
        <v>15797010.34</v>
      </c>
      <c r="R264" s="76">
        <f t="shared" si="70"/>
        <v>8830736</v>
      </c>
      <c r="S264" s="76">
        <f t="shared" si="70"/>
        <v>25248945.508000001</v>
      </c>
      <c r="T264" s="80">
        <f>N264/'2016'!N264-1</f>
        <v>0.17381152869713423</v>
      </c>
      <c r="U264" s="80">
        <f>O264/'2016'!O264-1</f>
        <v>0.42067743496771981</v>
      </c>
      <c r="V264" s="80">
        <f>P264/'2016'!P264-1</f>
        <v>0.27748823617390905</v>
      </c>
      <c r="W264" s="81">
        <f>Q264/'2016'!Q264-1</f>
        <v>8.2380150817793707E-2</v>
      </c>
      <c r="X264" s="81">
        <f>R264/'2016'!R264-1</f>
        <v>0.14519900097171701</v>
      </c>
      <c r="Y264" s="81">
        <f>S264/'2016'!S264-1</f>
        <v>0.10093809659956143</v>
      </c>
      <c r="Z264" s="139"/>
      <c r="AA264" s="139"/>
      <c r="AB264" s="105"/>
      <c r="AC264" s="105"/>
      <c r="AD264" s="37">
        <f t="shared" si="74"/>
        <v>16418209.508000001</v>
      </c>
      <c r="AE264" s="71">
        <f t="shared" si="76"/>
        <v>286442.46999999997</v>
      </c>
      <c r="AF264" s="71">
        <f t="shared" si="77"/>
        <v>198151.82</v>
      </c>
      <c r="AG264" s="71">
        <f t="shared" si="75"/>
        <v>136604.87800000148</v>
      </c>
    </row>
    <row r="265" spans="1:33" ht="15" customHeight="1" x14ac:dyDescent="0.15">
      <c r="A265" s="102">
        <v>42995</v>
      </c>
      <c r="B265" s="20" t="s">
        <v>1</v>
      </c>
      <c r="C265" s="8">
        <v>50660</v>
      </c>
      <c r="D265" s="37">
        <f>33804+8313</f>
        <v>42117</v>
      </c>
      <c r="E265" s="37">
        <v>95042</v>
      </c>
      <c r="F265" s="12">
        <v>4560.8999999999996</v>
      </c>
      <c r="G265" s="37">
        <v>3288.9</v>
      </c>
      <c r="H265" s="24"/>
      <c r="I265" s="36"/>
      <c r="J265" s="8">
        <f t="shared" si="72"/>
        <v>52925</v>
      </c>
      <c r="K265" s="37">
        <v>492</v>
      </c>
      <c r="L265" s="37">
        <v>766</v>
      </c>
      <c r="M265" s="127">
        <f t="shared" si="73"/>
        <v>1007</v>
      </c>
      <c r="N265" s="74">
        <f t="shared" si="71"/>
        <v>983238</v>
      </c>
      <c r="O265" s="75">
        <f t="shared" si="71"/>
        <v>734845</v>
      </c>
      <c r="P265" s="75">
        <f t="shared" si="71"/>
        <v>1760612</v>
      </c>
      <c r="Q265" s="76">
        <f t="shared" ref="Q265:S278" si="78">Q$248+N265</f>
        <v>15847670.34</v>
      </c>
      <c r="R265" s="76">
        <f t="shared" si="78"/>
        <v>8872853</v>
      </c>
      <c r="S265" s="76">
        <f t="shared" si="78"/>
        <v>25343987.508000001</v>
      </c>
      <c r="T265" s="80">
        <f>N265/'2016'!N265-1</f>
        <v>0.15913294736358141</v>
      </c>
      <c r="U265" s="80">
        <f>O265/'2016'!O265-1</f>
        <v>0.42362436286637006</v>
      </c>
      <c r="V265" s="80">
        <f>P265/'2016'!P265-1</f>
        <v>0.26828066515486371</v>
      </c>
      <c r="W265" s="81">
        <f>Q265/'2016'!Q265-1</f>
        <v>8.1865745232110765E-2</v>
      </c>
      <c r="X265" s="81">
        <f>R265/'2016'!R265-1</f>
        <v>0.14641261098021263</v>
      </c>
      <c r="Y265" s="81">
        <f>S265/'2016'!S265-1</f>
        <v>0.10103017593378727</v>
      </c>
      <c r="Z265" s="136"/>
      <c r="AA265" s="136"/>
      <c r="AB265" s="105"/>
      <c r="AC265" s="105"/>
      <c r="AD265" s="37">
        <f t="shared" si="74"/>
        <v>16471134.508000001</v>
      </c>
      <c r="AE265" s="37">
        <f t="shared" si="76"/>
        <v>286934.46999999997</v>
      </c>
      <c r="AF265" s="37">
        <f t="shared" si="77"/>
        <v>198917.82</v>
      </c>
      <c r="AG265" s="37">
        <f t="shared" si="75"/>
        <v>137611.87800000148</v>
      </c>
    </row>
    <row r="266" spans="1:33" ht="15" customHeight="1" x14ac:dyDescent="0.15">
      <c r="A266" s="102">
        <v>42996</v>
      </c>
      <c r="B266" s="20" t="s">
        <v>34</v>
      </c>
      <c r="C266" s="8">
        <v>61286</v>
      </c>
      <c r="D266" s="37">
        <f>31637+8492</f>
        <v>40129</v>
      </c>
      <c r="E266" s="37">
        <v>103316</v>
      </c>
      <c r="F266" s="12">
        <v>5171.5</v>
      </c>
      <c r="G266" s="37">
        <v>3280.7</v>
      </c>
      <c r="H266" s="24"/>
      <c r="I266" s="36"/>
      <c r="J266" s="8">
        <f t="shared" si="72"/>
        <v>63187</v>
      </c>
      <c r="K266" s="37">
        <v>282</v>
      </c>
      <c r="L266" s="37">
        <v>763</v>
      </c>
      <c r="M266" s="127">
        <f t="shared" si="73"/>
        <v>856</v>
      </c>
      <c r="N266" s="74">
        <f t="shared" ref="N266:P278" si="79">C266+N265</f>
        <v>1044524</v>
      </c>
      <c r="O266" s="75">
        <f t="shared" si="79"/>
        <v>774974</v>
      </c>
      <c r="P266" s="75">
        <f t="shared" si="79"/>
        <v>1863928</v>
      </c>
      <c r="Q266" s="76">
        <f t="shared" si="78"/>
        <v>15908956.34</v>
      </c>
      <c r="R266" s="76">
        <f t="shared" si="78"/>
        <v>8912982</v>
      </c>
      <c r="S266" s="76">
        <f t="shared" si="78"/>
        <v>25447303.508000001</v>
      </c>
      <c r="T266" s="80">
        <f>N266/'2016'!N266-1</f>
        <v>0.16233993850700901</v>
      </c>
      <c r="U266" s="80">
        <f>O266/'2016'!O266-1</f>
        <v>0.41428420218920281</v>
      </c>
      <c r="V266" s="80">
        <f>P266/'2016'!P266-1</f>
        <v>0.26575583957690618</v>
      </c>
      <c r="W266" s="81">
        <f>Q266/'2016'!Q266-1</f>
        <v>8.2326673333401823E-2</v>
      </c>
      <c r="X266" s="81">
        <f>R266/'2016'!R266-1</f>
        <v>0.1468877562246742</v>
      </c>
      <c r="Y266" s="81">
        <f>S266/'2016'!S266-1</f>
        <v>0.10148019711775214</v>
      </c>
      <c r="Z266" s="136"/>
      <c r="AA266" s="136"/>
      <c r="AB266" s="105"/>
      <c r="AC266" s="105"/>
      <c r="AD266" s="37">
        <f t="shared" si="74"/>
        <v>16534321.508000001</v>
      </c>
      <c r="AE266" s="37">
        <f t="shared" si="76"/>
        <v>287216.46999999997</v>
      </c>
      <c r="AF266" s="37">
        <f t="shared" si="77"/>
        <v>199680.82</v>
      </c>
      <c r="AG266" s="37">
        <f t="shared" si="75"/>
        <v>138467.87800000148</v>
      </c>
    </row>
    <row r="267" spans="1:33" ht="15" customHeight="1" x14ac:dyDescent="0.15">
      <c r="A267" s="102">
        <v>42997</v>
      </c>
      <c r="B267" s="20" t="s">
        <v>35</v>
      </c>
      <c r="C267" s="8">
        <v>64682</v>
      </c>
      <c r="D267" s="37">
        <f>32403+8601</f>
        <v>41004</v>
      </c>
      <c r="E267" s="37">
        <v>107808</v>
      </c>
      <c r="F267" s="12">
        <v>5372.5</v>
      </c>
      <c r="G267" s="37">
        <v>3480.3</v>
      </c>
      <c r="H267" s="24"/>
      <c r="I267" s="36"/>
      <c r="J267" s="8">
        <f t="shared" si="72"/>
        <v>66804</v>
      </c>
      <c r="K267" s="37">
        <v>727</v>
      </c>
      <c r="L267" s="37">
        <v>764</v>
      </c>
      <c r="M267" s="127">
        <f t="shared" si="73"/>
        <v>631</v>
      </c>
      <c r="N267" s="74">
        <f t="shared" si="79"/>
        <v>1109206</v>
      </c>
      <c r="O267" s="75">
        <f t="shared" si="79"/>
        <v>815978</v>
      </c>
      <c r="P267" s="75">
        <f t="shared" si="79"/>
        <v>1971736</v>
      </c>
      <c r="Q267" s="76">
        <f t="shared" si="78"/>
        <v>15973638.34</v>
      </c>
      <c r="R267" s="76">
        <f t="shared" si="78"/>
        <v>8953986</v>
      </c>
      <c r="S267" s="76">
        <f t="shared" si="78"/>
        <v>25555111.508000001</v>
      </c>
      <c r="T267" s="80">
        <f>N267/'2016'!N267-1</f>
        <v>0.16870722209110212</v>
      </c>
      <c r="U267" s="80">
        <f>O267/'2016'!O267-1</f>
        <v>0.40077731503575853</v>
      </c>
      <c r="V267" s="80">
        <f>P267/'2016'!P267-1</f>
        <v>0.26439532393246257</v>
      </c>
      <c r="W267" s="81">
        <f>Q267/'2016'!Q267-1</f>
        <v>8.301007546257444E-2</v>
      </c>
      <c r="X267" s="81">
        <f>R267/'2016'!R267-1</f>
        <v>0.14706353709393283</v>
      </c>
      <c r="Y267" s="81">
        <f>S267/'2016'!S267-1</f>
        <v>0.10200394517502076</v>
      </c>
      <c r="Z267" s="136"/>
      <c r="AA267" s="136"/>
      <c r="AB267" s="105"/>
      <c r="AC267" s="105"/>
      <c r="AD267" s="37">
        <f t="shared" si="74"/>
        <v>16601125.508000001</v>
      </c>
      <c r="AE267" s="37">
        <f t="shared" si="76"/>
        <v>287943.46999999997</v>
      </c>
      <c r="AF267" s="37">
        <f t="shared" si="77"/>
        <v>200444.82</v>
      </c>
      <c r="AG267" s="37">
        <f t="shared" si="75"/>
        <v>139098.87800000148</v>
      </c>
    </row>
    <row r="268" spans="1:33" ht="15" customHeight="1" x14ac:dyDescent="0.15">
      <c r="A268" s="102">
        <v>42998</v>
      </c>
      <c r="B268" s="20" t="s">
        <v>36</v>
      </c>
      <c r="C268" s="8">
        <v>63596</v>
      </c>
      <c r="D268" s="37">
        <f>32638+8628</f>
        <v>41266</v>
      </c>
      <c r="E268" s="37">
        <v>106519</v>
      </c>
      <c r="F268" s="12">
        <v>5432.9</v>
      </c>
      <c r="G268" s="37">
        <v>3577.5</v>
      </c>
      <c r="H268" s="24"/>
      <c r="I268" s="36"/>
      <c r="J268" s="8">
        <f t="shared" si="72"/>
        <v>65253</v>
      </c>
      <c r="K268" s="37">
        <v>579</v>
      </c>
      <c r="L268" s="37">
        <v>765</v>
      </c>
      <c r="M268" s="127">
        <f t="shared" si="73"/>
        <v>313</v>
      </c>
      <c r="N268" s="74">
        <f t="shared" si="79"/>
        <v>1172802</v>
      </c>
      <c r="O268" s="75">
        <f t="shared" si="79"/>
        <v>857244</v>
      </c>
      <c r="P268" s="75">
        <f t="shared" si="79"/>
        <v>2078255</v>
      </c>
      <c r="Q268" s="76">
        <f t="shared" si="78"/>
        <v>16037234.34</v>
      </c>
      <c r="R268" s="76">
        <f t="shared" si="78"/>
        <v>8995252</v>
      </c>
      <c r="S268" s="76">
        <f t="shared" si="78"/>
        <v>25661630.508000001</v>
      </c>
      <c r="T268" s="80">
        <f>N268/'2016'!N268-1</f>
        <v>0.17374686622731295</v>
      </c>
      <c r="U268" s="80">
        <f>O268/'2016'!O268-1</f>
        <v>0.38656530529720978</v>
      </c>
      <c r="V268" s="80">
        <f>P268/'2016'!P268-1</f>
        <v>0.26171864091085162</v>
      </c>
      <c r="W268" s="81">
        <f>Q268/'2016'!Q268-1</f>
        <v>8.3640480140924511E-2</v>
      </c>
      <c r="X268" s="81">
        <f>R268/'2016'!R268-1</f>
        <v>0.14709913196549906</v>
      </c>
      <c r="Y268" s="81">
        <f>S268/'2016'!S268-1</f>
        <v>0.10242658634735968</v>
      </c>
      <c r="Z268" s="136">
        <f>(Z269-Z262)/7*6+Z262</f>
        <v>120.81142857142856</v>
      </c>
      <c r="AA268" s="136">
        <f>Q268/10000-Z268</f>
        <v>1482.9120054285713</v>
      </c>
      <c r="AB268" s="105"/>
      <c r="AC268" s="105"/>
      <c r="AD268" s="37">
        <f t="shared" si="74"/>
        <v>16666378.508000001</v>
      </c>
      <c r="AE268" s="37">
        <f t="shared" si="76"/>
        <v>288522.46999999997</v>
      </c>
      <c r="AF268" s="37">
        <f t="shared" si="77"/>
        <v>201209.82</v>
      </c>
      <c r="AG268" s="37">
        <f t="shared" si="75"/>
        <v>139411.87800000148</v>
      </c>
    </row>
    <row r="269" spans="1:33" ht="15" customHeight="1" x14ac:dyDescent="0.15">
      <c r="A269" s="102">
        <v>42999</v>
      </c>
      <c r="B269" s="14" t="s">
        <v>37</v>
      </c>
      <c r="C269" s="32">
        <v>62527</v>
      </c>
      <c r="D269" s="33">
        <f>32049+8619</f>
        <v>40668</v>
      </c>
      <c r="E269" s="33">
        <v>104698</v>
      </c>
      <c r="F269" s="119">
        <v>5304</v>
      </c>
      <c r="G269" s="33">
        <v>3462</v>
      </c>
      <c r="H269" s="19"/>
      <c r="I269" s="19"/>
      <c r="J269" s="32">
        <f t="shared" si="72"/>
        <v>64030</v>
      </c>
      <c r="K269" s="33">
        <v>492</v>
      </c>
      <c r="L269" s="33">
        <v>776</v>
      </c>
      <c r="M269" s="128">
        <f t="shared" si="73"/>
        <v>235</v>
      </c>
      <c r="N269" s="77">
        <f t="shared" si="79"/>
        <v>1235329</v>
      </c>
      <c r="O269" s="78">
        <f t="shared" si="79"/>
        <v>897912</v>
      </c>
      <c r="P269" s="78">
        <f t="shared" si="79"/>
        <v>2182953</v>
      </c>
      <c r="Q269" s="77">
        <f t="shared" si="78"/>
        <v>16099761.34</v>
      </c>
      <c r="R269" s="77">
        <f t="shared" si="78"/>
        <v>9035920</v>
      </c>
      <c r="S269" s="77">
        <f t="shared" si="78"/>
        <v>25766328.508000001</v>
      </c>
      <c r="T269" s="82">
        <f>N269/'2016'!N269-1</f>
        <v>0.17339152818476711</v>
      </c>
      <c r="U269" s="82">
        <f>O269/'2016'!O269-1</f>
        <v>0.37350016826261201</v>
      </c>
      <c r="V269" s="82">
        <f>P269/'2016'!P269-1</f>
        <v>0.25614014291419274</v>
      </c>
      <c r="W269" s="82">
        <f>Q269/'2016'!Q269-1</f>
        <v>8.3940399899144813E-2</v>
      </c>
      <c r="X269" s="82">
        <f>R269/'2016'!R269-1</f>
        <v>0.1470937305491562</v>
      </c>
      <c r="Y269" s="82">
        <f>S269/'2016'!S269-1</f>
        <v>0.10262975229600202</v>
      </c>
      <c r="Z269" s="138">
        <v>121.02</v>
      </c>
      <c r="AA269" s="138">
        <f>Q269/10000-Z269</f>
        <v>1488.956134</v>
      </c>
      <c r="AB269" s="33">
        <v>4269.4799999999996</v>
      </c>
      <c r="AC269" s="33">
        <f>AA269*10000/AB269</f>
        <v>3487.441407384506</v>
      </c>
      <c r="AD269" s="33">
        <f t="shared" si="74"/>
        <v>16730408.508000001</v>
      </c>
      <c r="AE269" s="33">
        <f t="shared" si="76"/>
        <v>289014.46999999997</v>
      </c>
      <c r="AF269" s="33">
        <f t="shared" si="77"/>
        <v>201985.82</v>
      </c>
      <c r="AG269" s="33">
        <f t="shared" si="75"/>
        <v>139646.87800000148</v>
      </c>
    </row>
    <row r="270" spans="1:33" ht="15" customHeight="1" x14ac:dyDescent="0.15">
      <c r="A270" s="102">
        <v>43000</v>
      </c>
      <c r="B270" s="20" t="s">
        <v>38</v>
      </c>
      <c r="C270" s="8">
        <v>63784</v>
      </c>
      <c r="D270" s="37">
        <f>32142+8627</f>
        <v>40769</v>
      </c>
      <c r="E270" s="37">
        <v>105988</v>
      </c>
      <c r="F270" s="12">
        <v>5349.5</v>
      </c>
      <c r="G270" s="37">
        <v>3464.4</v>
      </c>
      <c r="H270" s="24"/>
      <c r="I270" s="36"/>
      <c r="J270" s="8">
        <f t="shared" si="72"/>
        <v>65219</v>
      </c>
      <c r="K270" s="37">
        <v>349</v>
      </c>
      <c r="L270" s="37">
        <v>756</v>
      </c>
      <c r="M270" s="127">
        <f t="shared" si="73"/>
        <v>330</v>
      </c>
      <c r="N270" s="74">
        <f t="shared" si="79"/>
        <v>1299113</v>
      </c>
      <c r="O270" s="75">
        <f t="shared" si="79"/>
        <v>938681</v>
      </c>
      <c r="P270" s="75">
        <f t="shared" si="79"/>
        <v>2288941</v>
      </c>
      <c r="Q270" s="76">
        <f t="shared" si="78"/>
        <v>16163545.34</v>
      </c>
      <c r="R270" s="76">
        <f t="shared" si="78"/>
        <v>9076689</v>
      </c>
      <c r="S270" s="76">
        <f t="shared" si="78"/>
        <v>25872316.508000001</v>
      </c>
      <c r="T270" s="80">
        <f>N270/'2016'!N270-1</f>
        <v>0.17315382059080631</v>
      </c>
      <c r="U270" s="80">
        <f>O270/'2016'!O270-1</f>
        <v>0.36185792111887305</v>
      </c>
      <c r="V270" s="80">
        <f>P270/'2016'!P270-1</f>
        <v>0.25077239508596061</v>
      </c>
      <c r="W270" s="81">
        <f>Q270/'2016'!Q270-1</f>
        <v>8.4250261175893293E-2</v>
      </c>
      <c r="X270" s="81">
        <f>R270/'2016'!R270-1</f>
        <v>0.14709606794296914</v>
      </c>
      <c r="Y270" s="81">
        <f>S270/'2016'!S270-1</f>
        <v>0.10281431744454439</v>
      </c>
      <c r="Z270" s="136"/>
      <c r="AA270" s="136"/>
      <c r="AB270" s="105"/>
      <c r="AC270" s="105"/>
      <c r="AD270" s="37">
        <f t="shared" si="74"/>
        <v>16795627.508000001</v>
      </c>
      <c r="AE270" s="37">
        <f t="shared" si="76"/>
        <v>289363.46999999997</v>
      </c>
      <c r="AF270" s="37">
        <f t="shared" si="77"/>
        <v>202741.82</v>
      </c>
      <c r="AG270" s="37">
        <f t="shared" si="75"/>
        <v>139976.87800000148</v>
      </c>
    </row>
    <row r="271" spans="1:33" ht="15" customHeight="1" x14ac:dyDescent="0.15">
      <c r="A271" s="102">
        <v>43001</v>
      </c>
      <c r="B271" s="20" t="s">
        <v>39</v>
      </c>
      <c r="C271" s="70">
        <v>59428</v>
      </c>
      <c r="D271" s="71">
        <f>33649+8715</f>
        <v>42364</v>
      </c>
      <c r="E271" s="71">
        <v>103549</v>
      </c>
      <c r="F271" s="120">
        <v>5262.5</v>
      </c>
      <c r="G271" s="71">
        <v>3499.5</v>
      </c>
      <c r="H271" s="24"/>
      <c r="I271" s="24"/>
      <c r="J271" s="70">
        <f t="shared" si="72"/>
        <v>61185</v>
      </c>
      <c r="K271" s="71">
        <v>610</v>
      </c>
      <c r="L271" s="71">
        <v>773</v>
      </c>
      <c r="M271" s="129">
        <f t="shared" si="73"/>
        <v>374</v>
      </c>
      <c r="N271" s="74">
        <f t="shared" si="79"/>
        <v>1358541</v>
      </c>
      <c r="O271" s="75">
        <f t="shared" si="79"/>
        <v>981045</v>
      </c>
      <c r="P271" s="75">
        <f t="shared" si="79"/>
        <v>2392490</v>
      </c>
      <c r="Q271" s="76">
        <f t="shared" si="78"/>
        <v>16222973.34</v>
      </c>
      <c r="R271" s="76">
        <f t="shared" si="78"/>
        <v>9119053</v>
      </c>
      <c r="S271" s="76">
        <f t="shared" si="78"/>
        <v>25975865.508000001</v>
      </c>
      <c r="T271" s="80">
        <f>N271/'2016'!N271-1</f>
        <v>0.16711038718373628</v>
      </c>
      <c r="U271" s="80">
        <f>O271/'2016'!O271-1</f>
        <v>0.35484552569323902</v>
      </c>
      <c r="V271" s="80">
        <f>P271/'2016'!P271-1</f>
        <v>0.24365046856059269</v>
      </c>
      <c r="W271" s="81">
        <f>Q271/'2016'!Q271-1</f>
        <v>8.4116740780064037E-2</v>
      </c>
      <c r="X271" s="81">
        <f>R271/'2016'!R271-1</f>
        <v>0.14739851955120997</v>
      </c>
      <c r="Y271" s="81">
        <f>S271/'2016'!S271-1</f>
        <v>0.10282149160610743</v>
      </c>
      <c r="Z271" s="139"/>
      <c r="AA271" s="139"/>
      <c r="AB271" s="105"/>
      <c r="AC271" s="105"/>
      <c r="AD271" s="37">
        <f t="shared" si="74"/>
        <v>16856812.508000001</v>
      </c>
      <c r="AE271" s="71">
        <f t="shared" si="76"/>
        <v>289973.46999999997</v>
      </c>
      <c r="AF271" s="71">
        <f t="shared" si="77"/>
        <v>203514.82</v>
      </c>
      <c r="AG271" s="71">
        <f t="shared" si="75"/>
        <v>140350.87800000148</v>
      </c>
    </row>
    <row r="272" spans="1:33" ht="15" customHeight="1" x14ac:dyDescent="0.15">
      <c r="A272" s="102">
        <v>43002</v>
      </c>
      <c r="B272" s="20" t="s">
        <v>1</v>
      </c>
      <c r="C272" s="8">
        <v>57816</v>
      </c>
      <c r="D272" s="37">
        <f>32993+8724</f>
        <v>41717</v>
      </c>
      <c r="E272" s="37">
        <v>101630</v>
      </c>
      <c r="F272" s="12">
        <v>4985.2</v>
      </c>
      <c r="G272" s="37">
        <v>3412</v>
      </c>
      <c r="H272" s="24"/>
      <c r="I272" s="36"/>
      <c r="J272" s="8">
        <f t="shared" si="72"/>
        <v>59913</v>
      </c>
      <c r="K272" s="37">
        <v>878</v>
      </c>
      <c r="L272" s="37">
        <v>771</v>
      </c>
      <c r="M272" s="127">
        <f t="shared" si="73"/>
        <v>448</v>
      </c>
      <c r="N272" s="74">
        <f t="shared" si="79"/>
        <v>1416357</v>
      </c>
      <c r="O272" s="75">
        <f t="shared" si="79"/>
        <v>1022762</v>
      </c>
      <c r="P272" s="75">
        <f t="shared" si="79"/>
        <v>2494120</v>
      </c>
      <c r="Q272" s="76">
        <f t="shared" si="78"/>
        <v>16280789.34</v>
      </c>
      <c r="R272" s="76">
        <f t="shared" si="78"/>
        <v>9160770</v>
      </c>
      <c r="S272" s="76">
        <f t="shared" si="78"/>
        <v>26077495.508000001</v>
      </c>
      <c r="T272" s="80">
        <f>N272/'2016'!N272-1</f>
        <v>0.15940122525023992</v>
      </c>
      <c r="U272" s="80">
        <f>O272/'2016'!O272-1</f>
        <v>0.34941841441403398</v>
      </c>
      <c r="V272" s="80">
        <f>P272/'2016'!P272-1</f>
        <v>0.23632499011086727</v>
      </c>
      <c r="W272" s="81">
        <f>Q272/'2016'!Q272-1</f>
        <v>8.3808075949161509E-2</v>
      </c>
      <c r="X272" s="81">
        <f>R272/'2016'!R272-1</f>
        <v>0.14776235848847397</v>
      </c>
      <c r="Y272" s="81">
        <f>S272/'2016'!S272-1</f>
        <v>0.10275398806973035</v>
      </c>
      <c r="Z272" s="136"/>
      <c r="AA272" s="136"/>
      <c r="AB272" s="105"/>
      <c r="AC272" s="105"/>
      <c r="AD272" s="37">
        <f t="shared" si="74"/>
        <v>16916725.508000001</v>
      </c>
      <c r="AE272" s="37">
        <f t="shared" si="76"/>
        <v>290851.46999999997</v>
      </c>
      <c r="AF272" s="37">
        <f t="shared" si="77"/>
        <v>204285.82</v>
      </c>
      <c r="AG272" s="37">
        <f t="shared" si="75"/>
        <v>140798.87800000148</v>
      </c>
    </row>
    <row r="273" spans="1:33" ht="15" customHeight="1" x14ac:dyDescent="0.15">
      <c r="A273" s="102">
        <v>43003</v>
      </c>
      <c r="B273" s="20" t="s">
        <v>34</v>
      </c>
      <c r="C273" s="8">
        <v>64122</v>
      </c>
      <c r="D273" s="37">
        <f>35966+8430</f>
        <v>44396</v>
      </c>
      <c r="E273" s="37">
        <v>111262</v>
      </c>
      <c r="F273" s="12">
        <v>5600.9</v>
      </c>
      <c r="G273" s="37">
        <v>3432.7</v>
      </c>
      <c r="H273" s="24"/>
      <c r="I273" s="36"/>
      <c r="J273" s="8">
        <f t="shared" si="72"/>
        <v>66866</v>
      </c>
      <c r="K273" s="37">
        <v>1566</v>
      </c>
      <c r="L273" s="37">
        <v>774</v>
      </c>
      <c r="M273" s="127">
        <f t="shared" si="73"/>
        <v>404</v>
      </c>
      <c r="N273" s="74">
        <f t="shared" si="79"/>
        <v>1480479</v>
      </c>
      <c r="O273" s="75">
        <f t="shared" si="79"/>
        <v>1067158</v>
      </c>
      <c r="P273" s="75">
        <f t="shared" si="79"/>
        <v>2605382</v>
      </c>
      <c r="Q273" s="76">
        <f t="shared" si="78"/>
        <v>16344911.34</v>
      </c>
      <c r="R273" s="76">
        <f t="shared" si="78"/>
        <v>9205166</v>
      </c>
      <c r="S273" s="76">
        <f t="shared" si="78"/>
        <v>26188757.508000001</v>
      </c>
      <c r="T273" s="80">
        <f>N273/'2016'!N273-1</f>
        <v>0.16039095658171654</v>
      </c>
      <c r="U273" s="80">
        <f>O273/'2016'!O273-1</f>
        <v>0.34767525708750768</v>
      </c>
      <c r="V273" s="80">
        <f>P273/'2016'!P273-1</f>
        <v>0.23599369047760232</v>
      </c>
      <c r="W273" s="81">
        <f>Q273/'2016'!Q273-1</f>
        <v>8.4163684730521382E-2</v>
      </c>
      <c r="X273" s="81">
        <f>R273/'2016'!R273-1</f>
        <v>0.1484436093790158</v>
      </c>
      <c r="Y273" s="81">
        <f>S273/'2016'!S273-1</f>
        <v>0.10323413048978325</v>
      </c>
      <c r="Z273" s="136"/>
      <c r="AA273" s="136"/>
      <c r="AB273" s="105"/>
      <c r="AC273" s="105"/>
      <c r="AD273" s="37">
        <f t="shared" si="74"/>
        <v>16983591.508000001</v>
      </c>
      <c r="AE273" s="37">
        <f t="shared" si="76"/>
        <v>292417.46999999997</v>
      </c>
      <c r="AF273" s="37">
        <f t="shared" si="77"/>
        <v>205059.82</v>
      </c>
      <c r="AG273" s="37">
        <f t="shared" si="75"/>
        <v>141202.87800000148</v>
      </c>
    </row>
    <row r="274" spans="1:33" ht="15" customHeight="1" x14ac:dyDescent="0.15">
      <c r="A274" s="102">
        <v>43004</v>
      </c>
      <c r="B274" s="20" t="s">
        <v>35</v>
      </c>
      <c r="C274" s="8">
        <v>71330</v>
      </c>
      <c r="D274" s="37">
        <f>36107+8507</f>
        <v>44614</v>
      </c>
      <c r="E274" s="37">
        <v>118859</v>
      </c>
      <c r="F274" s="12">
        <v>5949.3</v>
      </c>
      <c r="G274" s="37">
        <v>3707.2</v>
      </c>
      <c r="H274" s="24"/>
      <c r="I274" s="36"/>
      <c r="J274" s="8">
        <f t="shared" si="72"/>
        <v>74245</v>
      </c>
      <c r="K274" s="37">
        <v>1493</v>
      </c>
      <c r="L274" s="37">
        <v>468</v>
      </c>
      <c r="M274" s="127">
        <f t="shared" si="73"/>
        <v>954</v>
      </c>
      <c r="N274" s="74">
        <f t="shared" si="79"/>
        <v>1551809</v>
      </c>
      <c r="O274" s="75">
        <f t="shared" si="79"/>
        <v>1111772</v>
      </c>
      <c r="P274" s="75">
        <f t="shared" si="79"/>
        <v>2724241</v>
      </c>
      <c r="Q274" s="76">
        <f t="shared" si="78"/>
        <v>16416241.34</v>
      </c>
      <c r="R274" s="76">
        <f t="shared" si="78"/>
        <v>9249780</v>
      </c>
      <c r="S274" s="76">
        <f t="shared" si="78"/>
        <v>26307616.508000001</v>
      </c>
      <c r="T274" s="80">
        <f>N274/'2016'!N274-1</f>
        <v>0.16294471061070359</v>
      </c>
      <c r="U274" s="80">
        <f>O274/'2016'!O274-1</f>
        <v>0.34443282201355596</v>
      </c>
      <c r="V274" s="80">
        <f>P274/'2016'!P274-1</f>
        <v>0.2359587723532679</v>
      </c>
      <c r="W274" s="81">
        <f>Q274/'2016'!Q274-1</f>
        <v>8.468365675473577E-2</v>
      </c>
      <c r="X274" s="81">
        <f>R274/'2016'!R274-1</f>
        <v>0.14897904883140467</v>
      </c>
      <c r="Y274" s="81">
        <f>S274/'2016'!S274-1</f>
        <v>0.10376689371470338</v>
      </c>
      <c r="Z274" s="136"/>
      <c r="AA274" s="136"/>
      <c r="AB274" s="105"/>
      <c r="AC274" s="105"/>
      <c r="AD274" s="37">
        <f t="shared" si="74"/>
        <v>17057836.508000001</v>
      </c>
      <c r="AE274" s="37">
        <f t="shared" si="76"/>
        <v>293910.46999999997</v>
      </c>
      <c r="AF274" s="37">
        <f t="shared" si="77"/>
        <v>205527.82</v>
      </c>
      <c r="AG274" s="37">
        <f t="shared" si="75"/>
        <v>142156.87800000148</v>
      </c>
    </row>
    <row r="275" spans="1:33" ht="15" customHeight="1" x14ac:dyDescent="0.15">
      <c r="A275" s="102">
        <v>43005</v>
      </c>
      <c r="B275" s="20" t="s">
        <v>36</v>
      </c>
      <c r="C275" s="8">
        <v>69732</v>
      </c>
      <c r="D275" s="37">
        <f>35827+8542</f>
        <v>44369</v>
      </c>
      <c r="E275" s="37">
        <v>116425</v>
      </c>
      <c r="F275" s="12">
        <v>5878.6</v>
      </c>
      <c r="G275" s="37">
        <v>3910.6</v>
      </c>
      <c r="H275" s="24"/>
      <c r="I275" s="36"/>
      <c r="J275" s="8">
        <f t="shared" si="72"/>
        <v>72056</v>
      </c>
      <c r="K275" s="37">
        <v>1059</v>
      </c>
      <c r="L275" s="37">
        <v>770</v>
      </c>
      <c r="M275" s="127">
        <f t="shared" si="73"/>
        <v>495</v>
      </c>
      <c r="N275" s="74">
        <f t="shared" si="79"/>
        <v>1621541</v>
      </c>
      <c r="O275" s="75">
        <f t="shared" si="79"/>
        <v>1156141</v>
      </c>
      <c r="P275" s="75">
        <f t="shared" si="79"/>
        <v>2840666</v>
      </c>
      <c r="Q275" s="76">
        <f t="shared" si="78"/>
        <v>16485973.34</v>
      </c>
      <c r="R275" s="76">
        <f t="shared" si="78"/>
        <v>9294149</v>
      </c>
      <c r="S275" s="76">
        <f t="shared" si="78"/>
        <v>26424041.508000001</v>
      </c>
      <c r="T275" s="80">
        <f>N275/'2016'!N275-1</f>
        <v>0.16383580245938889</v>
      </c>
      <c r="U275" s="80">
        <f>O275/'2016'!O275-1</f>
        <v>0.33850416089729052</v>
      </c>
      <c r="V275" s="80">
        <f>P275/'2016'!P275-1</f>
        <v>0.23354900904969522</v>
      </c>
      <c r="W275" s="81">
        <f>Q275/'2016'!Q275-1</f>
        <v>8.5068732429555372E-2</v>
      </c>
      <c r="X275" s="81">
        <f>R275/'2016'!R275-1</f>
        <v>0.14923549366935207</v>
      </c>
      <c r="Y275" s="81">
        <f>S275/'2016'!S275-1</f>
        <v>0.10408011924802008</v>
      </c>
      <c r="Z275" s="136">
        <f>(Z276-Z269)/7*6+Z269</f>
        <v>122.33142857142857</v>
      </c>
      <c r="AA275" s="136">
        <f>Q275/10000-Z275</f>
        <v>1526.2659054285714</v>
      </c>
      <c r="AB275" s="105"/>
      <c r="AC275" s="105"/>
      <c r="AD275" s="37">
        <f t="shared" si="74"/>
        <v>17129892.508000001</v>
      </c>
      <c r="AE275" s="37">
        <f t="shared" si="76"/>
        <v>294969.46999999997</v>
      </c>
      <c r="AF275" s="37">
        <f t="shared" si="77"/>
        <v>206297.82</v>
      </c>
      <c r="AG275" s="37">
        <f t="shared" si="75"/>
        <v>142651.87800000148</v>
      </c>
    </row>
    <row r="276" spans="1:33" ht="15" customHeight="1" x14ac:dyDescent="0.15">
      <c r="A276" s="102">
        <v>43006</v>
      </c>
      <c r="B276" s="14" t="s">
        <v>37</v>
      </c>
      <c r="C276" s="32">
        <v>62404</v>
      </c>
      <c r="D276" s="33">
        <v>41262</v>
      </c>
      <c r="E276" s="33">
        <v>104902</v>
      </c>
      <c r="F276" s="119">
        <v>5287</v>
      </c>
      <c r="G276" s="33">
        <v>3638</v>
      </c>
      <c r="H276" s="19"/>
      <c r="I276" s="19"/>
      <c r="J276" s="32">
        <f t="shared" si="72"/>
        <v>63640</v>
      </c>
      <c r="K276" s="33">
        <v>285</v>
      </c>
      <c r="L276" s="33">
        <v>772</v>
      </c>
      <c r="M276" s="128">
        <f t="shared" si="73"/>
        <v>179</v>
      </c>
      <c r="N276" s="77">
        <f t="shared" si="79"/>
        <v>1683945</v>
      </c>
      <c r="O276" s="78">
        <f t="shared" si="79"/>
        <v>1197403</v>
      </c>
      <c r="P276" s="78">
        <f t="shared" si="79"/>
        <v>2945568</v>
      </c>
      <c r="Q276" s="77">
        <f t="shared" si="78"/>
        <v>16548377.34</v>
      </c>
      <c r="R276" s="77">
        <f t="shared" si="78"/>
        <v>9335411</v>
      </c>
      <c r="S276" s="77">
        <f t="shared" si="78"/>
        <v>26528943.508000001</v>
      </c>
      <c r="T276" s="82">
        <f>N276/'2016'!N276-1</f>
        <v>0.16217012683527421</v>
      </c>
      <c r="U276" s="82">
        <f>O276/'2016'!O276-1</f>
        <v>0.32878826887309631</v>
      </c>
      <c r="V276" s="82">
        <f>P276/'2016'!P276-1</f>
        <v>0.22786844790673166</v>
      </c>
      <c r="W276" s="82">
        <f>Q276/'2016'!Q276-1</f>
        <v>8.5198133984419888E-2</v>
      </c>
      <c r="X276" s="82">
        <f>R276/'2016'!R276-1</f>
        <v>0.14902839064457596</v>
      </c>
      <c r="Y276" s="82">
        <f>S276/'2016'!S276-1</f>
        <v>0.10403072717862605</v>
      </c>
      <c r="Z276" s="138">
        <v>122.55</v>
      </c>
      <c r="AA276" s="138">
        <f>Q276/10000-Z276</f>
        <v>1532.287734</v>
      </c>
      <c r="AB276" s="33">
        <v>4269.4799999999996</v>
      </c>
      <c r="AC276" s="33">
        <f>AA276*10000/AB276</f>
        <v>3588.9329239157933</v>
      </c>
      <c r="AD276" s="33">
        <f t="shared" si="74"/>
        <v>17193532.508000001</v>
      </c>
      <c r="AE276" s="33">
        <f t="shared" si="76"/>
        <v>295254.46999999997</v>
      </c>
      <c r="AF276" s="33">
        <f t="shared" si="77"/>
        <v>207069.82</v>
      </c>
      <c r="AG276" s="33">
        <f t="shared" si="75"/>
        <v>142830.87800000148</v>
      </c>
    </row>
    <row r="277" spans="1:33" ht="15" customHeight="1" x14ac:dyDescent="0.15">
      <c r="A277" s="102">
        <v>43007</v>
      </c>
      <c r="B277" s="20" t="s">
        <v>38</v>
      </c>
      <c r="C277" s="8">
        <v>60919</v>
      </c>
      <c r="D277" s="37">
        <f>30646+8466</f>
        <v>39112</v>
      </c>
      <c r="E277" s="37">
        <v>101363</v>
      </c>
      <c r="F277" s="12">
        <v>5089</v>
      </c>
      <c r="G277" s="37">
        <v>3352.4</v>
      </c>
      <c r="H277" s="24"/>
      <c r="I277" s="36"/>
      <c r="J277" s="8">
        <f t="shared" si="72"/>
        <v>62251</v>
      </c>
      <c r="K277" s="37">
        <v>166</v>
      </c>
      <c r="L277" s="37">
        <v>772</v>
      </c>
      <c r="M277" s="127">
        <f t="shared" si="73"/>
        <v>394</v>
      </c>
      <c r="N277" s="74">
        <f t="shared" si="79"/>
        <v>1744864</v>
      </c>
      <c r="O277" s="75">
        <f t="shared" si="79"/>
        <v>1236515</v>
      </c>
      <c r="P277" s="75">
        <f t="shared" si="79"/>
        <v>3046931</v>
      </c>
      <c r="Q277" s="76">
        <f t="shared" si="78"/>
        <v>16609296.34</v>
      </c>
      <c r="R277" s="76">
        <f t="shared" si="78"/>
        <v>9374523</v>
      </c>
      <c r="S277" s="76">
        <f t="shared" si="78"/>
        <v>26630306.508000001</v>
      </c>
      <c r="T277" s="80">
        <f>N277/'2016'!N277-1</f>
        <v>0.16706051061706528</v>
      </c>
      <c r="U277" s="80">
        <f>O277/'2016'!O277-1</f>
        <v>0.31242709563884663</v>
      </c>
      <c r="V277" s="80">
        <f>P277/'2016'!P277-1</f>
        <v>0.22444894531045922</v>
      </c>
      <c r="W277" s="81">
        <f>Q277/'2016'!Q277-1</f>
        <v>8.5908290930882591E-2</v>
      </c>
      <c r="X277" s="81">
        <f>R277/'2016'!R277-1</f>
        <v>0.14804397642416123</v>
      </c>
      <c r="Y277" s="81">
        <f>S277/'2016'!S277-1</f>
        <v>0.10413737170949378</v>
      </c>
      <c r="Z277" s="136"/>
      <c r="AA277" s="136"/>
      <c r="AB277" s="105"/>
      <c r="AC277" s="105"/>
      <c r="AD277" s="37">
        <f t="shared" si="74"/>
        <v>17255783.508000001</v>
      </c>
      <c r="AE277" s="37">
        <f t="shared" si="76"/>
        <v>295420.46999999997</v>
      </c>
      <c r="AF277" s="37">
        <f t="shared" si="77"/>
        <v>207841.82</v>
      </c>
      <c r="AG277" s="37">
        <f t="shared" si="75"/>
        <v>143224.87800000148</v>
      </c>
    </row>
    <row r="278" spans="1:33" s="1" customFormat="1" ht="15" customHeight="1" x14ac:dyDescent="0.15">
      <c r="A278" s="25">
        <v>43008</v>
      </c>
      <c r="B278" s="25" t="s">
        <v>39</v>
      </c>
      <c r="C278" s="42">
        <v>60229</v>
      </c>
      <c r="D278" s="43">
        <f>28302+8525</f>
        <v>36827</v>
      </c>
      <c r="E278" s="43">
        <v>98632</v>
      </c>
      <c r="F278" s="122">
        <v>5081.2</v>
      </c>
      <c r="G278" s="43">
        <v>3340.8</v>
      </c>
      <c r="H278" s="30"/>
      <c r="I278" s="30"/>
      <c r="J278" s="42">
        <f t="shared" si="72"/>
        <v>61805</v>
      </c>
      <c r="K278" s="43">
        <v>428</v>
      </c>
      <c r="L278" s="43">
        <v>771</v>
      </c>
      <c r="M278" s="130">
        <f t="shared" si="73"/>
        <v>377</v>
      </c>
      <c r="N278" s="87">
        <f t="shared" si="79"/>
        <v>1805093</v>
      </c>
      <c r="O278" s="88">
        <f t="shared" si="79"/>
        <v>1273342</v>
      </c>
      <c r="P278" s="88">
        <f t="shared" si="79"/>
        <v>3145563</v>
      </c>
      <c r="Q278" s="87">
        <f t="shared" si="78"/>
        <v>16669525.34</v>
      </c>
      <c r="R278" s="87">
        <f t="shared" si="78"/>
        <v>9411350</v>
      </c>
      <c r="S278" s="87">
        <f t="shared" si="78"/>
        <v>26728938.508000001</v>
      </c>
      <c r="T278" s="89">
        <f>N278/'2016'!N278-1</f>
        <v>0.17058310841570234</v>
      </c>
      <c r="U278" s="89">
        <f>O278/'2016'!O278-1</f>
        <v>0.30104515447421965</v>
      </c>
      <c r="V278" s="89">
        <f>P278/'2016'!P278-1</f>
        <v>0.22119846261355702</v>
      </c>
      <c r="W278" s="89">
        <f>Q278/'2016'!Q278-1</f>
        <v>8.6510702207028833E-2</v>
      </c>
      <c r="X278" s="89">
        <f>R278/'2016'!R278-1</f>
        <v>0.1474183255313577</v>
      </c>
      <c r="Y278" s="145">
        <f>S278/'2016'!S278-1</f>
        <v>0.10422583867025348</v>
      </c>
      <c r="Z278" s="141">
        <v>123.203731</v>
      </c>
      <c r="AA278" s="141">
        <f>Q278/10000-Z278</f>
        <v>1543.748803</v>
      </c>
      <c r="AB278" s="43">
        <v>4269.4799999999996</v>
      </c>
      <c r="AC278" s="43">
        <f>AA278*10000/AB278</f>
        <v>3615.7771040032981</v>
      </c>
      <c r="AD278" s="43">
        <v>17315791</v>
      </c>
      <c r="AE278" s="43">
        <v>295851.89</v>
      </c>
      <c r="AF278" s="43">
        <f t="shared" si="77"/>
        <v>208612.82</v>
      </c>
      <c r="AG278" s="43">
        <f t="shared" si="75"/>
        <v>141800.95000000013</v>
      </c>
    </row>
    <row r="279" spans="1:33" ht="15" customHeight="1" x14ac:dyDescent="0.15">
      <c r="A279" s="102">
        <v>43009</v>
      </c>
      <c r="B279" s="20" t="s">
        <v>1</v>
      </c>
      <c r="C279" s="8">
        <v>53472</v>
      </c>
      <c r="D279" s="37">
        <f>14601+7512</f>
        <v>22113</v>
      </c>
      <c r="E279" s="37">
        <v>77310</v>
      </c>
      <c r="F279" s="12">
        <v>3539.6</v>
      </c>
      <c r="G279" s="37">
        <v>2898.3</v>
      </c>
      <c r="H279" s="24"/>
      <c r="I279" s="36"/>
      <c r="J279" s="8">
        <f t="shared" si="72"/>
        <v>55197</v>
      </c>
      <c r="K279" s="37">
        <v>153</v>
      </c>
      <c r="L279" s="37">
        <v>718</v>
      </c>
      <c r="M279" s="127">
        <f t="shared" si="73"/>
        <v>854</v>
      </c>
      <c r="N279" s="74">
        <f>C279</f>
        <v>53472</v>
      </c>
      <c r="O279" s="75">
        <f>D279</f>
        <v>22113</v>
      </c>
      <c r="P279" s="75">
        <f>E279</f>
        <v>77310</v>
      </c>
      <c r="Q279" s="76">
        <f>Q$278+N279</f>
        <v>16722997.34</v>
      </c>
      <c r="R279" s="76">
        <f>R$278+O279</f>
        <v>9433463</v>
      </c>
      <c r="S279" s="76">
        <f>S$278+P279</f>
        <v>26806248.508000001</v>
      </c>
      <c r="T279" s="80">
        <f>N279/'2016'!N279-1</f>
        <v>0.37079573420836742</v>
      </c>
      <c r="U279" s="80">
        <f>O279/'2016'!O279-1</f>
        <v>6.640625E-2</v>
      </c>
      <c r="V279" s="80">
        <f>P279/'2016'!P279-1</f>
        <v>0.21769125360298625</v>
      </c>
      <c r="W279" s="81">
        <f>Q279/'2016'!Q279-1</f>
        <v>8.7231669646915977E-2</v>
      </c>
      <c r="X279" s="81">
        <f>R279/'2016'!R279-1</f>
        <v>0.14721403509113284</v>
      </c>
      <c r="Y279" s="81">
        <f>S279/'2016'!S279-1</f>
        <v>0.10452266374408437</v>
      </c>
      <c r="Z279" s="136"/>
      <c r="AA279" s="136"/>
      <c r="AB279" s="105"/>
      <c r="AC279" s="105"/>
      <c r="AD279" s="37">
        <f t="shared" si="74"/>
        <v>17372785.508000001</v>
      </c>
      <c r="AE279" s="37">
        <f t="shared" si="76"/>
        <v>296004.89</v>
      </c>
      <c r="AF279" s="37">
        <f t="shared" si="77"/>
        <v>209330.82</v>
      </c>
      <c r="AG279" s="37">
        <f t="shared" si="75"/>
        <v>144452.45800000144</v>
      </c>
    </row>
    <row r="280" spans="1:33" ht="15" customHeight="1" x14ac:dyDescent="0.15">
      <c r="A280" s="102">
        <v>43010</v>
      </c>
      <c r="B280" s="20" t="s">
        <v>34</v>
      </c>
      <c r="C280" s="8">
        <v>56242</v>
      </c>
      <c r="D280" s="37">
        <f>16474+7791</f>
        <v>24265</v>
      </c>
      <c r="E280" s="37">
        <v>82005</v>
      </c>
      <c r="F280" s="12">
        <v>3928.7</v>
      </c>
      <c r="G280" s="37">
        <v>2664.4</v>
      </c>
      <c r="H280" s="24"/>
      <c r="I280" s="36"/>
      <c r="J280" s="8">
        <f t="shared" si="72"/>
        <v>57740</v>
      </c>
      <c r="K280" s="37">
        <v>208</v>
      </c>
      <c r="L280" s="37">
        <v>777</v>
      </c>
      <c r="M280" s="127">
        <f t="shared" si="73"/>
        <v>513</v>
      </c>
      <c r="N280" s="74">
        <f t="shared" ref="N280:P295" si="80">C280+N279</f>
        <v>109714</v>
      </c>
      <c r="O280" s="75">
        <f t="shared" si="80"/>
        <v>46378</v>
      </c>
      <c r="P280" s="75">
        <f t="shared" si="80"/>
        <v>159315</v>
      </c>
      <c r="Q280" s="76">
        <f t="shared" ref="Q280:S308" si="81">Q$278+N280</f>
        <v>16779239.34</v>
      </c>
      <c r="R280" s="76">
        <f t="shared" si="81"/>
        <v>9457728</v>
      </c>
      <c r="S280" s="76">
        <f t="shared" si="81"/>
        <v>26888253.508000001</v>
      </c>
      <c r="T280" s="80">
        <f>N280/'2016'!N280-1</f>
        <v>0.37104796181050204</v>
      </c>
      <c r="U280" s="80">
        <f>O280/'2016'!O280-1</f>
        <v>7.2646113282605285E-2</v>
      </c>
      <c r="V280" s="80">
        <f>P280/'2016'!P280-1</f>
        <v>0.21664655659584864</v>
      </c>
      <c r="W280" s="81">
        <f>Q280/'2016'!Q280-1</f>
        <v>8.7987088548137971E-2</v>
      </c>
      <c r="X280" s="81">
        <f>R280/'2016'!R280-1</f>
        <v>0.14702623864629061</v>
      </c>
      <c r="Y280" s="81">
        <f>S280/'2016'!S280-1</f>
        <v>0.10483072217181655</v>
      </c>
      <c r="Z280" s="136"/>
      <c r="AA280" s="136"/>
      <c r="AB280" s="105"/>
      <c r="AC280" s="105"/>
      <c r="AD280" s="37">
        <f t="shared" si="74"/>
        <v>17430525.508000001</v>
      </c>
      <c r="AE280" s="37">
        <f t="shared" si="76"/>
        <v>296212.89</v>
      </c>
      <c r="AF280" s="37">
        <f t="shared" si="77"/>
        <v>210107.82</v>
      </c>
      <c r="AG280" s="37">
        <f t="shared" si="75"/>
        <v>144965.45800000144</v>
      </c>
    </row>
    <row r="281" spans="1:33" ht="15" customHeight="1" x14ac:dyDescent="0.15">
      <c r="A281" s="102">
        <v>43011</v>
      </c>
      <c r="B281" s="20" t="s">
        <v>35</v>
      </c>
      <c r="C281" s="8">
        <v>52212</v>
      </c>
      <c r="D281" s="37">
        <f>18115+8033</f>
        <v>26148</v>
      </c>
      <c r="E281" s="37">
        <v>79613</v>
      </c>
      <c r="F281" s="12">
        <v>3839.8</v>
      </c>
      <c r="G281" s="37">
        <v>2782.8</v>
      </c>
      <c r="H281" s="24"/>
      <c r="I281" s="36"/>
      <c r="J281" s="8">
        <f t="shared" si="72"/>
        <v>53465</v>
      </c>
      <c r="K281" s="37">
        <v>148</v>
      </c>
      <c r="L281" s="37">
        <v>771</v>
      </c>
      <c r="M281" s="127">
        <f t="shared" si="73"/>
        <v>334</v>
      </c>
      <c r="N281" s="74">
        <f t="shared" si="80"/>
        <v>161926</v>
      </c>
      <c r="O281" s="75">
        <f t="shared" si="80"/>
        <v>72526</v>
      </c>
      <c r="P281" s="75">
        <f t="shared" si="80"/>
        <v>238928</v>
      </c>
      <c r="Q281" s="76">
        <f t="shared" si="81"/>
        <v>16831451.34</v>
      </c>
      <c r="R281" s="76">
        <f t="shared" si="81"/>
        <v>9483876</v>
      </c>
      <c r="S281" s="76">
        <f t="shared" si="81"/>
        <v>26967866.508000001</v>
      </c>
      <c r="T281" s="80">
        <f>N281/'2016'!N281-1</f>
        <v>0.29670470470470467</v>
      </c>
      <c r="U281" s="80">
        <f>O281/'2016'!O281-1</f>
        <v>3.4666742752796242E-2</v>
      </c>
      <c r="V281" s="80">
        <f>P281/'2016'!P281-1</f>
        <v>0.15653226196814951</v>
      </c>
      <c r="W281" s="81">
        <f>Q281/'2016'!Q281-1</f>
        <v>8.820771867775612E-2</v>
      </c>
      <c r="X281" s="81">
        <f>R281/'2016'!R281-1</f>
        <v>0.14646291499381303</v>
      </c>
      <c r="Y281" s="81">
        <f>S281/'2016'!S281-1</f>
        <v>0.10466847768582443</v>
      </c>
      <c r="Z281" s="136"/>
      <c r="AA281" s="136"/>
      <c r="AB281" s="105"/>
      <c r="AC281" s="105"/>
      <c r="AD281" s="37">
        <f t="shared" si="74"/>
        <v>17483990.508000001</v>
      </c>
      <c r="AE281" s="37">
        <f t="shared" si="76"/>
        <v>296360.89</v>
      </c>
      <c r="AF281" s="37">
        <f t="shared" si="77"/>
        <v>210878.82</v>
      </c>
      <c r="AG281" s="37">
        <f t="shared" si="75"/>
        <v>145299.45800000144</v>
      </c>
    </row>
    <row r="282" spans="1:33" ht="15" customHeight="1" x14ac:dyDescent="0.15">
      <c r="A282" s="102">
        <v>43012</v>
      </c>
      <c r="B282" s="20" t="s">
        <v>36</v>
      </c>
      <c r="C282" s="8">
        <v>42703</v>
      </c>
      <c r="D282" s="37">
        <f>18836+8693</f>
        <v>27529</v>
      </c>
      <c r="E282" s="37">
        <v>71591</v>
      </c>
      <c r="F282" s="12">
        <v>3337.3</v>
      </c>
      <c r="G282" s="37">
        <v>2628.3</v>
      </c>
      <c r="H282" s="24"/>
      <c r="I282" s="36"/>
      <c r="J282" s="8">
        <f t="shared" si="72"/>
        <v>44062</v>
      </c>
      <c r="K282" s="37">
        <v>129</v>
      </c>
      <c r="L282" s="37">
        <v>775</v>
      </c>
      <c r="M282" s="127">
        <f t="shared" si="73"/>
        <v>455</v>
      </c>
      <c r="N282" s="74">
        <f t="shared" si="80"/>
        <v>204629</v>
      </c>
      <c r="O282" s="75">
        <f t="shared" si="80"/>
        <v>100055</v>
      </c>
      <c r="P282" s="75">
        <f t="shared" si="80"/>
        <v>310519</v>
      </c>
      <c r="Q282" s="76">
        <f t="shared" si="81"/>
        <v>16874154.34</v>
      </c>
      <c r="R282" s="76">
        <f t="shared" si="81"/>
        <v>9511405</v>
      </c>
      <c r="S282" s="76">
        <f t="shared" si="81"/>
        <v>27039457.508000001</v>
      </c>
      <c r="T282" s="80">
        <f>N282/'2016'!N282-1</f>
        <v>0.1601335722060957</v>
      </c>
      <c r="U282" s="80">
        <f>O282/'2016'!O282-1</f>
        <v>2.8377906140152565E-2</v>
      </c>
      <c r="V282" s="80">
        <f>P282/'2016'!P282-1</f>
        <v>7.4203736824079991E-2</v>
      </c>
      <c r="W282" s="81">
        <f>Q282/'2016'!Q282-1</f>
        <v>8.7347495656835861E-2</v>
      </c>
      <c r="X282" s="81">
        <f>R282/'2016'!R282-1</f>
        <v>0.1460228279087028</v>
      </c>
      <c r="Y282" s="81">
        <f>S282/'2016'!S282-1</f>
        <v>0.10387154517536712</v>
      </c>
      <c r="Z282" s="136">
        <f>(Z283-Z276)/7*6+Z276</f>
        <v>123.26094514285714</v>
      </c>
      <c r="AA282" s="136">
        <f>Q282/10000-Z282</f>
        <v>1564.154488857143</v>
      </c>
      <c r="AB282" s="105"/>
      <c r="AC282" s="105"/>
      <c r="AD282" s="37">
        <f t="shared" si="74"/>
        <v>17528052.508000001</v>
      </c>
      <c r="AE282" s="37">
        <f t="shared" si="76"/>
        <v>296489.89</v>
      </c>
      <c r="AF282" s="37">
        <f t="shared" si="77"/>
        <v>211653.82</v>
      </c>
      <c r="AG282" s="37">
        <f t="shared" si="75"/>
        <v>145754.45800000144</v>
      </c>
    </row>
    <row r="283" spans="1:33" ht="15" customHeight="1" x14ac:dyDescent="0.15">
      <c r="A283" s="102">
        <v>43013</v>
      </c>
      <c r="B283" s="14" t="s">
        <v>37</v>
      </c>
      <c r="C283" s="32">
        <v>55213</v>
      </c>
      <c r="D283" s="33">
        <f>21955+8708</f>
        <v>30663</v>
      </c>
      <c r="E283" s="33">
        <v>90668</v>
      </c>
      <c r="F283" s="119">
        <v>4452.8</v>
      </c>
      <c r="G283" s="33">
        <v>2554.8000000000002</v>
      </c>
      <c r="H283" s="19"/>
      <c r="I283" s="19"/>
      <c r="J283" s="33">
        <f t="shared" si="72"/>
        <v>60005</v>
      </c>
      <c r="K283" s="33">
        <v>236</v>
      </c>
      <c r="L283" s="33">
        <v>773</v>
      </c>
      <c r="M283" s="128">
        <f t="shared" si="73"/>
        <v>3783</v>
      </c>
      <c r="N283" s="77">
        <f t="shared" si="80"/>
        <v>259842</v>
      </c>
      <c r="O283" s="78">
        <f t="shared" si="80"/>
        <v>130718</v>
      </c>
      <c r="P283" s="78">
        <f t="shared" si="80"/>
        <v>401187</v>
      </c>
      <c r="Q283" s="77">
        <f t="shared" si="81"/>
        <v>16929367.34</v>
      </c>
      <c r="R283" s="77">
        <f t="shared" si="81"/>
        <v>9542068</v>
      </c>
      <c r="S283" s="77">
        <f t="shared" si="81"/>
        <v>27130125.508000001</v>
      </c>
      <c r="T283" s="82">
        <f>N283/'2016'!N283-1</f>
        <v>0.13006719290234203</v>
      </c>
      <c r="U283" s="82">
        <f>O283/'2016'!O283-1</f>
        <v>2.5512685735804119E-2</v>
      </c>
      <c r="V283" s="82">
        <f>P283/'2016'!P283-1</f>
        <v>6.5388619198861297E-2</v>
      </c>
      <c r="W283" s="82">
        <f>Q283/'2016'!Q283-1</f>
        <v>8.7153846237822297E-2</v>
      </c>
      <c r="X283" s="82">
        <f>R283/'2016'!R283-1</f>
        <v>0.14555284476128794</v>
      </c>
      <c r="Y283" s="82">
        <f>S283/'2016'!S283-1</f>
        <v>0.10363091810260361</v>
      </c>
      <c r="Z283" s="138">
        <f>Z278+(Z287-Z278)/9*5</f>
        <v>123.379436</v>
      </c>
      <c r="AA283" s="138">
        <f>Q283/10000-Z283</f>
        <v>1569.5572979999999</v>
      </c>
      <c r="AB283" s="33">
        <v>4269.4799999999996</v>
      </c>
      <c r="AC283" s="33">
        <f>AA283*10000/AB283</f>
        <v>3676.2259057309088</v>
      </c>
      <c r="AD283" s="33">
        <f t="shared" si="74"/>
        <v>17588057.508000001</v>
      </c>
      <c r="AE283" s="33">
        <f t="shared" si="76"/>
        <v>296725.89</v>
      </c>
      <c r="AF283" s="33">
        <f t="shared" si="77"/>
        <v>212426.82</v>
      </c>
      <c r="AG283" s="33">
        <f t="shared" si="75"/>
        <v>149537.45800000144</v>
      </c>
    </row>
    <row r="284" spans="1:33" ht="15" customHeight="1" x14ac:dyDescent="0.15">
      <c r="A284" s="102">
        <v>43014</v>
      </c>
      <c r="B284" s="20" t="s">
        <v>38</v>
      </c>
      <c r="C284" s="8">
        <v>58569</v>
      </c>
      <c r="D284" s="37">
        <f>25744+8665</f>
        <v>34409</v>
      </c>
      <c r="E284" s="37">
        <v>94451</v>
      </c>
      <c r="F284" s="12">
        <v>4782.1000000000004</v>
      </c>
      <c r="G284" s="37">
        <v>3092.9</v>
      </c>
      <c r="H284" s="24"/>
      <c r="I284" s="36"/>
      <c r="J284" s="8">
        <f t="shared" si="72"/>
        <v>60042</v>
      </c>
      <c r="K284" s="37">
        <v>190</v>
      </c>
      <c r="L284" s="37">
        <v>775</v>
      </c>
      <c r="M284" s="127">
        <f t="shared" si="73"/>
        <v>508</v>
      </c>
      <c r="N284" s="74">
        <f t="shared" si="80"/>
        <v>318411</v>
      </c>
      <c r="O284" s="75">
        <f t="shared" si="80"/>
        <v>165127</v>
      </c>
      <c r="P284" s="75">
        <f t="shared" si="80"/>
        <v>495638</v>
      </c>
      <c r="Q284" s="76">
        <f t="shared" si="81"/>
        <v>16987936.34</v>
      </c>
      <c r="R284" s="76">
        <f t="shared" si="81"/>
        <v>9576477</v>
      </c>
      <c r="S284" s="76">
        <f t="shared" si="81"/>
        <v>27224576.508000001</v>
      </c>
      <c r="T284" s="80">
        <f>N284/'2016'!N284-1</f>
        <v>0.12168288893820733</v>
      </c>
      <c r="U284" s="80">
        <f>O284/'2016'!O284-1</f>
        <v>4.323900861115848E-2</v>
      </c>
      <c r="V284" s="80">
        <f>P284/'2016'!P284-1</f>
        <v>6.625505550296884E-2</v>
      </c>
      <c r="W284" s="81">
        <f>Q284/'2016'!Q284-1</f>
        <v>8.7149650985129057E-2</v>
      </c>
      <c r="X284" s="81">
        <f>R284/'2016'!R284-1</f>
        <v>0.14544597265300241</v>
      </c>
      <c r="Y284" s="81">
        <f>S284/'2016'!S284-1</f>
        <v>0.10351040669304234</v>
      </c>
      <c r="Z284" s="136"/>
      <c r="AA284" s="136"/>
      <c r="AB284" s="105"/>
      <c r="AC284" s="105"/>
      <c r="AD284" s="37">
        <f t="shared" si="74"/>
        <v>17648099.508000001</v>
      </c>
      <c r="AE284" s="37">
        <f t="shared" si="76"/>
        <v>296915.89</v>
      </c>
      <c r="AF284" s="37">
        <f t="shared" si="77"/>
        <v>213201.82</v>
      </c>
      <c r="AG284" s="37">
        <f t="shared" si="75"/>
        <v>150045.45800000144</v>
      </c>
    </row>
    <row r="285" spans="1:33" ht="15" customHeight="1" x14ac:dyDescent="0.15">
      <c r="A285" s="102">
        <v>43015</v>
      </c>
      <c r="B285" s="20" t="s">
        <v>39</v>
      </c>
      <c r="C285" s="70">
        <v>53420</v>
      </c>
      <c r="D285" s="71">
        <f>33329+8642</f>
        <v>41971</v>
      </c>
      <c r="E285" s="71">
        <v>97111</v>
      </c>
      <c r="F285" s="120">
        <v>4796.1000000000004</v>
      </c>
      <c r="G285" s="71">
        <v>3223.7</v>
      </c>
      <c r="H285" s="24"/>
      <c r="I285" s="24"/>
      <c r="J285" s="70">
        <f t="shared" si="72"/>
        <v>55140</v>
      </c>
      <c r="K285" s="71">
        <v>264</v>
      </c>
      <c r="L285" s="71">
        <v>777</v>
      </c>
      <c r="M285" s="129">
        <f t="shared" si="73"/>
        <v>679</v>
      </c>
      <c r="N285" s="74">
        <f t="shared" si="80"/>
        <v>371831</v>
      </c>
      <c r="O285" s="75">
        <f t="shared" si="80"/>
        <v>207098</v>
      </c>
      <c r="P285" s="75">
        <f t="shared" si="80"/>
        <v>592749</v>
      </c>
      <c r="Q285" s="76">
        <f t="shared" si="81"/>
        <v>17041356.34</v>
      </c>
      <c r="R285" s="76">
        <f t="shared" si="81"/>
        <v>9618448</v>
      </c>
      <c r="S285" s="76">
        <f t="shared" si="81"/>
        <v>27321687.508000001</v>
      </c>
      <c r="T285" s="80">
        <f>N285/'2016'!N285-1</f>
        <v>0.10099400988383977</v>
      </c>
      <c r="U285" s="80">
        <f>O285/'2016'!O285-1</f>
        <v>9.2917341720714974E-2</v>
      </c>
      <c r="V285" s="80">
        <f>P285/'2016'!P285-1</f>
        <v>7.1669547357839702E-2</v>
      </c>
      <c r="W285" s="81">
        <f>Q285/'2016'!Q285-1</f>
        <v>8.6822650719111216E-2</v>
      </c>
      <c r="X285" s="81">
        <f>R285/'2016'!R285-1</f>
        <v>0.14618764975385767</v>
      </c>
      <c r="Y285" s="81">
        <f>S285/'2016'!S285-1</f>
        <v>0.10349854616624365</v>
      </c>
      <c r="Z285" s="139"/>
      <c r="AA285" s="139"/>
      <c r="AB285" s="105"/>
      <c r="AC285" s="105"/>
      <c r="AD285" s="37">
        <f t="shared" si="74"/>
        <v>17703239.508000001</v>
      </c>
      <c r="AE285" s="71">
        <f t="shared" si="76"/>
        <v>297179.89</v>
      </c>
      <c r="AF285" s="71">
        <f t="shared" si="77"/>
        <v>213978.82</v>
      </c>
      <c r="AG285" s="71">
        <f t="shared" si="75"/>
        <v>150724.45800000144</v>
      </c>
    </row>
    <row r="286" spans="1:33" ht="15" customHeight="1" x14ac:dyDescent="0.15">
      <c r="A286" s="102">
        <v>43016</v>
      </c>
      <c r="B286" s="20" t="s">
        <v>1</v>
      </c>
      <c r="C286" s="8">
        <v>51074</v>
      </c>
      <c r="D286" s="37">
        <f>34938+8717</f>
        <v>43655</v>
      </c>
      <c r="E286" s="37">
        <v>97008</v>
      </c>
      <c r="F286" s="12">
        <v>4770.3</v>
      </c>
      <c r="G286" s="37">
        <v>3257</v>
      </c>
      <c r="H286" s="24"/>
      <c r="I286" s="36"/>
      <c r="J286" s="8">
        <f t="shared" si="72"/>
        <v>53353</v>
      </c>
      <c r="K286" s="37">
        <v>684</v>
      </c>
      <c r="L286" s="37">
        <v>778</v>
      </c>
      <c r="M286" s="127">
        <f t="shared" si="73"/>
        <v>817</v>
      </c>
      <c r="N286" s="74">
        <f t="shared" si="80"/>
        <v>422905</v>
      </c>
      <c r="O286" s="75">
        <f t="shared" si="80"/>
        <v>250753</v>
      </c>
      <c r="P286" s="75">
        <f t="shared" si="80"/>
        <v>689757</v>
      </c>
      <c r="Q286" s="76">
        <f t="shared" si="81"/>
        <v>17092430.34</v>
      </c>
      <c r="R286" s="76">
        <f t="shared" si="81"/>
        <v>9662103</v>
      </c>
      <c r="S286" s="76">
        <f t="shared" si="81"/>
        <v>27418695.508000001</v>
      </c>
      <c r="T286" s="80">
        <f>N286/'2016'!N286-1</f>
        <v>8.7419357327072955E-2</v>
      </c>
      <c r="U286" s="80">
        <f>O286/'2016'!O286-1</f>
        <v>0.13393628326587836</v>
      </c>
      <c r="V286" s="80">
        <f>P286/'2016'!P286-1</f>
        <v>7.9681992073281416E-2</v>
      </c>
      <c r="W286" s="81">
        <f>Q286/'2016'!Q286-1</f>
        <v>8.653316604754524E-2</v>
      </c>
      <c r="X286" s="81">
        <f>R286/'2016'!R286-1</f>
        <v>0.14706438581126635</v>
      </c>
      <c r="Y286" s="81">
        <f>S286/'2016'!S286-1</f>
        <v>0.10359472772083733</v>
      </c>
      <c r="Z286" s="136"/>
      <c r="AA286" s="136"/>
      <c r="AB286" s="105"/>
      <c r="AC286" s="105"/>
      <c r="AD286" s="37">
        <f t="shared" si="74"/>
        <v>17756592.508000001</v>
      </c>
      <c r="AE286" s="37">
        <f t="shared" si="76"/>
        <v>297863.89</v>
      </c>
      <c r="AF286" s="37">
        <f t="shared" si="77"/>
        <v>214756.82</v>
      </c>
      <c r="AG286" s="37">
        <f t="shared" si="75"/>
        <v>151541.45800000144</v>
      </c>
    </row>
    <row r="287" spans="1:33" ht="15" customHeight="1" x14ac:dyDescent="0.15">
      <c r="A287" s="102">
        <v>43017</v>
      </c>
      <c r="B287" s="20" t="s">
        <v>34</v>
      </c>
      <c r="C287" s="8">
        <v>57192</v>
      </c>
      <c r="D287" s="37">
        <f>35352+8502</f>
        <v>43854</v>
      </c>
      <c r="E287" s="37">
        <v>103087</v>
      </c>
      <c r="F287" s="12">
        <v>5182.3</v>
      </c>
      <c r="G287" s="37">
        <v>3256.5</v>
      </c>
      <c r="H287" s="24"/>
      <c r="I287" s="36"/>
      <c r="J287" s="8">
        <f t="shared" si="72"/>
        <v>59233</v>
      </c>
      <c r="K287" s="37">
        <v>401</v>
      </c>
      <c r="L287" s="37">
        <v>779</v>
      </c>
      <c r="M287" s="127">
        <f t="shared" si="73"/>
        <v>861</v>
      </c>
      <c r="N287" s="74">
        <f t="shared" si="80"/>
        <v>480097</v>
      </c>
      <c r="O287" s="75">
        <f t="shared" si="80"/>
        <v>294607</v>
      </c>
      <c r="P287" s="75">
        <f t="shared" si="80"/>
        <v>792844</v>
      </c>
      <c r="Q287" s="76">
        <f t="shared" si="81"/>
        <v>17149622.34</v>
      </c>
      <c r="R287" s="76">
        <f t="shared" si="81"/>
        <v>9705957</v>
      </c>
      <c r="S287" s="76">
        <f t="shared" si="81"/>
        <v>27521782.508000001</v>
      </c>
      <c r="T287" s="80">
        <f>N287/'2016'!N287-1</f>
        <v>0.10447867636571107</v>
      </c>
      <c r="U287" s="80">
        <f>O287/'2016'!O287-1</f>
        <v>0.15843799397595104</v>
      </c>
      <c r="V287" s="80">
        <f>P287/'2016'!P287-1</f>
        <v>0.10061885551986371</v>
      </c>
      <c r="W287" s="81">
        <f>Q287/'2016'!Q287-1</f>
        <v>8.7005751052580571E-2</v>
      </c>
      <c r="X287" s="81">
        <f>R287/'2016'!R287-1</f>
        <v>0.14774972181195323</v>
      </c>
      <c r="Y287" s="81">
        <f>S287/'2016'!S287-1</f>
        <v>0.10412159846550906</v>
      </c>
      <c r="Z287" s="136">
        <v>123.52</v>
      </c>
      <c r="AA287" s="136">
        <f>Q287/10000-Z287</f>
        <v>1591.4422340000001</v>
      </c>
      <c r="AB287" s="105"/>
      <c r="AC287" s="105"/>
      <c r="AD287" s="37">
        <f t="shared" si="74"/>
        <v>17815825.508000001</v>
      </c>
      <c r="AE287" s="37">
        <f t="shared" si="76"/>
        <v>298264.89</v>
      </c>
      <c r="AF287" s="37">
        <f t="shared" si="77"/>
        <v>215535.82</v>
      </c>
      <c r="AG287" s="37">
        <f t="shared" si="75"/>
        <v>152402.45800000144</v>
      </c>
    </row>
    <row r="288" spans="1:33" ht="15" customHeight="1" x14ac:dyDescent="0.15">
      <c r="A288" s="102">
        <v>43018</v>
      </c>
      <c r="B288" s="20" t="s">
        <v>35</v>
      </c>
      <c r="C288" s="8">
        <v>64966</v>
      </c>
      <c r="D288" s="37">
        <f>34048+8453</f>
        <v>42501</v>
      </c>
      <c r="E288" s="37">
        <v>109810</v>
      </c>
      <c r="F288" s="12">
        <v>5509.5</v>
      </c>
      <c r="G288" s="37">
        <v>3483.9</v>
      </c>
      <c r="H288" s="24"/>
      <c r="I288" s="36"/>
      <c r="J288" s="8">
        <f t="shared" si="72"/>
        <v>67309</v>
      </c>
      <c r="K288" s="37">
        <v>791</v>
      </c>
      <c r="L288" s="37">
        <v>778</v>
      </c>
      <c r="M288" s="127">
        <f t="shared" si="73"/>
        <v>774</v>
      </c>
      <c r="N288" s="74">
        <f t="shared" si="80"/>
        <v>545063</v>
      </c>
      <c r="O288" s="75">
        <f t="shared" si="80"/>
        <v>337108</v>
      </c>
      <c r="P288" s="75">
        <f t="shared" si="80"/>
        <v>902654</v>
      </c>
      <c r="Q288" s="76">
        <f t="shared" si="81"/>
        <v>17214588.34</v>
      </c>
      <c r="R288" s="76">
        <f t="shared" si="81"/>
        <v>9748458</v>
      </c>
      <c r="S288" s="76">
        <f t="shared" si="81"/>
        <v>27631592.508000001</v>
      </c>
      <c r="T288" s="80">
        <f>N288/'2016'!N288-1</f>
        <v>0.12409618676400824</v>
      </c>
      <c r="U288" s="80">
        <f>O288/'2016'!O288-1</f>
        <v>0.17461279813237174</v>
      </c>
      <c r="V288" s="80">
        <f>P288/'2016'!P288-1</f>
        <v>0.12020163912454263</v>
      </c>
      <c r="W288" s="81">
        <f>Q288/'2016'!Q288-1</f>
        <v>8.766219380297624E-2</v>
      </c>
      <c r="X288" s="81">
        <f>R288/'2016'!R288-1</f>
        <v>0.14833769201329083</v>
      </c>
      <c r="Y288" s="81">
        <f>S288/'2016'!S288-1</f>
        <v>0.10474052437280701</v>
      </c>
      <c r="Z288" s="136"/>
      <c r="AA288" s="136"/>
      <c r="AB288" s="105"/>
      <c r="AC288" s="105"/>
      <c r="AD288" s="37">
        <f t="shared" si="74"/>
        <v>17883134.508000001</v>
      </c>
      <c r="AE288" s="37">
        <f t="shared" si="76"/>
        <v>299055.89</v>
      </c>
      <c r="AF288" s="37">
        <f t="shared" si="77"/>
        <v>216313.82</v>
      </c>
      <c r="AG288" s="37">
        <f t="shared" si="75"/>
        <v>153176.45800000144</v>
      </c>
    </row>
    <row r="289" spans="1:33" x14ac:dyDescent="0.15">
      <c r="A289" s="102">
        <v>43019</v>
      </c>
      <c r="B289" s="20" t="s">
        <v>36</v>
      </c>
      <c r="C289" s="8">
        <v>57297</v>
      </c>
      <c r="D289" s="37">
        <f>37775+8379</f>
        <v>46154</v>
      </c>
      <c r="E289" s="37">
        <v>105384</v>
      </c>
      <c r="F289" s="12">
        <v>5355.2</v>
      </c>
      <c r="G289" s="37">
        <v>3569</v>
      </c>
      <c r="H289" s="24"/>
      <c r="I289" s="36"/>
      <c r="J289" s="8">
        <f t="shared" si="72"/>
        <v>59230</v>
      </c>
      <c r="K289" s="37">
        <v>688</v>
      </c>
      <c r="L289" s="37">
        <v>777</v>
      </c>
      <c r="M289" s="127">
        <f t="shared" si="73"/>
        <v>468</v>
      </c>
      <c r="N289" s="74">
        <f t="shared" si="80"/>
        <v>602360</v>
      </c>
      <c r="O289" s="75">
        <f t="shared" si="80"/>
        <v>383262</v>
      </c>
      <c r="P289" s="75">
        <f t="shared" si="80"/>
        <v>1008038</v>
      </c>
      <c r="Q289" s="76">
        <f t="shared" si="81"/>
        <v>17271885.34</v>
      </c>
      <c r="R289" s="76">
        <f t="shared" si="81"/>
        <v>9794612</v>
      </c>
      <c r="S289" s="76">
        <f t="shared" si="81"/>
        <v>27736976.508000001</v>
      </c>
      <c r="T289" s="80">
        <f>N289/'2016'!N289-1</f>
        <v>0.12954219000221268</v>
      </c>
      <c r="U289" s="80">
        <f>O289/'2016'!O289-1</f>
        <v>0.18487854795477654</v>
      </c>
      <c r="V289" s="80">
        <f>P289/'2016'!P289-1</f>
        <v>0.12889653403752321</v>
      </c>
      <c r="W289" s="81">
        <f>Q289/'2016'!Q289-1</f>
        <v>8.7956180875553569E-2</v>
      </c>
      <c r="X289" s="81">
        <f>R289/'2016'!R289-1</f>
        <v>0.14883955570814078</v>
      </c>
      <c r="Y289" s="81">
        <f>S289/'2016'!S289-1</f>
        <v>0.10510354252844656</v>
      </c>
      <c r="Z289" s="136">
        <f>(Z290-Z283)/7*6+Z283</f>
        <v>124.27991942857143</v>
      </c>
      <c r="AA289" s="136">
        <f>Q289/10000-Z289</f>
        <v>1602.9086145714284</v>
      </c>
      <c r="AB289" s="105"/>
      <c r="AC289" s="105"/>
      <c r="AD289" s="37">
        <f t="shared" si="74"/>
        <v>17942364.508000001</v>
      </c>
      <c r="AE289" s="37">
        <f t="shared" si="76"/>
        <v>299743.89</v>
      </c>
      <c r="AF289" s="37">
        <f t="shared" si="77"/>
        <v>217090.82</v>
      </c>
      <c r="AG289" s="37">
        <f t="shared" si="75"/>
        <v>153644.45800000144</v>
      </c>
    </row>
    <row r="290" spans="1:33" ht="15" customHeight="1" x14ac:dyDescent="0.15">
      <c r="A290" s="102">
        <v>43020</v>
      </c>
      <c r="B290" s="14" t="s">
        <v>37</v>
      </c>
      <c r="C290" s="32">
        <v>55487</v>
      </c>
      <c r="D290" s="33">
        <v>45133</v>
      </c>
      <c r="E290" s="33">
        <v>102159</v>
      </c>
      <c r="F290" s="119">
        <v>5254</v>
      </c>
      <c r="G290" s="33">
        <v>3379</v>
      </c>
      <c r="H290" s="19"/>
      <c r="I290" s="19"/>
      <c r="J290" s="32">
        <f t="shared" si="72"/>
        <v>57026</v>
      </c>
      <c r="K290" s="33">
        <v>487</v>
      </c>
      <c r="L290" s="33">
        <v>780</v>
      </c>
      <c r="M290" s="128">
        <f t="shared" si="73"/>
        <v>272</v>
      </c>
      <c r="N290" s="77">
        <f t="shared" si="80"/>
        <v>657847</v>
      </c>
      <c r="O290" s="78">
        <f t="shared" si="80"/>
        <v>428395</v>
      </c>
      <c r="P290" s="78">
        <f t="shared" si="80"/>
        <v>1110197</v>
      </c>
      <c r="Q290" s="77">
        <f t="shared" si="81"/>
        <v>17327372.34</v>
      </c>
      <c r="R290" s="77">
        <f t="shared" si="81"/>
        <v>9839745</v>
      </c>
      <c r="S290" s="77">
        <f t="shared" si="81"/>
        <v>27839135.508000001</v>
      </c>
      <c r="T290" s="82">
        <f>N290/'2016'!N290-1</f>
        <v>0.1284308932630045</v>
      </c>
      <c r="U290" s="82">
        <f>O290/'2016'!O290-1</f>
        <v>0.19050530370189223</v>
      </c>
      <c r="V290" s="82">
        <f>P290/'2016'!P290-1</f>
        <v>0.1317512016351412</v>
      </c>
      <c r="W290" s="82">
        <f>Q290/'2016'!Q290-1</f>
        <v>8.804527482207325E-2</v>
      </c>
      <c r="X290" s="82">
        <f>R290/'2016'!R290-1</f>
        <v>0.14922917309766981</v>
      </c>
      <c r="Y290" s="82">
        <f>S290/'2016'!S290-1</f>
        <v>0.105297865676518</v>
      </c>
      <c r="Z290" s="138">
        <v>124.43</v>
      </c>
      <c r="AA290" s="138">
        <f>Q290/10000-Z290</f>
        <v>1608.3072339999999</v>
      </c>
      <c r="AB290" s="33">
        <v>4269.4799999999996</v>
      </c>
      <c r="AC290" s="33">
        <f>AA290*10000/AB290</f>
        <v>3766.9862231466127</v>
      </c>
      <c r="AD290" s="33">
        <f t="shared" si="74"/>
        <v>17999390.508000001</v>
      </c>
      <c r="AE290" s="33">
        <f t="shared" si="76"/>
        <v>300230.89</v>
      </c>
      <c r="AF290" s="33">
        <f t="shared" si="77"/>
        <v>217870.82</v>
      </c>
      <c r="AG290" s="33">
        <f t="shared" si="75"/>
        <v>153916.45800000144</v>
      </c>
    </row>
    <row r="291" spans="1:33" ht="15" customHeight="1" x14ac:dyDescent="0.15">
      <c r="A291" s="102">
        <v>43021</v>
      </c>
      <c r="B291" s="20" t="s">
        <v>38</v>
      </c>
      <c r="C291" s="8">
        <v>52059</v>
      </c>
      <c r="D291" s="37">
        <f>37304+8527</f>
        <v>45831</v>
      </c>
      <c r="E291" s="37">
        <v>99676</v>
      </c>
      <c r="F291" s="12">
        <v>5037</v>
      </c>
      <c r="G291" s="37">
        <v>3306.1</v>
      </c>
      <c r="H291" s="24"/>
      <c r="I291" s="36"/>
      <c r="J291" s="8">
        <f t="shared" si="72"/>
        <v>53845</v>
      </c>
      <c r="K291" s="37">
        <v>460</v>
      </c>
      <c r="L291" s="37">
        <v>781</v>
      </c>
      <c r="M291" s="127">
        <f t="shared" si="73"/>
        <v>545</v>
      </c>
      <c r="N291" s="74">
        <f t="shared" si="80"/>
        <v>709906</v>
      </c>
      <c r="O291" s="75">
        <f t="shared" si="80"/>
        <v>474226</v>
      </c>
      <c r="P291" s="75">
        <f t="shared" si="80"/>
        <v>1209873</v>
      </c>
      <c r="Q291" s="76">
        <f t="shared" si="81"/>
        <v>17379431.34</v>
      </c>
      <c r="R291" s="76">
        <f t="shared" si="81"/>
        <v>9885576</v>
      </c>
      <c r="S291" s="76">
        <f t="shared" si="81"/>
        <v>27938811.508000001</v>
      </c>
      <c r="T291" s="80">
        <f>N291/'2016'!N291-1</f>
        <v>0.11867216516939094</v>
      </c>
      <c r="U291" s="80">
        <f>O291/'2016'!O291-1</f>
        <v>0.19754645225480938</v>
      </c>
      <c r="V291" s="80">
        <f>P291/'2016'!P291-1</f>
        <v>0.13030411174929646</v>
      </c>
      <c r="W291" s="81">
        <f>Q291/'2016'!Q291-1</f>
        <v>8.7788148266745747E-2</v>
      </c>
      <c r="X291" s="81">
        <f>R291/'2016'!R291-1</f>
        <v>0.14972702407040361</v>
      </c>
      <c r="Y291" s="81">
        <f>S291/'2016'!S291-1</f>
        <v>0.10533019038748836</v>
      </c>
      <c r="Z291" s="136"/>
      <c r="AA291" s="136"/>
      <c r="AB291" s="105"/>
      <c r="AC291" s="105"/>
      <c r="AD291" s="37">
        <f t="shared" si="74"/>
        <v>18053235.508000001</v>
      </c>
      <c r="AE291" s="37">
        <f t="shared" si="76"/>
        <v>300690.89</v>
      </c>
      <c r="AF291" s="37">
        <f t="shared" si="77"/>
        <v>218651.82</v>
      </c>
      <c r="AG291" s="37">
        <f t="shared" si="75"/>
        <v>154461.45800000144</v>
      </c>
    </row>
    <row r="292" spans="1:33" ht="15" customHeight="1" x14ac:dyDescent="0.15">
      <c r="A292" s="102">
        <v>43022</v>
      </c>
      <c r="B292" s="20" t="s">
        <v>39</v>
      </c>
      <c r="C292" s="70">
        <v>50545</v>
      </c>
      <c r="D292" s="71">
        <f>37198+8485</f>
        <v>45683</v>
      </c>
      <c r="E292" s="71">
        <v>97737</v>
      </c>
      <c r="F292" s="120">
        <v>4945.8999999999996</v>
      </c>
      <c r="G292" s="71">
        <v>3256.4</v>
      </c>
      <c r="H292" s="24"/>
      <c r="I292" s="24"/>
      <c r="J292" s="70">
        <f t="shared" si="72"/>
        <v>52054</v>
      </c>
      <c r="K292" s="71">
        <v>274</v>
      </c>
      <c r="L292" s="71">
        <v>784</v>
      </c>
      <c r="M292" s="129">
        <f t="shared" si="73"/>
        <v>451</v>
      </c>
      <c r="N292" s="74">
        <f t="shared" si="80"/>
        <v>760451</v>
      </c>
      <c r="O292" s="75">
        <f t="shared" si="80"/>
        <v>519909</v>
      </c>
      <c r="P292" s="75">
        <f t="shared" si="80"/>
        <v>1307610</v>
      </c>
      <c r="Q292" s="76">
        <f t="shared" si="81"/>
        <v>17429976.34</v>
      </c>
      <c r="R292" s="76">
        <f t="shared" si="81"/>
        <v>9931259</v>
      </c>
      <c r="S292" s="76">
        <f t="shared" si="81"/>
        <v>28036548.508000001</v>
      </c>
      <c r="T292" s="80">
        <f>N292/'2016'!N292-1</f>
        <v>0.10682374242602877</v>
      </c>
      <c r="U292" s="80">
        <f>O292/'2016'!O292-1</f>
        <v>0.20306696933724866</v>
      </c>
      <c r="V292" s="80">
        <f>P292/'2016'!P292-1</f>
        <v>0.12674199477304637</v>
      </c>
      <c r="W292" s="81">
        <f>Q292/'2016'!Q292-1</f>
        <v>8.7381370617692689E-2</v>
      </c>
      <c r="X292" s="81">
        <f>R292/'2016'!R292-1</f>
        <v>0.15020356485474462</v>
      </c>
      <c r="Y292" s="81">
        <f>S292/'2016'!S292-1</f>
        <v>0.10525595511087227</v>
      </c>
      <c r="Z292" s="139"/>
      <c r="AA292" s="139"/>
      <c r="AB292" s="105"/>
      <c r="AC292" s="105"/>
      <c r="AD292" s="37">
        <f t="shared" si="74"/>
        <v>18105289.508000001</v>
      </c>
      <c r="AE292" s="71">
        <f t="shared" si="76"/>
        <v>300964.89</v>
      </c>
      <c r="AF292" s="71">
        <f t="shared" si="77"/>
        <v>219435.82</v>
      </c>
      <c r="AG292" s="71">
        <f t="shared" si="75"/>
        <v>154912.45800000144</v>
      </c>
    </row>
    <row r="293" spans="1:33" ht="15" customHeight="1" x14ac:dyDescent="0.15">
      <c r="A293" s="102">
        <v>43023</v>
      </c>
      <c r="B293" s="20" t="s">
        <v>1</v>
      </c>
      <c r="C293" s="8">
        <v>44043</v>
      </c>
      <c r="D293" s="37">
        <f>37847+8731</f>
        <v>46578</v>
      </c>
      <c r="E293" s="37">
        <v>92207</v>
      </c>
      <c r="F293" s="12">
        <v>4649.1000000000004</v>
      </c>
      <c r="G293" s="71">
        <v>3168.2</v>
      </c>
      <c r="H293" s="24"/>
      <c r="I293" s="36"/>
      <c r="J293" s="8">
        <f t="shared" si="72"/>
        <v>45629</v>
      </c>
      <c r="K293" s="37">
        <v>358</v>
      </c>
      <c r="L293" s="37">
        <v>792</v>
      </c>
      <c r="M293" s="127">
        <f t="shared" si="73"/>
        <v>436</v>
      </c>
      <c r="N293" s="74">
        <f t="shared" si="80"/>
        <v>804494</v>
      </c>
      <c r="O293" s="75">
        <f t="shared" si="80"/>
        <v>566487</v>
      </c>
      <c r="P293" s="75">
        <f t="shared" si="80"/>
        <v>1399817</v>
      </c>
      <c r="Q293" s="76">
        <f t="shared" si="81"/>
        <v>17474019.34</v>
      </c>
      <c r="R293" s="76">
        <f t="shared" si="81"/>
        <v>9977837</v>
      </c>
      <c r="S293" s="76">
        <f t="shared" si="81"/>
        <v>28128755.508000001</v>
      </c>
      <c r="T293" s="80">
        <f>N293/'2016'!N293-1</f>
        <v>8.8869759648310787E-2</v>
      </c>
      <c r="U293" s="80">
        <f>O293/'2016'!O293-1</f>
        <v>0.21165655325529209</v>
      </c>
      <c r="V293" s="80">
        <f>P293/'2016'!P293-1</f>
        <v>0.12007671928248098</v>
      </c>
      <c r="W293" s="81">
        <f>Q293/'2016'!Q293-1</f>
        <v>8.6619087387733051E-2</v>
      </c>
      <c r="X293" s="81">
        <f>R293/'2016'!R293-1</f>
        <v>0.15088249030217438</v>
      </c>
      <c r="Y293" s="81">
        <f>S293/'2016'!S293-1</f>
        <v>0.10500403689229376</v>
      </c>
      <c r="Z293" s="136"/>
      <c r="AA293" s="136"/>
      <c r="AB293" s="105"/>
      <c r="AC293" s="105"/>
      <c r="AD293" s="37">
        <f t="shared" si="74"/>
        <v>18150918.508000001</v>
      </c>
      <c r="AE293" s="37">
        <f t="shared" si="76"/>
        <v>301322.89</v>
      </c>
      <c r="AF293" s="37">
        <f t="shared" si="77"/>
        <v>220227.82</v>
      </c>
      <c r="AG293" s="37">
        <f t="shared" si="75"/>
        <v>155348.45800000144</v>
      </c>
    </row>
    <row r="294" spans="1:33" ht="15" customHeight="1" x14ac:dyDescent="0.15">
      <c r="A294" s="102">
        <v>43024</v>
      </c>
      <c r="B294" s="20" t="s">
        <v>34</v>
      </c>
      <c r="C294" s="8">
        <v>48205</v>
      </c>
      <c r="D294" s="37">
        <f>36737+9169</f>
        <v>45906</v>
      </c>
      <c r="E294" s="37">
        <v>95778</v>
      </c>
      <c r="F294" s="12">
        <v>4947.7</v>
      </c>
      <c r="G294" s="37">
        <v>3012.5</v>
      </c>
      <c r="H294" s="24"/>
      <c r="I294" s="36"/>
      <c r="J294" s="8">
        <f t="shared" si="72"/>
        <v>49872</v>
      </c>
      <c r="K294" s="37">
        <v>383</v>
      </c>
      <c r="L294" s="37">
        <v>785</v>
      </c>
      <c r="M294" s="127">
        <f t="shared" si="73"/>
        <v>499</v>
      </c>
      <c r="N294" s="74">
        <f t="shared" si="80"/>
        <v>852699</v>
      </c>
      <c r="O294" s="75">
        <f t="shared" si="80"/>
        <v>612393</v>
      </c>
      <c r="P294" s="75">
        <f t="shared" si="80"/>
        <v>1495595</v>
      </c>
      <c r="Q294" s="76">
        <f t="shared" si="81"/>
        <v>17522224.34</v>
      </c>
      <c r="R294" s="76">
        <f t="shared" si="81"/>
        <v>10023743</v>
      </c>
      <c r="S294" s="76">
        <f t="shared" si="81"/>
        <v>28224533.508000001</v>
      </c>
      <c r="T294" s="80">
        <f>N294/'2016'!N294-1</f>
        <v>8.2949150734201504E-2</v>
      </c>
      <c r="U294" s="80">
        <f>O294/'2016'!O294-1</f>
        <v>0.2174206053377068</v>
      </c>
      <c r="V294" s="80">
        <f>P294/'2016'!P294-1</f>
        <v>0.12017085733502397</v>
      </c>
      <c r="W294" s="81">
        <f>Q294/'2016'!Q294-1</f>
        <v>8.6336841202055092E-2</v>
      </c>
      <c r="X294" s="81">
        <f>R294/'2016'!R294-1</f>
        <v>0.15146335744951211</v>
      </c>
      <c r="Y294" s="81">
        <f>S294/'2016'!S294-1</f>
        <v>0.10505935401448063</v>
      </c>
      <c r="Z294" s="136"/>
      <c r="AA294" s="136"/>
      <c r="AB294" s="105"/>
      <c r="AC294" s="105"/>
      <c r="AD294" s="37">
        <f t="shared" si="74"/>
        <v>18200790.508000001</v>
      </c>
      <c r="AE294" s="37">
        <f t="shared" si="76"/>
        <v>301705.89</v>
      </c>
      <c r="AF294" s="37">
        <f t="shared" si="77"/>
        <v>221012.82</v>
      </c>
      <c r="AG294" s="37">
        <f t="shared" si="75"/>
        <v>155847.45800000144</v>
      </c>
    </row>
    <row r="295" spans="1:33" ht="15" customHeight="1" x14ac:dyDescent="0.15">
      <c r="A295" s="102">
        <v>43025</v>
      </c>
      <c r="B295" s="20" t="s">
        <v>35</v>
      </c>
      <c r="C295" s="8">
        <v>52427</v>
      </c>
      <c r="D295" s="37">
        <f>34263+9259</f>
        <v>43522</v>
      </c>
      <c r="E295" s="37">
        <v>97607</v>
      </c>
      <c r="F295" s="12">
        <v>4956.1000000000004</v>
      </c>
      <c r="G295" s="37">
        <v>3166.4</v>
      </c>
      <c r="H295" s="24"/>
      <c r="I295" s="36"/>
      <c r="J295" s="8">
        <f t="shared" si="72"/>
        <v>54085</v>
      </c>
      <c r="K295" s="37">
        <v>356</v>
      </c>
      <c r="L295" s="37">
        <v>792</v>
      </c>
      <c r="M295" s="127">
        <f t="shared" si="73"/>
        <v>510</v>
      </c>
      <c r="N295" s="74">
        <f t="shared" si="80"/>
        <v>905126</v>
      </c>
      <c r="O295" s="75">
        <f t="shared" si="80"/>
        <v>655915</v>
      </c>
      <c r="P295" s="75">
        <f t="shared" si="80"/>
        <v>1593202</v>
      </c>
      <c r="Q295" s="76">
        <f t="shared" si="81"/>
        <v>17574651.34</v>
      </c>
      <c r="R295" s="76">
        <f t="shared" si="81"/>
        <v>10067265</v>
      </c>
      <c r="S295" s="76">
        <f t="shared" si="81"/>
        <v>28322140.508000001</v>
      </c>
      <c r="T295" s="80">
        <f>N295/'2016'!N295-1</f>
        <v>8.1670919053281388E-2</v>
      </c>
      <c r="U295" s="80">
        <f>O295/'2016'!O295-1</f>
        <v>0.21271706011122937</v>
      </c>
      <c r="V295" s="80">
        <f>P295/'2016'!P295-1</f>
        <v>0.11808121447664921</v>
      </c>
      <c r="W295" s="81">
        <f>Q295/'2016'!Q295-1</f>
        <v>8.6260387126777083E-2</v>
      </c>
      <c r="X295" s="81">
        <f>R295/'2016'!R295-1</f>
        <v>0.15145784199124801</v>
      </c>
      <c r="Y295" s="81">
        <f>S295/'2016'!S295-1</f>
        <v>0.10499612197132491</v>
      </c>
      <c r="Z295" s="136"/>
      <c r="AA295" s="136"/>
      <c r="AB295" s="105"/>
      <c r="AC295" s="105"/>
      <c r="AD295" s="37">
        <f t="shared" si="74"/>
        <v>18254875.508000001</v>
      </c>
      <c r="AE295" s="37">
        <f t="shared" si="76"/>
        <v>302061.89</v>
      </c>
      <c r="AF295" s="37">
        <f t="shared" si="77"/>
        <v>221804.82</v>
      </c>
      <c r="AG295" s="37">
        <f t="shared" si="75"/>
        <v>156357.45800000144</v>
      </c>
    </row>
    <row r="296" spans="1:33" ht="15" customHeight="1" x14ac:dyDescent="0.15">
      <c r="A296" s="102">
        <v>43026</v>
      </c>
      <c r="B296" s="20" t="s">
        <v>36</v>
      </c>
      <c r="C296" s="8">
        <v>52901</v>
      </c>
      <c r="D296" s="37">
        <f>33902+10227</f>
        <v>44129</v>
      </c>
      <c r="E296" s="37">
        <v>98735</v>
      </c>
      <c r="F296" s="12">
        <v>4950.8999999999996</v>
      </c>
      <c r="G296" s="37">
        <v>3215.7</v>
      </c>
      <c r="H296" s="24"/>
      <c r="I296" s="36"/>
      <c r="J296" s="8">
        <f t="shared" si="72"/>
        <v>54606</v>
      </c>
      <c r="K296" s="37">
        <v>289</v>
      </c>
      <c r="L296" s="37">
        <v>788</v>
      </c>
      <c r="M296" s="127">
        <f t="shared" si="73"/>
        <v>628</v>
      </c>
      <c r="N296" s="74">
        <f t="shared" ref="N296:P309" si="82">C296+N295</f>
        <v>958027</v>
      </c>
      <c r="O296" s="75">
        <f t="shared" si="82"/>
        <v>700044</v>
      </c>
      <c r="P296" s="75">
        <f t="shared" si="82"/>
        <v>1691937</v>
      </c>
      <c r="Q296" s="76">
        <f t="shared" si="81"/>
        <v>17627552.34</v>
      </c>
      <c r="R296" s="76">
        <f t="shared" si="81"/>
        <v>10111394</v>
      </c>
      <c r="S296" s="76">
        <f t="shared" si="81"/>
        <v>28420875.508000001</v>
      </c>
      <c r="T296" s="80">
        <f>N296/'2016'!N296-1</f>
        <v>8.202977643952214E-2</v>
      </c>
      <c r="U296" s="80">
        <f>O296/'2016'!O296-1</f>
        <v>0.20477059167727951</v>
      </c>
      <c r="V296" s="80">
        <f>P296/'2016'!P296-1</f>
        <v>0.1159135728371774</v>
      </c>
      <c r="W296" s="81">
        <f>Q296/'2016'!Q296-1</f>
        <v>8.6266218148353335E-2</v>
      </c>
      <c r="X296" s="81">
        <f>R296/'2016'!R296-1</f>
        <v>0.15121248885379179</v>
      </c>
      <c r="Y296" s="81">
        <f>S296/'2016'!S296-1</f>
        <v>0.10491476895994922</v>
      </c>
      <c r="Z296" s="136">
        <f>(Z297-Z290)/7*6+Z290</f>
        <v>125.55285714285714</v>
      </c>
      <c r="AA296" s="136">
        <f>Q296/10000-Z296</f>
        <v>1637.2023768571428</v>
      </c>
      <c r="AB296" s="105"/>
      <c r="AC296" s="105"/>
      <c r="AD296" s="37">
        <f t="shared" si="74"/>
        <v>18309481.508000001</v>
      </c>
      <c r="AE296" s="37">
        <f t="shared" si="76"/>
        <v>302350.89</v>
      </c>
      <c r="AF296" s="37">
        <f t="shared" si="77"/>
        <v>222592.82</v>
      </c>
      <c r="AG296" s="37">
        <f t="shared" si="75"/>
        <v>156985.45800000144</v>
      </c>
    </row>
    <row r="297" spans="1:33" ht="15" customHeight="1" x14ac:dyDescent="0.15">
      <c r="A297" s="102">
        <v>43027</v>
      </c>
      <c r="B297" s="14" t="s">
        <v>37</v>
      </c>
      <c r="C297" s="32">
        <v>53286</v>
      </c>
      <c r="D297" s="33">
        <f>33506+10352</f>
        <v>43858</v>
      </c>
      <c r="E297" s="33">
        <v>98735</v>
      </c>
      <c r="F297" s="119">
        <v>4954.1000000000004</v>
      </c>
      <c r="G297" s="33">
        <v>3220.8</v>
      </c>
      <c r="H297" s="19"/>
      <c r="I297" s="19"/>
      <c r="J297" s="32">
        <f t="shared" si="72"/>
        <v>54877</v>
      </c>
      <c r="K297" s="33">
        <v>264</v>
      </c>
      <c r="L297" s="33">
        <v>789</v>
      </c>
      <c r="M297" s="128">
        <f t="shared" si="73"/>
        <v>538</v>
      </c>
      <c r="N297" s="77">
        <f t="shared" si="82"/>
        <v>1011313</v>
      </c>
      <c r="O297" s="78">
        <f t="shared" si="82"/>
        <v>743902</v>
      </c>
      <c r="P297" s="78">
        <f t="shared" si="82"/>
        <v>1790672</v>
      </c>
      <c r="Q297" s="77">
        <f t="shared" si="81"/>
        <v>17680838.34</v>
      </c>
      <c r="R297" s="77">
        <f t="shared" si="81"/>
        <v>10155252</v>
      </c>
      <c r="S297" s="77">
        <f t="shared" si="81"/>
        <v>28519610.508000001</v>
      </c>
      <c r="T297" s="82">
        <f>N297/'2016'!N297-1</f>
        <v>8.4691280429795235E-2</v>
      </c>
      <c r="U297" s="82">
        <f>O297/'2016'!O297-1</f>
        <v>0.19472964877708776</v>
      </c>
      <c r="V297" s="82">
        <f>P297/'2016'!P297-1</f>
        <v>0.11418471974459288</v>
      </c>
      <c r="W297" s="82">
        <f>Q297/'2016'!Q297-1</f>
        <v>8.6406469907383876E-2</v>
      </c>
      <c r="X297" s="82">
        <f>R297/'2016'!R297-1</f>
        <v>0.15075646053547209</v>
      </c>
      <c r="Y297" s="82">
        <f>S297/'2016'!S297-1</f>
        <v>0.10484588980291543</v>
      </c>
      <c r="Z297" s="138">
        <v>125.74</v>
      </c>
      <c r="AA297" s="138">
        <f>Q297/10000-Z297</f>
        <v>1642.343834</v>
      </c>
      <c r="AB297" s="33">
        <v>4269.4799999999996</v>
      </c>
      <c r="AC297" s="33">
        <f>AA297*10000/AB297</f>
        <v>3846.7069385498939</v>
      </c>
      <c r="AD297" s="33">
        <f t="shared" si="74"/>
        <v>18364358.508000001</v>
      </c>
      <c r="AE297" s="33">
        <f t="shared" si="76"/>
        <v>302614.89</v>
      </c>
      <c r="AF297" s="33">
        <f t="shared" si="77"/>
        <v>223381.82</v>
      </c>
      <c r="AG297" s="33">
        <f t="shared" si="75"/>
        <v>157523.45800000144</v>
      </c>
    </row>
    <row r="298" spans="1:33" ht="15" customHeight="1" x14ac:dyDescent="0.15">
      <c r="A298" s="102">
        <v>43028</v>
      </c>
      <c r="B298" s="20" t="s">
        <v>38</v>
      </c>
      <c r="C298" s="8">
        <v>52445</v>
      </c>
      <c r="D298" s="37">
        <f>33748+10984</f>
        <v>44732</v>
      </c>
      <c r="E298" s="37">
        <v>98737</v>
      </c>
      <c r="F298" s="12">
        <v>4974.1000000000004</v>
      </c>
      <c r="G298" s="37">
        <v>3241.5</v>
      </c>
      <c r="H298" s="24"/>
      <c r="I298" s="36"/>
      <c r="J298" s="8">
        <f t="shared" si="72"/>
        <v>54005</v>
      </c>
      <c r="K298" s="37">
        <v>281</v>
      </c>
      <c r="L298" s="37">
        <v>786</v>
      </c>
      <c r="M298" s="127">
        <f t="shared" si="73"/>
        <v>493</v>
      </c>
      <c r="N298" s="74">
        <f t="shared" si="82"/>
        <v>1063758</v>
      </c>
      <c r="O298" s="75">
        <f t="shared" si="82"/>
        <v>788634</v>
      </c>
      <c r="P298" s="75">
        <f t="shared" si="82"/>
        <v>1889409</v>
      </c>
      <c r="Q298" s="76">
        <f t="shared" si="81"/>
        <v>17733283.34</v>
      </c>
      <c r="R298" s="76">
        <f t="shared" si="81"/>
        <v>10199984</v>
      </c>
      <c r="S298" s="76">
        <f t="shared" si="81"/>
        <v>28618347.508000001</v>
      </c>
      <c r="T298" s="80">
        <f>N298/'2016'!N298-1</f>
        <v>8.6769252144916376E-2</v>
      </c>
      <c r="U298" s="80">
        <f>O298/'2016'!O298-1</f>
        <v>0.18711540082609801</v>
      </c>
      <c r="V298" s="80">
        <f>P298/'2016'!P298-1</f>
        <v>0.11303095370640359</v>
      </c>
      <c r="W298" s="81">
        <f>Q298/'2016'!Q298-1</f>
        <v>8.6526208250163883E-2</v>
      </c>
      <c r="X298" s="81">
        <f>R298/'2016'!R298-1</f>
        <v>0.15039264541549757</v>
      </c>
      <c r="Y298" s="81">
        <f>S298/'2016'!S298-1</f>
        <v>0.10480286284647744</v>
      </c>
      <c r="Z298" s="136"/>
      <c r="AA298" s="136"/>
      <c r="AB298" s="105"/>
      <c r="AC298" s="105"/>
      <c r="AD298" s="37">
        <f t="shared" si="74"/>
        <v>18418363.508000001</v>
      </c>
      <c r="AE298" s="37">
        <f t="shared" si="76"/>
        <v>302895.89</v>
      </c>
      <c r="AF298" s="37">
        <f t="shared" si="77"/>
        <v>224167.82</v>
      </c>
      <c r="AG298" s="37">
        <f t="shared" si="75"/>
        <v>158016.45800000144</v>
      </c>
    </row>
    <row r="299" spans="1:33" ht="15" customHeight="1" x14ac:dyDescent="0.15">
      <c r="A299" s="102">
        <v>43029</v>
      </c>
      <c r="B299" s="20" t="s">
        <v>39</v>
      </c>
      <c r="C299" s="70">
        <v>46618</v>
      </c>
      <c r="D299" s="71">
        <f>35701+11173</f>
        <v>46874</v>
      </c>
      <c r="E299" s="71">
        <v>95580</v>
      </c>
      <c r="F299" s="120">
        <v>4740.2</v>
      </c>
      <c r="G299" s="71">
        <v>3198.5</v>
      </c>
      <c r="H299" s="24"/>
      <c r="I299" s="24"/>
      <c r="J299" s="70">
        <f t="shared" si="72"/>
        <v>48706</v>
      </c>
      <c r="K299" s="71">
        <v>234</v>
      </c>
      <c r="L299" s="71">
        <v>789</v>
      </c>
      <c r="M299" s="129">
        <f t="shared" si="73"/>
        <v>1065</v>
      </c>
      <c r="N299" s="74">
        <f t="shared" si="82"/>
        <v>1110376</v>
      </c>
      <c r="O299" s="75">
        <f t="shared" si="82"/>
        <v>835508</v>
      </c>
      <c r="P299" s="75">
        <f t="shared" si="82"/>
        <v>1984989</v>
      </c>
      <c r="Q299" s="76">
        <f t="shared" si="81"/>
        <v>17779901.34</v>
      </c>
      <c r="R299" s="76">
        <f t="shared" si="81"/>
        <v>10246858</v>
      </c>
      <c r="S299" s="76">
        <f t="shared" si="81"/>
        <v>28713927.508000001</v>
      </c>
      <c r="T299" s="80">
        <f>N299/'2016'!N299-1</f>
        <v>8.3677438936911264E-2</v>
      </c>
      <c r="U299" s="80">
        <f>O299/'2016'!O299-1</f>
        <v>0.18253795266496642</v>
      </c>
      <c r="V299" s="80">
        <f>P299/'2016'!P299-1</f>
        <v>0.10984880253080487</v>
      </c>
      <c r="W299" s="81">
        <f>Q299/'2016'!Q299-1</f>
        <v>8.6333327895526724E-2</v>
      </c>
      <c r="X299" s="81">
        <f>R299/'2016'!R299-1</f>
        <v>0.15020360917724118</v>
      </c>
      <c r="Y299" s="81">
        <f>S299/'2016'!S299-1</f>
        <v>0.10461271932927807</v>
      </c>
      <c r="Z299" s="139"/>
      <c r="AA299" s="139"/>
      <c r="AB299" s="105"/>
      <c r="AC299" s="105"/>
      <c r="AD299" s="37">
        <f t="shared" si="74"/>
        <v>18467069.508000001</v>
      </c>
      <c r="AE299" s="71">
        <f t="shared" si="76"/>
        <v>303129.89</v>
      </c>
      <c r="AF299" s="71">
        <f t="shared" si="77"/>
        <v>224956.82</v>
      </c>
      <c r="AG299" s="71">
        <f t="shared" si="75"/>
        <v>159081.45800000144</v>
      </c>
    </row>
    <row r="300" spans="1:33" ht="15" customHeight="1" x14ac:dyDescent="0.15">
      <c r="A300" s="102">
        <v>43030</v>
      </c>
      <c r="B300" s="20" t="s">
        <v>1</v>
      </c>
      <c r="C300" s="8">
        <v>41669</v>
      </c>
      <c r="D300" s="37">
        <f>36102+11081</f>
        <v>47183</v>
      </c>
      <c r="E300" s="37">
        <v>91016</v>
      </c>
      <c r="F300" s="12">
        <v>4458.7</v>
      </c>
      <c r="G300" s="37">
        <v>3161.6</v>
      </c>
      <c r="H300" s="24"/>
      <c r="I300" s="36"/>
      <c r="J300" s="8">
        <f t="shared" si="72"/>
        <v>43833</v>
      </c>
      <c r="K300" s="37">
        <v>349</v>
      </c>
      <c r="L300" s="37">
        <v>792</v>
      </c>
      <c r="M300" s="127">
        <f t="shared" si="73"/>
        <v>1023</v>
      </c>
      <c r="N300" s="74">
        <f t="shared" si="82"/>
        <v>1152045</v>
      </c>
      <c r="O300" s="75">
        <f t="shared" si="82"/>
        <v>882691</v>
      </c>
      <c r="P300" s="75">
        <f t="shared" si="82"/>
        <v>2076005</v>
      </c>
      <c r="Q300" s="76">
        <f t="shared" si="81"/>
        <v>17821570.34</v>
      </c>
      <c r="R300" s="76">
        <f t="shared" si="81"/>
        <v>10294041</v>
      </c>
      <c r="S300" s="76">
        <f t="shared" si="81"/>
        <v>28804943.508000001</v>
      </c>
      <c r="T300" s="80">
        <f>N300/'2016'!N300-1</f>
        <v>7.3805391560144651E-2</v>
      </c>
      <c r="U300" s="80">
        <f>O300/'2016'!O300-1</f>
        <v>0.18430349176533722</v>
      </c>
      <c r="V300" s="80">
        <f>P300/'2016'!P300-1</f>
        <v>0.1054021875835307</v>
      </c>
      <c r="W300" s="81">
        <f>Q300/'2016'!Q300-1</f>
        <v>8.5680306410224949E-2</v>
      </c>
      <c r="X300" s="81">
        <f>R300/'2016'!R300-1</f>
        <v>0.15049084545317082</v>
      </c>
      <c r="Y300" s="81">
        <f>S300/'2016'!S300-1</f>
        <v>0.1043105357465286</v>
      </c>
      <c r="Z300" s="136"/>
      <c r="AA300" s="136"/>
      <c r="AB300" s="105"/>
      <c r="AC300" s="105"/>
      <c r="AD300" s="37">
        <f t="shared" si="74"/>
        <v>18510902.508000001</v>
      </c>
      <c r="AE300" s="37">
        <f t="shared" si="76"/>
        <v>303478.89</v>
      </c>
      <c r="AF300" s="37">
        <f t="shared" si="77"/>
        <v>225748.82</v>
      </c>
      <c r="AG300" s="37">
        <f t="shared" si="75"/>
        <v>160104.45800000144</v>
      </c>
    </row>
    <row r="301" spans="1:33" ht="15" customHeight="1" x14ac:dyDescent="0.15">
      <c r="A301" s="102">
        <v>43031</v>
      </c>
      <c r="B301" s="20" t="s">
        <v>34</v>
      </c>
      <c r="C301" s="8">
        <v>46863</v>
      </c>
      <c r="D301" s="37">
        <f>36747+11217</f>
        <v>47964</v>
      </c>
      <c r="E301" s="37">
        <v>96670</v>
      </c>
      <c r="F301" s="12">
        <v>4882.3</v>
      </c>
      <c r="G301" s="37">
        <v>3041</v>
      </c>
      <c r="H301" s="24"/>
      <c r="I301" s="36"/>
      <c r="J301" s="8">
        <f t="shared" si="72"/>
        <v>48706</v>
      </c>
      <c r="K301" s="37">
        <v>331</v>
      </c>
      <c r="L301" s="37">
        <v>788</v>
      </c>
      <c r="M301" s="127">
        <f t="shared" si="73"/>
        <v>724</v>
      </c>
      <c r="N301" s="74">
        <f t="shared" si="82"/>
        <v>1198908</v>
      </c>
      <c r="O301" s="75">
        <f t="shared" si="82"/>
        <v>930655</v>
      </c>
      <c r="P301" s="75">
        <f t="shared" si="82"/>
        <v>2172675</v>
      </c>
      <c r="Q301" s="76">
        <f t="shared" si="81"/>
        <v>17868433.34</v>
      </c>
      <c r="R301" s="76">
        <f t="shared" si="81"/>
        <v>10342005</v>
      </c>
      <c r="S301" s="76">
        <f t="shared" si="81"/>
        <v>28901613.508000001</v>
      </c>
      <c r="T301" s="80">
        <f>N301/'2016'!N301-1</f>
        <v>7.2356045949376169E-2</v>
      </c>
      <c r="U301" s="80">
        <f>O301/'2016'!O301-1</f>
        <v>0.19018113829123307</v>
      </c>
      <c r="V301" s="80">
        <f>P301/'2016'!P301-1</f>
        <v>0.10730769309177202</v>
      </c>
      <c r="W301" s="81">
        <f>Q301/'2016'!Q301-1</f>
        <v>8.5549290840872594E-2</v>
      </c>
      <c r="X301" s="81">
        <f>R301/'2016'!R301-1</f>
        <v>0.15114023156362211</v>
      </c>
      <c r="Y301" s="81">
        <f>S301/'2016'!S301-1</f>
        <v>0.10445692021472697</v>
      </c>
      <c r="Z301" s="136"/>
      <c r="AA301" s="136"/>
      <c r="AB301" s="105"/>
      <c r="AC301" s="105"/>
      <c r="AD301" s="37">
        <f t="shared" si="74"/>
        <v>18559608.508000001</v>
      </c>
      <c r="AE301" s="37">
        <f t="shared" si="76"/>
        <v>303809.89</v>
      </c>
      <c r="AF301" s="37">
        <f t="shared" si="77"/>
        <v>226536.82</v>
      </c>
      <c r="AG301" s="37">
        <f t="shared" si="75"/>
        <v>160828.45800000144</v>
      </c>
    </row>
    <row r="302" spans="1:33" ht="15" customHeight="1" x14ac:dyDescent="0.15">
      <c r="A302" s="102">
        <v>43032</v>
      </c>
      <c r="B302" s="20" t="s">
        <v>35</v>
      </c>
      <c r="C302" s="8">
        <v>50497</v>
      </c>
      <c r="D302" s="37">
        <f>33378+11262</f>
        <v>44640</v>
      </c>
      <c r="E302" s="37">
        <v>97200</v>
      </c>
      <c r="F302" s="12">
        <v>4811.6000000000004</v>
      </c>
      <c r="G302" s="37">
        <v>3220</v>
      </c>
      <c r="H302" s="24"/>
      <c r="I302" s="36"/>
      <c r="J302" s="8">
        <f t="shared" si="72"/>
        <v>52560</v>
      </c>
      <c r="K302" s="37">
        <v>310</v>
      </c>
      <c r="L302" s="37">
        <v>791</v>
      </c>
      <c r="M302" s="127">
        <f t="shared" si="73"/>
        <v>962</v>
      </c>
      <c r="N302" s="74">
        <f t="shared" si="82"/>
        <v>1249405</v>
      </c>
      <c r="O302" s="75">
        <f t="shared" si="82"/>
        <v>975295</v>
      </c>
      <c r="P302" s="75">
        <f t="shared" si="82"/>
        <v>2269875</v>
      </c>
      <c r="Q302" s="76">
        <f t="shared" si="81"/>
        <v>17918930.34</v>
      </c>
      <c r="R302" s="76">
        <f t="shared" si="81"/>
        <v>10386645</v>
      </c>
      <c r="S302" s="76">
        <f t="shared" si="81"/>
        <v>28998813.508000001</v>
      </c>
      <c r="T302" s="80">
        <f>N302/'2016'!N302-1</f>
        <v>7.157498764957726E-2</v>
      </c>
      <c r="U302" s="80">
        <f>O302/'2016'!O302-1</f>
        <v>0.18814384008888285</v>
      </c>
      <c r="V302" s="80">
        <f>P302/'2016'!P302-1</f>
        <v>0.10680905468425439</v>
      </c>
      <c r="W302" s="81">
        <f>Q302/'2016'!Q302-1</f>
        <v>8.5455813253625168E-2</v>
      </c>
      <c r="X302" s="81">
        <f>R302/'2016'!R302-1</f>
        <v>0.15112325629953149</v>
      </c>
      <c r="Y302" s="81">
        <f>S302/'2016'!S302-1</f>
        <v>0.10442760420670893</v>
      </c>
      <c r="Z302" s="136"/>
      <c r="AA302" s="136"/>
      <c r="AB302" s="105"/>
      <c r="AC302" s="105"/>
      <c r="AD302" s="37">
        <f t="shared" si="74"/>
        <v>18612168.508000001</v>
      </c>
      <c r="AE302" s="37">
        <f t="shared" si="76"/>
        <v>304119.89</v>
      </c>
      <c r="AF302" s="37">
        <f t="shared" si="77"/>
        <v>227327.82</v>
      </c>
      <c r="AG302" s="37">
        <f t="shared" si="75"/>
        <v>161790.45800000144</v>
      </c>
    </row>
    <row r="303" spans="1:33" ht="15" customHeight="1" x14ac:dyDescent="0.15">
      <c r="A303" s="102">
        <v>43033</v>
      </c>
      <c r="B303" s="20" t="s">
        <v>36</v>
      </c>
      <c r="C303" s="8">
        <v>51086</v>
      </c>
      <c r="D303" s="37">
        <f>34268+10919</f>
        <v>45187</v>
      </c>
      <c r="E303" s="37">
        <v>98292</v>
      </c>
      <c r="F303" s="12">
        <v>4824.2</v>
      </c>
      <c r="G303" s="37">
        <v>3265.3</v>
      </c>
      <c r="H303" s="24"/>
      <c r="I303" s="36"/>
      <c r="J303" s="8">
        <f t="shared" si="72"/>
        <v>53105</v>
      </c>
      <c r="K303" s="37">
        <v>338</v>
      </c>
      <c r="L303" s="37">
        <v>790</v>
      </c>
      <c r="M303" s="127">
        <f t="shared" si="73"/>
        <v>891</v>
      </c>
      <c r="N303" s="74">
        <f t="shared" si="82"/>
        <v>1300491</v>
      </c>
      <c r="O303" s="75">
        <f t="shared" si="82"/>
        <v>1020482</v>
      </c>
      <c r="P303" s="75">
        <f t="shared" si="82"/>
        <v>2368167</v>
      </c>
      <c r="Q303" s="76">
        <f t="shared" si="81"/>
        <v>17970016.34</v>
      </c>
      <c r="R303" s="76">
        <f t="shared" si="81"/>
        <v>10431832</v>
      </c>
      <c r="S303" s="76">
        <f t="shared" si="81"/>
        <v>29097105.508000001</v>
      </c>
      <c r="T303" s="80">
        <f>N303/'2016'!N303-1</f>
        <v>7.1239351370586235E-2</v>
      </c>
      <c r="U303" s="80">
        <f>O303/'2016'!O303-1</f>
        <v>0.18477883544809348</v>
      </c>
      <c r="V303" s="80">
        <f>P303/'2016'!P303-1</f>
        <v>0.10583515719449599</v>
      </c>
      <c r="W303" s="81">
        <f>Q303/'2016'!Q303-1</f>
        <v>8.5390913721949957E-2</v>
      </c>
      <c r="X303" s="81">
        <f>R303/'2016'!R303-1</f>
        <v>0.15096877891742544</v>
      </c>
      <c r="Y303" s="81">
        <f>S303/'2016'!S303-1</f>
        <v>0.10435664341614381</v>
      </c>
      <c r="Z303" s="136">
        <f>(Z304-Z297)/7*6+Z297</f>
        <v>126.88857142857142</v>
      </c>
      <c r="AA303" s="136">
        <f>Q303/10000-Z303</f>
        <v>1670.1130625714286</v>
      </c>
      <c r="AB303" s="105"/>
      <c r="AC303" s="105"/>
      <c r="AD303" s="37">
        <f t="shared" si="74"/>
        <v>18665273.508000001</v>
      </c>
      <c r="AE303" s="37">
        <f t="shared" si="76"/>
        <v>304457.89</v>
      </c>
      <c r="AF303" s="37">
        <f t="shared" si="77"/>
        <v>228117.82</v>
      </c>
      <c r="AG303" s="37">
        <f t="shared" si="75"/>
        <v>162681.45800000144</v>
      </c>
    </row>
    <row r="304" spans="1:33" ht="15" customHeight="1" x14ac:dyDescent="0.15">
      <c r="A304" s="102">
        <v>43034</v>
      </c>
      <c r="B304" s="14" t="s">
        <v>37</v>
      </c>
      <c r="C304" s="32">
        <v>50402</v>
      </c>
      <c r="D304" s="33">
        <f>35906+11014</f>
        <v>46920</v>
      </c>
      <c r="E304" s="33">
        <v>99016</v>
      </c>
      <c r="F304" s="119">
        <v>4887.7</v>
      </c>
      <c r="G304" s="33">
        <v>3261.8</v>
      </c>
      <c r="H304" s="19"/>
      <c r="I304" s="19"/>
      <c r="J304" s="32">
        <f t="shared" si="72"/>
        <v>52096</v>
      </c>
      <c r="K304" s="33">
        <v>171</v>
      </c>
      <c r="L304" s="33">
        <v>791</v>
      </c>
      <c r="M304" s="128">
        <f t="shared" si="73"/>
        <v>732</v>
      </c>
      <c r="N304" s="77">
        <f t="shared" si="82"/>
        <v>1350893</v>
      </c>
      <c r="O304" s="78">
        <f t="shared" si="82"/>
        <v>1067402</v>
      </c>
      <c r="P304" s="78">
        <f t="shared" si="82"/>
        <v>2467183</v>
      </c>
      <c r="Q304" s="77">
        <f t="shared" si="81"/>
        <v>18020418.34</v>
      </c>
      <c r="R304" s="77">
        <f t="shared" si="81"/>
        <v>10478752</v>
      </c>
      <c r="S304" s="77">
        <f t="shared" si="81"/>
        <v>29196121.508000001</v>
      </c>
      <c r="T304" s="82">
        <f>N304/'2016'!N304-1</f>
        <v>6.8892449508436648E-2</v>
      </c>
      <c r="U304" s="82">
        <f>O304/'2016'!O304-1</f>
        <v>0.18312197749700454</v>
      </c>
      <c r="V304" s="82">
        <f>P304/'2016'!P304-1</f>
        <v>0.10455367387953429</v>
      </c>
      <c r="W304" s="82">
        <f>Q304/'2016'!Q304-1</f>
        <v>8.516984470929656E-2</v>
      </c>
      <c r="X304" s="82">
        <f>R304/'2016'!R304-1</f>
        <v>0.15095634664914837</v>
      </c>
      <c r="Y304" s="82">
        <f>S304/'2016'!S304-1</f>
        <v>0.10425353446102426</v>
      </c>
      <c r="Z304" s="138">
        <v>127.08</v>
      </c>
      <c r="AA304" s="138">
        <f>Q304/10000-Z304</f>
        <v>1674.961834</v>
      </c>
      <c r="AB304" s="33">
        <v>4269.4799999999996</v>
      </c>
      <c r="AC304" s="33">
        <f>AA304*10000/AB304</f>
        <v>3923.1050010774147</v>
      </c>
      <c r="AD304" s="33">
        <f t="shared" si="74"/>
        <v>18717369.508000001</v>
      </c>
      <c r="AE304" s="33">
        <f t="shared" si="76"/>
        <v>304628.89</v>
      </c>
      <c r="AF304" s="33">
        <f t="shared" si="77"/>
        <v>228908.82</v>
      </c>
      <c r="AG304" s="33">
        <f t="shared" si="75"/>
        <v>163413.45800000144</v>
      </c>
    </row>
    <row r="305" spans="1:33" ht="15" customHeight="1" x14ac:dyDescent="0.15">
      <c r="A305" s="102">
        <v>43035</v>
      </c>
      <c r="B305" s="20" t="s">
        <v>38</v>
      </c>
      <c r="C305" s="8">
        <v>46631</v>
      </c>
      <c r="D305" s="37">
        <f>39058+11028</f>
        <v>50086</v>
      </c>
      <c r="E305" s="37">
        <v>98527</v>
      </c>
      <c r="F305" s="12">
        <v>4878.7</v>
      </c>
      <c r="G305" s="37">
        <v>3252.4</v>
      </c>
      <c r="H305" s="24"/>
      <c r="I305" s="36"/>
      <c r="J305" s="8">
        <f t="shared" si="72"/>
        <v>48441</v>
      </c>
      <c r="K305" s="37">
        <v>214</v>
      </c>
      <c r="L305" s="37">
        <v>789</v>
      </c>
      <c r="M305" s="127">
        <f t="shared" si="73"/>
        <v>807</v>
      </c>
      <c r="N305" s="74">
        <f t="shared" si="82"/>
        <v>1397524</v>
      </c>
      <c r="O305" s="75">
        <f t="shared" si="82"/>
        <v>1117488</v>
      </c>
      <c r="P305" s="75">
        <f t="shared" si="82"/>
        <v>2565710</v>
      </c>
      <c r="Q305" s="76">
        <f t="shared" si="81"/>
        <v>18067049.34</v>
      </c>
      <c r="R305" s="76">
        <f t="shared" si="81"/>
        <v>10528838</v>
      </c>
      <c r="S305" s="76">
        <f t="shared" si="81"/>
        <v>29294648.508000001</v>
      </c>
      <c r="T305" s="80">
        <f>N305/'2016'!N305-1</f>
        <v>6.4000328901787862E-2</v>
      </c>
      <c r="U305" s="80">
        <f>O305/'2016'!O305-1</f>
        <v>0.18400040685551544</v>
      </c>
      <c r="V305" s="80">
        <f>P305/'2016'!P305-1</f>
        <v>0.10282063427520671</v>
      </c>
      <c r="W305" s="81">
        <f>Q305/'2016'!Q305-1</f>
        <v>8.4735544874138702E-2</v>
      </c>
      <c r="X305" s="81">
        <f>R305/'2016'!R305-1</f>
        <v>0.1511934152779022</v>
      </c>
      <c r="Y305" s="81">
        <f>S305/'2016'!S305-1</f>
        <v>0.10410262374060242</v>
      </c>
      <c r="Z305" s="136"/>
      <c r="AA305" s="136"/>
      <c r="AB305" s="105"/>
      <c r="AC305" s="105"/>
      <c r="AD305" s="37">
        <f t="shared" si="74"/>
        <v>18765810.508000001</v>
      </c>
      <c r="AE305" s="37">
        <f t="shared" si="76"/>
        <v>304842.89</v>
      </c>
      <c r="AF305" s="37">
        <f t="shared" si="77"/>
        <v>229697.82</v>
      </c>
      <c r="AG305" s="37">
        <f t="shared" si="75"/>
        <v>164220.45800000144</v>
      </c>
    </row>
    <row r="306" spans="1:33" ht="15" customHeight="1" x14ac:dyDescent="0.15">
      <c r="A306" s="102">
        <v>43036</v>
      </c>
      <c r="B306" s="20" t="s">
        <v>39</v>
      </c>
      <c r="C306" s="70">
        <v>45639</v>
      </c>
      <c r="D306" s="71">
        <f>37481+11010</f>
        <v>48491</v>
      </c>
      <c r="E306" s="71">
        <v>96135</v>
      </c>
      <c r="F306" s="120">
        <v>4782</v>
      </c>
      <c r="G306" s="71">
        <v>3211.9</v>
      </c>
      <c r="H306" s="24"/>
      <c r="I306" s="24"/>
      <c r="J306" s="70">
        <f t="shared" si="72"/>
        <v>47644</v>
      </c>
      <c r="K306" s="71">
        <v>197</v>
      </c>
      <c r="L306" s="71">
        <v>792</v>
      </c>
      <c r="M306" s="129">
        <f t="shared" si="73"/>
        <v>1016</v>
      </c>
      <c r="N306" s="74">
        <f t="shared" si="82"/>
        <v>1443163</v>
      </c>
      <c r="O306" s="75">
        <f t="shared" si="82"/>
        <v>1165979</v>
      </c>
      <c r="P306" s="75">
        <f t="shared" si="82"/>
        <v>2661845</v>
      </c>
      <c r="Q306" s="76">
        <f t="shared" si="81"/>
        <v>18112688.34</v>
      </c>
      <c r="R306" s="76">
        <f t="shared" si="81"/>
        <v>10577329</v>
      </c>
      <c r="S306" s="76">
        <f t="shared" si="81"/>
        <v>29390783.508000001</v>
      </c>
      <c r="T306" s="80">
        <f>N306/'2016'!N306-1</f>
        <v>6.0205214327536227E-2</v>
      </c>
      <c r="U306" s="80">
        <f>O306/'2016'!O306-1</f>
        <v>0.18309963481541391</v>
      </c>
      <c r="V306" s="80">
        <f>P306/'2016'!P306-1</f>
        <v>0.10122374512342946</v>
      </c>
      <c r="W306" s="81">
        <f>Q306/'2016'!Q306-1</f>
        <v>8.4366996384642734E-2</v>
      </c>
      <c r="X306" s="81">
        <f>R306/'2016'!R306-1</f>
        <v>0.15124571098939077</v>
      </c>
      <c r="Y306" s="81">
        <f>S306/'2016'!S306-1</f>
        <v>0.10395327313258118</v>
      </c>
      <c r="Z306" s="139"/>
      <c r="AA306" s="139"/>
      <c r="AB306" s="105"/>
      <c r="AC306" s="105"/>
      <c r="AD306" s="37">
        <f t="shared" si="74"/>
        <v>18813454.508000001</v>
      </c>
      <c r="AE306" s="71">
        <f t="shared" si="76"/>
        <v>305039.89</v>
      </c>
      <c r="AF306" s="71">
        <f t="shared" si="77"/>
        <v>230489.82</v>
      </c>
      <c r="AG306" s="71">
        <f t="shared" si="75"/>
        <v>165236.45800000144</v>
      </c>
    </row>
    <row r="307" spans="1:33" ht="15" customHeight="1" x14ac:dyDescent="0.15">
      <c r="A307" s="102">
        <v>43037</v>
      </c>
      <c r="B307" s="20" t="s">
        <v>1</v>
      </c>
      <c r="C307" s="8">
        <v>41374</v>
      </c>
      <c r="D307" s="37">
        <f>37457+11083</f>
        <v>48540</v>
      </c>
      <c r="E307" s="37">
        <v>91890</v>
      </c>
      <c r="F307" s="12">
        <v>4506.3</v>
      </c>
      <c r="G307" s="37">
        <v>3159</v>
      </c>
      <c r="H307" s="24"/>
      <c r="I307" s="36"/>
      <c r="J307" s="8">
        <f t="shared" si="72"/>
        <v>43350</v>
      </c>
      <c r="K307" s="37">
        <v>332</v>
      </c>
      <c r="L307" s="37">
        <v>789</v>
      </c>
      <c r="M307" s="127">
        <f t="shared" si="73"/>
        <v>855</v>
      </c>
      <c r="N307" s="74">
        <f t="shared" si="82"/>
        <v>1484537</v>
      </c>
      <c r="O307" s="75">
        <f t="shared" si="82"/>
        <v>1214519</v>
      </c>
      <c r="P307" s="75">
        <f t="shared" si="82"/>
        <v>2753735</v>
      </c>
      <c r="Q307" s="76">
        <f t="shared" si="81"/>
        <v>18154062.34</v>
      </c>
      <c r="R307" s="76">
        <f t="shared" si="81"/>
        <v>10625869</v>
      </c>
      <c r="S307" s="76">
        <f t="shared" si="81"/>
        <v>29482673.508000001</v>
      </c>
      <c r="T307" s="80">
        <f>N307/'2016'!N307-1</f>
        <v>5.4576620594171121E-2</v>
      </c>
      <c r="U307" s="80">
        <f>O307/'2016'!O307-1</f>
        <v>0.1838813349332622</v>
      </c>
      <c r="V307" s="80">
        <f>P307/'2016'!P307-1</f>
        <v>9.8997078637335978E-2</v>
      </c>
      <c r="W307" s="81">
        <f>Q307/'2016'!Q307-1</f>
        <v>8.3826882026320604E-2</v>
      </c>
      <c r="X307" s="81">
        <f>R307/'2016'!R307-1</f>
        <v>0.15147189419245066</v>
      </c>
      <c r="Y307" s="81">
        <f>S307/'2016'!S307-1</f>
        <v>0.10373535742078421</v>
      </c>
      <c r="Z307" s="136"/>
      <c r="AA307" s="136"/>
      <c r="AB307" s="105"/>
      <c r="AC307" s="105"/>
      <c r="AD307" s="37">
        <f t="shared" si="74"/>
        <v>18856804.508000001</v>
      </c>
      <c r="AE307" s="37">
        <f t="shared" si="76"/>
        <v>305371.89</v>
      </c>
      <c r="AF307" s="37">
        <f t="shared" si="77"/>
        <v>231278.82</v>
      </c>
      <c r="AG307" s="37">
        <f t="shared" si="75"/>
        <v>166091.45800000144</v>
      </c>
    </row>
    <row r="308" spans="1:33" ht="15" customHeight="1" x14ac:dyDescent="0.15">
      <c r="A308" s="102">
        <v>43038</v>
      </c>
      <c r="B308" s="20" t="s">
        <v>34</v>
      </c>
      <c r="C308" s="8">
        <v>45043</v>
      </c>
      <c r="D308" s="37">
        <f>37052+11112</f>
        <v>48164</v>
      </c>
      <c r="E308" s="37">
        <v>95425</v>
      </c>
      <c r="F308" s="12">
        <v>4748.7</v>
      </c>
      <c r="G308" s="37">
        <v>3022.6</v>
      </c>
      <c r="H308" s="24"/>
      <c r="I308" s="36"/>
      <c r="J308" s="8">
        <f t="shared" si="72"/>
        <v>47261</v>
      </c>
      <c r="K308" s="37">
        <v>449</v>
      </c>
      <c r="L308" s="37">
        <v>790</v>
      </c>
      <c r="M308" s="127">
        <f t="shared" si="73"/>
        <v>979</v>
      </c>
      <c r="N308" s="74">
        <f t="shared" si="82"/>
        <v>1529580</v>
      </c>
      <c r="O308" s="75">
        <f t="shared" si="82"/>
        <v>1262683</v>
      </c>
      <c r="P308" s="75">
        <f t="shared" si="82"/>
        <v>2849160</v>
      </c>
      <c r="Q308" s="76">
        <f>Q$278+N308</f>
        <v>18199105.34</v>
      </c>
      <c r="R308" s="76">
        <f t="shared" si="81"/>
        <v>10674033</v>
      </c>
      <c r="S308" s="76">
        <f t="shared" si="81"/>
        <v>29578098.508000001</v>
      </c>
      <c r="T308" s="80">
        <f>N308/'2016'!N308-1</f>
        <v>5.4662370552912121E-2</v>
      </c>
      <c r="U308" s="80">
        <f>O308/'2016'!O308-1</f>
        <v>0.18302850755763678</v>
      </c>
      <c r="V308" s="80">
        <f>P308/'2016'!P308-1</f>
        <v>9.9625322458885002E-2</v>
      </c>
      <c r="W308" s="81">
        <f>Q308/'2016'!Q308-1</f>
        <v>8.3760095170724025E-2</v>
      </c>
      <c r="X308" s="81">
        <f>R308/'2016'!R308-1</f>
        <v>0.15151862657069781</v>
      </c>
      <c r="Y308" s="81">
        <f>S308/'2016'!S308-1</f>
        <v>0.10378101146630758</v>
      </c>
      <c r="Z308" s="136"/>
      <c r="AA308" s="136"/>
      <c r="AB308" s="105"/>
      <c r="AC308" s="105"/>
      <c r="AD308" s="37">
        <f t="shared" si="74"/>
        <v>18904065.508000001</v>
      </c>
      <c r="AE308" s="37">
        <f t="shared" si="76"/>
        <v>305820.89</v>
      </c>
      <c r="AF308" s="37">
        <f t="shared" si="77"/>
        <v>232068.82</v>
      </c>
      <c r="AG308" s="37">
        <f t="shared" si="75"/>
        <v>167070.45800000144</v>
      </c>
    </row>
    <row r="309" spans="1:33" s="1" customFormat="1" ht="15" customHeight="1" x14ac:dyDescent="0.15">
      <c r="A309" s="25">
        <v>43039</v>
      </c>
      <c r="B309" s="25" t="s">
        <v>35</v>
      </c>
      <c r="C309" s="42">
        <v>44005</v>
      </c>
      <c r="D309" s="43">
        <f>39472+11036</f>
        <v>50508</v>
      </c>
      <c r="E309" s="43">
        <v>96429</v>
      </c>
      <c r="F309" s="122">
        <v>4775.6000000000004</v>
      </c>
      <c r="G309" s="43">
        <v>3213.2</v>
      </c>
      <c r="H309" s="30"/>
      <c r="I309" s="30"/>
      <c r="J309" s="42">
        <f t="shared" si="72"/>
        <v>45921</v>
      </c>
      <c r="K309" s="43">
        <v>312</v>
      </c>
      <c r="L309" s="43">
        <v>791</v>
      </c>
      <c r="M309" s="130">
        <f t="shared" si="73"/>
        <v>813</v>
      </c>
      <c r="N309" s="87">
        <f t="shared" si="82"/>
        <v>1573585</v>
      </c>
      <c r="O309" s="88">
        <f t="shared" si="82"/>
        <v>1313191</v>
      </c>
      <c r="P309" s="88">
        <f t="shared" si="82"/>
        <v>2945589</v>
      </c>
      <c r="Q309" s="87" t="str">
        <f>[17]日发电量查询!$D$10</f>
        <v>18243119.930</v>
      </c>
      <c r="R309" s="87">
        <f>[17]日发电量查询!$D$15</f>
        <v>10724540</v>
      </c>
      <c r="S309" s="87" t="str">
        <f>[17]日发电量查询!$D$2</f>
        <v>29674529.478</v>
      </c>
      <c r="T309" s="89">
        <f>N309/'2016'!N309-1</f>
        <v>5.1357738303233091E-2</v>
      </c>
      <c r="U309" s="89">
        <f>O309/'2016'!O309-1</f>
        <v>0.18426802950409571</v>
      </c>
      <c r="V309" s="89">
        <f>P309/'2016'!P309-1</f>
        <v>9.8809680573310965E-2</v>
      </c>
      <c r="W309" s="89">
        <f>Q309/'2016'!Q309-1</f>
        <v>8.338673207683156E-2</v>
      </c>
      <c r="X309" s="89">
        <f>R309/'2016'!R309-1</f>
        <v>0.15180668493240135</v>
      </c>
      <c r="Y309" s="89">
        <f>S309/'2016'!S309-1</f>
        <v>0.10368590087589591</v>
      </c>
      <c r="Z309" s="141">
        <f>[17]日发电量查询!$D$12/10000</f>
        <v>127.96921499999999</v>
      </c>
      <c r="AA309" s="141">
        <f>[17]日发电量查询!$D$11/10000</f>
        <v>1696.3427780000002</v>
      </c>
      <c r="AB309" s="43">
        <v>4269.4799999999996</v>
      </c>
      <c r="AC309" s="43">
        <f>AA309*10000/AB309</f>
        <v>3973.1835680223357</v>
      </c>
      <c r="AD309" s="43" t="str">
        <f>[17]日发电量查询!$D$4</f>
        <v>18949989.478</v>
      </c>
      <c r="AE309" s="43" t="str">
        <f>[17]日发电量查询!$D$14</f>
        <v>306134.920</v>
      </c>
      <c r="AF309" s="43" t="str">
        <f>[17]日发电量查询!$D$16</f>
        <v>233139.060</v>
      </c>
      <c r="AG309" s="43">
        <f>[17]日发电量查询!$D$124+[17]日发电量查询!$D$125</f>
        <v>167595.568</v>
      </c>
    </row>
    <row r="310" spans="1:33" ht="15" customHeight="1" x14ac:dyDescent="0.15">
      <c r="A310" s="102">
        <v>43040</v>
      </c>
      <c r="B310" s="20" t="s">
        <v>36</v>
      </c>
      <c r="C310" s="8">
        <v>45221</v>
      </c>
      <c r="D310" s="37">
        <v>47690</v>
      </c>
      <c r="E310" s="37">
        <v>94898</v>
      </c>
      <c r="F310" s="12">
        <v>4580</v>
      </c>
      <c r="G310" s="37">
        <v>3178</v>
      </c>
      <c r="H310" s="24"/>
      <c r="I310" s="36"/>
      <c r="J310" s="8">
        <f t="shared" si="72"/>
        <v>47208</v>
      </c>
      <c r="K310" s="37">
        <v>357</v>
      </c>
      <c r="L310" s="37">
        <v>806</v>
      </c>
      <c r="M310" s="127">
        <f t="shared" si="73"/>
        <v>824</v>
      </c>
      <c r="N310" s="74">
        <f>C310</f>
        <v>45221</v>
      </c>
      <c r="O310" s="75">
        <f>D310</f>
        <v>47690</v>
      </c>
      <c r="P310" s="75">
        <f>E310</f>
        <v>94898</v>
      </c>
      <c r="Q310" s="76">
        <f>Q$309+N310</f>
        <v>18288340.93</v>
      </c>
      <c r="R310" s="76">
        <f>R$309+O310</f>
        <v>10772230</v>
      </c>
      <c r="S310" s="76">
        <f>S$309+P310</f>
        <v>29769427.478</v>
      </c>
      <c r="T310" s="80">
        <f>N310/'2016'!N310-1</f>
        <v>-2.1571682028646899E-2</v>
      </c>
      <c r="U310" s="80">
        <f>O310/'2016'!O310-1</f>
        <v>0.20110817277420989</v>
      </c>
      <c r="V310" s="80">
        <f>P310/'2016'!P310-1</f>
        <v>8.7456741457154097E-2</v>
      </c>
      <c r="W310" s="81">
        <f>Q310/'2016'!Q310-1</f>
        <v>8.3099440805851632E-2</v>
      </c>
      <c r="X310" s="81">
        <f>R310/'2016'!R310-1</f>
        <v>0.15201602778125944</v>
      </c>
      <c r="Y310" s="81">
        <f>S310/'2016'!S310-1</f>
        <v>0.10363339650639536</v>
      </c>
      <c r="Z310" s="136">
        <f>(Z311-Z304)/7*6+Z304</f>
        <v>128.23714285714286</v>
      </c>
      <c r="AA310" s="136">
        <f>Q310/10000-Z310</f>
        <v>1700.5969501428572</v>
      </c>
      <c r="AB310" s="105"/>
      <c r="AC310" s="105"/>
      <c r="AD310" s="37">
        <f t="shared" si="74"/>
        <v>18997197.478</v>
      </c>
      <c r="AE310" s="37">
        <f t="shared" si="76"/>
        <v>306491.92</v>
      </c>
      <c r="AF310" s="37">
        <f t="shared" si="77"/>
        <v>233945.06</v>
      </c>
      <c r="AG310" s="37">
        <f t="shared" si="75"/>
        <v>168419.56800000044</v>
      </c>
    </row>
    <row r="311" spans="1:33" ht="15" customHeight="1" x14ac:dyDescent="0.15">
      <c r="A311" s="102">
        <v>43041</v>
      </c>
      <c r="B311" s="14" t="s">
        <v>37</v>
      </c>
      <c r="C311" s="32">
        <v>48671</v>
      </c>
      <c r="D311" s="33">
        <v>47391</v>
      </c>
      <c r="E311" s="33">
        <v>98176</v>
      </c>
      <c r="F311" s="119">
        <v>4853</v>
      </c>
      <c r="G311" s="33">
        <v>3188</v>
      </c>
      <c r="H311" s="19"/>
      <c r="I311" s="19"/>
      <c r="J311" s="32">
        <f t="shared" si="72"/>
        <v>50785</v>
      </c>
      <c r="K311" s="33">
        <v>671</v>
      </c>
      <c r="L311" s="33">
        <v>774</v>
      </c>
      <c r="M311" s="128">
        <f t="shared" si="73"/>
        <v>669</v>
      </c>
      <c r="N311" s="77">
        <f t="shared" ref="N311:P326" si="83">C311+N310</f>
        <v>93892</v>
      </c>
      <c r="O311" s="78">
        <f t="shared" si="83"/>
        <v>95081</v>
      </c>
      <c r="P311" s="78">
        <f t="shared" si="83"/>
        <v>193074</v>
      </c>
      <c r="Q311" s="77">
        <f t="shared" ref="Q311:S338" si="84">Q$309+N311</f>
        <v>18337011.93</v>
      </c>
      <c r="R311" s="77">
        <f t="shared" si="84"/>
        <v>10819621</v>
      </c>
      <c r="S311" s="77">
        <f t="shared" si="84"/>
        <v>29867603.478</v>
      </c>
      <c r="T311" s="82">
        <f>N311/'2016'!N311-1</f>
        <v>-1.8707802930540751E-2</v>
      </c>
      <c r="U311" s="82">
        <f>O311/'2016'!O311-1</f>
        <v>0.20293265520426118</v>
      </c>
      <c r="V311" s="82">
        <f>P311/'2016'!P311-1</f>
        <v>8.8562633199147589E-2</v>
      </c>
      <c r="W311" s="82">
        <f>Q311/'2016'!Q311-1</f>
        <v>8.2809890724080182E-2</v>
      </c>
      <c r="X311" s="82">
        <f>R311/'2016'!R311-1</f>
        <v>0.15223703687926649</v>
      </c>
      <c r="Y311" s="82">
        <f>S311/'2016'!S311-1</f>
        <v>0.10358678981448755</v>
      </c>
      <c r="Z311" s="138">
        <v>128.43</v>
      </c>
      <c r="AA311" s="138">
        <f>Q311/10000-Z311</f>
        <v>1705.2711929999998</v>
      </c>
      <c r="AB311" s="33">
        <v>4269.4799999999996</v>
      </c>
      <c r="AC311" s="33">
        <f>AA311*10000/AB311</f>
        <v>3994.095751707468</v>
      </c>
      <c r="AD311" s="33">
        <f t="shared" si="74"/>
        <v>19047982.478</v>
      </c>
      <c r="AE311" s="33">
        <f t="shared" si="76"/>
        <v>307162.92</v>
      </c>
      <c r="AF311" s="33">
        <f t="shared" si="77"/>
        <v>234719.06</v>
      </c>
      <c r="AG311" s="33">
        <f t="shared" si="75"/>
        <v>169088.56800000044</v>
      </c>
    </row>
    <row r="312" spans="1:33" ht="15" customHeight="1" x14ac:dyDescent="0.15">
      <c r="A312" s="102">
        <v>43042</v>
      </c>
      <c r="B312" s="20" t="s">
        <v>38</v>
      </c>
      <c r="C312" s="8">
        <v>52476</v>
      </c>
      <c r="D312" s="37">
        <f>34038+10086</f>
        <v>44124</v>
      </c>
      <c r="E312" s="37">
        <v>98847</v>
      </c>
      <c r="F312" s="12">
        <v>4894.6000000000004</v>
      </c>
      <c r="G312" s="37">
        <v>3260</v>
      </c>
      <c r="H312" s="24"/>
      <c r="I312" s="36"/>
      <c r="J312" s="8">
        <f t="shared" si="72"/>
        <v>54723</v>
      </c>
      <c r="K312" s="37">
        <v>579</v>
      </c>
      <c r="L312" s="37">
        <v>792</v>
      </c>
      <c r="M312" s="127">
        <f t="shared" si="73"/>
        <v>876</v>
      </c>
      <c r="N312" s="74">
        <f t="shared" si="83"/>
        <v>146368</v>
      </c>
      <c r="O312" s="75">
        <f t="shared" si="83"/>
        <v>139205</v>
      </c>
      <c r="P312" s="75">
        <f t="shared" si="83"/>
        <v>291921</v>
      </c>
      <c r="Q312" s="76">
        <f t="shared" si="84"/>
        <v>18389487.93</v>
      </c>
      <c r="R312" s="76">
        <f t="shared" si="84"/>
        <v>10863745</v>
      </c>
      <c r="S312" s="76">
        <f t="shared" si="84"/>
        <v>29966450.478</v>
      </c>
      <c r="T312" s="80">
        <f>N312/'2016'!N312-1</f>
        <v>-8.6010348546694537E-4</v>
      </c>
      <c r="U312" s="80">
        <f>O312/'2016'!O312-1</f>
        <v>0.17750803586533581</v>
      </c>
      <c r="V312" s="80">
        <f>P312/'2016'!P312-1</f>
        <v>8.504280016800414E-2</v>
      </c>
      <c r="W312" s="81">
        <f>Q312/'2016'!Q312-1</f>
        <v>8.2660131158007077E-2</v>
      </c>
      <c r="X312" s="81">
        <f>R312/'2016'!R312-1</f>
        <v>0.15212891674962625</v>
      </c>
      <c r="Y312" s="81">
        <f>S312/'2016'!S312-1</f>
        <v>0.1035011978037097</v>
      </c>
      <c r="Z312" s="136"/>
      <c r="AA312" s="136"/>
      <c r="AB312" s="105"/>
      <c r="AC312" s="105"/>
      <c r="AD312" s="37">
        <f t="shared" si="74"/>
        <v>19102705.478</v>
      </c>
      <c r="AE312" s="37">
        <f t="shared" si="76"/>
        <v>307741.92</v>
      </c>
      <c r="AF312" s="37">
        <f t="shared" si="77"/>
        <v>235511.06</v>
      </c>
      <c r="AG312" s="37">
        <f t="shared" si="75"/>
        <v>169964.56800000044</v>
      </c>
    </row>
    <row r="313" spans="1:33" ht="15" customHeight="1" x14ac:dyDescent="0.15">
      <c r="A313" s="102">
        <v>43043</v>
      </c>
      <c r="B313" s="20" t="s">
        <v>39</v>
      </c>
      <c r="C313" s="70">
        <v>51477</v>
      </c>
      <c r="D313" s="71">
        <f>33020+9923</f>
        <v>42943</v>
      </c>
      <c r="E313" s="71">
        <v>97203</v>
      </c>
      <c r="F313" s="120">
        <v>4793.3999999999996</v>
      </c>
      <c r="G313" s="71">
        <v>3216.3</v>
      </c>
      <c r="H313" s="24"/>
      <c r="I313" s="24"/>
      <c r="J313" s="70">
        <f t="shared" si="72"/>
        <v>54260</v>
      </c>
      <c r="K313" s="71">
        <v>992</v>
      </c>
      <c r="L313" s="71">
        <v>789</v>
      </c>
      <c r="M313" s="129">
        <f t="shared" si="73"/>
        <v>1002</v>
      </c>
      <c r="N313" s="74">
        <f t="shared" si="83"/>
        <v>197845</v>
      </c>
      <c r="O313" s="75">
        <f t="shared" si="83"/>
        <v>182148</v>
      </c>
      <c r="P313" s="75">
        <f t="shared" si="83"/>
        <v>389124</v>
      </c>
      <c r="Q313" s="76">
        <f t="shared" si="84"/>
        <v>18440964.93</v>
      </c>
      <c r="R313" s="76">
        <f t="shared" si="84"/>
        <v>10906688</v>
      </c>
      <c r="S313" s="76">
        <f t="shared" si="84"/>
        <v>30063653.478</v>
      </c>
      <c r="T313" s="80">
        <f>N313/'2016'!N313-1</f>
        <v>-7.932727263610273E-3</v>
      </c>
      <c r="U313" s="80">
        <f>O313/'2016'!O313-1</f>
        <v>0.1696698046568974</v>
      </c>
      <c r="V313" s="80">
        <f>P313/'2016'!P313-1</f>
        <v>7.7852073857813231E-2</v>
      </c>
      <c r="W313" s="81">
        <f>Q313/'2016'!Q313-1</f>
        <v>8.2317877852380539E-2</v>
      </c>
      <c r="X313" s="81">
        <f>R313/'2016'!R313-1</f>
        <v>0.15210052832086074</v>
      </c>
      <c r="Y313" s="81">
        <f>S313/'2016'!S313-1</f>
        <v>0.10334361684876114</v>
      </c>
      <c r="Z313" s="139"/>
      <c r="AA313" s="139"/>
      <c r="AB313" s="105"/>
      <c r="AC313" s="105"/>
      <c r="AD313" s="37">
        <f t="shared" si="74"/>
        <v>19156965.478</v>
      </c>
      <c r="AE313" s="71">
        <f t="shared" si="76"/>
        <v>308733.92</v>
      </c>
      <c r="AF313" s="71">
        <f t="shared" si="77"/>
        <v>236300.06</v>
      </c>
      <c r="AG313" s="71">
        <f t="shared" si="75"/>
        <v>170966.56800000044</v>
      </c>
    </row>
    <row r="314" spans="1:33" ht="15" customHeight="1" x14ac:dyDescent="0.15">
      <c r="A314" s="102">
        <v>43044</v>
      </c>
      <c r="B314" s="20" t="s">
        <v>1</v>
      </c>
      <c r="C314" s="8">
        <v>53172</v>
      </c>
      <c r="D314" s="37">
        <f>28856+10131</f>
        <v>38987</v>
      </c>
      <c r="E314" s="37">
        <v>94616</v>
      </c>
      <c r="F314" s="12">
        <v>4643.3999999999996</v>
      </c>
      <c r="G314" s="37">
        <v>3236</v>
      </c>
      <c r="H314" s="24"/>
      <c r="I314" s="36"/>
      <c r="J314" s="8">
        <f t="shared" si="72"/>
        <v>55629</v>
      </c>
      <c r="K314" s="37">
        <v>1000</v>
      </c>
      <c r="L314" s="37">
        <v>791</v>
      </c>
      <c r="M314" s="127">
        <f t="shared" si="73"/>
        <v>666</v>
      </c>
      <c r="N314" s="74">
        <f t="shared" si="83"/>
        <v>251017</v>
      </c>
      <c r="O314" s="75">
        <f t="shared" si="83"/>
        <v>221135</v>
      </c>
      <c r="P314" s="75">
        <f t="shared" si="83"/>
        <v>483740</v>
      </c>
      <c r="Q314" s="76">
        <f t="shared" si="84"/>
        <v>18494136.93</v>
      </c>
      <c r="R314" s="76">
        <f t="shared" si="84"/>
        <v>10945675</v>
      </c>
      <c r="S314" s="76">
        <f t="shared" si="84"/>
        <v>30158269.478</v>
      </c>
      <c r="T314" s="80">
        <f>N314/'2016'!N314-1</f>
        <v>-7.0861283066936398E-4</v>
      </c>
      <c r="U314" s="80">
        <f>O314/'2016'!O314-1</f>
        <v>0.14628798324642078</v>
      </c>
      <c r="V314" s="80">
        <f>P314/'2016'!P314-1</f>
        <v>7.1271179496719128E-2</v>
      </c>
      <c r="W314" s="81">
        <f>Q314/'2016'!Q314-1</f>
        <v>8.2150680438015655E-2</v>
      </c>
      <c r="X314" s="81">
        <f>R314/'2016'!R314-1</f>
        <v>0.15169466495748662</v>
      </c>
      <c r="Y314" s="81">
        <f>S314/'2016'!S314-1</f>
        <v>0.10315049489450256</v>
      </c>
      <c r="Z314" s="136"/>
      <c r="AA314" s="136"/>
      <c r="AB314" s="105"/>
      <c r="AC314" s="105"/>
      <c r="AD314" s="37">
        <f t="shared" si="74"/>
        <v>19212594.478</v>
      </c>
      <c r="AE314" s="37">
        <f t="shared" si="76"/>
        <v>309733.92</v>
      </c>
      <c r="AF314" s="37">
        <f t="shared" si="77"/>
        <v>237091.06</v>
      </c>
      <c r="AG314" s="37">
        <f t="shared" si="75"/>
        <v>171632.56800000044</v>
      </c>
    </row>
    <row r="315" spans="1:33" ht="15" customHeight="1" x14ac:dyDescent="0.15">
      <c r="A315" s="102">
        <v>43045</v>
      </c>
      <c r="B315" s="20" t="s">
        <v>34</v>
      </c>
      <c r="C315" s="8">
        <v>55993</v>
      </c>
      <c r="D315" s="37">
        <f>32302+10109</f>
        <v>42411</v>
      </c>
      <c r="E315" s="37">
        <v>100309</v>
      </c>
      <c r="F315" s="12">
        <v>5094.6000000000004</v>
      </c>
      <c r="G315" s="37">
        <v>3152.7</v>
      </c>
      <c r="H315" s="24"/>
      <c r="I315" s="36"/>
      <c r="J315" s="8">
        <f t="shared" si="72"/>
        <v>57898</v>
      </c>
      <c r="K315" s="37">
        <v>650</v>
      </c>
      <c r="L315" s="37">
        <v>790</v>
      </c>
      <c r="M315" s="127">
        <f t="shared" si="73"/>
        <v>465</v>
      </c>
      <c r="N315" s="74">
        <f t="shared" si="83"/>
        <v>307010</v>
      </c>
      <c r="O315" s="75">
        <f t="shared" si="83"/>
        <v>263546</v>
      </c>
      <c r="P315" s="75">
        <f t="shared" si="83"/>
        <v>584049</v>
      </c>
      <c r="Q315" s="76">
        <f t="shared" si="84"/>
        <v>18550129.93</v>
      </c>
      <c r="R315" s="76">
        <f t="shared" si="84"/>
        <v>10988086</v>
      </c>
      <c r="S315" s="76">
        <f t="shared" si="84"/>
        <v>30258578.478</v>
      </c>
      <c r="T315" s="80">
        <f>N315/'2016'!N315-1</f>
        <v>2.3851289610415494E-2</v>
      </c>
      <c r="U315" s="80">
        <f>O315/'2016'!O315-1</f>
        <v>0.14951563024770254</v>
      </c>
      <c r="V315" s="80">
        <f>P315/'2016'!P315-1</f>
        <v>8.515726028211712E-2</v>
      </c>
      <c r="W315" s="81">
        <f>Q315/'2016'!Q315-1</f>
        <v>8.2345110352042061E-2</v>
      </c>
      <c r="X315" s="81">
        <f>R315/'2016'!R315-1</f>
        <v>0.15175162777456452</v>
      </c>
      <c r="Y315" s="81">
        <f>S315/'2016'!S315-1</f>
        <v>0.10332227563111207</v>
      </c>
      <c r="Z315" s="136"/>
      <c r="AA315" s="136"/>
      <c r="AB315" s="105"/>
      <c r="AC315" s="105"/>
      <c r="AD315" s="37">
        <f t="shared" si="74"/>
        <v>19270492.478</v>
      </c>
      <c r="AE315" s="37">
        <f t="shared" si="76"/>
        <v>310383.92</v>
      </c>
      <c r="AF315" s="37">
        <f t="shared" si="77"/>
        <v>237881.06</v>
      </c>
      <c r="AG315" s="37">
        <f t="shared" si="75"/>
        <v>172097.56800000044</v>
      </c>
    </row>
    <row r="316" spans="1:33" ht="15" customHeight="1" x14ac:dyDescent="0.15">
      <c r="A316" s="102">
        <v>43046</v>
      </c>
      <c r="B316" s="20" t="s">
        <v>35</v>
      </c>
      <c r="C316" s="8">
        <v>61724</v>
      </c>
      <c r="D316" s="37">
        <f>29322+9953</f>
        <v>39275</v>
      </c>
      <c r="E316" s="37">
        <v>102210</v>
      </c>
      <c r="F316" s="12">
        <v>5178.3</v>
      </c>
      <c r="G316" s="37">
        <v>3334.1</v>
      </c>
      <c r="H316" s="24"/>
      <c r="I316" s="36"/>
      <c r="J316" s="8">
        <f t="shared" si="72"/>
        <v>62935</v>
      </c>
      <c r="K316" s="37">
        <v>179</v>
      </c>
      <c r="L316" s="37">
        <v>791</v>
      </c>
      <c r="M316" s="127">
        <f t="shared" si="73"/>
        <v>241</v>
      </c>
      <c r="N316" s="74">
        <f t="shared" si="83"/>
        <v>368734</v>
      </c>
      <c r="O316" s="75">
        <f t="shared" si="83"/>
        <v>302821</v>
      </c>
      <c r="P316" s="75">
        <f t="shared" si="83"/>
        <v>686259</v>
      </c>
      <c r="Q316" s="76">
        <f t="shared" si="84"/>
        <v>18611853.93</v>
      </c>
      <c r="R316" s="76">
        <f t="shared" si="84"/>
        <v>11027361</v>
      </c>
      <c r="S316" s="76">
        <f t="shared" si="84"/>
        <v>30360788.478</v>
      </c>
      <c r="T316" s="80">
        <f>N316/'2016'!N316-1</f>
        <v>4.4601830080172267E-2</v>
      </c>
      <c r="U316" s="80">
        <f>O316/'2016'!O316-1</f>
        <v>0.140422695398706</v>
      </c>
      <c r="V316" s="80">
        <f>P316/'2016'!P316-1</f>
        <v>8.9997252210541001E-2</v>
      </c>
      <c r="W316" s="81">
        <f>Q316/'2016'!Q316-1</f>
        <v>8.2590390056097807E-2</v>
      </c>
      <c r="X316" s="81">
        <f>R316/'2016'!R316-1</f>
        <v>0.15149103653042362</v>
      </c>
      <c r="Y316" s="81">
        <f>S316/'2016'!S316-1</f>
        <v>0.10337269318881237</v>
      </c>
      <c r="Z316" s="136"/>
      <c r="AA316" s="136"/>
      <c r="AB316" s="105"/>
      <c r="AC316" s="105"/>
      <c r="AD316" s="37">
        <f t="shared" si="74"/>
        <v>19333427.478</v>
      </c>
      <c r="AE316" s="37">
        <f t="shared" si="76"/>
        <v>310562.92</v>
      </c>
      <c r="AF316" s="37">
        <f t="shared" si="77"/>
        <v>238672.06</v>
      </c>
      <c r="AG316" s="37">
        <f t="shared" si="75"/>
        <v>172338.56800000044</v>
      </c>
    </row>
    <row r="317" spans="1:33" ht="15" customHeight="1" x14ac:dyDescent="0.15">
      <c r="A317" s="102">
        <v>43047</v>
      </c>
      <c r="B317" s="20" t="s">
        <v>36</v>
      </c>
      <c r="C317" s="8">
        <v>61212</v>
      </c>
      <c r="D317" s="37">
        <v>37891</v>
      </c>
      <c r="E317" s="37">
        <v>100759</v>
      </c>
      <c r="F317" s="12">
        <v>5013</v>
      </c>
      <c r="G317" s="37">
        <v>3317</v>
      </c>
      <c r="H317" s="24"/>
      <c r="I317" s="36"/>
      <c r="J317" s="8">
        <f t="shared" si="72"/>
        <v>62868</v>
      </c>
      <c r="K317" s="37">
        <v>182.88</v>
      </c>
      <c r="L317" s="37">
        <v>790</v>
      </c>
      <c r="M317" s="127">
        <f t="shared" si="73"/>
        <v>683.12000000000262</v>
      </c>
      <c r="N317" s="74">
        <f>C317+N316</f>
        <v>429946</v>
      </c>
      <c r="O317" s="75">
        <f t="shared" si="83"/>
        <v>340712</v>
      </c>
      <c r="P317" s="75">
        <f t="shared" si="83"/>
        <v>787018</v>
      </c>
      <c r="Q317" s="76">
        <f t="shared" si="84"/>
        <v>18673065.93</v>
      </c>
      <c r="R317" s="76">
        <f t="shared" si="84"/>
        <v>11065252</v>
      </c>
      <c r="S317" s="76">
        <f t="shared" si="84"/>
        <v>30461547.478</v>
      </c>
      <c r="T317" s="80">
        <f>N317/'2016'!N317-1</f>
        <v>5.4119919974894071E-2</v>
      </c>
      <c r="U317" s="80">
        <f>O317/'2016'!O317-1</f>
        <v>0.1301725882263185</v>
      </c>
      <c r="V317" s="80">
        <f>P317/'2016'!P317-1</f>
        <v>8.985790627436363E-2</v>
      </c>
      <c r="W317" s="81">
        <f>Q317/'2016'!Q317-1</f>
        <v>8.2694598925194818E-2</v>
      </c>
      <c r="X317" s="81">
        <f>R317/'2016'!R317-1</f>
        <v>0.15112819437300984</v>
      </c>
      <c r="Y317" s="81">
        <f>S317/'2016'!S317-1</f>
        <v>0.10332422030685584</v>
      </c>
      <c r="Z317" s="136">
        <f>(Z318-Z311)/7*6+Z311</f>
        <v>130.25571428571428</v>
      </c>
      <c r="AA317" s="136">
        <f>Q317/10000-Z317</f>
        <v>1737.0508787142858</v>
      </c>
      <c r="AB317" s="105"/>
      <c r="AC317" s="105"/>
      <c r="AD317" s="37">
        <f t="shared" si="74"/>
        <v>19396295.478</v>
      </c>
      <c r="AE317" s="37">
        <f t="shared" si="76"/>
        <v>310745.8</v>
      </c>
      <c r="AF317" s="37">
        <f t="shared" si="77"/>
        <v>239462.06</v>
      </c>
      <c r="AG317" s="37">
        <f t="shared" si="75"/>
        <v>173021.68800000043</v>
      </c>
    </row>
    <row r="318" spans="1:33" ht="15" customHeight="1" x14ac:dyDescent="0.15">
      <c r="A318" s="102">
        <v>43048</v>
      </c>
      <c r="B318" s="14" t="s">
        <v>37</v>
      </c>
      <c r="C318" s="32">
        <v>61497</v>
      </c>
      <c r="D318" s="33">
        <v>37098</v>
      </c>
      <c r="E318" s="33">
        <v>100550</v>
      </c>
      <c r="F318" s="119">
        <v>4895</v>
      </c>
      <c r="G318" s="33">
        <v>3322</v>
      </c>
      <c r="H318" s="19"/>
      <c r="I318" s="19"/>
      <c r="J318" s="32">
        <f t="shared" si="72"/>
        <v>63452</v>
      </c>
      <c r="K318" s="33">
        <v>272.98</v>
      </c>
      <c r="L318" s="33">
        <v>791</v>
      </c>
      <c r="M318" s="128">
        <f t="shared" si="73"/>
        <v>891.0199999999968</v>
      </c>
      <c r="N318" s="77">
        <f>C318+N317</f>
        <v>491443</v>
      </c>
      <c r="O318" s="78">
        <f t="shared" si="83"/>
        <v>377810</v>
      </c>
      <c r="P318" s="78">
        <f t="shared" si="83"/>
        <v>887568</v>
      </c>
      <c r="Q318" s="77">
        <f>Q$309+N318</f>
        <v>18734562.93</v>
      </c>
      <c r="R318" s="77">
        <f t="shared" si="84"/>
        <v>11102350</v>
      </c>
      <c r="S318" s="77">
        <f t="shared" si="84"/>
        <v>30562097.478</v>
      </c>
      <c r="T318" s="82">
        <f>N318/'2016'!N318-1</f>
        <v>6.5595382390376322E-2</v>
      </c>
      <c r="U318" s="82">
        <f>O318/'2016'!O318-1</f>
        <v>0.10879913599305047</v>
      </c>
      <c r="V318" s="82">
        <f>P318/'2016'!P318-1</f>
        <v>8.7090397348559945E-2</v>
      </c>
      <c r="W318" s="82">
        <f>Q318/'2016'!Q318-1</f>
        <v>8.2912446957150276E-2</v>
      </c>
      <c r="X318" s="82">
        <f>R318/'2016'!R318-1</f>
        <v>0.15028838671182165</v>
      </c>
      <c r="Y318" s="82">
        <f>S318/'2016'!S318-1</f>
        <v>0.10319680246895135</v>
      </c>
      <c r="Z318" s="138">
        <v>130.56</v>
      </c>
      <c r="AA318" s="146">
        <f>Q318/10000-Z318</f>
        <v>1742.896293</v>
      </c>
      <c r="AB318" s="128">
        <v>4269.4799999999996</v>
      </c>
      <c r="AC318" s="128">
        <f>AA318*10000/AB318</f>
        <v>4082.2214719356925</v>
      </c>
      <c r="AD318" s="33">
        <f t="shared" si="74"/>
        <v>19459747.478</v>
      </c>
      <c r="AE318" s="33">
        <f t="shared" si="76"/>
        <v>311018.77999999997</v>
      </c>
      <c r="AF318" s="33">
        <f t="shared" si="77"/>
        <v>240253.06</v>
      </c>
      <c r="AG318" s="33">
        <f t="shared" si="75"/>
        <v>173912.70800000045</v>
      </c>
    </row>
    <row r="319" spans="1:33" ht="15" customHeight="1" x14ac:dyDescent="0.15">
      <c r="A319" s="102">
        <v>43049</v>
      </c>
      <c r="B319" s="20" t="s">
        <v>38</v>
      </c>
      <c r="C319" s="8">
        <v>63335</v>
      </c>
      <c r="D319" s="37">
        <f>25746+10998</f>
        <v>36744</v>
      </c>
      <c r="E319" s="37">
        <v>101587</v>
      </c>
      <c r="F319" s="12">
        <v>5130.3999999999996</v>
      </c>
      <c r="G319" s="37">
        <v>3300</v>
      </c>
      <c r="H319" s="24"/>
      <c r="I319" s="36"/>
      <c r="J319" s="8">
        <f t="shared" si="72"/>
        <v>64843</v>
      </c>
      <c r="K319" s="37">
        <v>271</v>
      </c>
      <c r="L319" s="37">
        <v>792</v>
      </c>
      <c r="M319" s="127">
        <f t="shared" si="73"/>
        <v>445</v>
      </c>
      <c r="N319" s="74">
        <f t="shared" si="83"/>
        <v>554778</v>
      </c>
      <c r="O319" s="75">
        <f t="shared" si="83"/>
        <v>414554</v>
      </c>
      <c r="P319" s="75">
        <f t="shared" si="83"/>
        <v>989155</v>
      </c>
      <c r="Q319" s="76">
        <f t="shared" si="84"/>
        <v>18797897.93</v>
      </c>
      <c r="R319" s="76">
        <f t="shared" si="84"/>
        <v>11139094</v>
      </c>
      <c r="S319" s="76">
        <f t="shared" si="84"/>
        <v>30663684.478</v>
      </c>
      <c r="T319" s="80">
        <f>N319/'2016'!N319-1</f>
        <v>7.5046991570584254E-2</v>
      </c>
      <c r="U319" s="80">
        <f>O319/'2016'!O319-1</f>
        <v>9.1514677577758663E-2</v>
      </c>
      <c r="V319" s="80">
        <f>P319/'2016'!P319-1</f>
        <v>8.4579563758131693E-2</v>
      </c>
      <c r="W319" s="81">
        <f>Q319/'2016'!Q319-1</f>
        <v>8.3138750666017502E-2</v>
      </c>
      <c r="X319" s="81">
        <f>R319/'2016'!R319-1</f>
        <v>0.14944376430730166</v>
      </c>
      <c r="Y319" s="81">
        <f>S319/'2016'!S319-1</f>
        <v>0.10305906362112371</v>
      </c>
      <c r="Z319" s="136"/>
      <c r="AA319" s="136"/>
      <c r="AB319" s="105"/>
      <c r="AC319" s="105"/>
      <c r="AD319" s="37">
        <f t="shared" si="74"/>
        <v>19524590.478</v>
      </c>
      <c r="AE319" s="37">
        <f t="shared" si="76"/>
        <v>311289.77999999997</v>
      </c>
      <c r="AF319" s="37">
        <f t="shared" si="77"/>
        <v>241045.06</v>
      </c>
      <c r="AG319" s="37">
        <f t="shared" si="75"/>
        <v>174357.70800000045</v>
      </c>
    </row>
    <row r="320" spans="1:33" ht="15" customHeight="1" x14ac:dyDescent="0.15">
      <c r="A320" s="102">
        <v>43050</v>
      </c>
      <c r="B320" s="20" t="s">
        <v>39</v>
      </c>
      <c r="C320" s="70">
        <v>61044</v>
      </c>
      <c r="D320" s="71">
        <f>25563+11088</f>
        <v>36651</v>
      </c>
      <c r="E320" s="71">
        <v>99487</v>
      </c>
      <c r="F320" s="120">
        <v>4954.8999999999996</v>
      </c>
      <c r="G320" s="71">
        <v>3262.9</v>
      </c>
      <c r="H320" s="24"/>
      <c r="I320" s="24"/>
      <c r="J320" s="70">
        <f t="shared" si="72"/>
        <v>62836</v>
      </c>
      <c r="K320" s="71">
        <v>448</v>
      </c>
      <c r="L320" s="71">
        <v>789</v>
      </c>
      <c r="M320" s="129">
        <f t="shared" si="73"/>
        <v>555</v>
      </c>
      <c r="N320" s="74">
        <f t="shared" si="83"/>
        <v>615822</v>
      </c>
      <c r="O320" s="75">
        <f t="shared" si="83"/>
        <v>451205</v>
      </c>
      <c r="P320" s="75">
        <f t="shared" si="83"/>
        <v>1088642</v>
      </c>
      <c r="Q320" s="76">
        <f t="shared" si="84"/>
        <v>18858941.93</v>
      </c>
      <c r="R320" s="76">
        <f t="shared" si="84"/>
        <v>11175745</v>
      </c>
      <c r="S320" s="76">
        <f t="shared" si="84"/>
        <v>30763171.478</v>
      </c>
      <c r="T320" s="80">
        <f>N320/'2016'!N320-1</f>
        <v>8.421275022447583E-2</v>
      </c>
      <c r="U320" s="80">
        <f>O320/'2016'!O320-1</f>
        <v>7.345163692423351E-2</v>
      </c>
      <c r="V320" s="80">
        <f>P320/'2016'!P320-1</f>
        <v>8.1629794045204873E-2</v>
      </c>
      <c r="W320" s="81">
        <f>Q320/'2016'!Q320-1</f>
        <v>8.3413685086824119E-2</v>
      </c>
      <c r="X320" s="81">
        <f>R320/'2016'!R320-1</f>
        <v>0.14842227061087887</v>
      </c>
      <c r="Y320" s="81">
        <f>S320/'2016'!S320-1</f>
        <v>0.10289004136728441</v>
      </c>
      <c r="Z320" s="139"/>
      <c r="AA320" s="139"/>
      <c r="AB320" s="105"/>
      <c r="AC320" s="105"/>
      <c r="AD320" s="37">
        <f t="shared" si="74"/>
        <v>19587426.478</v>
      </c>
      <c r="AE320" s="71">
        <f t="shared" si="76"/>
        <v>311737.77999999997</v>
      </c>
      <c r="AF320" s="71">
        <f t="shared" si="77"/>
        <v>241834.06</v>
      </c>
      <c r="AG320" s="71">
        <f t="shared" si="75"/>
        <v>174912.70800000045</v>
      </c>
    </row>
    <row r="321" spans="1:33" x14ac:dyDescent="0.15">
      <c r="A321" s="102">
        <v>43051</v>
      </c>
      <c r="B321" s="20" t="s">
        <v>1</v>
      </c>
      <c r="C321" s="8">
        <v>55754</v>
      </c>
      <c r="D321" s="37">
        <f>27598+11158</f>
        <v>38756</v>
      </c>
      <c r="E321" s="37">
        <v>96019</v>
      </c>
      <c r="F321" s="12">
        <v>4753</v>
      </c>
      <c r="G321" s="37">
        <v>3274.3</v>
      </c>
      <c r="H321" s="24"/>
      <c r="I321" s="36"/>
      <c r="J321" s="8">
        <f t="shared" si="72"/>
        <v>57263</v>
      </c>
      <c r="K321" s="37">
        <v>300</v>
      </c>
      <c r="L321" s="37">
        <v>791</v>
      </c>
      <c r="M321" s="127">
        <f t="shared" si="73"/>
        <v>418</v>
      </c>
      <c r="N321" s="74">
        <f t="shared" si="83"/>
        <v>671576</v>
      </c>
      <c r="O321" s="75">
        <f t="shared" si="83"/>
        <v>489961</v>
      </c>
      <c r="P321" s="75">
        <f t="shared" si="83"/>
        <v>1184661</v>
      </c>
      <c r="Q321" s="76">
        <f t="shared" si="84"/>
        <v>18914695.93</v>
      </c>
      <c r="R321" s="76">
        <f t="shared" si="84"/>
        <v>11214501</v>
      </c>
      <c r="S321" s="76">
        <f t="shared" si="84"/>
        <v>30859190.478</v>
      </c>
      <c r="T321" s="80">
        <f>N321/'2016'!N321-1</f>
        <v>8.2696390829317679E-2</v>
      </c>
      <c r="U321" s="80">
        <f>O321/'2016'!O321-1</f>
        <v>6.7401998161308097E-2</v>
      </c>
      <c r="V321" s="80">
        <f>P321/'2016'!P321-1</f>
        <v>7.7946456681449838E-2</v>
      </c>
      <c r="W321" s="81">
        <f>Q321/'2016'!Q321-1</f>
        <v>8.3362206082802759E-2</v>
      </c>
      <c r="X321" s="81">
        <f>R321/'2016'!R321-1</f>
        <v>0.147841148911662</v>
      </c>
      <c r="Y321" s="81">
        <f>S321/'2016'!S321-1</f>
        <v>0.10267511512432081</v>
      </c>
      <c r="Z321" s="136"/>
      <c r="AA321" s="136"/>
      <c r="AB321" s="105"/>
      <c r="AC321" s="105"/>
      <c r="AD321" s="37">
        <f t="shared" si="74"/>
        <v>19644689.478</v>
      </c>
      <c r="AE321" s="37">
        <f t="shared" si="76"/>
        <v>312037.77999999997</v>
      </c>
      <c r="AF321" s="37">
        <f t="shared" si="77"/>
        <v>242625.06</v>
      </c>
      <c r="AG321" s="37">
        <f t="shared" si="75"/>
        <v>175330.70800000045</v>
      </c>
    </row>
    <row r="322" spans="1:33" x14ac:dyDescent="0.15">
      <c r="A322" s="102">
        <v>43052</v>
      </c>
      <c r="B322" s="20" t="s">
        <v>34</v>
      </c>
      <c r="C322" s="8">
        <v>61169</v>
      </c>
      <c r="D322" s="37">
        <f>26680+11024</f>
        <v>37704</v>
      </c>
      <c r="E322" s="37">
        <v>100345</v>
      </c>
      <c r="F322" s="12">
        <v>5036.5</v>
      </c>
      <c r="G322" s="37">
        <v>3156.2</v>
      </c>
      <c r="H322" s="24"/>
      <c r="I322" s="36"/>
      <c r="J322" s="8">
        <f t="shared" si="72"/>
        <v>62641</v>
      </c>
      <c r="K322" s="37">
        <v>246</v>
      </c>
      <c r="L322" s="37">
        <v>788</v>
      </c>
      <c r="M322" s="127">
        <f t="shared" si="73"/>
        <v>438</v>
      </c>
      <c r="N322" s="74">
        <f t="shared" si="83"/>
        <v>732745</v>
      </c>
      <c r="O322" s="75">
        <f t="shared" si="83"/>
        <v>527665</v>
      </c>
      <c r="P322" s="75">
        <f t="shared" si="83"/>
        <v>1285006</v>
      </c>
      <c r="Q322" s="76">
        <f t="shared" si="84"/>
        <v>18975864.93</v>
      </c>
      <c r="R322" s="76">
        <f t="shared" si="84"/>
        <v>11252205</v>
      </c>
      <c r="S322" s="76">
        <f t="shared" si="84"/>
        <v>30959535.478</v>
      </c>
      <c r="T322" s="80">
        <f>N322/'2016'!N322-1</f>
        <v>9.4559208177544596E-2</v>
      </c>
      <c r="U322" s="80">
        <f>O322/'2016'!O322-1</f>
        <v>6.0916787804578876E-2</v>
      </c>
      <c r="V322" s="80">
        <f>P322/'2016'!P322-1</f>
        <v>8.1731368211220401E-2</v>
      </c>
      <c r="W322" s="81">
        <f>Q322/'2016'!Q322-1</f>
        <v>8.3813917261275961E-2</v>
      </c>
      <c r="X322" s="81">
        <f>R322/'2016'!R322-1</f>
        <v>0.14719782766368428</v>
      </c>
      <c r="Y322" s="81">
        <f>S322/'2016'!S322-1</f>
        <v>0.10275694455452289</v>
      </c>
      <c r="Z322" s="136"/>
      <c r="AA322" s="136"/>
      <c r="AB322" s="105"/>
      <c r="AC322" s="105"/>
      <c r="AD322" s="37">
        <f t="shared" si="74"/>
        <v>19707330.478</v>
      </c>
      <c r="AE322" s="37">
        <f t="shared" si="76"/>
        <v>312283.77999999997</v>
      </c>
      <c r="AF322" s="37">
        <f t="shared" si="77"/>
        <v>243413.06</v>
      </c>
      <c r="AG322" s="37">
        <f t="shared" si="75"/>
        <v>175768.70800000045</v>
      </c>
    </row>
    <row r="323" spans="1:33" x14ac:dyDescent="0.15">
      <c r="A323" s="102">
        <v>43053</v>
      </c>
      <c r="B323" s="20" t="s">
        <v>35</v>
      </c>
      <c r="C323" s="8">
        <v>65031</v>
      </c>
      <c r="D323" s="37">
        <f>25360+11142</f>
        <v>36502</v>
      </c>
      <c r="E323" s="37">
        <v>103006</v>
      </c>
      <c r="F323" s="12">
        <v>5279</v>
      </c>
      <c r="G323" s="37">
        <v>3327.5</v>
      </c>
      <c r="H323" s="24"/>
      <c r="I323" s="36"/>
      <c r="J323" s="8">
        <f t="shared" si="72"/>
        <v>66504</v>
      </c>
      <c r="K323" s="37">
        <v>537</v>
      </c>
      <c r="L323" s="37">
        <v>790</v>
      </c>
      <c r="M323" s="127">
        <f t="shared" si="73"/>
        <v>146</v>
      </c>
      <c r="N323" s="74">
        <f t="shared" si="83"/>
        <v>797776</v>
      </c>
      <c r="O323" s="75">
        <f t="shared" si="83"/>
        <v>564167</v>
      </c>
      <c r="P323" s="75">
        <f t="shared" si="83"/>
        <v>1388012</v>
      </c>
      <c r="Q323" s="76">
        <f t="shared" si="84"/>
        <v>19040895.93</v>
      </c>
      <c r="R323" s="76">
        <f t="shared" si="84"/>
        <v>11288707</v>
      </c>
      <c r="S323" s="76">
        <f t="shared" si="84"/>
        <v>31062541.478</v>
      </c>
      <c r="T323" s="80">
        <f>N323/'2016'!N323-1</f>
        <v>0.10393612531394214</v>
      </c>
      <c r="U323" s="80">
        <f>O323/'2016'!O323-1</f>
        <v>5.309263725351121E-2</v>
      </c>
      <c r="V323" s="80">
        <f>P323/'2016'!P323-1</f>
        <v>8.3597919947163257E-2</v>
      </c>
      <c r="W323" s="81">
        <f>Q323/'2016'!Q323-1</f>
        <v>8.4232343816675881E-2</v>
      </c>
      <c r="X323" s="81">
        <f>R323/'2016'!R323-1</f>
        <v>0.14643604921526143</v>
      </c>
      <c r="Y323" s="81">
        <f>S323/'2016'!S323-1</f>
        <v>0.10277239731085364</v>
      </c>
      <c r="Z323" s="136"/>
      <c r="AA323" s="136"/>
      <c r="AB323" s="105"/>
      <c r="AC323" s="105"/>
      <c r="AD323" s="37">
        <f t="shared" si="74"/>
        <v>19773834.478</v>
      </c>
      <c r="AE323" s="37">
        <f t="shared" si="76"/>
        <v>312820.77999999997</v>
      </c>
      <c r="AF323" s="37">
        <f t="shared" si="77"/>
        <v>244203.06</v>
      </c>
      <c r="AG323" s="37">
        <f t="shared" si="75"/>
        <v>175914.70800000045</v>
      </c>
    </row>
    <row r="324" spans="1:33" x14ac:dyDescent="0.15">
      <c r="A324" s="102">
        <v>43054</v>
      </c>
      <c r="B324" s="20" t="s">
        <v>36</v>
      </c>
      <c r="C324" s="8">
        <v>60403</v>
      </c>
      <c r="D324" s="37">
        <f>29600+11105</f>
        <v>40705</v>
      </c>
      <c r="E324" s="37">
        <v>102635</v>
      </c>
      <c r="F324" s="12">
        <v>5208.3999999999996</v>
      </c>
      <c r="G324" s="37">
        <v>3325.1</v>
      </c>
      <c r="H324" s="24"/>
      <c r="I324" s="36"/>
      <c r="J324" s="8">
        <f t="shared" si="72"/>
        <v>61930</v>
      </c>
      <c r="K324" s="37">
        <v>535</v>
      </c>
      <c r="L324" s="37">
        <v>791</v>
      </c>
      <c r="M324" s="127">
        <f t="shared" si="73"/>
        <v>201</v>
      </c>
      <c r="N324" s="74">
        <f t="shared" si="83"/>
        <v>858179</v>
      </c>
      <c r="O324" s="75">
        <f t="shared" si="83"/>
        <v>604872</v>
      </c>
      <c r="P324" s="75">
        <f t="shared" si="83"/>
        <v>1490647</v>
      </c>
      <c r="Q324" s="76">
        <f t="shared" si="84"/>
        <v>19101298.93</v>
      </c>
      <c r="R324" s="76">
        <f t="shared" si="84"/>
        <v>11329412</v>
      </c>
      <c r="S324" s="76">
        <f t="shared" si="84"/>
        <v>31165176.478</v>
      </c>
      <c r="T324" s="80">
        <f>N324/'2016'!N324-1</f>
        <v>0.10797537141064395</v>
      </c>
      <c r="U324" s="80">
        <f>O324/'2016'!O324-1</f>
        <v>5.0984398701021227E-2</v>
      </c>
      <c r="V324" s="80">
        <f>P324/'2016'!P324-1</f>
        <v>8.4753027439616657E-2</v>
      </c>
      <c r="W324" s="81">
        <f>Q324/'2016'!Q324-1</f>
        <v>8.4468006962833186E-2</v>
      </c>
      <c r="X324" s="81">
        <f>R324/'2016'!R324-1</f>
        <v>0.14593750644812942</v>
      </c>
      <c r="Y324" s="81">
        <f>S324/'2016'!S324-1</f>
        <v>0.10276529451663174</v>
      </c>
      <c r="Z324" s="136">
        <f>(Z325-Z318)/7*6+Z318</f>
        <v>132.41999999999999</v>
      </c>
      <c r="AA324" s="136">
        <f>Q324/10000-Z324</f>
        <v>1777.709893</v>
      </c>
      <c r="AB324" s="105"/>
      <c r="AC324" s="105"/>
      <c r="AD324" s="37">
        <f t="shared" si="74"/>
        <v>19835764.478</v>
      </c>
      <c r="AE324" s="37">
        <f t="shared" si="76"/>
        <v>313355.77999999997</v>
      </c>
      <c r="AF324" s="37">
        <f t="shared" si="77"/>
        <v>244994.06</v>
      </c>
      <c r="AG324" s="37">
        <f t="shared" si="75"/>
        <v>176115.70800000045</v>
      </c>
    </row>
    <row r="325" spans="1:33" x14ac:dyDescent="0.15">
      <c r="A325" s="102">
        <v>43055</v>
      </c>
      <c r="B325" s="14" t="s">
        <v>37</v>
      </c>
      <c r="C325" s="32">
        <v>63158</v>
      </c>
      <c r="D325" s="33">
        <f>26044+11253</f>
        <v>37297</v>
      </c>
      <c r="E325" s="33">
        <v>102105</v>
      </c>
      <c r="F325" s="119">
        <v>5196.1000000000004</v>
      </c>
      <c r="G325" s="33">
        <v>3292.2</v>
      </c>
      <c r="H325" s="19"/>
      <c r="I325" s="19"/>
      <c r="J325" s="32">
        <f t="shared" ref="J325:J370" si="85">E325-D325</f>
        <v>64808</v>
      </c>
      <c r="K325" s="33">
        <v>566</v>
      </c>
      <c r="L325" s="33">
        <v>789</v>
      </c>
      <c r="M325" s="128">
        <f t="shared" si="73"/>
        <v>295</v>
      </c>
      <c r="N325" s="77">
        <f t="shared" si="83"/>
        <v>921337</v>
      </c>
      <c r="O325" s="78">
        <f t="shared" si="83"/>
        <v>642169</v>
      </c>
      <c r="P325" s="78">
        <f t="shared" si="83"/>
        <v>1592752</v>
      </c>
      <c r="Q325" s="77">
        <f t="shared" si="84"/>
        <v>19164456.93</v>
      </c>
      <c r="R325" s="77">
        <f t="shared" si="84"/>
        <v>11366709</v>
      </c>
      <c r="S325" s="77">
        <f t="shared" si="84"/>
        <v>31267281.478</v>
      </c>
      <c r="T325" s="82">
        <f>N325/'2016'!N325-1</f>
        <v>0.11331880868916899</v>
      </c>
      <c r="U325" s="82">
        <f>O325/'2016'!O325-1</f>
        <v>4.5011545803234743E-2</v>
      </c>
      <c r="V325" s="82">
        <f>P325/'2016'!P325-1</f>
        <v>8.5490397059655443E-2</v>
      </c>
      <c r="W325" s="82">
        <f>Q325/'2016'!Q325-1</f>
        <v>8.4788849899912533E-2</v>
      </c>
      <c r="X325" s="82">
        <f>R325/'2016'!R325-1</f>
        <v>0.14519481403986156</v>
      </c>
      <c r="Y325" s="82">
        <f>S325/'2016'!S325-1</f>
        <v>0.10274429111153993</v>
      </c>
      <c r="Z325" s="138">
        <v>132.72999999999999</v>
      </c>
      <c r="AA325" s="138">
        <f>Q325/10000-Z325</f>
        <v>1783.7156929999999</v>
      </c>
      <c r="AB325" s="33">
        <v>4269.4799999999996</v>
      </c>
      <c r="AC325" s="33">
        <f>AA325*10000/AB325</f>
        <v>4177.8288995381172</v>
      </c>
      <c r="AD325" s="33">
        <f t="shared" si="74"/>
        <v>19900572.478</v>
      </c>
      <c r="AE325" s="33">
        <f t="shared" si="76"/>
        <v>313921.77999999997</v>
      </c>
      <c r="AF325" s="33">
        <f t="shared" si="77"/>
        <v>245783.06</v>
      </c>
      <c r="AG325" s="33">
        <f t="shared" si="75"/>
        <v>176410.70800000045</v>
      </c>
    </row>
    <row r="326" spans="1:33" x14ac:dyDescent="0.15">
      <c r="A326" s="102">
        <v>43056</v>
      </c>
      <c r="B326" s="20" t="s">
        <v>38</v>
      </c>
      <c r="C326" s="8">
        <v>63724</v>
      </c>
      <c r="D326" s="37">
        <f>26230+11220</f>
        <v>37450</v>
      </c>
      <c r="E326" s="37">
        <v>102717</v>
      </c>
      <c r="F326" s="12">
        <v>5168.6000000000004</v>
      </c>
      <c r="G326" s="37">
        <v>3318.1</v>
      </c>
      <c r="H326" s="24"/>
      <c r="I326" s="36"/>
      <c r="J326" s="8">
        <f t="shared" si="85"/>
        <v>65267</v>
      </c>
      <c r="K326" s="37">
        <v>525</v>
      </c>
      <c r="L326" s="37">
        <v>793</v>
      </c>
      <c r="M326" s="127">
        <f t="shared" ref="M326:M370" si="86">J326-K326-L326-C326</f>
        <v>225</v>
      </c>
      <c r="N326" s="74">
        <f t="shared" si="83"/>
        <v>985061</v>
      </c>
      <c r="O326" s="75">
        <f t="shared" si="83"/>
        <v>679619</v>
      </c>
      <c r="P326" s="75">
        <f t="shared" si="83"/>
        <v>1695469</v>
      </c>
      <c r="Q326" s="76">
        <f t="shared" si="84"/>
        <v>19228180.93</v>
      </c>
      <c r="R326" s="76">
        <f t="shared" si="84"/>
        <v>11404159</v>
      </c>
      <c r="S326" s="76">
        <f t="shared" si="84"/>
        <v>31369998.478</v>
      </c>
      <c r="T326" s="80">
        <f>N326/'2016'!N326-1</f>
        <v>0.11985453024158943</v>
      </c>
      <c r="U326" s="80">
        <f>O326/'2016'!O326-1</f>
        <v>3.8910672383878575E-2</v>
      </c>
      <c r="V326" s="80">
        <f>P326/'2016'!P326-1</f>
        <v>8.6588351406085673E-2</v>
      </c>
      <c r="W326" s="81">
        <f>Q326/'2016'!Q326-1</f>
        <v>8.5197161108498065E-2</v>
      </c>
      <c r="X326" s="81">
        <f>R326/'2016'!R326-1</f>
        <v>0.14439565031353041</v>
      </c>
      <c r="Y326" s="81">
        <f>S326/'2016'!S326-1</f>
        <v>0.10274807871764469</v>
      </c>
      <c r="Z326" s="136"/>
      <c r="AA326" s="136"/>
      <c r="AB326" s="105"/>
      <c r="AC326" s="105"/>
      <c r="AD326" s="37">
        <f t="shared" ref="AD326:AD369" si="87">S326-R326</f>
        <v>19965839.478</v>
      </c>
      <c r="AE326" s="37">
        <f t="shared" si="76"/>
        <v>314446.77999999997</v>
      </c>
      <c r="AF326" s="37">
        <f t="shared" si="77"/>
        <v>246576.06</v>
      </c>
      <c r="AG326" s="37">
        <f t="shared" ref="AG326:AG369" si="88">AD326-Q326-AE326-AF326</f>
        <v>176635.70800000045</v>
      </c>
    </row>
    <row r="327" spans="1:33" x14ac:dyDescent="0.15">
      <c r="A327" s="102">
        <v>43057</v>
      </c>
      <c r="B327" s="20" t="s">
        <v>39</v>
      </c>
      <c r="C327" s="70">
        <v>67008</v>
      </c>
      <c r="D327" s="71">
        <f>20808+11222</f>
        <v>32030</v>
      </c>
      <c r="E327" s="71">
        <v>100962</v>
      </c>
      <c r="F327" s="120">
        <v>5137.6000000000004</v>
      </c>
      <c r="G327" s="71">
        <v>3237</v>
      </c>
      <c r="H327" s="24"/>
      <c r="I327" s="24"/>
      <c r="J327" s="70">
        <f t="shared" si="85"/>
        <v>68932</v>
      </c>
      <c r="K327" s="71">
        <v>667</v>
      </c>
      <c r="L327" s="71">
        <v>787</v>
      </c>
      <c r="M327" s="129">
        <f t="shared" si="86"/>
        <v>470</v>
      </c>
      <c r="N327" s="74">
        <f t="shared" ref="N327:P338" si="89">C327+N326</f>
        <v>1052069</v>
      </c>
      <c r="O327" s="75">
        <f t="shared" si="89"/>
        <v>711649</v>
      </c>
      <c r="P327" s="75">
        <f t="shared" si="89"/>
        <v>1796431</v>
      </c>
      <c r="Q327" s="76">
        <f t="shared" si="84"/>
        <v>19295188.93</v>
      </c>
      <c r="R327" s="76">
        <f t="shared" si="84"/>
        <v>11436189</v>
      </c>
      <c r="S327" s="76">
        <f t="shared" si="84"/>
        <v>31470960.478</v>
      </c>
      <c r="T327" s="80">
        <f>N327/'2016'!N327-1</f>
        <v>0.12707952352945595</v>
      </c>
      <c r="U327" s="80">
        <f>O327/'2016'!O327-1</f>
        <v>2.7709863804604051E-2</v>
      </c>
      <c r="V327" s="80">
        <f>P327/'2016'!P327-1</f>
        <v>8.6279876111567289E-2</v>
      </c>
      <c r="W327" s="81">
        <f>Q327/'2016'!Q327-1</f>
        <v>8.5681574597044063E-2</v>
      </c>
      <c r="X327" s="81">
        <f>R327/'2016'!R327-1</f>
        <v>0.14321648779629581</v>
      </c>
      <c r="Y327" s="81">
        <f>S327/'2016'!S327-1</f>
        <v>0.10267732900419979</v>
      </c>
      <c r="Z327" s="139"/>
      <c r="AA327" s="139"/>
      <c r="AB327" s="105"/>
      <c r="AC327" s="105"/>
      <c r="AD327" s="37">
        <f t="shared" si="87"/>
        <v>20034771.478</v>
      </c>
      <c r="AE327" s="71">
        <f t="shared" ref="AE327:AE369" si="90">AE326+K327</f>
        <v>315113.77999999997</v>
      </c>
      <c r="AF327" s="71">
        <f t="shared" ref="AF327:AF369" si="91">AF326+L327</f>
        <v>247363.06</v>
      </c>
      <c r="AG327" s="71">
        <f t="shared" si="88"/>
        <v>177105.70800000045</v>
      </c>
    </row>
    <row r="328" spans="1:33" x14ac:dyDescent="0.15">
      <c r="A328" s="102">
        <v>43058</v>
      </c>
      <c r="B328" s="20" t="s">
        <v>1</v>
      </c>
      <c r="C328" s="8">
        <v>61876</v>
      </c>
      <c r="D328" s="37">
        <f>22194+11170</f>
        <v>33364</v>
      </c>
      <c r="E328" s="37">
        <v>96949</v>
      </c>
      <c r="F328" s="12">
        <v>4747.5</v>
      </c>
      <c r="G328" s="37">
        <v>3269.9</v>
      </c>
      <c r="H328" s="24"/>
      <c r="I328" s="36"/>
      <c r="J328" s="8">
        <f t="shared" si="85"/>
        <v>63585</v>
      </c>
      <c r="K328" s="37">
        <v>327</v>
      </c>
      <c r="L328" s="37">
        <v>790</v>
      </c>
      <c r="M328" s="127">
        <f t="shared" si="86"/>
        <v>592</v>
      </c>
      <c r="N328" s="74">
        <f t="shared" si="89"/>
        <v>1113945</v>
      </c>
      <c r="O328" s="75">
        <f t="shared" si="89"/>
        <v>745013</v>
      </c>
      <c r="P328" s="75">
        <f t="shared" si="89"/>
        <v>1893380</v>
      </c>
      <c r="Q328" s="76">
        <f t="shared" si="84"/>
        <v>19357064.93</v>
      </c>
      <c r="R328" s="76">
        <f t="shared" si="84"/>
        <v>11469553</v>
      </c>
      <c r="S328" s="76">
        <f t="shared" si="84"/>
        <v>31567909.478</v>
      </c>
      <c r="T328" s="80">
        <f>N328/'2016'!N328-1</f>
        <v>0.12987396313223831</v>
      </c>
      <c r="U328" s="80">
        <f>O328/'2016'!O328-1</f>
        <v>1.8322653661523747E-2</v>
      </c>
      <c r="V328" s="80">
        <f>P328/'2016'!P328-1</f>
        <v>8.4090937719365488E-2</v>
      </c>
      <c r="W328" s="81">
        <f>Q328/'2016'!Q328-1</f>
        <v>8.595796211754636E-2</v>
      </c>
      <c r="X328" s="81">
        <f>R328/'2016'!R328-1</f>
        <v>0.1420823771215356</v>
      </c>
      <c r="Y328" s="81">
        <f>S328/'2016'!S328-1</f>
        <v>0.10249068699159802</v>
      </c>
      <c r="Z328" s="136"/>
      <c r="AA328" s="136"/>
      <c r="AB328" s="105"/>
      <c r="AC328" s="105"/>
      <c r="AD328" s="37">
        <f t="shared" si="87"/>
        <v>20098356.478</v>
      </c>
      <c r="AE328" s="37">
        <f t="shared" si="90"/>
        <v>315440.77999999997</v>
      </c>
      <c r="AF328" s="37">
        <f t="shared" si="91"/>
        <v>248153.06</v>
      </c>
      <c r="AG328" s="37">
        <f t="shared" si="88"/>
        <v>177697.70800000045</v>
      </c>
    </row>
    <row r="329" spans="1:33" x14ac:dyDescent="0.15">
      <c r="A329" s="102">
        <v>43059</v>
      </c>
      <c r="B329" s="20" t="s">
        <v>34</v>
      </c>
      <c r="C329" s="8">
        <v>67196</v>
      </c>
      <c r="D329" s="37">
        <v>35986</v>
      </c>
      <c r="E329" s="37">
        <v>104580</v>
      </c>
      <c r="F329" s="12">
        <v>5362</v>
      </c>
      <c r="G329" s="37">
        <v>3201</v>
      </c>
      <c r="H329" s="24"/>
      <c r="I329" s="36"/>
      <c r="J329" s="8">
        <f t="shared" si="85"/>
        <v>68594</v>
      </c>
      <c r="K329" s="37">
        <v>365</v>
      </c>
      <c r="L329" s="37">
        <v>791</v>
      </c>
      <c r="M329" s="127">
        <f t="shared" si="86"/>
        <v>242</v>
      </c>
      <c r="N329" s="74">
        <f t="shared" si="89"/>
        <v>1181141</v>
      </c>
      <c r="O329" s="75">
        <f t="shared" si="89"/>
        <v>780999</v>
      </c>
      <c r="P329" s="75">
        <f t="shared" si="89"/>
        <v>1997960</v>
      </c>
      <c r="Q329" s="76">
        <f t="shared" si="84"/>
        <v>19424260.93</v>
      </c>
      <c r="R329" s="76">
        <f t="shared" si="84"/>
        <v>11505539</v>
      </c>
      <c r="S329" s="76">
        <f t="shared" si="84"/>
        <v>31672489.478</v>
      </c>
      <c r="T329" s="80">
        <f>N329/'2016'!N329-1</f>
        <v>0.14139202280578833</v>
      </c>
      <c r="U329" s="80">
        <f>O329/'2016'!O329-1</f>
        <v>1.3560443838816383E-2</v>
      </c>
      <c r="V329" s="80">
        <f>P329/'2016'!P329-1</f>
        <v>8.8345104909199224E-2</v>
      </c>
      <c r="W329" s="81">
        <f>Q329/'2016'!Q329-1</f>
        <v>8.6745018042611921E-2</v>
      </c>
      <c r="X329" s="81">
        <f>R329/'2016'!R329-1</f>
        <v>0.1412403516145091</v>
      </c>
      <c r="Y329" s="81">
        <f>S329/'2016'!S329-1</f>
        <v>0.10270540593325728</v>
      </c>
      <c r="Z329" s="136"/>
      <c r="AA329" s="136"/>
      <c r="AB329" s="105"/>
      <c r="AC329" s="105"/>
      <c r="AD329" s="37">
        <f t="shared" si="87"/>
        <v>20166950.478</v>
      </c>
      <c r="AE329" s="37">
        <f t="shared" si="90"/>
        <v>315805.77999999997</v>
      </c>
      <c r="AF329" s="37">
        <f t="shared" si="91"/>
        <v>248944.06</v>
      </c>
      <c r="AG329" s="37">
        <f t="shared" si="88"/>
        <v>177939.70800000045</v>
      </c>
    </row>
    <row r="330" spans="1:33" x14ac:dyDescent="0.15">
      <c r="A330" s="102">
        <v>43060</v>
      </c>
      <c r="B330" s="20" t="s">
        <v>35</v>
      </c>
      <c r="C330" s="8">
        <v>69569</v>
      </c>
      <c r="D330" s="37">
        <v>36490</v>
      </c>
      <c r="E330" s="37">
        <v>107366</v>
      </c>
      <c r="F330" s="12">
        <v>5488</v>
      </c>
      <c r="G330" s="37">
        <v>3358</v>
      </c>
      <c r="H330" s="24"/>
      <c r="I330" s="36"/>
      <c r="J330" s="8">
        <f t="shared" si="85"/>
        <v>70876</v>
      </c>
      <c r="K330" s="37">
        <v>435</v>
      </c>
      <c r="L330" s="37">
        <v>790</v>
      </c>
      <c r="M330" s="127">
        <f t="shared" si="86"/>
        <v>82</v>
      </c>
      <c r="N330" s="74">
        <f t="shared" si="89"/>
        <v>1250710</v>
      </c>
      <c r="O330" s="75">
        <f t="shared" si="89"/>
        <v>817489</v>
      </c>
      <c r="P330" s="75">
        <f t="shared" si="89"/>
        <v>2105326</v>
      </c>
      <c r="Q330" s="76">
        <f t="shared" si="84"/>
        <v>19493829.93</v>
      </c>
      <c r="R330" s="76">
        <f t="shared" si="84"/>
        <v>11542029</v>
      </c>
      <c r="S330" s="76">
        <f t="shared" si="84"/>
        <v>31779855.478</v>
      </c>
      <c r="T330" s="80">
        <f>N330/'2016'!N330-1</f>
        <v>0.14879045924614154</v>
      </c>
      <c r="U330" s="80">
        <f>O330/'2016'!O330-1</f>
        <v>1.1472166509736814E-2</v>
      </c>
      <c r="V330" s="80">
        <f>P330/'2016'!P330-1</f>
        <v>9.166944078882544E-2</v>
      </c>
      <c r="W330" s="81">
        <f>Q330/'2016'!Q330-1</f>
        <v>8.735859194814366E-2</v>
      </c>
      <c r="X330" s="81">
        <f>R330/'2016'!R330-1</f>
        <v>0.14059829972025661</v>
      </c>
      <c r="Y330" s="81">
        <f>S330/'2016'!S330-1</f>
        <v>0.10288166813591793</v>
      </c>
      <c r="Z330" s="136"/>
      <c r="AA330" s="136"/>
      <c r="AB330" s="105"/>
      <c r="AC330" s="105"/>
      <c r="AD330" s="37">
        <f t="shared" si="87"/>
        <v>20237826.478</v>
      </c>
      <c r="AE330" s="37">
        <f t="shared" si="90"/>
        <v>316240.77999999997</v>
      </c>
      <c r="AF330" s="37">
        <f t="shared" si="91"/>
        <v>249734.06</v>
      </c>
      <c r="AG330" s="37">
        <f t="shared" si="88"/>
        <v>178021.70800000045</v>
      </c>
    </row>
    <row r="331" spans="1:33" x14ac:dyDescent="0.15">
      <c r="A331" s="102">
        <v>43061</v>
      </c>
      <c r="B331" s="20" t="s">
        <v>36</v>
      </c>
      <c r="C331" s="8">
        <v>67940</v>
      </c>
      <c r="D331" s="37">
        <v>36084</v>
      </c>
      <c r="E331" s="37">
        <v>105953</v>
      </c>
      <c r="F331" s="12">
        <v>5378</v>
      </c>
      <c r="G331" s="37">
        <v>3388</v>
      </c>
      <c r="H331" s="24"/>
      <c r="I331" s="36"/>
      <c r="J331" s="8">
        <f t="shared" si="85"/>
        <v>69869</v>
      </c>
      <c r="K331" s="37">
        <v>295</v>
      </c>
      <c r="L331" s="37">
        <v>791</v>
      </c>
      <c r="M331" s="127">
        <f t="shared" si="86"/>
        <v>843</v>
      </c>
      <c r="N331" s="74">
        <f t="shared" si="89"/>
        <v>1318650</v>
      </c>
      <c r="O331" s="75">
        <f t="shared" si="89"/>
        <v>853573</v>
      </c>
      <c r="P331" s="75">
        <f t="shared" si="89"/>
        <v>2211279</v>
      </c>
      <c r="Q331" s="76">
        <f t="shared" si="84"/>
        <v>19561769.93</v>
      </c>
      <c r="R331" s="76">
        <f t="shared" si="84"/>
        <v>11578113</v>
      </c>
      <c r="S331" s="76">
        <f t="shared" si="84"/>
        <v>31885808.478</v>
      </c>
      <c r="T331" s="80">
        <f>N331/'2016'!N331-1</f>
        <v>0.15355746923321867</v>
      </c>
      <c r="U331" s="80">
        <f>O331/'2016'!O331-1</f>
        <v>7.6734826868523065E-3</v>
      </c>
      <c r="V331" s="80">
        <f>P331/'2016'!P331-1</f>
        <v>9.3048132042931497E-2</v>
      </c>
      <c r="W331" s="81">
        <f>Q331/'2016'!Q331-1</f>
        <v>8.784746477453198E-2</v>
      </c>
      <c r="X331" s="81">
        <f>R331/'2016'!R331-1</f>
        <v>0.13978761055674416</v>
      </c>
      <c r="Y331" s="81">
        <f>S331/'2016'!S331-1</f>
        <v>0.10294149490737903</v>
      </c>
      <c r="Z331" s="136">
        <f>(Z332-Z325)/7*6+Z325</f>
        <v>134.8642857142857</v>
      </c>
      <c r="AA331" s="136">
        <f>Q331/10000-Z331</f>
        <v>1821.3127072857144</v>
      </c>
      <c r="AB331" s="105"/>
      <c r="AC331" s="105"/>
      <c r="AD331" s="37">
        <f t="shared" si="87"/>
        <v>20307695.478</v>
      </c>
      <c r="AE331" s="37">
        <f t="shared" si="90"/>
        <v>316535.77999999997</v>
      </c>
      <c r="AF331" s="37">
        <f t="shared" si="91"/>
        <v>250525.06</v>
      </c>
      <c r="AG331" s="37">
        <f t="shared" si="88"/>
        <v>178864.70800000045</v>
      </c>
    </row>
    <row r="332" spans="1:33" x14ac:dyDescent="0.15">
      <c r="A332" s="102">
        <v>43062</v>
      </c>
      <c r="B332" s="14" t="s">
        <v>37</v>
      </c>
      <c r="C332" s="32">
        <v>67856</v>
      </c>
      <c r="D332" s="33">
        <v>34771</v>
      </c>
      <c r="E332" s="33">
        <v>104640</v>
      </c>
      <c r="F332" s="119">
        <v>5142</v>
      </c>
      <c r="G332" s="33">
        <v>3377</v>
      </c>
      <c r="H332" s="19"/>
      <c r="I332" s="19"/>
      <c r="J332" s="32">
        <f t="shared" si="85"/>
        <v>69869</v>
      </c>
      <c r="K332" s="33">
        <v>375</v>
      </c>
      <c r="L332" s="33">
        <v>790</v>
      </c>
      <c r="M332" s="128">
        <f t="shared" si="86"/>
        <v>848</v>
      </c>
      <c r="N332" s="77">
        <f t="shared" si="89"/>
        <v>1386506</v>
      </c>
      <c r="O332" s="78">
        <f t="shared" si="89"/>
        <v>888344</v>
      </c>
      <c r="P332" s="78">
        <f t="shared" si="89"/>
        <v>2315919</v>
      </c>
      <c r="Q332" s="77">
        <f t="shared" si="84"/>
        <v>19629625.93</v>
      </c>
      <c r="R332" s="77">
        <f t="shared" si="84"/>
        <v>11612884</v>
      </c>
      <c r="S332" s="77">
        <f t="shared" si="84"/>
        <v>31990448.478</v>
      </c>
      <c r="T332" s="82">
        <f>N332/'2016'!N332-1</f>
        <v>0.15401569088327394</v>
      </c>
      <c r="U332" s="82">
        <f>O332/'2016'!O332-1</f>
        <v>3.7263599858086138E-3</v>
      </c>
      <c r="V332" s="82">
        <f>P332/'2016'!P332-1</f>
        <v>9.2132831764634382E-2</v>
      </c>
      <c r="W332" s="82">
        <f>Q332/'2016'!Q332-1</f>
        <v>8.8090499480749651E-2</v>
      </c>
      <c r="X332" s="82">
        <f>R332/'2016'!R332-1</f>
        <v>0.13895296292064474</v>
      </c>
      <c r="Y332" s="82">
        <f>S332/'2016'!S332-1</f>
        <v>0.10284132635147958</v>
      </c>
      <c r="Z332" s="138">
        <v>135.22</v>
      </c>
      <c r="AA332" s="138">
        <f>Q332/10000-Z332</f>
        <v>1827.7425929999999</v>
      </c>
      <c r="AB332" s="33">
        <v>4269.4799999999996</v>
      </c>
      <c r="AC332" s="33">
        <f>AA332*10000/AB332</f>
        <v>4280.9489516287704</v>
      </c>
      <c r="AD332" s="33">
        <f t="shared" si="87"/>
        <v>20377564.478</v>
      </c>
      <c r="AE332" s="33">
        <f t="shared" si="90"/>
        <v>316910.77999999997</v>
      </c>
      <c r="AF332" s="33">
        <f t="shared" si="91"/>
        <v>251315.06</v>
      </c>
      <c r="AG332" s="33">
        <f t="shared" si="88"/>
        <v>179712.70800000045</v>
      </c>
    </row>
    <row r="333" spans="1:33" x14ac:dyDescent="0.15">
      <c r="A333" s="102">
        <v>43063</v>
      </c>
      <c r="B333" s="20" t="s">
        <v>38</v>
      </c>
      <c r="C333" s="8">
        <v>69250</v>
      </c>
      <c r="D333" s="37">
        <v>34858</v>
      </c>
      <c r="E333" s="37">
        <v>105904</v>
      </c>
      <c r="F333" s="12">
        <v>5214</v>
      </c>
      <c r="G333" s="37">
        <v>3440</v>
      </c>
      <c r="H333" s="24"/>
      <c r="I333" s="36"/>
      <c r="J333" s="8">
        <f t="shared" si="85"/>
        <v>71046</v>
      </c>
      <c r="K333" s="37">
        <v>368</v>
      </c>
      <c r="L333" s="37">
        <v>791</v>
      </c>
      <c r="M333" s="127">
        <f t="shared" si="86"/>
        <v>637</v>
      </c>
      <c r="N333" s="74">
        <f t="shared" si="89"/>
        <v>1455756</v>
      </c>
      <c r="O333" s="75">
        <f t="shared" si="89"/>
        <v>923202</v>
      </c>
      <c r="P333" s="75">
        <f t="shared" si="89"/>
        <v>2421823</v>
      </c>
      <c r="Q333" s="76">
        <f t="shared" si="84"/>
        <v>19698875.93</v>
      </c>
      <c r="R333" s="76">
        <f t="shared" si="84"/>
        <v>11647742</v>
      </c>
      <c r="S333" s="76">
        <f t="shared" si="84"/>
        <v>32096352.478</v>
      </c>
      <c r="T333" s="80">
        <f>N333/'2016'!N333-1</f>
        <v>0.15377409184503232</v>
      </c>
      <c r="U333" s="80">
        <f>O333/'2016'!O333-1</f>
        <v>-3.2495491250061903E-6</v>
      </c>
      <c r="V333" s="80">
        <f>P333/'2016'!P333-1</f>
        <v>9.0725543128242103E-2</v>
      </c>
      <c r="W333" s="81">
        <f>Q333/'2016'!Q333-1</f>
        <v>8.8293177167057646E-2</v>
      </c>
      <c r="X333" s="81">
        <f>R333/'2016'!R333-1</f>
        <v>0.13811232541978602</v>
      </c>
      <c r="Y333" s="81">
        <f>S333/'2016'!S333-1</f>
        <v>0.10269724645071276</v>
      </c>
      <c r="Z333" s="136"/>
      <c r="AA333" s="136"/>
      <c r="AB333" s="105"/>
      <c r="AC333" s="105"/>
      <c r="AD333" s="37">
        <f t="shared" si="87"/>
        <v>20448610.478</v>
      </c>
      <c r="AE333" s="37">
        <f t="shared" si="90"/>
        <v>317278.77999999997</v>
      </c>
      <c r="AF333" s="37">
        <f t="shared" si="91"/>
        <v>252106.06</v>
      </c>
      <c r="AG333" s="37">
        <f t="shared" si="88"/>
        <v>180349.70800000045</v>
      </c>
    </row>
    <row r="334" spans="1:33" x14ac:dyDescent="0.15">
      <c r="A334" s="102">
        <v>43064</v>
      </c>
      <c r="B334" s="20" t="s">
        <v>39</v>
      </c>
      <c r="C334" s="70">
        <v>68696</v>
      </c>
      <c r="D334" s="71">
        <v>34544</v>
      </c>
      <c r="E334" s="71">
        <v>104946</v>
      </c>
      <c r="F334" s="120">
        <v>5274</v>
      </c>
      <c r="G334" s="71">
        <v>3408</v>
      </c>
      <c r="H334" s="24"/>
      <c r="I334" s="24"/>
      <c r="J334" s="70">
        <f t="shared" si="85"/>
        <v>70402</v>
      </c>
      <c r="K334" s="71">
        <v>537</v>
      </c>
      <c r="L334" s="71">
        <v>791</v>
      </c>
      <c r="M334" s="129">
        <f t="shared" si="86"/>
        <v>378</v>
      </c>
      <c r="N334" s="74">
        <f t="shared" si="89"/>
        <v>1524452</v>
      </c>
      <c r="O334" s="75">
        <f t="shared" si="89"/>
        <v>957746</v>
      </c>
      <c r="P334" s="75">
        <f t="shared" si="89"/>
        <v>2526769</v>
      </c>
      <c r="Q334" s="76">
        <f t="shared" si="84"/>
        <v>19767571.93</v>
      </c>
      <c r="R334" s="76">
        <f t="shared" si="84"/>
        <v>11682286</v>
      </c>
      <c r="S334" s="76">
        <f t="shared" si="84"/>
        <v>32201298.478</v>
      </c>
      <c r="T334" s="80">
        <f>N334/'2016'!N334-1</f>
        <v>0.15277097209367052</v>
      </c>
      <c r="U334" s="80">
        <f>O334/'2016'!O334-1</f>
        <v>-5.3091940867708853E-3</v>
      </c>
      <c r="V334" s="80">
        <f>P334/'2016'!P334-1</f>
        <v>8.8003737529011028E-2</v>
      </c>
      <c r="W334" s="81">
        <f>Q334/'2016'!Q334-1</f>
        <v>8.843895268629387E-2</v>
      </c>
      <c r="X334" s="81">
        <f>R334/'2016'!R334-1</f>
        <v>0.1370819912210699</v>
      </c>
      <c r="Y334" s="81">
        <f>S334/'2016'!S334-1</f>
        <v>0.10243902758837398</v>
      </c>
      <c r="Z334" s="139"/>
      <c r="AA334" s="139"/>
      <c r="AB334" s="105"/>
      <c r="AC334" s="105"/>
      <c r="AD334" s="37">
        <f t="shared" si="87"/>
        <v>20519012.478</v>
      </c>
      <c r="AE334" s="71">
        <f t="shared" si="90"/>
        <v>317815.77999999997</v>
      </c>
      <c r="AF334" s="71">
        <f t="shared" si="91"/>
        <v>252897.06</v>
      </c>
      <c r="AG334" s="71">
        <f t="shared" si="88"/>
        <v>180727.70800000045</v>
      </c>
    </row>
    <row r="335" spans="1:33" x14ac:dyDescent="0.15">
      <c r="A335" s="102">
        <v>43065</v>
      </c>
      <c r="B335" s="20" t="s">
        <v>1</v>
      </c>
      <c r="C335" s="8">
        <v>63215</v>
      </c>
      <c r="D335" s="37">
        <v>33766</v>
      </c>
      <c r="E335" s="37">
        <v>98512</v>
      </c>
      <c r="F335" s="12">
        <v>4867</v>
      </c>
      <c r="G335" s="37">
        <v>3368</v>
      </c>
      <c r="H335" s="24"/>
      <c r="I335" s="36"/>
      <c r="J335" s="8">
        <f t="shared" si="85"/>
        <v>64746</v>
      </c>
      <c r="K335" s="37">
        <v>210</v>
      </c>
      <c r="L335" s="37">
        <v>791</v>
      </c>
      <c r="M335" s="127">
        <f t="shared" si="86"/>
        <v>530</v>
      </c>
      <c r="N335" s="74">
        <f t="shared" si="89"/>
        <v>1587667</v>
      </c>
      <c r="O335" s="75">
        <f t="shared" si="89"/>
        <v>991512</v>
      </c>
      <c r="P335" s="75">
        <f t="shared" si="89"/>
        <v>2625281</v>
      </c>
      <c r="Q335" s="76">
        <f t="shared" si="84"/>
        <v>19830786.93</v>
      </c>
      <c r="R335" s="76">
        <f t="shared" si="84"/>
        <v>11716052</v>
      </c>
      <c r="S335" s="76">
        <f t="shared" si="84"/>
        <v>32299810.478</v>
      </c>
      <c r="T335" s="80">
        <f>N335/'2016'!N335-1</f>
        <v>0.14966440571679729</v>
      </c>
      <c r="U335" s="80">
        <f>O335/'2016'!O335-1</f>
        <v>-9.4171666976375912E-3</v>
      </c>
      <c r="V335" s="80">
        <f>P335/'2016'!P335-1</f>
        <v>8.4749761587193051E-2</v>
      </c>
      <c r="W335" s="81">
        <f>Q335/'2016'!Q335-1</f>
        <v>8.8410253570315955E-2</v>
      </c>
      <c r="X335" s="81">
        <f>R335/'2016'!R335-1</f>
        <v>0.13615742906053985</v>
      </c>
      <c r="Y335" s="81">
        <f>S335/'2016'!S335-1</f>
        <v>0.1021221504951686</v>
      </c>
      <c r="Z335" s="136"/>
      <c r="AA335" s="136"/>
      <c r="AB335" s="105"/>
      <c r="AC335" s="105"/>
      <c r="AD335" s="37">
        <f t="shared" si="87"/>
        <v>20583758.478</v>
      </c>
      <c r="AE335" s="37">
        <f t="shared" si="90"/>
        <v>318025.77999999997</v>
      </c>
      <c r="AF335" s="37">
        <f t="shared" si="91"/>
        <v>253688.06</v>
      </c>
      <c r="AG335" s="37">
        <f t="shared" si="88"/>
        <v>181257.70800000045</v>
      </c>
    </row>
    <row r="336" spans="1:33" x14ac:dyDescent="0.15">
      <c r="A336" s="102">
        <v>43066</v>
      </c>
      <c r="B336" s="20" t="s">
        <v>34</v>
      </c>
      <c r="C336" s="8">
        <v>64927</v>
      </c>
      <c r="D336" s="37">
        <v>35206</v>
      </c>
      <c r="E336" s="37">
        <v>101899</v>
      </c>
      <c r="F336" s="12">
        <v>5163</v>
      </c>
      <c r="G336" s="37">
        <v>3228</v>
      </c>
      <c r="H336" s="24"/>
      <c r="I336" s="36"/>
      <c r="J336" s="8">
        <f t="shared" si="85"/>
        <v>66693</v>
      </c>
      <c r="K336" s="37">
        <v>176</v>
      </c>
      <c r="L336" s="37">
        <v>790</v>
      </c>
      <c r="M336" s="127">
        <f t="shared" si="86"/>
        <v>800</v>
      </c>
      <c r="N336" s="74">
        <f t="shared" si="89"/>
        <v>1652594</v>
      </c>
      <c r="O336" s="75">
        <f t="shared" si="89"/>
        <v>1026718</v>
      </c>
      <c r="P336" s="75">
        <f t="shared" si="89"/>
        <v>2727180</v>
      </c>
      <c r="Q336" s="76">
        <f t="shared" si="84"/>
        <v>19895713.93</v>
      </c>
      <c r="R336" s="76">
        <f t="shared" si="84"/>
        <v>11751258</v>
      </c>
      <c r="S336" s="76">
        <f t="shared" si="84"/>
        <v>32401709.478</v>
      </c>
      <c r="T336" s="80">
        <f>N336/'2016'!N336-1</f>
        <v>0.15293662941666475</v>
      </c>
      <c r="U336" s="80">
        <f>O336/'2016'!O336-1</f>
        <v>-1.0670731707317027E-2</v>
      </c>
      <c r="V336" s="80">
        <f>P336/'2016'!P336-1</f>
        <v>8.6465296756356169E-2</v>
      </c>
      <c r="W336" s="81">
        <f>Q336/'2016'!Q336-1</f>
        <v>8.8842586813267843E-2</v>
      </c>
      <c r="X336" s="81">
        <f>R336/'2016'!R336-1</f>
        <v>0.13551330481036006</v>
      </c>
      <c r="Y336" s="81">
        <f>S336/'2016'!S336-1</f>
        <v>0.10221546901103484</v>
      </c>
      <c r="Z336" s="136"/>
      <c r="AA336" s="136"/>
      <c r="AB336" s="105"/>
      <c r="AC336" s="105"/>
      <c r="AD336" s="37">
        <f t="shared" si="87"/>
        <v>20650451.478</v>
      </c>
      <c r="AE336" s="37">
        <f t="shared" si="90"/>
        <v>318201.77999999997</v>
      </c>
      <c r="AF336" s="37">
        <f t="shared" si="91"/>
        <v>254478.06</v>
      </c>
      <c r="AG336" s="37">
        <f t="shared" si="88"/>
        <v>182057.70800000045</v>
      </c>
    </row>
    <row r="337" spans="1:33" x14ac:dyDescent="0.15">
      <c r="A337" s="102">
        <v>43067</v>
      </c>
      <c r="B337" s="20" t="s">
        <v>35</v>
      </c>
      <c r="C337" s="8">
        <v>66630</v>
      </c>
      <c r="D337" s="37">
        <v>34672</v>
      </c>
      <c r="E337" s="37">
        <v>102825</v>
      </c>
      <c r="F337" s="12">
        <v>5115</v>
      </c>
      <c r="G337" s="37">
        <v>3353</v>
      </c>
      <c r="H337" s="24"/>
      <c r="I337" s="36"/>
      <c r="J337" s="8">
        <f t="shared" si="85"/>
        <v>68153</v>
      </c>
      <c r="K337" s="37">
        <v>169</v>
      </c>
      <c r="L337" s="37">
        <v>792</v>
      </c>
      <c r="M337" s="127">
        <f t="shared" si="86"/>
        <v>562</v>
      </c>
      <c r="N337" s="74">
        <f t="shared" si="89"/>
        <v>1719224</v>
      </c>
      <c r="O337" s="75">
        <f t="shared" si="89"/>
        <v>1061390</v>
      </c>
      <c r="P337" s="75">
        <f t="shared" si="89"/>
        <v>2830005</v>
      </c>
      <c r="Q337" s="76">
        <f t="shared" si="84"/>
        <v>19962343.93</v>
      </c>
      <c r="R337" s="76">
        <f t="shared" si="84"/>
        <v>11785930</v>
      </c>
      <c r="S337" s="76">
        <f t="shared" si="84"/>
        <v>32504534.478</v>
      </c>
      <c r="T337" s="80">
        <f>N337/'2016'!N337-1</f>
        <v>0.15258227922779666</v>
      </c>
      <c r="U337" s="80">
        <f>O337/'2016'!O337-1</f>
        <v>-1.1841442535161728E-2</v>
      </c>
      <c r="V337" s="80">
        <f>P337/'2016'!P337-1</f>
        <v>8.6316315559361811E-2</v>
      </c>
      <c r="W337" s="81">
        <f>Q337/'2016'!Q337-1</f>
        <v>8.9017426651750275E-2</v>
      </c>
      <c r="X337" s="81">
        <f>R337/'2016'!R337-1</f>
        <v>0.13488101492436133</v>
      </c>
      <c r="Y337" s="81">
        <f>S337/'2016'!S337-1</f>
        <v>0.10215157458938329</v>
      </c>
      <c r="Z337" s="136"/>
      <c r="AA337" s="136"/>
      <c r="AB337" s="105"/>
      <c r="AC337" s="105"/>
      <c r="AD337" s="37">
        <f t="shared" si="87"/>
        <v>20718604.478</v>
      </c>
      <c r="AE337" s="37">
        <f t="shared" si="90"/>
        <v>318370.77999999997</v>
      </c>
      <c r="AF337" s="37">
        <f t="shared" si="91"/>
        <v>255270.06</v>
      </c>
      <c r="AG337" s="37">
        <f t="shared" si="88"/>
        <v>182619.70800000045</v>
      </c>
    </row>
    <row r="338" spans="1:33" x14ac:dyDescent="0.15">
      <c r="A338" s="102">
        <v>43068</v>
      </c>
      <c r="B338" s="20" t="s">
        <v>36</v>
      </c>
      <c r="C338" s="8">
        <v>67748</v>
      </c>
      <c r="D338" s="37">
        <v>34476</v>
      </c>
      <c r="E338" s="37">
        <v>103782</v>
      </c>
      <c r="F338" s="12">
        <v>5352</v>
      </c>
      <c r="G338" s="37">
        <v>3327</v>
      </c>
      <c r="H338" s="24"/>
      <c r="I338" s="36"/>
      <c r="J338" s="8">
        <f t="shared" si="85"/>
        <v>69306</v>
      </c>
      <c r="K338" s="37">
        <v>650</v>
      </c>
      <c r="L338" s="37">
        <v>789</v>
      </c>
      <c r="M338" s="127">
        <f t="shared" si="86"/>
        <v>119</v>
      </c>
      <c r="N338" s="74">
        <f t="shared" si="89"/>
        <v>1786972</v>
      </c>
      <c r="O338" s="75">
        <f t="shared" si="89"/>
        <v>1095866</v>
      </c>
      <c r="P338" s="75">
        <f t="shared" si="89"/>
        <v>2933787</v>
      </c>
      <c r="Q338" s="76">
        <f t="shared" si="84"/>
        <v>20030091.93</v>
      </c>
      <c r="R338" s="76">
        <f t="shared" si="84"/>
        <v>11820406</v>
      </c>
      <c r="S338" s="76">
        <f t="shared" si="84"/>
        <v>32608316.478</v>
      </c>
      <c r="T338" s="80">
        <f>N338/'2016'!N338-1</f>
        <v>0.15227482733339315</v>
      </c>
      <c r="U338" s="80">
        <f>O338/'2016'!O338-1</f>
        <v>-1.5360811959437948E-2</v>
      </c>
      <c r="V338" s="80">
        <f>P338/'2016'!P338-1</f>
        <v>8.4818719695252565E-2</v>
      </c>
      <c r="W338" s="81">
        <f>Q338/'2016'!Q338-1</f>
        <v>8.919610138101608E-2</v>
      </c>
      <c r="X338" s="81">
        <f>R338/'2016'!R338-1</f>
        <v>0.13395838323809972</v>
      </c>
      <c r="Y338" s="81">
        <f>S338/'2016'!S338-1</f>
        <v>0.10196158626904084</v>
      </c>
      <c r="Z338" s="136">
        <f>(Z339-Z332)/7*6+Z332</f>
        <v>137.28248114285714</v>
      </c>
      <c r="AA338" s="136">
        <f>Q338/10000-Z338</f>
        <v>1865.7267118571426</v>
      </c>
      <c r="AB338" s="105"/>
      <c r="AC338" s="105"/>
      <c r="AD338" s="37">
        <f t="shared" si="87"/>
        <v>20787910.478</v>
      </c>
      <c r="AE338" s="37">
        <f t="shared" si="90"/>
        <v>319020.77999999997</v>
      </c>
      <c r="AF338" s="37">
        <f t="shared" si="91"/>
        <v>256059.06</v>
      </c>
      <c r="AG338" s="37">
        <f t="shared" si="88"/>
        <v>182738.70800000045</v>
      </c>
    </row>
    <row r="339" spans="1:33" s="1" customFormat="1" x14ac:dyDescent="0.15">
      <c r="A339" s="25">
        <v>43069</v>
      </c>
      <c r="B339" s="25" t="s">
        <v>37</v>
      </c>
      <c r="C339" s="42">
        <v>66835</v>
      </c>
      <c r="D339" s="43">
        <v>35204</v>
      </c>
      <c r="E339" s="43">
        <v>103431</v>
      </c>
      <c r="F339" s="122">
        <v>5346</v>
      </c>
      <c r="G339" s="43">
        <v>3261</v>
      </c>
      <c r="H339" s="30"/>
      <c r="I339" s="30"/>
      <c r="J339" s="42">
        <f t="shared" si="85"/>
        <v>68227</v>
      </c>
      <c r="K339" s="43">
        <v>415</v>
      </c>
      <c r="L339" s="43">
        <v>791</v>
      </c>
      <c r="M339" s="130">
        <f t="shared" si="86"/>
        <v>186</v>
      </c>
      <c r="N339" s="87">
        <f>[18]表2、统调口径电量!$D$10</f>
        <v>1853767.66</v>
      </c>
      <c r="O339" s="88">
        <f>[18]表2、统调口径电量!$D$14</f>
        <v>1131289</v>
      </c>
      <c r="P339" s="131">
        <f>[18]表2、统调口径电量!$D$3</f>
        <v>3037218.53</v>
      </c>
      <c r="Q339" s="87">
        <f t="shared" ref="Q339" si="92">Q$309+N339</f>
        <v>20096887.59</v>
      </c>
      <c r="R339" s="87">
        <f t="shared" ref="R339" si="93">R$309+O339</f>
        <v>11855829</v>
      </c>
      <c r="S339" s="87">
        <f t="shared" ref="S339" si="94">S$309+P339</f>
        <v>32711748.008000001</v>
      </c>
      <c r="T339" s="89">
        <f>N339/'2016'!N339-1</f>
        <v>0.15316401552923109</v>
      </c>
      <c r="U339" s="89">
        <f>O339/'2016'!O339-1</f>
        <v>-1.8089956784428152E-2</v>
      </c>
      <c r="V339" s="89">
        <f>P339/'2016'!P339-1</f>
        <v>8.4380098397646375E-2</v>
      </c>
      <c r="W339" s="89">
        <f>Q339/'2016'!Q339-1</f>
        <v>8.9467574971585417E-2</v>
      </c>
      <c r="X339" s="89">
        <f>R339/'2016'!R339-1</f>
        <v>0.13309889240279493</v>
      </c>
      <c r="Y339" s="89">
        <f>S339/'2016'!S339-1</f>
        <v>0.10186449472851433</v>
      </c>
      <c r="Z339" s="141">
        <v>137.626228</v>
      </c>
      <c r="AA339" s="141">
        <v>1872.062531</v>
      </c>
      <c r="AB339" s="43">
        <v>4269.4799999999996</v>
      </c>
      <c r="AC339" s="43">
        <f>AA339*10000/AB339</f>
        <v>4384.7553589664312</v>
      </c>
      <c r="AD339" s="43">
        <f>[18]表2、统调口径电量!$I$4</f>
        <v>20855919.010000002</v>
      </c>
      <c r="AE339" s="43">
        <f>[18]表2、统调口径电量!$I$13</f>
        <v>319475.21000000002</v>
      </c>
      <c r="AF339" s="43">
        <f>[18]表2、统调口径电量!$I$15</f>
        <v>256848.3</v>
      </c>
      <c r="AG339" s="43">
        <f>[18]表2、统调口径电量!$I$22</f>
        <v>182707.91</v>
      </c>
    </row>
    <row r="340" spans="1:33" x14ac:dyDescent="0.15">
      <c r="A340" s="102">
        <v>43070</v>
      </c>
      <c r="B340" s="20" t="s">
        <v>38</v>
      </c>
      <c r="C340" s="8">
        <v>64643</v>
      </c>
      <c r="D340" s="347">
        <f>24397+11217</f>
        <v>35614</v>
      </c>
      <c r="E340" s="37">
        <v>101904</v>
      </c>
      <c r="F340" s="12">
        <v>5127.6000000000004</v>
      </c>
      <c r="G340" s="37">
        <v>3259.6</v>
      </c>
      <c r="H340" s="24"/>
      <c r="I340" s="36"/>
      <c r="J340" s="8">
        <f t="shared" si="85"/>
        <v>66290</v>
      </c>
      <c r="K340" s="37">
        <v>474</v>
      </c>
      <c r="L340" s="37">
        <v>791</v>
      </c>
      <c r="M340" s="127">
        <f t="shared" si="86"/>
        <v>382</v>
      </c>
      <c r="N340" s="74">
        <f>C340</f>
        <v>64643</v>
      </c>
      <c r="O340" s="75">
        <f>D340</f>
        <v>35614</v>
      </c>
      <c r="P340" s="75">
        <f>E340</f>
        <v>101904</v>
      </c>
      <c r="Q340" s="76">
        <f>Q$339+N340</f>
        <v>20161530.59</v>
      </c>
      <c r="R340" s="76">
        <f>R$339+O340</f>
        <v>11891443</v>
      </c>
      <c r="S340" s="76">
        <f>S$339+P340</f>
        <v>32813652.008000001</v>
      </c>
      <c r="T340" s="80">
        <f>N340/'2016'!N340-1</f>
        <v>0.16276936360038863</v>
      </c>
      <c r="U340" s="80">
        <f>O340/'2016'!O340-1</f>
        <v>-3.159669349575811E-2</v>
      </c>
      <c r="V340" s="80">
        <f>P340/'2016'!P340-1</f>
        <v>9.1820772708766318E-2</v>
      </c>
      <c r="W340" s="81">
        <f>Q340/'2016'!Q340-1</f>
        <v>8.9687827597665137E-2</v>
      </c>
      <c r="X340" s="81">
        <f>R340/'2016'!R340-1</f>
        <v>0.13252204816663227</v>
      </c>
      <c r="Y340" s="81">
        <f>S340/'2016'!S340-1</f>
        <v>0.10183301755143792</v>
      </c>
      <c r="Z340" s="136"/>
      <c r="AA340" s="136"/>
      <c r="AB340" s="105"/>
      <c r="AC340" s="105"/>
      <c r="AD340" s="37">
        <f t="shared" si="87"/>
        <v>20922209.008000001</v>
      </c>
      <c r="AE340" s="37">
        <f t="shared" si="90"/>
        <v>319949.21000000002</v>
      </c>
      <c r="AF340" s="37">
        <f t="shared" si="91"/>
        <v>257639.3</v>
      </c>
      <c r="AG340" s="37">
        <f t="shared" si="88"/>
        <v>183089.90800000145</v>
      </c>
    </row>
    <row r="341" spans="1:33" x14ac:dyDescent="0.15">
      <c r="A341" s="102">
        <v>43071</v>
      </c>
      <c r="B341" s="20" t="s">
        <v>39</v>
      </c>
      <c r="C341" s="70">
        <v>65937</v>
      </c>
      <c r="D341" s="71">
        <f>28422+8245</f>
        <v>36667</v>
      </c>
      <c r="E341" s="71">
        <v>103833</v>
      </c>
      <c r="F341" s="120">
        <v>5300.3</v>
      </c>
      <c r="G341" s="71">
        <v>3296.1</v>
      </c>
      <c r="H341" s="24"/>
      <c r="I341" s="24"/>
      <c r="J341" s="70">
        <f t="shared" si="85"/>
        <v>67166</v>
      </c>
      <c r="K341" s="71">
        <v>198</v>
      </c>
      <c r="L341" s="71">
        <v>792</v>
      </c>
      <c r="M341" s="129">
        <f t="shared" si="86"/>
        <v>239</v>
      </c>
      <c r="N341" s="74">
        <f t="shared" ref="N341:P356" si="95">N340+C341</f>
        <v>130580</v>
      </c>
      <c r="O341" s="75">
        <f t="shared" si="95"/>
        <v>72281</v>
      </c>
      <c r="P341" s="75">
        <f t="shared" si="95"/>
        <v>205737</v>
      </c>
      <c r="Q341" s="76">
        <f t="shared" ref="Q341:S369" si="96">Q$339+N341</f>
        <v>20227467.59</v>
      </c>
      <c r="R341" s="76">
        <f t="shared" si="96"/>
        <v>11928110</v>
      </c>
      <c r="S341" s="76">
        <f t="shared" si="96"/>
        <v>32917485.008000001</v>
      </c>
      <c r="T341" s="80">
        <f>N341/'2016'!N341-1</f>
        <v>0.13071940701742224</v>
      </c>
      <c r="U341" s="80">
        <f>O341/'2016'!O341-1</f>
        <v>1.5935482082976016E-3</v>
      </c>
      <c r="V341" s="80">
        <f>P341/'2016'!P341-1</f>
        <v>8.7686557300780787E-2</v>
      </c>
      <c r="W341" s="81">
        <f>Q341/'2016'!Q341-1</f>
        <v>8.9724224310669953E-2</v>
      </c>
      <c r="X341" s="81">
        <f>R341/'2016'!R341-1</f>
        <v>0.13219809563150964</v>
      </c>
      <c r="Y341" s="81">
        <f>S341/'2016'!S341-1</f>
        <v>0.10177473369193035</v>
      </c>
      <c r="Z341" s="139"/>
      <c r="AA341" s="139"/>
      <c r="AB341" s="105"/>
      <c r="AC341" s="105"/>
      <c r="AD341" s="37">
        <f t="shared" si="87"/>
        <v>20989375.008000001</v>
      </c>
      <c r="AE341" s="71">
        <f t="shared" si="90"/>
        <v>320147.21000000002</v>
      </c>
      <c r="AF341" s="71">
        <f t="shared" si="91"/>
        <v>258431.3</v>
      </c>
      <c r="AG341" s="71">
        <f t="shared" si="88"/>
        <v>183328.90800000145</v>
      </c>
    </row>
    <row r="342" spans="1:33" x14ac:dyDescent="0.15">
      <c r="A342" s="102">
        <v>43072</v>
      </c>
      <c r="B342" s="20" t="s">
        <v>1</v>
      </c>
      <c r="C342" s="8">
        <v>60309</v>
      </c>
      <c r="D342" s="37">
        <f>28542+8290</f>
        <v>36832</v>
      </c>
      <c r="E342" s="37">
        <v>98578</v>
      </c>
      <c r="F342" s="12">
        <v>4837.3</v>
      </c>
      <c r="G342" s="37">
        <v>3337.8</v>
      </c>
      <c r="H342" s="24"/>
      <c r="I342" s="36"/>
      <c r="J342" s="8">
        <f t="shared" si="85"/>
        <v>61746</v>
      </c>
      <c r="K342" s="37">
        <v>319</v>
      </c>
      <c r="L342" s="37">
        <v>790</v>
      </c>
      <c r="M342" s="127">
        <f t="shared" si="86"/>
        <v>328</v>
      </c>
      <c r="N342" s="74">
        <f t="shared" si="95"/>
        <v>190889</v>
      </c>
      <c r="O342" s="75">
        <f t="shared" si="95"/>
        <v>109113</v>
      </c>
      <c r="P342" s="75">
        <f t="shared" si="95"/>
        <v>304315</v>
      </c>
      <c r="Q342" s="76">
        <f t="shared" si="96"/>
        <v>20287776.59</v>
      </c>
      <c r="R342" s="76">
        <f t="shared" si="96"/>
        <v>11964942</v>
      </c>
      <c r="S342" s="76">
        <f t="shared" si="96"/>
        <v>33016063.008000001</v>
      </c>
      <c r="T342" s="80">
        <f>N342/'2016'!N342-1</f>
        <v>7.4613674107017136E-2</v>
      </c>
      <c r="U342" s="80">
        <f>O342/'2016'!O342-1</f>
        <v>3.6014052411697639E-2</v>
      </c>
      <c r="V342" s="80">
        <f>P342/'2016'!P342-1</f>
        <v>6.8270456037378802E-2</v>
      </c>
      <c r="W342" s="81">
        <f>Q342/'2016'!Q342-1</f>
        <v>8.9325900227323007E-2</v>
      </c>
      <c r="X342" s="81">
        <f>R342/'2016'!R342-1</f>
        <v>0.13213139789809536</v>
      </c>
      <c r="Y342" s="81">
        <f>S342/'2016'!S342-1</f>
        <v>0.10154520760763486</v>
      </c>
      <c r="Z342" s="136"/>
      <c r="AA342" s="136"/>
      <c r="AB342" s="105"/>
      <c r="AC342" s="105"/>
      <c r="AD342" s="37">
        <f t="shared" si="87"/>
        <v>21051121.008000001</v>
      </c>
      <c r="AE342" s="37">
        <f t="shared" si="90"/>
        <v>320466.21000000002</v>
      </c>
      <c r="AF342" s="37">
        <f t="shared" si="91"/>
        <v>259221.3</v>
      </c>
      <c r="AG342" s="37">
        <f t="shared" si="88"/>
        <v>183656.90800000145</v>
      </c>
    </row>
    <row r="343" spans="1:33" x14ac:dyDescent="0.15">
      <c r="A343" s="102">
        <v>43073</v>
      </c>
      <c r="B343" s="20" t="s">
        <v>34</v>
      </c>
      <c r="C343" s="8">
        <v>62086</v>
      </c>
      <c r="D343" s="37">
        <f>29538+8167</f>
        <v>37705</v>
      </c>
      <c r="E343" s="37">
        <v>101923</v>
      </c>
      <c r="F343" s="12">
        <v>5130.5</v>
      </c>
      <c r="G343" s="37">
        <v>3146.7</v>
      </c>
      <c r="H343" s="24"/>
      <c r="I343" s="36"/>
      <c r="J343" s="8">
        <f t="shared" si="85"/>
        <v>64218</v>
      </c>
      <c r="K343" s="37">
        <v>623</v>
      </c>
      <c r="L343" s="37">
        <v>791</v>
      </c>
      <c r="M343" s="127">
        <f t="shared" si="86"/>
        <v>718</v>
      </c>
      <c r="N343" s="74">
        <f t="shared" si="95"/>
        <v>252975</v>
      </c>
      <c r="O343" s="75">
        <f t="shared" si="95"/>
        <v>146818</v>
      </c>
      <c r="P343" s="75">
        <f t="shared" si="95"/>
        <v>406238</v>
      </c>
      <c r="Q343" s="76">
        <f t="shared" si="96"/>
        <v>20349862.59</v>
      </c>
      <c r="R343" s="76">
        <f t="shared" si="96"/>
        <v>12002647</v>
      </c>
      <c r="S343" s="76">
        <f t="shared" si="96"/>
        <v>33117986.008000001</v>
      </c>
      <c r="T343" s="80">
        <f>N343/'2016'!N343-1</f>
        <v>7.5432234696957368E-2</v>
      </c>
      <c r="U343" s="80">
        <f>O343/'2016'!O343-1</f>
        <v>6.4955789443142731E-2</v>
      </c>
      <c r="V343" s="80">
        <f>P343/'2016'!P343-1</f>
        <v>8.0911797652655881E-2</v>
      </c>
      <c r="W343" s="81">
        <f>Q343/'2016'!Q343-1</f>
        <v>8.9290849204568756E-2</v>
      </c>
      <c r="X343" s="81">
        <f>R343/'2016'!R343-1</f>
        <v>0.1322127150953778</v>
      </c>
      <c r="Y343" s="81">
        <f>S343/'2016'!S343-1</f>
        <v>0.101602561110816</v>
      </c>
      <c r="Z343" s="136"/>
      <c r="AA343" s="136"/>
      <c r="AB343" s="105"/>
      <c r="AC343" s="105"/>
      <c r="AD343" s="37">
        <f t="shared" si="87"/>
        <v>21115339.008000001</v>
      </c>
      <c r="AE343" s="37">
        <f t="shared" si="90"/>
        <v>321089.21000000002</v>
      </c>
      <c r="AF343" s="37">
        <f t="shared" si="91"/>
        <v>260012.3</v>
      </c>
      <c r="AG343" s="37">
        <f t="shared" si="88"/>
        <v>184374.90800000145</v>
      </c>
    </row>
    <row r="344" spans="1:33" x14ac:dyDescent="0.15">
      <c r="A344" s="102">
        <v>43074</v>
      </c>
      <c r="B344" s="20" t="s">
        <v>35</v>
      </c>
      <c r="C344" s="8">
        <v>64600</v>
      </c>
      <c r="D344" s="37">
        <f>30949+8108</f>
        <v>39057</v>
      </c>
      <c r="E344" s="37">
        <v>105891</v>
      </c>
      <c r="F344" s="113">
        <v>5230.3999999999996</v>
      </c>
      <c r="G344" s="37">
        <v>3355.1</v>
      </c>
      <c r="H344" s="24"/>
      <c r="I344" s="36"/>
      <c r="J344" s="8">
        <f t="shared" si="85"/>
        <v>66834</v>
      </c>
      <c r="K344" s="37">
        <v>686</v>
      </c>
      <c r="L344" s="37">
        <v>791</v>
      </c>
      <c r="M344" s="127">
        <f t="shared" si="86"/>
        <v>757</v>
      </c>
      <c r="N344" s="74">
        <f t="shared" si="95"/>
        <v>317575</v>
      </c>
      <c r="O344" s="75">
        <f t="shared" si="95"/>
        <v>185875</v>
      </c>
      <c r="P344" s="75">
        <f t="shared" si="95"/>
        <v>512129</v>
      </c>
      <c r="Q344" s="76">
        <f t="shared" si="96"/>
        <v>20414462.59</v>
      </c>
      <c r="R344" s="76">
        <f t="shared" si="96"/>
        <v>12041704</v>
      </c>
      <c r="S344" s="76">
        <f t="shared" si="96"/>
        <v>33223877.008000001</v>
      </c>
      <c r="T344" s="80">
        <f>N344/'2016'!N344-1</f>
        <v>7.5606600463333118E-2</v>
      </c>
      <c r="U344" s="80">
        <f>O344/'2016'!O344-1</f>
        <v>8.4622431771632645E-2</v>
      </c>
      <c r="V344" s="80">
        <f>P344/'2016'!P344-1</f>
        <v>8.8649436893369016E-2</v>
      </c>
      <c r="W344" s="81">
        <f>Q344/'2016'!Q344-1</f>
        <v>8.9249213548301176E-2</v>
      </c>
      <c r="X344" s="81">
        <f>R344/'2016'!R344-1</f>
        <v>0.13231770783623165</v>
      </c>
      <c r="Y344" s="81">
        <f>S344/'2016'!S344-1</f>
        <v>0.1016583572269858</v>
      </c>
      <c r="Z344" s="136"/>
      <c r="AA344" s="136"/>
      <c r="AB344" s="105"/>
      <c r="AC344" s="105"/>
      <c r="AD344" s="37">
        <f t="shared" si="87"/>
        <v>21182173.008000001</v>
      </c>
      <c r="AE344" s="37">
        <f t="shared" si="90"/>
        <v>321775.21000000002</v>
      </c>
      <c r="AF344" s="37">
        <f t="shared" si="91"/>
        <v>260803.3</v>
      </c>
      <c r="AG344" s="37">
        <f t="shared" si="88"/>
        <v>185131.90800000145</v>
      </c>
    </row>
    <row r="345" spans="1:33" x14ac:dyDescent="0.15">
      <c r="A345" s="102">
        <v>43075</v>
      </c>
      <c r="B345" s="20" t="s">
        <v>36</v>
      </c>
      <c r="C345" s="8">
        <v>66906</v>
      </c>
      <c r="D345" s="37">
        <f>31156+8128</f>
        <v>39284</v>
      </c>
      <c r="E345" s="37">
        <v>108010</v>
      </c>
      <c r="F345" s="12">
        <v>5375.2</v>
      </c>
      <c r="G345" s="37">
        <v>3439.5</v>
      </c>
      <c r="H345" s="24"/>
      <c r="I345" s="36"/>
      <c r="J345" s="8">
        <f t="shared" si="85"/>
        <v>68726</v>
      </c>
      <c r="K345" s="37">
        <v>426</v>
      </c>
      <c r="L345" s="37">
        <v>791</v>
      </c>
      <c r="M345" s="127">
        <f t="shared" si="86"/>
        <v>603</v>
      </c>
      <c r="N345" s="74">
        <f t="shared" si="95"/>
        <v>384481</v>
      </c>
      <c r="O345" s="75">
        <f t="shared" si="95"/>
        <v>225159</v>
      </c>
      <c r="P345" s="75">
        <f t="shared" si="95"/>
        <v>620139</v>
      </c>
      <c r="Q345" s="76">
        <f t="shared" si="96"/>
        <v>20481368.59</v>
      </c>
      <c r="R345" s="76">
        <f t="shared" si="96"/>
        <v>12080988</v>
      </c>
      <c r="S345" s="76">
        <f t="shared" si="96"/>
        <v>33331887.008000001</v>
      </c>
      <c r="T345" s="80">
        <f>N345/'2016'!N345-1</f>
        <v>7.6037188787390297E-2</v>
      </c>
      <c r="U345" s="80">
        <f>O345/'2016'!O345-1</f>
        <v>9.6235022615181576E-2</v>
      </c>
      <c r="V345" s="80">
        <f>P345/'2016'!P345-1</f>
        <v>9.3611565700742139E-2</v>
      </c>
      <c r="W345" s="81">
        <f>Q345/'2016'!Q345-1</f>
        <v>8.9212369668866476E-2</v>
      </c>
      <c r="X345" s="81">
        <f>R345/'2016'!R345-1</f>
        <v>0.13238918420562507</v>
      </c>
      <c r="Y345" s="81">
        <f>S345/'2016'!S345-1</f>
        <v>0.10170981215931452</v>
      </c>
      <c r="Z345" s="136">
        <f>(Z346-Z339)/7*6+Z339</f>
        <v>140.03803257142857</v>
      </c>
      <c r="AA345" s="136">
        <f>Q345/10000-Z345</f>
        <v>1908.0988264285716</v>
      </c>
      <c r="AB345" s="105"/>
      <c r="AC345" s="105"/>
      <c r="AD345" s="37">
        <f t="shared" si="87"/>
        <v>21250899.008000001</v>
      </c>
      <c r="AE345" s="37">
        <f t="shared" si="90"/>
        <v>322201.21000000002</v>
      </c>
      <c r="AF345" s="37">
        <f t="shared" si="91"/>
        <v>261594.3</v>
      </c>
      <c r="AG345" s="37">
        <f t="shared" si="88"/>
        <v>185734.90800000145</v>
      </c>
    </row>
    <row r="346" spans="1:33" x14ac:dyDescent="0.15">
      <c r="A346" s="102">
        <v>43076</v>
      </c>
      <c r="B346" s="14" t="s">
        <v>37</v>
      </c>
      <c r="C346" s="32">
        <v>70096</v>
      </c>
      <c r="D346" s="33">
        <f>29619+7963</f>
        <v>37582</v>
      </c>
      <c r="E346" s="33">
        <v>109257</v>
      </c>
      <c r="F346" s="119">
        <v>5475.8</v>
      </c>
      <c r="G346" s="33">
        <v>3472.9</v>
      </c>
      <c r="H346" s="19"/>
      <c r="I346" s="19"/>
      <c r="J346" s="32">
        <f t="shared" si="85"/>
        <v>71675</v>
      </c>
      <c r="K346" s="33">
        <v>325</v>
      </c>
      <c r="L346" s="33">
        <v>789</v>
      </c>
      <c r="M346" s="128">
        <f t="shared" si="86"/>
        <v>465</v>
      </c>
      <c r="N346" s="77">
        <f t="shared" si="95"/>
        <v>454577</v>
      </c>
      <c r="O346" s="78">
        <f t="shared" si="95"/>
        <v>262741</v>
      </c>
      <c r="P346" s="78">
        <f t="shared" si="95"/>
        <v>729396</v>
      </c>
      <c r="Q346" s="77">
        <f t="shared" si="96"/>
        <v>20551464.59</v>
      </c>
      <c r="R346" s="77">
        <f t="shared" si="96"/>
        <v>12118570</v>
      </c>
      <c r="S346" s="77">
        <f t="shared" si="96"/>
        <v>33441144.008000001</v>
      </c>
      <c r="T346" s="82">
        <f>N346/'2016'!N346-1</f>
        <v>8.0499631575194242E-2</v>
      </c>
      <c r="U346" s="82">
        <f>O346/'2016'!O346-1</f>
        <v>9.7140447139194341E-2</v>
      </c>
      <c r="V346" s="82">
        <f>P346/'2016'!P346-1</f>
        <v>9.6940010858171499E-2</v>
      </c>
      <c r="W346" s="82">
        <f>Q346/'2016'!Q346-1</f>
        <v>8.9267603748127922E-2</v>
      </c>
      <c r="X346" s="82">
        <f>R346/'2016'!R346-1</f>
        <v>0.1322943026916279</v>
      </c>
      <c r="Y346" s="82">
        <f>S346/'2016'!S346-1</f>
        <v>0.10175661353089271</v>
      </c>
      <c r="Z346" s="138">
        <v>140.44</v>
      </c>
      <c r="AA346" s="138">
        <f>Q346/10000-Z346</f>
        <v>1914.706459</v>
      </c>
      <c r="AB346" s="33">
        <v>4269.4799999999996</v>
      </c>
      <c r="AC346" s="33">
        <f>AA346*10000/AB346</f>
        <v>4484.6362062827329</v>
      </c>
      <c r="AD346" s="33">
        <f t="shared" si="87"/>
        <v>21322574.008000001</v>
      </c>
      <c r="AE346" s="33">
        <f t="shared" si="90"/>
        <v>322526.21000000002</v>
      </c>
      <c r="AF346" s="33">
        <f t="shared" si="91"/>
        <v>262383.3</v>
      </c>
      <c r="AG346" s="33">
        <f t="shared" si="88"/>
        <v>186199.90800000145</v>
      </c>
    </row>
    <row r="347" spans="1:33" x14ac:dyDescent="0.15">
      <c r="A347" s="102">
        <v>43077</v>
      </c>
      <c r="B347" s="20" t="s">
        <v>38</v>
      </c>
      <c r="C347" s="8">
        <v>69258</v>
      </c>
      <c r="D347" s="37">
        <f>29730+8002</f>
        <v>37732</v>
      </c>
      <c r="E347" s="37">
        <v>109192</v>
      </c>
      <c r="F347" s="12">
        <v>5411.8</v>
      </c>
      <c r="G347" s="37">
        <v>3406.4</v>
      </c>
      <c r="H347" s="24"/>
      <c r="I347" s="36"/>
      <c r="J347" s="8">
        <f t="shared" si="85"/>
        <v>71460</v>
      </c>
      <c r="K347" s="37">
        <v>504</v>
      </c>
      <c r="L347" s="37">
        <v>791</v>
      </c>
      <c r="M347" s="127">
        <f t="shared" si="86"/>
        <v>907</v>
      </c>
      <c r="N347" s="74">
        <f t="shared" si="95"/>
        <v>523835</v>
      </c>
      <c r="O347" s="75">
        <f t="shared" si="95"/>
        <v>300473</v>
      </c>
      <c r="P347" s="75">
        <f t="shared" si="95"/>
        <v>838588</v>
      </c>
      <c r="Q347" s="76">
        <f t="shared" si="96"/>
        <v>20620722.59</v>
      </c>
      <c r="R347" s="76">
        <f t="shared" si="96"/>
        <v>12156302</v>
      </c>
      <c r="S347" s="76">
        <f t="shared" si="96"/>
        <v>33550336.008000001</v>
      </c>
      <c r="T347" s="80">
        <f>N347/'2016'!N347-1</f>
        <v>8.2238874117046779E-2</v>
      </c>
      <c r="U347" s="80">
        <f>O347/'2016'!O347-1</f>
        <v>9.8428794946407994E-2</v>
      </c>
      <c r="V347" s="80">
        <f>P347/'2016'!P347-1</f>
        <v>9.9091329688866026E-2</v>
      </c>
      <c r="W347" s="81">
        <f>Q347/'2016'!Q347-1</f>
        <v>8.9282746709274274E-2</v>
      </c>
      <c r="X347" s="81">
        <f>R347/'2016'!R347-1</f>
        <v>0.13221557609024259</v>
      </c>
      <c r="Y347" s="81">
        <f>S347/'2016'!S347-1</f>
        <v>0.10179500917763717</v>
      </c>
      <c r="Z347" s="136"/>
      <c r="AA347" s="136"/>
      <c r="AB347" s="105"/>
      <c r="AC347" s="105"/>
      <c r="AD347" s="37">
        <f t="shared" si="87"/>
        <v>21394034.008000001</v>
      </c>
      <c r="AE347" s="37">
        <f t="shared" si="90"/>
        <v>323030.21000000002</v>
      </c>
      <c r="AF347" s="37">
        <f t="shared" si="91"/>
        <v>263174.3</v>
      </c>
      <c r="AG347" s="37">
        <f t="shared" si="88"/>
        <v>187106.90800000145</v>
      </c>
    </row>
    <row r="348" spans="1:33" x14ac:dyDescent="0.15">
      <c r="A348" s="102">
        <v>43078</v>
      </c>
      <c r="B348" s="20" t="s">
        <v>39</v>
      </c>
      <c r="C348" s="70">
        <v>67422</v>
      </c>
      <c r="D348" s="71">
        <f>31206+8166</f>
        <v>39372</v>
      </c>
      <c r="E348" s="71">
        <v>108517</v>
      </c>
      <c r="F348" s="120">
        <v>5435.9</v>
      </c>
      <c r="G348" s="71">
        <v>3515.9</v>
      </c>
      <c r="H348" s="24"/>
      <c r="I348" s="24"/>
      <c r="J348" s="70">
        <f t="shared" si="85"/>
        <v>69145</v>
      </c>
      <c r="K348" s="71">
        <v>186</v>
      </c>
      <c r="L348" s="71">
        <v>790</v>
      </c>
      <c r="M348" s="129">
        <f t="shared" si="86"/>
        <v>747</v>
      </c>
      <c r="N348" s="74">
        <f t="shared" si="95"/>
        <v>591257</v>
      </c>
      <c r="O348" s="75">
        <f t="shared" si="95"/>
        <v>339845</v>
      </c>
      <c r="P348" s="75">
        <f t="shared" si="95"/>
        <v>947105</v>
      </c>
      <c r="Q348" s="76">
        <f t="shared" si="96"/>
        <v>20688144.59</v>
      </c>
      <c r="R348" s="76">
        <f t="shared" si="96"/>
        <v>12195674</v>
      </c>
      <c r="S348" s="76">
        <f t="shared" si="96"/>
        <v>33658853.008000001</v>
      </c>
      <c r="T348" s="80">
        <f>N348/'2016'!N348-1</f>
        <v>8.0258857104227976E-2</v>
      </c>
      <c r="U348" s="80">
        <f>O348/'2016'!O348-1</f>
        <v>0.10440044326154707</v>
      </c>
      <c r="V348" s="80">
        <f>P348/'2016'!P348-1</f>
        <v>9.9599683276095474E-2</v>
      </c>
      <c r="W348" s="81">
        <f>Q348/'2016'!Q348-1</f>
        <v>8.9202215495951753E-2</v>
      </c>
      <c r="X348" s="81">
        <f>R348/'2016'!R348-1</f>
        <v>0.13227899335144322</v>
      </c>
      <c r="Y348" s="81">
        <f>S348/'2016'!S348-1</f>
        <v>0.10180063908539516</v>
      </c>
      <c r="Z348" s="139"/>
      <c r="AA348" s="153"/>
      <c r="AB348" s="105"/>
      <c r="AC348" s="105"/>
      <c r="AD348" s="37">
        <f t="shared" si="87"/>
        <v>21463179.008000001</v>
      </c>
      <c r="AE348" s="71">
        <f t="shared" si="90"/>
        <v>323216.21000000002</v>
      </c>
      <c r="AF348" s="71">
        <f t="shared" si="91"/>
        <v>263964.3</v>
      </c>
      <c r="AG348" s="71">
        <f t="shared" si="88"/>
        <v>187853.90800000145</v>
      </c>
    </row>
    <row r="349" spans="1:33" x14ac:dyDescent="0.15">
      <c r="A349" s="102">
        <v>43079</v>
      </c>
      <c r="B349" s="20" t="s">
        <v>1</v>
      </c>
      <c r="C349" s="8">
        <v>61184</v>
      </c>
      <c r="D349" s="37">
        <f>30688+8153</f>
        <v>38841</v>
      </c>
      <c r="E349" s="37">
        <v>101937</v>
      </c>
      <c r="F349" s="12">
        <v>4944.8999999999996</v>
      </c>
      <c r="G349" s="37">
        <v>3447.7</v>
      </c>
      <c r="H349" s="24"/>
      <c r="I349" s="36"/>
      <c r="J349" s="8">
        <f t="shared" si="85"/>
        <v>63096</v>
      </c>
      <c r="K349" s="37">
        <v>213</v>
      </c>
      <c r="L349" s="37">
        <v>791</v>
      </c>
      <c r="M349" s="127">
        <f t="shared" si="86"/>
        <v>908</v>
      </c>
      <c r="N349" s="74">
        <f t="shared" si="95"/>
        <v>652441</v>
      </c>
      <c r="O349" s="75">
        <f t="shared" si="95"/>
        <v>378686</v>
      </c>
      <c r="P349" s="75">
        <f t="shared" si="95"/>
        <v>1049042</v>
      </c>
      <c r="Q349" s="76">
        <f t="shared" si="96"/>
        <v>20749328.59</v>
      </c>
      <c r="R349" s="76">
        <f t="shared" si="96"/>
        <v>12234515</v>
      </c>
      <c r="S349" s="76">
        <f t="shared" si="96"/>
        <v>33760790.008000001</v>
      </c>
      <c r="T349" s="80">
        <f>N349/'2016'!N349-1</f>
        <v>6.85874044326229E-2</v>
      </c>
      <c r="U349" s="80">
        <f>O349/'2016'!O349-1</f>
        <v>0.10864346441201955</v>
      </c>
      <c r="V349" s="80">
        <f>P349/'2016'!P349-1</f>
        <v>9.3734165469411046E-2</v>
      </c>
      <c r="W349" s="81">
        <f>Q349/'2016'!Q349-1</f>
        <v>8.8798601737957172E-2</v>
      </c>
      <c r="X349" s="81">
        <f>R349/'2016'!R349-1</f>
        <v>0.13232577179366967</v>
      </c>
      <c r="Y349" s="81">
        <f>S349/'2016'!S349-1</f>
        <v>0.10161004352016834</v>
      </c>
      <c r="Z349" s="136"/>
      <c r="AA349" s="136"/>
      <c r="AB349" s="105"/>
      <c r="AC349" s="105"/>
      <c r="AD349" s="37">
        <f t="shared" si="87"/>
        <v>21526275.008000001</v>
      </c>
      <c r="AE349" s="37">
        <f t="shared" si="90"/>
        <v>323429.21000000002</v>
      </c>
      <c r="AF349" s="37">
        <f t="shared" si="91"/>
        <v>264755.3</v>
      </c>
      <c r="AG349" s="37">
        <f t="shared" si="88"/>
        <v>188761.90800000145</v>
      </c>
    </row>
    <row r="350" spans="1:33" x14ac:dyDescent="0.15">
      <c r="A350" s="102">
        <v>43080</v>
      </c>
      <c r="B350" s="20" t="s">
        <v>34</v>
      </c>
      <c r="C350" s="8">
        <v>67945</v>
      </c>
      <c r="D350" s="37">
        <f>30333+8164</f>
        <v>38497</v>
      </c>
      <c r="E350" s="37">
        <v>108242</v>
      </c>
      <c r="F350" s="12">
        <v>5434.7</v>
      </c>
      <c r="G350" s="37">
        <v>3302.7</v>
      </c>
      <c r="H350" s="24"/>
      <c r="I350" s="36"/>
      <c r="J350" s="8">
        <f t="shared" si="85"/>
        <v>69745</v>
      </c>
      <c r="K350" s="37">
        <v>279</v>
      </c>
      <c r="L350" s="37">
        <v>791</v>
      </c>
      <c r="M350" s="127">
        <f t="shared" si="86"/>
        <v>730</v>
      </c>
      <c r="N350" s="74">
        <f t="shared" si="95"/>
        <v>720386</v>
      </c>
      <c r="O350" s="75">
        <f t="shared" si="95"/>
        <v>417183</v>
      </c>
      <c r="P350" s="75">
        <f t="shared" si="95"/>
        <v>1157284</v>
      </c>
      <c r="Q350" s="76">
        <f t="shared" si="96"/>
        <v>20817273.59</v>
      </c>
      <c r="R350" s="76">
        <f t="shared" si="96"/>
        <v>12273012</v>
      </c>
      <c r="S350" s="76">
        <f t="shared" si="96"/>
        <v>33869032.008000001</v>
      </c>
      <c r="T350" s="80">
        <f>N350/'2016'!N350-1</f>
        <v>7.7863860934306528E-2</v>
      </c>
      <c r="U350" s="80">
        <f>O350/'2016'!O350-1</f>
        <v>0.11027632955153344</v>
      </c>
      <c r="V350" s="80">
        <f>P350/'2016'!P350-1</f>
        <v>0.10044805866601747</v>
      </c>
      <c r="W350" s="81">
        <f>Q350/'2016'!Q350-1</f>
        <v>8.9061854363838622E-2</v>
      </c>
      <c r="X350" s="81">
        <f>R350/'2016'!R350-1</f>
        <v>0.13230771615334613</v>
      </c>
      <c r="Y350" s="81">
        <f>S350/'2016'!S350-1</f>
        <v>0.10181603581419441</v>
      </c>
      <c r="Z350" s="136"/>
      <c r="AA350" s="136"/>
      <c r="AB350" s="105"/>
      <c r="AC350" s="105"/>
      <c r="AD350" s="37">
        <f t="shared" si="87"/>
        <v>21596020.008000001</v>
      </c>
      <c r="AE350" s="37">
        <f t="shared" si="90"/>
        <v>323708.21000000002</v>
      </c>
      <c r="AF350" s="37">
        <f t="shared" si="91"/>
        <v>265546.3</v>
      </c>
      <c r="AG350" s="37">
        <f t="shared" si="88"/>
        <v>189491.90800000145</v>
      </c>
    </row>
    <row r="351" spans="1:33" x14ac:dyDescent="0.15">
      <c r="A351" s="102">
        <v>43081</v>
      </c>
      <c r="B351" s="20" t="s">
        <v>35</v>
      </c>
      <c r="C351" s="8">
        <v>71359</v>
      </c>
      <c r="D351" s="37">
        <f>29830+8202</f>
        <v>38032</v>
      </c>
      <c r="E351" s="37">
        <v>111307</v>
      </c>
      <c r="F351" s="12">
        <v>5513.4</v>
      </c>
      <c r="G351" s="37">
        <v>3505.4</v>
      </c>
      <c r="H351" s="24"/>
      <c r="I351" s="36"/>
      <c r="J351" s="8">
        <f t="shared" si="85"/>
        <v>73275</v>
      </c>
      <c r="K351" s="37">
        <v>513</v>
      </c>
      <c r="L351" s="37">
        <v>791</v>
      </c>
      <c r="M351" s="127">
        <f t="shared" si="86"/>
        <v>612</v>
      </c>
      <c r="N351" s="74">
        <f t="shared" si="95"/>
        <v>791745</v>
      </c>
      <c r="O351" s="75">
        <f t="shared" si="95"/>
        <v>455215</v>
      </c>
      <c r="P351" s="75">
        <f t="shared" si="95"/>
        <v>1268591</v>
      </c>
      <c r="Q351" s="76">
        <f t="shared" si="96"/>
        <v>20888632.59</v>
      </c>
      <c r="R351" s="76">
        <f t="shared" si="96"/>
        <v>12311044</v>
      </c>
      <c r="S351" s="76">
        <f t="shared" si="96"/>
        <v>33980339.008000001</v>
      </c>
      <c r="T351" s="80">
        <f>N351/'2016'!N351-1</f>
        <v>8.4215340836730546E-2</v>
      </c>
      <c r="U351" s="80">
        <f>O351/'2016'!O351-1</f>
        <v>0.11127521464335155</v>
      </c>
      <c r="V351" s="80">
        <f>P351/'2016'!P351-1</f>
        <v>0.10498859813702799</v>
      </c>
      <c r="W351" s="81">
        <f>Q351/'2016'!Q351-1</f>
        <v>8.9267571090833941E-2</v>
      </c>
      <c r="X351" s="81">
        <f>R351/'2016'!R351-1</f>
        <v>0.13227668656061087</v>
      </c>
      <c r="Y351" s="81">
        <f>S351/'2016'!S351-1</f>
        <v>0.10198080968275813</v>
      </c>
      <c r="Z351" s="136"/>
      <c r="AA351" s="136"/>
      <c r="AB351" s="105"/>
      <c r="AC351" s="105"/>
      <c r="AD351" s="37">
        <f t="shared" si="87"/>
        <v>21669295.008000001</v>
      </c>
      <c r="AE351" s="37">
        <f t="shared" si="90"/>
        <v>324221.21000000002</v>
      </c>
      <c r="AF351" s="37">
        <f t="shared" si="91"/>
        <v>266337.3</v>
      </c>
      <c r="AG351" s="37">
        <f t="shared" si="88"/>
        <v>190103.90800000145</v>
      </c>
    </row>
    <row r="352" spans="1:33" x14ac:dyDescent="0.15">
      <c r="A352" s="102">
        <v>43082</v>
      </c>
      <c r="B352" s="20" t="s">
        <v>36</v>
      </c>
      <c r="C352" s="8">
        <v>74114</v>
      </c>
      <c r="D352" s="37">
        <f>29232+8219</f>
        <v>37451</v>
      </c>
      <c r="E352" s="37">
        <v>113324</v>
      </c>
      <c r="F352" s="12">
        <v>5743</v>
      </c>
      <c r="G352" s="37">
        <v>3504.2</v>
      </c>
      <c r="H352" s="24"/>
      <c r="I352" s="36"/>
      <c r="J352" s="8">
        <f t="shared" si="85"/>
        <v>75873</v>
      </c>
      <c r="K352" s="37">
        <v>643</v>
      </c>
      <c r="L352" s="37">
        <v>791</v>
      </c>
      <c r="M352" s="127">
        <f t="shared" si="86"/>
        <v>325</v>
      </c>
      <c r="N352" s="74">
        <f t="shared" si="95"/>
        <v>865859</v>
      </c>
      <c r="O352" s="75">
        <f t="shared" si="95"/>
        <v>492666</v>
      </c>
      <c r="P352" s="75">
        <f t="shared" si="95"/>
        <v>1381915</v>
      </c>
      <c r="Q352" s="76">
        <f t="shared" si="96"/>
        <v>20962746.59</v>
      </c>
      <c r="R352" s="76">
        <f t="shared" si="96"/>
        <v>12348495</v>
      </c>
      <c r="S352" s="76">
        <f t="shared" si="96"/>
        <v>34093663.008000001</v>
      </c>
      <c r="T352" s="80">
        <f>N352/'2016'!N352-1</f>
        <v>9.0041241993312759E-2</v>
      </c>
      <c r="U352" s="80">
        <f>O352/'2016'!O352-1</f>
        <v>0.11120233307695959</v>
      </c>
      <c r="V352" s="80">
        <f>P352/'2016'!P352-1</f>
        <v>0.10865930617084674</v>
      </c>
      <c r="W352" s="81">
        <f>Q352/'2016'!Q352-1</f>
        <v>8.9491258134122731E-2</v>
      </c>
      <c r="X352" s="81">
        <f>R352/'2016'!R352-1</f>
        <v>0.13220877393618324</v>
      </c>
      <c r="Y352" s="81">
        <f>S352/'2016'!S352-1</f>
        <v>0.10213828818175585</v>
      </c>
      <c r="Z352" s="136">
        <f>(Z353-Z346)/7*6+Z346</f>
        <v>142.04285714285714</v>
      </c>
      <c r="AA352" s="136">
        <f>Q352/10000-Z352</f>
        <v>1954.231801857143</v>
      </c>
      <c r="AB352" s="105"/>
      <c r="AC352" s="105"/>
      <c r="AD352" s="37">
        <f t="shared" si="87"/>
        <v>21745168.008000001</v>
      </c>
      <c r="AE352" s="37">
        <f t="shared" si="90"/>
        <v>324864.21000000002</v>
      </c>
      <c r="AF352" s="37">
        <f t="shared" si="91"/>
        <v>267128.3</v>
      </c>
      <c r="AG352" s="37">
        <f t="shared" si="88"/>
        <v>190428.90800000145</v>
      </c>
    </row>
    <row r="353" spans="1:33" x14ac:dyDescent="0.15">
      <c r="A353" s="102">
        <v>43083</v>
      </c>
      <c r="B353" s="14" t="s">
        <v>37</v>
      </c>
      <c r="C353" s="32">
        <v>73405</v>
      </c>
      <c r="D353" s="33">
        <f>31439+8216</f>
        <v>39655</v>
      </c>
      <c r="E353" s="33">
        <v>114535</v>
      </c>
      <c r="F353" s="119">
        <v>5880.7</v>
      </c>
      <c r="G353" s="33">
        <v>3508.3</v>
      </c>
      <c r="H353" s="19"/>
      <c r="I353" s="19"/>
      <c r="J353" s="32">
        <f t="shared" si="85"/>
        <v>74880</v>
      </c>
      <c r="K353" s="33">
        <v>433</v>
      </c>
      <c r="L353" s="33">
        <v>791</v>
      </c>
      <c r="M353" s="128">
        <f t="shared" si="86"/>
        <v>251</v>
      </c>
      <c r="N353" s="77">
        <f t="shared" si="95"/>
        <v>939264</v>
      </c>
      <c r="O353" s="78">
        <f t="shared" si="95"/>
        <v>532321</v>
      </c>
      <c r="P353" s="78">
        <f t="shared" si="95"/>
        <v>1496450</v>
      </c>
      <c r="Q353" s="77">
        <f t="shared" si="96"/>
        <v>21036151.59</v>
      </c>
      <c r="R353" s="77">
        <f t="shared" si="96"/>
        <v>12388150</v>
      </c>
      <c r="S353" s="77">
        <f t="shared" si="96"/>
        <v>34208198.008000001</v>
      </c>
      <c r="T353" s="82">
        <f>N353/'2016'!N353-1</f>
        <v>9.0945836232219079E-2</v>
      </c>
      <c r="U353" s="82">
        <f>O353/'2016'!O353-1</f>
        <v>0.11440229110229994</v>
      </c>
      <c r="V353" s="82">
        <f>P353/'2016'!P353-1</f>
        <v>0.1100832905555571</v>
      </c>
      <c r="W353" s="82">
        <f>Q353/'2016'!Q353-1</f>
        <v>8.9533493875561643E-2</v>
      </c>
      <c r="X353" s="82">
        <f>R353/'2016'!R353-1</f>
        <v>0.13228260583442042</v>
      </c>
      <c r="Y353" s="82">
        <f>S353/'2016'!S353-1</f>
        <v>0.10222148264058561</v>
      </c>
      <c r="Z353" s="138">
        <v>142.31</v>
      </c>
      <c r="AA353" s="138">
        <f>Q353/10000-Z353</f>
        <v>1961.305159</v>
      </c>
      <c r="AB353" s="33">
        <v>4269.4799999999996</v>
      </c>
      <c r="AC353" s="33">
        <f>AA353*10000/AB353</f>
        <v>4593.7799427564951</v>
      </c>
      <c r="AD353" s="33">
        <f t="shared" si="87"/>
        <v>21820048.008000001</v>
      </c>
      <c r="AE353" s="33">
        <f t="shared" si="90"/>
        <v>325297.21000000002</v>
      </c>
      <c r="AF353" s="33">
        <f t="shared" si="91"/>
        <v>267919.3</v>
      </c>
      <c r="AG353" s="33">
        <f t="shared" si="88"/>
        <v>190679.90800000145</v>
      </c>
    </row>
    <row r="354" spans="1:33" x14ac:dyDescent="0.15">
      <c r="A354" s="102">
        <v>43084</v>
      </c>
      <c r="B354" s="20" t="s">
        <v>38</v>
      </c>
      <c r="C354" s="8">
        <v>73017</v>
      </c>
      <c r="D354" s="37">
        <v>39362</v>
      </c>
      <c r="E354" s="37">
        <v>113774</v>
      </c>
      <c r="F354" s="12">
        <v>5835</v>
      </c>
      <c r="G354" s="37">
        <v>3509</v>
      </c>
      <c r="H354" s="24"/>
      <c r="I354" s="36"/>
      <c r="J354" s="8">
        <f t="shared" si="85"/>
        <v>74412</v>
      </c>
      <c r="K354" s="37">
        <v>432</v>
      </c>
      <c r="L354" s="37">
        <v>795</v>
      </c>
      <c r="M354" s="127">
        <f t="shared" si="86"/>
        <v>168</v>
      </c>
      <c r="N354" s="74">
        <f t="shared" si="95"/>
        <v>1012281</v>
      </c>
      <c r="O354" s="75">
        <f t="shared" si="95"/>
        <v>571683</v>
      </c>
      <c r="P354" s="75">
        <f t="shared" si="95"/>
        <v>1610224</v>
      </c>
      <c r="Q354" s="76">
        <f t="shared" si="96"/>
        <v>21109168.59</v>
      </c>
      <c r="R354" s="76">
        <f t="shared" si="96"/>
        <v>12427512</v>
      </c>
      <c r="S354" s="76">
        <f t="shared" si="96"/>
        <v>34321972.008000001</v>
      </c>
      <c r="T354" s="80">
        <f>N354/'2016'!N354-1</f>
        <v>8.8892187646225418E-2</v>
      </c>
      <c r="U354" s="80">
        <f>O354/'2016'!O354-1</f>
        <v>0.11821073138672422</v>
      </c>
      <c r="V354" s="80">
        <f>P354/'2016'!P354-1</f>
        <v>0.10977068848590443</v>
      </c>
      <c r="W354" s="81">
        <f>Q354/'2016'!Q354-1</f>
        <v>8.9439968641885415E-2</v>
      </c>
      <c r="X354" s="81">
        <f>R354/'2016'!R354-1</f>
        <v>0.13240532225887103</v>
      </c>
      <c r="Y354" s="81">
        <f>S354/'2016'!S354-1</f>
        <v>0.10223289643616473</v>
      </c>
      <c r="Z354" s="136"/>
      <c r="AA354" s="136"/>
      <c r="AB354" s="105"/>
      <c r="AC354" s="105"/>
      <c r="AD354" s="37">
        <f t="shared" si="87"/>
        <v>21894460.008000001</v>
      </c>
      <c r="AE354" s="37">
        <f t="shared" si="90"/>
        <v>325729.21000000002</v>
      </c>
      <c r="AF354" s="37">
        <f t="shared" si="91"/>
        <v>268714.3</v>
      </c>
      <c r="AG354" s="37">
        <f t="shared" si="88"/>
        <v>190847.90800000145</v>
      </c>
    </row>
    <row r="355" spans="1:33" x14ac:dyDescent="0.15">
      <c r="A355" s="102">
        <v>43085</v>
      </c>
      <c r="B355" s="20" t="s">
        <v>39</v>
      </c>
      <c r="C355" s="70">
        <v>69702</v>
      </c>
      <c r="D355" s="71">
        <v>40673</v>
      </c>
      <c r="E355" s="71">
        <v>111837</v>
      </c>
      <c r="F355" s="120">
        <v>5716</v>
      </c>
      <c r="G355" s="71">
        <v>3438</v>
      </c>
      <c r="H355" s="24"/>
      <c r="I355" s="24"/>
      <c r="J355" s="70">
        <f t="shared" si="85"/>
        <v>71164</v>
      </c>
      <c r="K355" s="71">
        <v>325</v>
      </c>
      <c r="L355" s="71">
        <v>789</v>
      </c>
      <c r="M355" s="129">
        <f t="shared" si="86"/>
        <v>348</v>
      </c>
      <c r="N355" s="74">
        <f t="shared" si="95"/>
        <v>1081983</v>
      </c>
      <c r="O355" s="75">
        <f t="shared" si="95"/>
        <v>612356</v>
      </c>
      <c r="P355" s="75">
        <f t="shared" si="95"/>
        <v>1722061</v>
      </c>
      <c r="Q355" s="76">
        <f t="shared" si="96"/>
        <v>21178870.59</v>
      </c>
      <c r="R355" s="76">
        <f t="shared" si="96"/>
        <v>12468185</v>
      </c>
      <c r="S355" s="76">
        <f t="shared" si="96"/>
        <v>34433809.008000001</v>
      </c>
      <c r="T355" s="80">
        <f>N355/'2016'!N355-1</f>
        <v>8.3203770649522113E-2</v>
      </c>
      <c r="U355" s="80">
        <f>O355/'2016'!O355-1</f>
        <v>0.12441837832676583</v>
      </c>
      <c r="V355" s="80">
        <f>P355/'2016'!P355-1</f>
        <v>0.10727593406218916</v>
      </c>
      <c r="W355" s="81">
        <f>Q355/'2016'!Q355-1</f>
        <v>8.9145815243146354E-2</v>
      </c>
      <c r="X355" s="81">
        <f>R355/'2016'!R355-1</f>
        <v>0.1326694336773202</v>
      </c>
      <c r="Y355" s="81">
        <f>S355/'2016'!S355-1</f>
        <v>0.102133868152398</v>
      </c>
      <c r="Z355" s="139"/>
      <c r="AA355" s="139"/>
      <c r="AB355" s="105"/>
      <c r="AC355" s="105"/>
      <c r="AD355" s="37">
        <f t="shared" si="87"/>
        <v>21965624.008000001</v>
      </c>
      <c r="AE355" s="71">
        <f t="shared" si="90"/>
        <v>326054.21000000002</v>
      </c>
      <c r="AF355" s="71">
        <f t="shared" si="91"/>
        <v>269503.3</v>
      </c>
      <c r="AG355" s="71">
        <f t="shared" si="88"/>
        <v>191195.90800000145</v>
      </c>
    </row>
    <row r="356" spans="1:33" x14ac:dyDescent="0.15">
      <c r="A356" s="102">
        <v>43086</v>
      </c>
      <c r="B356" s="20" t="s">
        <v>1</v>
      </c>
      <c r="C356" s="8">
        <v>65343</v>
      </c>
      <c r="D356" s="37">
        <v>41025</v>
      </c>
      <c r="E356" s="37">
        <v>108343</v>
      </c>
      <c r="F356" s="12">
        <v>5195</v>
      </c>
      <c r="G356" s="37">
        <v>3522</v>
      </c>
      <c r="H356" s="24"/>
      <c r="I356" s="36"/>
      <c r="J356" s="8">
        <f t="shared" si="85"/>
        <v>67318</v>
      </c>
      <c r="K356" s="37">
        <v>424</v>
      </c>
      <c r="L356" s="37">
        <v>793</v>
      </c>
      <c r="M356" s="127">
        <f t="shared" si="86"/>
        <v>758</v>
      </c>
      <c r="N356" s="74">
        <f t="shared" si="95"/>
        <v>1147326</v>
      </c>
      <c r="O356" s="75">
        <f t="shared" si="95"/>
        <v>653381</v>
      </c>
      <c r="P356" s="75">
        <f t="shared" si="95"/>
        <v>1830404</v>
      </c>
      <c r="Q356" s="76">
        <f t="shared" si="96"/>
        <v>21244213.59</v>
      </c>
      <c r="R356" s="76">
        <f t="shared" si="96"/>
        <v>12509210</v>
      </c>
      <c r="S356" s="76">
        <f t="shared" si="96"/>
        <v>34542152.008000001</v>
      </c>
      <c r="T356" s="80">
        <f>N356/'2016'!N356-1</f>
        <v>7.6200955079735344E-2</v>
      </c>
      <c r="U356" s="80">
        <f>O356/'2016'!O356-1</f>
        <v>0.1297250472893765</v>
      </c>
      <c r="V356" s="80">
        <f>P356/'2016'!P356-1</f>
        <v>0.10467936666958377</v>
      </c>
      <c r="W356" s="81">
        <f>Q356/'2016'!Q356-1</f>
        <v>8.8742741296897742E-2</v>
      </c>
      <c r="X356" s="81">
        <f>R356/'2016'!R356-1</f>
        <v>0.13292217102970372</v>
      </c>
      <c r="Y356" s="81">
        <f>S356/'2016'!S356-1</f>
        <v>0.10201329605381249</v>
      </c>
      <c r="Z356" s="136"/>
      <c r="AA356" s="136"/>
      <c r="AB356" s="105"/>
      <c r="AC356" s="105"/>
      <c r="AD356" s="37">
        <f t="shared" si="87"/>
        <v>22032942.008000001</v>
      </c>
      <c r="AE356" s="37">
        <f t="shared" si="90"/>
        <v>326478.21000000002</v>
      </c>
      <c r="AF356" s="37">
        <f t="shared" si="91"/>
        <v>270296.3</v>
      </c>
      <c r="AG356" s="37">
        <f t="shared" si="88"/>
        <v>191953.90800000145</v>
      </c>
    </row>
    <row r="357" spans="1:33" x14ac:dyDescent="0.15">
      <c r="A357" s="102">
        <v>43087</v>
      </c>
      <c r="B357" s="20" t="s">
        <v>34</v>
      </c>
      <c r="C357" s="8">
        <v>71140</v>
      </c>
      <c r="D357" s="37">
        <v>41089</v>
      </c>
      <c r="E357" s="37">
        <v>114343</v>
      </c>
      <c r="F357" s="12">
        <v>5748</v>
      </c>
      <c r="G357" s="37">
        <v>3455</v>
      </c>
      <c r="H357" s="24"/>
      <c r="I357" s="36"/>
      <c r="J357" s="8">
        <f t="shared" si="85"/>
        <v>73254</v>
      </c>
      <c r="K357" s="37">
        <v>574</v>
      </c>
      <c r="L357" s="37">
        <v>793</v>
      </c>
      <c r="M357" s="127">
        <f t="shared" si="86"/>
        <v>747</v>
      </c>
      <c r="N357" s="74">
        <f t="shared" ref="N357:P369" si="97">N356+C357</f>
        <v>1218466</v>
      </c>
      <c r="O357" s="75">
        <f t="shared" si="97"/>
        <v>694470</v>
      </c>
      <c r="P357" s="75">
        <f t="shared" si="97"/>
        <v>1944747</v>
      </c>
      <c r="Q357" s="76">
        <f t="shared" si="96"/>
        <v>21315353.59</v>
      </c>
      <c r="R357" s="76">
        <f t="shared" si="96"/>
        <v>12550299</v>
      </c>
      <c r="S357" s="76">
        <f t="shared" si="96"/>
        <v>34656495.008000001</v>
      </c>
      <c r="T357" s="80">
        <f>N357/'2016'!N357-1</f>
        <v>7.9677744637790537E-2</v>
      </c>
      <c r="U357" s="80">
        <f>O357/'2016'!O357-1</f>
        <v>0.13459917266257571</v>
      </c>
      <c r="V357" s="80">
        <f>P357/'2016'!P357-1</f>
        <v>0.10894001764270844</v>
      </c>
      <c r="W357" s="81">
        <f>Q357/'2016'!Q357-1</f>
        <v>8.8903169582859265E-2</v>
      </c>
      <c r="X357" s="81">
        <f>R357/'2016'!R357-1</f>
        <v>0.1331818066081254</v>
      </c>
      <c r="Y357" s="81">
        <f>S357/'2016'!S357-1</f>
        <v>0.10225914523885438</v>
      </c>
      <c r="Z357" s="136"/>
      <c r="AA357" s="136"/>
      <c r="AB357" s="105"/>
      <c r="AC357" s="105"/>
      <c r="AD357" s="37">
        <f t="shared" si="87"/>
        <v>22106196.008000001</v>
      </c>
      <c r="AE357" s="37">
        <f t="shared" si="90"/>
        <v>327052.21000000002</v>
      </c>
      <c r="AF357" s="37">
        <f t="shared" si="91"/>
        <v>271089.3</v>
      </c>
      <c r="AG357" s="37">
        <f t="shared" si="88"/>
        <v>192700.90800000145</v>
      </c>
    </row>
    <row r="358" spans="1:33" x14ac:dyDescent="0.15">
      <c r="A358" s="102">
        <v>43088</v>
      </c>
      <c r="B358" s="20" t="s">
        <v>35</v>
      </c>
      <c r="C358" s="8">
        <v>71968</v>
      </c>
      <c r="D358" s="37">
        <v>38203</v>
      </c>
      <c r="E358" s="37">
        <v>115110</v>
      </c>
      <c r="F358" s="12">
        <v>5705</v>
      </c>
      <c r="G358" s="37">
        <v>3594</v>
      </c>
      <c r="H358" s="24"/>
      <c r="I358" s="36"/>
      <c r="J358" s="8">
        <f t="shared" si="85"/>
        <v>76907</v>
      </c>
      <c r="K358" s="37">
        <v>309</v>
      </c>
      <c r="L358" s="37">
        <v>792</v>
      </c>
      <c r="M358" s="127">
        <f t="shared" si="86"/>
        <v>3838</v>
      </c>
      <c r="N358" s="74">
        <f t="shared" si="97"/>
        <v>1290434</v>
      </c>
      <c r="O358" s="75">
        <f t="shared" si="97"/>
        <v>732673</v>
      </c>
      <c r="P358" s="75">
        <f t="shared" si="97"/>
        <v>2059857</v>
      </c>
      <c r="Q358" s="76">
        <f t="shared" si="96"/>
        <v>21387321.59</v>
      </c>
      <c r="R358" s="76">
        <f t="shared" si="96"/>
        <v>12588502</v>
      </c>
      <c r="S358" s="76">
        <f t="shared" si="96"/>
        <v>34771605.008000001</v>
      </c>
      <c r="T358" s="80">
        <f>N358/'2016'!N358-1</f>
        <v>8.3204064090683261E-2</v>
      </c>
      <c r="U358" s="80">
        <f>O358/'2016'!O358-1</f>
        <v>0.13157451724452152</v>
      </c>
      <c r="V358" s="80">
        <f>P358/'2016'!P358-1</f>
        <v>0.11201103882537566</v>
      </c>
      <c r="W358" s="81">
        <f>Q358/'2016'!Q358-1</f>
        <v>8.9087604569831891E-2</v>
      </c>
      <c r="X358" s="81">
        <f>R358/'2016'!R358-1</f>
        <v>0.13301005852841841</v>
      </c>
      <c r="Y358" s="81">
        <f>S358/'2016'!S358-1</f>
        <v>0.10246040982188442</v>
      </c>
      <c r="Z358" s="136"/>
      <c r="AA358" s="136"/>
      <c r="AB358" s="105"/>
      <c r="AC358" s="105"/>
      <c r="AD358" s="37">
        <f t="shared" si="87"/>
        <v>22183103.008000001</v>
      </c>
      <c r="AE358" s="37">
        <f t="shared" si="90"/>
        <v>327361.21000000002</v>
      </c>
      <c r="AF358" s="37">
        <f t="shared" si="91"/>
        <v>271881.3</v>
      </c>
      <c r="AG358" s="37">
        <f t="shared" si="88"/>
        <v>196538.90800000145</v>
      </c>
    </row>
    <row r="359" spans="1:33" x14ac:dyDescent="0.15">
      <c r="A359" s="102">
        <v>43089</v>
      </c>
      <c r="B359" s="20" t="s">
        <v>36</v>
      </c>
      <c r="C359" s="8">
        <v>71049</v>
      </c>
      <c r="D359" s="37">
        <v>38409</v>
      </c>
      <c r="E359" s="37">
        <v>114796</v>
      </c>
      <c r="F359" s="12">
        <v>5720</v>
      </c>
      <c r="G359" s="37">
        <v>3640</v>
      </c>
      <c r="H359" s="24"/>
      <c r="I359" s="36"/>
      <c r="J359" s="8">
        <f t="shared" si="85"/>
        <v>76387</v>
      </c>
      <c r="K359" s="37">
        <v>518</v>
      </c>
      <c r="L359" s="37">
        <v>795</v>
      </c>
      <c r="M359" s="127">
        <f t="shared" si="86"/>
        <v>4025</v>
      </c>
      <c r="N359" s="74">
        <f t="shared" si="97"/>
        <v>1361483</v>
      </c>
      <c r="O359" s="75">
        <f t="shared" si="97"/>
        <v>771082</v>
      </c>
      <c r="P359" s="75">
        <f t="shared" si="97"/>
        <v>2174653</v>
      </c>
      <c r="Q359" s="76">
        <f t="shared" si="96"/>
        <v>21458370.59</v>
      </c>
      <c r="R359" s="76">
        <f t="shared" si="96"/>
        <v>12626911</v>
      </c>
      <c r="S359" s="76">
        <f t="shared" si="96"/>
        <v>34886401.008000001</v>
      </c>
      <c r="T359" s="80">
        <f>N359/'2016'!N359-1</f>
        <v>8.5545047692021869E-2</v>
      </c>
      <c r="U359" s="80">
        <f>O359/'2016'!O359-1</f>
        <v>0.13044472625182335</v>
      </c>
      <c r="V359" s="80">
        <f>P359/'2016'!P359-1</f>
        <v>0.11490649953217713</v>
      </c>
      <c r="W359" s="81">
        <f>Q359/'2016'!Q359-1</f>
        <v>8.9217857829017921E-2</v>
      </c>
      <c r="X359" s="81">
        <f>R359/'2016'!R359-1</f>
        <v>0.13293645435136536</v>
      </c>
      <c r="Y359" s="81">
        <f>S359/'2016'!S359-1</f>
        <v>0.10266854776315504</v>
      </c>
      <c r="Z359" s="136">
        <f>(Z360-Z353)/7*6+Z353</f>
        <v>143.68142857142857</v>
      </c>
      <c r="AA359" s="136">
        <f>Q359/10000-Z359</f>
        <v>2002.1556304285714</v>
      </c>
      <c r="AB359" s="105"/>
      <c r="AC359" s="105"/>
      <c r="AD359" s="37">
        <f t="shared" si="87"/>
        <v>22259490.008000001</v>
      </c>
      <c r="AE359" s="37">
        <f t="shared" si="90"/>
        <v>327879.21000000002</v>
      </c>
      <c r="AF359" s="37">
        <f t="shared" si="91"/>
        <v>272676.3</v>
      </c>
      <c r="AG359" s="37">
        <f t="shared" si="88"/>
        <v>200563.90800000145</v>
      </c>
    </row>
    <row r="360" spans="1:33" x14ac:dyDescent="0.15">
      <c r="A360" s="102">
        <v>43090</v>
      </c>
      <c r="B360" s="14" t="s">
        <v>37</v>
      </c>
      <c r="C360" s="32">
        <v>71167</v>
      </c>
      <c r="D360" s="33">
        <v>41384</v>
      </c>
      <c r="E360" s="33">
        <v>114614</v>
      </c>
      <c r="F360" s="119">
        <v>5699</v>
      </c>
      <c r="G360" s="33">
        <v>3638</v>
      </c>
      <c r="H360" s="19"/>
      <c r="I360" s="19"/>
      <c r="J360" s="32">
        <f t="shared" si="85"/>
        <v>73230</v>
      </c>
      <c r="K360" s="33">
        <v>477</v>
      </c>
      <c r="L360" s="33">
        <v>791</v>
      </c>
      <c r="M360" s="128">
        <f t="shared" si="86"/>
        <v>795</v>
      </c>
      <c r="N360" s="77">
        <f t="shared" si="97"/>
        <v>1432650</v>
      </c>
      <c r="O360" s="78">
        <f t="shared" si="97"/>
        <v>812466</v>
      </c>
      <c r="P360" s="78">
        <f t="shared" si="97"/>
        <v>2289267</v>
      </c>
      <c r="Q360" s="77">
        <f t="shared" si="96"/>
        <v>21529537.59</v>
      </c>
      <c r="R360" s="77">
        <f t="shared" si="96"/>
        <v>12668295</v>
      </c>
      <c r="S360" s="77">
        <f t="shared" si="96"/>
        <v>35001015.008000001</v>
      </c>
      <c r="T360" s="82">
        <f>N360/'2016'!N360-1</f>
        <v>8.8103207460758393E-2</v>
      </c>
      <c r="U360" s="82">
        <f>O360/'2016'!O360-1</f>
        <v>0.13420946828827018</v>
      </c>
      <c r="V360" s="82">
        <f>P360/'2016'!P360-1</f>
        <v>0.11794807934601081</v>
      </c>
      <c r="W360" s="82">
        <f>Q360/'2016'!Q360-1</f>
        <v>8.9376678975251478E-2</v>
      </c>
      <c r="X360" s="82">
        <f>R360/'2016'!R360-1</f>
        <v>0.13317005259081838</v>
      </c>
      <c r="Y360" s="82">
        <f>S360/'2016'!S360-1</f>
        <v>0.1029022956785639</v>
      </c>
      <c r="Z360" s="138">
        <v>143.91</v>
      </c>
      <c r="AA360" s="138">
        <f>Q360/10000-Z360</f>
        <v>2009.0437589999999</v>
      </c>
      <c r="AB360" s="33">
        <v>4269.4799999999996</v>
      </c>
      <c r="AC360" s="33">
        <f>AA360*10000/AB360</f>
        <v>4705.5935594030188</v>
      </c>
      <c r="AD360" s="33">
        <f t="shared" si="87"/>
        <v>22332720.008000001</v>
      </c>
      <c r="AE360" s="33">
        <f t="shared" si="90"/>
        <v>328356.21000000002</v>
      </c>
      <c r="AF360" s="33">
        <f t="shared" si="91"/>
        <v>273467.3</v>
      </c>
      <c r="AG360" s="33">
        <f t="shared" si="88"/>
        <v>201358.90800000145</v>
      </c>
    </row>
    <row r="361" spans="1:33" x14ac:dyDescent="0.15">
      <c r="A361" s="102">
        <v>43091</v>
      </c>
      <c r="B361" s="20" t="s">
        <v>38</v>
      </c>
      <c r="C361" s="8">
        <v>68731</v>
      </c>
      <c r="D361" s="37">
        <f>32449+8716</f>
        <v>41165</v>
      </c>
      <c r="E361" s="37">
        <v>111965</v>
      </c>
      <c r="F361" s="12">
        <v>5597.9</v>
      </c>
      <c r="G361" s="37">
        <v>3607.1</v>
      </c>
      <c r="H361" s="24"/>
      <c r="I361" s="36"/>
      <c r="J361" s="8">
        <f t="shared" si="85"/>
        <v>70800</v>
      </c>
      <c r="K361" s="37">
        <v>517</v>
      </c>
      <c r="L361" s="37">
        <v>793</v>
      </c>
      <c r="M361" s="127">
        <f t="shared" si="86"/>
        <v>759</v>
      </c>
      <c r="N361" s="74">
        <f t="shared" si="97"/>
        <v>1501381</v>
      </c>
      <c r="O361" s="75">
        <f t="shared" si="97"/>
        <v>853631</v>
      </c>
      <c r="P361" s="75">
        <f t="shared" si="97"/>
        <v>2401232</v>
      </c>
      <c r="Q361" s="76">
        <f t="shared" si="96"/>
        <v>21598268.59</v>
      </c>
      <c r="R361" s="76">
        <f t="shared" si="96"/>
        <v>12709460</v>
      </c>
      <c r="S361" s="76">
        <f t="shared" si="96"/>
        <v>35112980.008000001</v>
      </c>
      <c r="T361" s="80">
        <f>N361/'2016'!N361-1</f>
        <v>8.8975201456434005E-2</v>
      </c>
      <c r="U361" s="80">
        <f>O361/'2016'!O361-1</f>
        <v>0.13534991607547098</v>
      </c>
      <c r="V361" s="80">
        <f>P361/'2016'!P361-1</f>
        <v>0.1190506371587714</v>
      </c>
      <c r="W361" s="81">
        <f>Q361/'2016'!Q361-1</f>
        <v>8.9433333743584864E-2</v>
      </c>
      <c r="X361" s="81">
        <f>R361/'2016'!R361-1</f>
        <v>0.13324980276514009</v>
      </c>
      <c r="Y361" s="81">
        <f>S361/'2016'!S361-1</f>
        <v>0.10302295101335668</v>
      </c>
      <c r="Z361" s="136"/>
      <c r="AA361" s="136"/>
      <c r="AB361" s="105"/>
      <c r="AC361" s="105"/>
      <c r="AD361" s="37">
        <f t="shared" si="87"/>
        <v>22403520.008000001</v>
      </c>
      <c r="AE361" s="37">
        <f t="shared" si="90"/>
        <v>328873.21000000002</v>
      </c>
      <c r="AF361" s="37">
        <f t="shared" si="91"/>
        <v>274260.3</v>
      </c>
      <c r="AG361" s="37">
        <f t="shared" si="88"/>
        <v>202117.90800000145</v>
      </c>
    </row>
    <row r="362" spans="1:33" x14ac:dyDescent="0.15">
      <c r="A362" s="102">
        <v>43092</v>
      </c>
      <c r="B362" s="20" t="s">
        <v>39</v>
      </c>
      <c r="C362" s="70">
        <v>69870</v>
      </c>
      <c r="D362" s="71">
        <f>29123+8753</f>
        <v>37876</v>
      </c>
      <c r="E362" s="71">
        <v>109376</v>
      </c>
      <c r="F362" s="120">
        <v>5534.1</v>
      </c>
      <c r="G362" s="71">
        <v>3516.4</v>
      </c>
      <c r="H362" s="24"/>
      <c r="I362" s="24"/>
      <c r="J362" s="70">
        <f t="shared" si="85"/>
        <v>71500</v>
      </c>
      <c r="K362" s="71">
        <v>293</v>
      </c>
      <c r="L362" s="71">
        <v>793</v>
      </c>
      <c r="M362" s="129">
        <f t="shared" si="86"/>
        <v>544</v>
      </c>
      <c r="N362" s="74">
        <f t="shared" si="97"/>
        <v>1571251</v>
      </c>
      <c r="O362" s="75">
        <f t="shared" si="97"/>
        <v>891507</v>
      </c>
      <c r="P362" s="75">
        <f t="shared" si="97"/>
        <v>2510608</v>
      </c>
      <c r="Q362" s="76">
        <f t="shared" si="96"/>
        <v>21668138.59</v>
      </c>
      <c r="R362" s="76">
        <f t="shared" si="96"/>
        <v>12747336</v>
      </c>
      <c r="S362" s="76">
        <f t="shared" si="96"/>
        <v>35222356.008000001</v>
      </c>
      <c r="T362" s="80">
        <f>N362/'2016'!N362-1</f>
        <v>8.7887398446598208E-2</v>
      </c>
      <c r="U362" s="80">
        <f>O362/'2016'!O362-1</f>
        <v>0.13542458687553727</v>
      </c>
      <c r="V362" s="80">
        <f>P362/'2016'!P362-1</f>
        <v>0.11824217486853805</v>
      </c>
      <c r="W362" s="81">
        <f>Q362/'2016'!Q362-1</f>
        <v>8.9352835144787202E-2</v>
      </c>
      <c r="X362" s="81">
        <f>R362/'2016'!R362-1</f>
        <v>0.13326123396600309</v>
      </c>
      <c r="Y362" s="81">
        <f>S362/'2016'!S362-1</f>
        <v>0.10301598116839128</v>
      </c>
      <c r="Z362" s="139"/>
      <c r="AA362" s="139"/>
      <c r="AB362" s="105"/>
      <c r="AC362" s="105"/>
      <c r="AD362" s="37">
        <f t="shared" si="87"/>
        <v>22475020.008000001</v>
      </c>
      <c r="AE362" s="71">
        <f t="shared" si="90"/>
        <v>329166.21000000002</v>
      </c>
      <c r="AF362" s="71">
        <f t="shared" si="91"/>
        <v>275053.3</v>
      </c>
      <c r="AG362" s="71">
        <f t="shared" si="88"/>
        <v>202661.90800000145</v>
      </c>
    </row>
    <row r="363" spans="1:33" x14ac:dyDescent="0.15">
      <c r="A363" s="102">
        <v>43093</v>
      </c>
      <c r="B363" s="20" t="s">
        <v>1</v>
      </c>
      <c r="C363" s="8">
        <v>62333</v>
      </c>
      <c r="D363" s="37">
        <f>28701+8709</f>
        <v>37410</v>
      </c>
      <c r="E363" s="37">
        <v>101766</v>
      </c>
      <c r="F363" s="12">
        <v>4989.5</v>
      </c>
      <c r="G363" s="37">
        <v>3359.2</v>
      </c>
      <c r="H363" s="24"/>
      <c r="I363" s="36"/>
      <c r="J363" s="8">
        <f t="shared" si="85"/>
        <v>64356</v>
      </c>
      <c r="K363" s="37">
        <v>329</v>
      </c>
      <c r="L363" s="37">
        <v>793</v>
      </c>
      <c r="M363" s="127">
        <f t="shared" si="86"/>
        <v>901</v>
      </c>
      <c r="N363" s="74">
        <f t="shared" si="97"/>
        <v>1633584</v>
      </c>
      <c r="O363" s="75">
        <f t="shared" si="97"/>
        <v>928917</v>
      </c>
      <c r="P363" s="75">
        <f t="shared" si="97"/>
        <v>2612374</v>
      </c>
      <c r="Q363" s="76">
        <f t="shared" si="96"/>
        <v>21730471.59</v>
      </c>
      <c r="R363" s="76">
        <f t="shared" si="96"/>
        <v>12784746</v>
      </c>
      <c r="S363" s="76">
        <f t="shared" si="96"/>
        <v>35324122.008000001</v>
      </c>
      <c r="T363" s="80">
        <f>N363/'2016'!N363-1</f>
        <v>8.0619960177547245E-2</v>
      </c>
      <c r="U363" s="80">
        <f>O363/'2016'!O363-1</f>
        <v>0.13645533722951719</v>
      </c>
      <c r="V363" s="80">
        <f>P363/'2016'!P363-1</f>
        <v>0.11386961404741536</v>
      </c>
      <c r="W363" s="81">
        <f>Q363/'2016'!Q363-1</f>
        <v>8.8797424040365946E-2</v>
      </c>
      <c r="X363" s="81">
        <f>R363/'2016'!R363-1</f>
        <v>0.13334209766509164</v>
      </c>
      <c r="Y363" s="81">
        <f>S363/'2016'!S363-1</f>
        <v>0.10274345772215976</v>
      </c>
      <c r="Z363" s="136"/>
      <c r="AA363" s="136"/>
      <c r="AB363" s="105"/>
      <c r="AC363" s="105"/>
      <c r="AD363" s="37">
        <f t="shared" si="87"/>
        <v>22539376.008000001</v>
      </c>
      <c r="AE363" s="37">
        <f t="shared" si="90"/>
        <v>329495.21000000002</v>
      </c>
      <c r="AF363" s="37">
        <f t="shared" si="91"/>
        <v>275846.3</v>
      </c>
      <c r="AG363" s="37">
        <f t="shared" si="88"/>
        <v>203562.90800000145</v>
      </c>
    </row>
    <row r="364" spans="1:33" x14ac:dyDescent="0.15">
      <c r="A364" s="102">
        <v>43094</v>
      </c>
      <c r="B364" s="20" t="s">
        <v>34</v>
      </c>
      <c r="C364" s="8">
        <v>68406</v>
      </c>
      <c r="D364" s="37">
        <f>30304+8760</f>
        <v>39064</v>
      </c>
      <c r="E364" s="37">
        <v>109486</v>
      </c>
      <c r="F364" s="12">
        <v>5511</v>
      </c>
      <c r="G364" s="37">
        <v>3305.7</v>
      </c>
      <c r="H364" s="24"/>
      <c r="I364" s="36"/>
      <c r="J364" s="8">
        <f t="shared" si="85"/>
        <v>70422</v>
      </c>
      <c r="K364" s="37">
        <v>407</v>
      </c>
      <c r="L364" s="37">
        <v>795</v>
      </c>
      <c r="M364" s="127">
        <f t="shared" si="86"/>
        <v>814</v>
      </c>
      <c r="N364" s="74">
        <f t="shared" si="97"/>
        <v>1701990</v>
      </c>
      <c r="O364" s="75">
        <f t="shared" si="97"/>
        <v>967981</v>
      </c>
      <c r="P364" s="75">
        <f t="shared" si="97"/>
        <v>2721860</v>
      </c>
      <c r="Q364" s="76">
        <f t="shared" si="96"/>
        <v>21798877.59</v>
      </c>
      <c r="R364" s="76">
        <f t="shared" si="96"/>
        <v>12823810</v>
      </c>
      <c r="S364" s="76">
        <f t="shared" si="96"/>
        <v>35433608.008000001</v>
      </c>
      <c r="T364" s="80">
        <f>N364/'2016'!N364-1</f>
        <v>8.0944275788484177E-2</v>
      </c>
      <c r="U364" s="80">
        <f>O364/'2016'!O364-1</f>
        <v>0.13935745099077779</v>
      </c>
      <c r="V364" s="80">
        <f>P364/'2016'!P364-1</f>
        <v>0.11484154878378949</v>
      </c>
      <c r="W364" s="81">
        <f>Q364/'2016'!Q364-1</f>
        <v>8.879726709801905E-2</v>
      </c>
      <c r="X364" s="81">
        <f>R364/'2016'!R364-1</f>
        <v>0.13356890771716046</v>
      </c>
      <c r="Y364" s="81">
        <f>S364/'2016'!S364-1</f>
        <v>0.10285061540395635</v>
      </c>
      <c r="Z364" s="136"/>
      <c r="AA364" s="136"/>
      <c r="AB364" s="105"/>
      <c r="AC364" s="105"/>
      <c r="AD364" s="37">
        <f t="shared" si="87"/>
        <v>22609798.008000001</v>
      </c>
      <c r="AE364" s="37">
        <f t="shared" si="90"/>
        <v>329902.21000000002</v>
      </c>
      <c r="AF364" s="37">
        <f t="shared" si="91"/>
        <v>276641.3</v>
      </c>
      <c r="AG364" s="37">
        <f t="shared" si="88"/>
        <v>204376.90800000145</v>
      </c>
    </row>
    <row r="365" spans="1:33" x14ac:dyDescent="0.15">
      <c r="A365" s="102">
        <v>43095</v>
      </c>
      <c r="B365" s="20" t="s">
        <v>35</v>
      </c>
      <c r="C365" s="8">
        <v>71236</v>
      </c>
      <c r="D365" s="37">
        <f>30507+8713</f>
        <v>39220</v>
      </c>
      <c r="E365" s="37">
        <v>112136</v>
      </c>
      <c r="F365" s="12">
        <v>5616.2</v>
      </c>
      <c r="G365" s="37">
        <v>3506.6</v>
      </c>
      <c r="H365" s="24"/>
      <c r="I365" s="36"/>
      <c r="J365" s="8">
        <f t="shared" si="85"/>
        <v>72916</v>
      </c>
      <c r="K365" s="37">
        <v>235</v>
      </c>
      <c r="L365" s="37">
        <v>789</v>
      </c>
      <c r="M365" s="127">
        <f t="shared" si="86"/>
        <v>656</v>
      </c>
      <c r="N365" s="74">
        <f t="shared" si="97"/>
        <v>1773226</v>
      </c>
      <c r="O365" s="75">
        <f t="shared" si="97"/>
        <v>1007201</v>
      </c>
      <c r="P365" s="75">
        <f t="shared" si="97"/>
        <v>2833996</v>
      </c>
      <c r="Q365" s="76">
        <f t="shared" si="96"/>
        <v>21870113.59</v>
      </c>
      <c r="R365" s="76">
        <f t="shared" si="96"/>
        <v>12863030</v>
      </c>
      <c r="S365" s="76">
        <f t="shared" si="96"/>
        <v>35545744.008000001</v>
      </c>
      <c r="T365" s="80">
        <f>N365/'2016'!N365-1</f>
        <v>8.0953263416620569E-2</v>
      </c>
      <c r="U365" s="80">
        <f>O365/'2016'!O365-1</f>
        <v>0.14088538598860012</v>
      </c>
      <c r="V365" s="80">
        <f>P365/'2016'!P365-1</f>
        <v>0.11529682521692042</v>
      </c>
      <c r="W365" s="81">
        <f>Q365/'2016'!Q365-1</f>
        <v>8.8772242177134864E-2</v>
      </c>
      <c r="X365" s="81">
        <f>R365/'2016'!R365-1</f>
        <v>0.13370475305248175</v>
      </c>
      <c r="Y365" s="81">
        <f>S365/'2016'!S365-1</f>
        <v>0.10292354831693862</v>
      </c>
      <c r="Z365" s="136"/>
      <c r="AA365" s="136"/>
      <c r="AB365" s="105"/>
      <c r="AC365" s="105"/>
      <c r="AD365" s="37">
        <f t="shared" si="87"/>
        <v>22682714.008000001</v>
      </c>
      <c r="AE365" s="37">
        <f t="shared" si="90"/>
        <v>330137.21000000002</v>
      </c>
      <c r="AF365" s="37">
        <f t="shared" si="91"/>
        <v>277430.3</v>
      </c>
      <c r="AG365" s="37">
        <f t="shared" si="88"/>
        <v>205032.90800000145</v>
      </c>
    </row>
    <row r="366" spans="1:33" x14ac:dyDescent="0.15">
      <c r="A366" s="102">
        <v>43096</v>
      </c>
      <c r="B366" s="20" t="s">
        <v>36</v>
      </c>
      <c r="C366" s="8">
        <v>73320</v>
      </c>
      <c r="D366" s="37">
        <f>29370+8775</f>
        <v>38145</v>
      </c>
      <c r="E366" s="37">
        <v>113063</v>
      </c>
      <c r="F366" s="12">
        <v>5732</v>
      </c>
      <c r="G366" s="37">
        <v>3528</v>
      </c>
      <c r="H366" s="24"/>
      <c r="I366" s="36"/>
      <c r="J366" s="8">
        <f t="shared" si="85"/>
        <v>74918</v>
      </c>
      <c r="K366" s="37">
        <v>214</v>
      </c>
      <c r="L366" s="37">
        <v>795</v>
      </c>
      <c r="M366" s="127">
        <f t="shared" si="86"/>
        <v>589</v>
      </c>
      <c r="N366" s="74">
        <f t="shared" si="97"/>
        <v>1846546</v>
      </c>
      <c r="O366" s="75">
        <f t="shared" si="97"/>
        <v>1045346</v>
      </c>
      <c r="P366" s="75">
        <f t="shared" si="97"/>
        <v>2947059</v>
      </c>
      <c r="Q366" s="76">
        <f t="shared" si="96"/>
        <v>21943433.59</v>
      </c>
      <c r="R366" s="76">
        <f t="shared" si="96"/>
        <v>12901175</v>
      </c>
      <c r="S366" s="76">
        <f t="shared" si="96"/>
        <v>35658807.008000001</v>
      </c>
      <c r="T366" s="80">
        <f>N366/'2016'!N366-1</f>
        <v>8.0695795077323496E-2</v>
      </c>
      <c r="U366" s="80">
        <f>O366/'2016'!O366-1</f>
        <v>0.14116132863628872</v>
      </c>
      <c r="V366" s="80">
        <f>P366/'2016'!P366-1</f>
        <v>0.11470319683062979</v>
      </c>
      <c r="W366" s="81">
        <f>Q366/'2016'!Q366-1</f>
        <v>8.8723943802850425E-2</v>
      </c>
      <c r="X366" s="81">
        <f>R366/'2016'!R366-1</f>
        <v>0.13374792505677235</v>
      </c>
      <c r="Y366" s="81">
        <f>S366/'2016'!S366-1</f>
        <v>0.10291434092752461</v>
      </c>
      <c r="Z366" s="136">
        <f>(Z367-Z360)/7*6+Z360</f>
        <v>145.1442857142857</v>
      </c>
      <c r="AA366" s="136">
        <f>Q366/10000-Z366</f>
        <v>2049.1990732857143</v>
      </c>
      <c r="AB366" s="105"/>
      <c r="AC366" s="105"/>
      <c r="AD366" s="37">
        <f t="shared" si="87"/>
        <v>22757632.008000001</v>
      </c>
      <c r="AE366" s="37">
        <f t="shared" si="90"/>
        <v>330351.21000000002</v>
      </c>
      <c r="AF366" s="37">
        <f t="shared" si="91"/>
        <v>278225.3</v>
      </c>
      <c r="AG366" s="37">
        <f t="shared" si="88"/>
        <v>205621.90800000145</v>
      </c>
    </row>
    <row r="367" spans="1:33" x14ac:dyDescent="0.15">
      <c r="A367" s="102">
        <v>43097</v>
      </c>
      <c r="B367" s="14" t="s">
        <v>37</v>
      </c>
      <c r="C367" s="32">
        <v>72632</v>
      </c>
      <c r="D367" s="33">
        <v>38971</v>
      </c>
      <c r="E367" s="33">
        <v>113019</v>
      </c>
      <c r="F367" s="119">
        <v>5769</v>
      </c>
      <c r="G367" s="33">
        <v>3472</v>
      </c>
      <c r="H367" s="19"/>
      <c r="I367" s="19"/>
      <c r="J367" s="32">
        <f t="shared" si="85"/>
        <v>74048</v>
      </c>
      <c r="K367" s="33">
        <v>392</v>
      </c>
      <c r="L367" s="33">
        <v>793</v>
      </c>
      <c r="M367" s="128">
        <f t="shared" si="86"/>
        <v>231</v>
      </c>
      <c r="N367" s="77">
        <f t="shared" si="97"/>
        <v>1919178</v>
      </c>
      <c r="O367" s="78">
        <f t="shared" si="97"/>
        <v>1084317</v>
      </c>
      <c r="P367" s="78">
        <f t="shared" si="97"/>
        <v>3060078</v>
      </c>
      <c r="Q367" s="77">
        <f t="shared" si="96"/>
        <v>22016065.59</v>
      </c>
      <c r="R367" s="77">
        <f t="shared" si="96"/>
        <v>12940146</v>
      </c>
      <c r="S367" s="77">
        <f t="shared" si="96"/>
        <v>35771826.008000001</v>
      </c>
      <c r="T367" s="82">
        <f>N367/'2016'!N367-1</f>
        <v>7.8700149171686773E-2</v>
      </c>
      <c r="U367" s="82">
        <f>O367/'2016'!O367-1</f>
        <v>0.14248911844380308</v>
      </c>
      <c r="V367" s="82">
        <f>P367/'2016'!P367-1</f>
        <v>0.11335846936759575</v>
      </c>
      <c r="W367" s="82">
        <f>Q367/'2016'!Q367-1</f>
        <v>8.852041513560982E-2</v>
      </c>
      <c r="X367" s="82">
        <f>R367/'2016'!R367-1</f>
        <v>0.13387981517792302</v>
      </c>
      <c r="Y367" s="82">
        <f>S367/'2016'!S367-1</f>
        <v>0.10283844885734195</v>
      </c>
      <c r="Z367" s="138">
        <v>145.35</v>
      </c>
      <c r="AA367" s="138">
        <f>Q367/10000-Z367</f>
        <v>2056.2565589999999</v>
      </c>
      <c r="AB367" s="33">
        <v>4269.4799999999996</v>
      </c>
      <c r="AC367" s="33">
        <f>AA367*10000/AB367</f>
        <v>4816.175644340763</v>
      </c>
      <c r="AD367" s="33">
        <f t="shared" si="87"/>
        <v>22831680.008000001</v>
      </c>
      <c r="AE367" s="33">
        <f t="shared" si="90"/>
        <v>330743.21000000002</v>
      </c>
      <c r="AF367" s="33">
        <f t="shared" si="91"/>
        <v>279018.3</v>
      </c>
      <c r="AG367" s="33">
        <f t="shared" si="88"/>
        <v>205852.90800000145</v>
      </c>
    </row>
    <row r="368" spans="1:33" x14ac:dyDescent="0.15">
      <c r="A368" s="102">
        <v>43098</v>
      </c>
      <c r="B368" s="20" t="s">
        <v>38</v>
      </c>
      <c r="C368" s="8">
        <v>71818</v>
      </c>
      <c r="D368" s="37">
        <v>38432</v>
      </c>
      <c r="E368" s="37">
        <v>111474</v>
      </c>
      <c r="F368" s="12">
        <v>5667</v>
      </c>
      <c r="G368" s="37">
        <v>3474</v>
      </c>
      <c r="H368" s="24"/>
      <c r="I368" s="36"/>
      <c r="J368" s="8">
        <f t="shared" si="85"/>
        <v>73042</v>
      </c>
      <c r="K368" s="37">
        <v>282</v>
      </c>
      <c r="L368" s="37">
        <v>793</v>
      </c>
      <c r="M368" s="127">
        <f t="shared" si="86"/>
        <v>149</v>
      </c>
      <c r="N368" s="74">
        <f t="shared" si="97"/>
        <v>1990996</v>
      </c>
      <c r="O368" s="75">
        <f t="shared" si="97"/>
        <v>1122749</v>
      </c>
      <c r="P368" s="75">
        <f t="shared" si="97"/>
        <v>3171552</v>
      </c>
      <c r="Q368" s="76">
        <f t="shared" si="96"/>
        <v>22087883.59</v>
      </c>
      <c r="R368" s="76">
        <f t="shared" si="96"/>
        <v>12978578</v>
      </c>
      <c r="S368" s="76">
        <f t="shared" si="96"/>
        <v>35883300.008000001</v>
      </c>
      <c r="T368" s="80">
        <f>N368/'2016'!N368-1</f>
        <v>7.6527119778616592E-2</v>
      </c>
      <c r="U368" s="80">
        <f>O368/'2016'!O368-1</f>
        <v>0.14347913320588956</v>
      </c>
      <c r="V368" s="80">
        <f>P368/'2016'!P368-1</f>
        <v>0.11153743978029662</v>
      </c>
      <c r="W368" s="81">
        <f>Q368/'2016'!Q368-1</f>
        <v>8.828838207598122E-2</v>
      </c>
      <c r="X368" s="81">
        <f>R368/'2016'!R368-1</f>
        <v>0.13398941255096841</v>
      </c>
      <c r="Y368" s="81">
        <f>S368/'2016'!S368-1</f>
        <v>0.10271265210389169</v>
      </c>
      <c r="Z368" s="136"/>
      <c r="AA368" s="136"/>
      <c r="AB368" s="105"/>
      <c r="AC368" s="105"/>
      <c r="AD368" s="37">
        <f t="shared" si="87"/>
        <v>22904722.008000001</v>
      </c>
      <c r="AE368" s="37">
        <f t="shared" si="90"/>
        <v>331025.21000000002</v>
      </c>
      <c r="AF368" s="37">
        <f t="shared" si="91"/>
        <v>279811.3</v>
      </c>
      <c r="AG368" s="37">
        <f t="shared" si="88"/>
        <v>206001.90800000145</v>
      </c>
    </row>
    <row r="369" spans="1:33" ht="15" customHeight="1" x14ac:dyDescent="0.15">
      <c r="A369" s="102">
        <v>43099</v>
      </c>
      <c r="B369" s="20" t="s">
        <v>39</v>
      </c>
      <c r="C369" s="70">
        <v>69050</v>
      </c>
      <c r="D369" s="71">
        <v>38114</v>
      </c>
      <c r="E369" s="71">
        <v>108686</v>
      </c>
      <c r="F369" s="120">
        <v>5551</v>
      </c>
      <c r="G369" s="71">
        <v>3443</v>
      </c>
      <c r="H369" s="24"/>
      <c r="I369" s="24"/>
      <c r="J369" s="70">
        <f t="shared" si="85"/>
        <v>70572</v>
      </c>
      <c r="K369" s="71">
        <v>538</v>
      </c>
      <c r="L369" s="71">
        <v>793</v>
      </c>
      <c r="M369" s="129">
        <f t="shared" si="86"/>
        <v>191</v>
      </c>
      <c r="N369" s="74">
        <f t="shared" si="97"/>
        <v>2060046</v>
      </c>
      <c r="O369" s="75">
        <f t="shared" si="97"/>
        <v>1160863</v>
      </c>
      <c r="P369" s="75">
        <f t="shared" si="97"/>
        <v>3280238</v>
      </c>
      <c r="Q369" s="76">
        <f t="shared" si="96"/>
        <v>22156933.59</v>
      </c>
      <c r="R369" s="76">
        <f t="shared" si="96"/>
        <v>13016692</v>
      </c>
      <c r="S369" s="76">
        <f t="shared" si="96"/>
        <v>35991986.008000001</v>
      </c>
      <c r="T369" s="80">
        <f>N369/'2016'!N369-1</f>
        <v>7.3892586031993002E-2</v>
      </c>
      <c r="U369" s="80">
        <f>O369/'2016'!O369-1</f>
        <v>0.14371640367608807</v>
      </c>
      <c r="V369" s="80">
        <f>P369/'2016'!P369-1</f>
        <v>0.10908964885320671</v>
      </c>
      <c r="W369" s="81">
        <f>Q369/'2016'!Q369-1</f>
        <v>8.8000463053442113E-2</v>
      </c>
      <c r="X369" s="81">
        <f>R369/'2016'!R369-1</f>
        <v>0.13403777706260445</v>
      </c>
      <c r="Y369" s="81">
        <f>S369/'2016'!S369-1</f>
        <v>0.10251907983802688</v>
      </c>
      <c r="Z369" s="139"/>
      <c r="AA369" s="139">
        <f>Q369/10000-Z369</f>
        <v>2215.6933589999999</v>
      </c>
      <c r="AB369" s="105"/>
      <c r="AC369" s="105"/>
      <c r="AD369" s="37">
        <f t="shared" si="87"/>
        <v>22975294.008000001</v>
      </c>
      <c r="AE369" s="71">
        <f t="shared" si="90"/>
        <v>331563.21000000002</v>
      </c>
      <c r="AF369" s="71">
        <f t="shared" si="91"/>
        <v>280604.3</v>
      </c>
      <c r="AG369" s="71">
        <f t="shared" si="88"/>
        <v>206192.90800000145</v>
      </c>
    </row>
    <row r="370" spans="1:33" s="1" customFormat="1" ht="15" customHeight="1" x14ac:dyDescent="0.15">
      <c r="A370" s="25">
        <v>43100</v>
      </c>
      <c r="B370" s="25" t="s">
        <v>1</v>
      </c>
      <c r="C370" s="42">
        <v>62797</v>
      </c>
      <c r="D370" s="43">
        <v>35821</v>
      </c>
      <c r="E370" s="43">
        <v>100239</v>
      </c>
      <c r="F370" s="122">
        <v>4954</v>
      </c>
      <c r="G370" s="43">
        <v>3352</v>
      </c>
      <c r="H370" s="30"/>
      <c r="I370" s="30"/>
      <c r="J370" s="42">
        <f t="shared" si="85"/>
        <v>64418</v>
      </c>
      <c r="K370" s="43">
        <v>152</v>
      </c>
      <c r="L370" s="43">
        <v>793</v>
      </c>
      <c r="M370" s="130">
        <f t="shared" si="86"/>
        <v>676</v>
      </c>
      <c r="N370" s="151">
        <f>[2]表2、统调口径电量!$D$10</f>
        <v>1217041.58</v>
      </c>
      <c r="O370" s="152">
        <f>[2]表2、统调口径电量!$D$14</f>
        <v>748897</v>
      </c>
      <c r="P370" s="152">
        <f>[2]表2、统调口径电量!$D$3</f>
        <v>2098093.06</v>
      </c>
      <c r="Q370" s="151">
        <f>[2]表2、统调口径电量!$I$10</f>
        <v>3052116.3</v>
      </c>
      <c r="R370" s="151">
        <f>[2]表2、统调口径电量!$I$14</f>
        <v>2027434</v>
      </c>
      <c r="S370" s="151">
        <f>[2]表2、统调口径电量!$I$3</f>
        <v>5367735.42</v>
      </c>
      <c r="T370" s="89">
        <f>N370/'2016'!N370-1</f>
        <v>-0.38571351707123058</v>
      </c>
      <c r="U370" s="89">
        <f>O370/'2016'!O370-1</f>
        <v>-0.28544521740623874</v>
      </c>
      <c r="V370" s="89">
        <f>P370/'2016'!P370-1</f>
        <v>-0.31321008325239852</v>
      </c>
      <c r="W370" s="89">
        <f>Q370/'2016'!Q370-1</f>
        <v>-0.85062503844961745</v>
      </c>
      <c r="X370" s="89">
        <f>R370/'2016'!R370-1</f>
        <v>-0.82392769779989738</v>
      </c>
      <c r="Y370" s="89">
        <f>S370/'2016'!S370-1</f>
        <v>-0.83609523913721473</v>
      </c>
      <c r="Z370" s="141">
        <f>[2]表2、统调口径电量!$I$12/10000</f>
        <v>20.403339000000003</v>
      </c>
      <c r="AA370" s="141">
        <f>[2]表2、统调口径电量!$I$11/10000</f>
        <v>284.808291</v>
      </c>
      <c r="AB370" s="43">
        <f>[19]Sheet1!$C$42/10</f>
        <v>4269.2</v>
      </c>
      <c r="AC370" s="43">
        <f>AA370*10000/AB370</f>
        <v>667.12332755551392</v>
      </c>
      <c r="AD370" s="43">
        <f>[20]表2、统调口径电量!$I$4</f>
        <v>23033641.27</v>
      </c>
      <c r="AE370" s="43">
        <f>[20]表2、统调口径电量!$I$13</f>
        <v>331714.95</v>
      </c>
      <c r="AF370" s="43">
        <f>[20]表2、统调口径电量!$I$15</f>
        <v>281395.56</v>
      </c>
      <c r="AG370" s="43">
        <f>[20]表2、统调口径电量!$I$16+[20]表2、统调口径电量!$I$17</f>
        <v>200800.74</v>
      </c>
    </row>
    <row r="371" spans="1:33" ht="15" customHeight="1" x14ac:dyDescent="0.15">
      <c r="A371" s="20"/>
      <c r="B371" s="20"/>
      <c r="C371" s="21">
        <f>MAX(C5:C370)</f>
        <v>91399</v>
      </c>
      <c r="D371" s="7">
        <f>MAX(D5:D370)</f>
        <v>53386</v>
      </c>
      <c r="E371" s="7">
        <f>MAX(E5:E370)</f>
        <v>145277</v>
      </c>
      <c r="F371" s="147">
        <f>MAX(F5:F370)</f>
        <v>6982.6</v>
      </c>
      <c r="G371" s="23"/>
      <c r="H371" s="24"/>
      <c r="I371" s="36"/>
      <c r="J371" s="8"/>
      <c r="K371" s="37"/>
      <c r="L371" s="37"/>
      <c r="M371" s="127"/>
      <c r="N371" s="38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  <c r="Z371" s="136"/>
      <c r="AA371" s="136"/>
      <c r="AB371" s="37"/>
      <c r="AC371" s="37"/>
    </row>
    <row r="372" spans="1:33" x14ac:dyDescent="0.15">
      <c r="C372" s="2">
        <f t="shared" ref="C372:D372" si="98">AVERAGE(C5:C370)</f>
        <v>60873.378082191783</v>
      </c>
      <c r="D372" s="62">
        <f t="shared" si="98"/>
        <v>35658.904109589042</v>
      </c>
      <c r="E372" s="2">
        <f t="shared" ref="E372:M372" si="99">AVERAGE(E5:E370)</f>
        <v>98859.164383561641</v>
      </c>
      <c r="F372" s="113">
        <f t="shared" si="99"/>
        <v>4940.0106849315089</v>
      </c>
      <c r="G372" s="61">
        <f t="shared" si="99"/>
        <v>3217.0210958904104</v>
      </c>
      <c r="H372" s="61" t="e">
        <f t="shared" si="99"/>
        <v>#DIV/0!</v>
      </c>
      <c r="I372" s="61" t="e">
        <f t="shared" si="99"/>
        <v>#DIV/0!</v>
      </c>
      <c r="J372" s="62">
        <f t="shared" si="99"/>
        <v>63200.260273972606</v>
      </c>
      <c r="K372" s="62">
        <f t="shared" si="99"/>
        <v>909.79961643835611</v>
      </c>
      <c r="L372" s="2">
        <f t="shared" si="99"/>
        <v>770.18630136986303</v>
      </c>
      <c r="M372" s="114">
        <f t="shared" si="99"/>
        <v>646.89627397260267</v>
      </c>
      <c r="Q372" s="2"/>
    </row>
    <row r="373" spans="1:33" x14ac:dyDescent="0.15">
      <c r="P373" s="62"/>
      <c r="Q373" s="2"/>
      <c r="AE373" s="62">
        <f>AE370-AE367</f>
        <v>971.73999999999069</v>
      </c>
    </row>
    <row r="374" spans="1:33" x14ac:dyDescent="0.15">
      <c r="I374" s="2" t="e">
        <f>I372/H372</f>
        <v>#DIV/0!</v>
      </c>
      <c r="Q374" s="2"/>
    </row>
    <row r="375" spans="1:33" hidden="1" x14ac:dyDescent="0.15">
      <c r="A375" s="2" t="s">
        <v>41</v>
      </c>
      <c r="C375" s="22">
        <f>MAX(C5:C35)</f>
        <v>70123</v>
      </c>
      <c r="D375" s="22">
        <f t="shared" ref="D375:AC375" si="100">MAX(D5:D35)</f>
        <v>27496</v>
      </c>
      <c r="E375" s="22">
        <f t="shared" si="100"/>
        <v>98864</v>
      </c>
      <c r="F375" s="147">
        <f t="shared" si="100"/>
        <v>5075.8</v>
      </c>
      <c r="G375" s="22">
        <f t="shared" si="100"/>
        <v>3041.1</v>
      </c>
      <c r="H375" s="22">
        <f t="shared" si="100"/>
        <v>0</v>
      </c>
      <c r="I375" s="22">
        <f t="shared" si="100"/>
        <v>0</v>
      </c>
      <c r="J375" s="22">
        <f t="shared" si="100"/>
        <v>71701</v>
      </c>
      <c r="K375" s="22">
        <f>SUM(K5:K35)</f>
        <v>11771</v>
      </c>
      <c r="L375" s="22">
        <f>SUM(L5:L35)</f>
        <v>22939</v>
      </c>
      <c r="M375" s="148"/>
      <c r="N375" s="22">
        <f t="shared" si="100"/>
        <v>1513344</v>
      </c>
      <c r="O375" s="22">
        <f t="shared" si="100"/>
        <v>714986</v>
      </c>
      <c r="P375" s="22">
        <f t="shared" si="100"/>
        <v>2253575</v>
      </c>
      <c r="Q375" s="22">
        <f t="shared" si="100"/>
        <v>1513344</v>
      </c>
      <c r="R375" s="22">
        <f t="shared" si="100"/>
        <v>714986</v>
      </c>
      <c r="S375" s="22">
        <f t="shared" si="100"/>
        <v>2253575</v>
      </c>
      <c r="T375" s="22"/>
      <c r="U375" s="22"/>
      <c r="V375" s="22"/>
      <c r="W375" s="22"/>
      <c r="X375" s="22"/>
      <c r="Y375" s="22"/>
      <c r="Z375" s="136">
        <f t="shared" si="100"/>
        <v>10.001579</v>
      </c>
      <c r="AA375" s="136">
        <f t="shared" si="100"/>
        <v>143.72968299999999</v>
      </c>
      <c r="AB375" s="22">
        <f t="shared" si="100"/>
        <v>4258</v>
      </c>
      <c r="AC375" s="22">
        <f t="shared" si="100"/>
        <v>337.55209722874588</v>
      </c>
    </row>
    <row r="376" spans="1:33" hidden="1" x14ac:dyDescent="0.15">
      <c r="A376" s="2" t="s">
        <v>42</v>
      </c>
      <c r="C376" s="22">
        <f>MAX(C36:C64)</f>
        <v>72776</v>
      </c>
      <c r="D376" s="22">
        <f t="shared" ref="D376:AC376" si="101">MAX(D36:D64)</f>
        <v>31800</v>
      </c>
      <c r="E376" s="22">
        <f t="shared" si="101"/>
        <v>103846</v>
      </c>
      <c r="F376" s="147">
        <f t="shared" si="101"/>
        <v>5436.1</v>
      </c>
      <c r="G376" s="22">
        <f t="shared" si="101"/>
        <v>3245.3</v>
      </c>
      <c r="H376" s="22">
        <f t="shared" si="101"/>
        <v>0</v>
      </c>
      <c r="I376" s="22">
        <f t="shared" si="101"/>
        <v>0</v>
      </c>
      <c r="J376" s="22">
        <f t="shared" si="101"/>
        <v>74425</v>
      </c>
      <c r="K376" s="22">
        <f>SUM(K36:K64)</f>
        <v>11221</v>
      </c>
      <c r="L376" s="22">
        <f>SUM(L36:L64)</f>
        <v>20820</v>
      </c>
      <c r="M376" s="148"/>
      <c r="N376" s="22">
        <f t="shared" si="101"/>
        <v>1440098.7</v>
      </c>
      <c r="O376" s="22">
        <f t="shared" si="101"/>
        <v>760351</v>
      </c>
      <c r="P376" s="22">
        <f t="shared" si="101"/>
        <v>2242333.52</v>
      </c>
      <c r="Q376" s="22">
        <f t="shared" si="101"/>
        <v>2977411.32</v>
      </c>
      <c r="R376" s="22">
        <f t="shared" si="101"/>
        <v>1475337</v>
      </c>
      <c r="S376" s="22">
        <f t="shared" si="101"/>
        <v>4536897.8880000003</v>
      </c>
      <c r="T376" s="22"/>
      <c r="U376" s="22"/>
      <c r="V376" s="22"/>
      <c r="W376" s="22"/>
      <c r="X376" s="22"/>
      <c r="Y376" s="22"/>
      <c r="Z376" s="136">
        <f t="shared" si="101"/>
        <v>21.982845999999999</v>
      </c>
      <c r="AA376" s="136">
        <f t="shared" si="101"/>
        <v>275.758286</v>
      </c>
      <c r="AB376" s="22">
        <f t="shared" si="101"/>
        <v>4258</v>
      </c>
      <c r="AC376" s="22">
        <f t="shared" si="101"/>
        <v>647.62396899953023</v>
      </c>
    </row>
    <row r="377" spans="1:33" hidden="1" x14ac:dyDescent="0.15">
      <c r="A377" s="2" t="s">
        <v>43</v>
      </c>
      <c r="C377" s="22">
        <f>MAX(C65:C95)</f>
        <v>73636</v>
      </c>
      <c r="D377" s="22">
        <f t="shared" ref="D377:AC377" si="102">MAX(D65:D95)</f>
        <v>29837</v>
      </c>
      <c r="E377" s="22">
        <f t="shared" si="102"/>
        <v>100002</v>
      </c>
      <c r="F377" s="147">
        <f t="shared" si="102"/>
        <v>5131.5</v>
      </c>
      <c r="G377" s="22">
        <f t="shared" si="102"/>
        <v>3233.6</v>
      </c>
      <c r="H377" s="22">
        <f t="shared" si="102"/>
        <v>0</v>
      </c>
      <c r="I377" s="22">
        <f t="shared" si="102"/>
        <v>0</v>
      </c>
      <c r="J377" s="22">
        <f t="shared" si="102"/>
        <v>75156</v>
      </c>
      <c r="K377" s="22">
        <f>SUM(K65:K95)</f>
        <v>34727</v>
      </c>
      <c r="L377" s="22">
        <f>SUM(L65:L95)</f>
        <v>24530</v>
      </c>
      <c r="M377" s="148"/>
      <c r="N377" s="22">
        <f t="shared" si="102"/>
        <v>2070544.29</v>
      </c>
      <c r="O377" s="22">
        <f t="shared" si="102"/>
        <v>852116</v>
      </c>
      <c r="P377" s="22">
        <f t="shared" si="102"/>
        <v>2993204</v>
      </c>
      <c r="Q377" s="22">
        <f t="shared" si="102"/>
        <v>5047955.6100000003</v>
      </c>
      <c r="R377" s="22">
        <f t="shared" si="102"/>
        <v>2327453</v>
      </c>
      <c r="S377" s="22">
        <f t="shared" si="102"/>
        <v>7530101.8880000003</v>
      </c>
      <c r="T377" s="22"/>
      <c r="U377" s="22"/>
      <c r="V377" s="22"/>
      <c r="W377" s="22"/>
      <c r="X377" s="22"/>
      <c r="Y377" s="22"/>
      <c r="Z377" s="136">
        <f t="shared" si="102"/>
        <v>37.353346999999999</v>
      </c>
      <c r="AA377" s="136">
        <f t="shared" si="102"/>
        <v>467.44221400000004</v>
      </c>
      <c r="AB377" s="22">
        <f t="shared" si="102"/>
        <v>4258.08</v>
      </c>
      <c r="AC377" s="22">
        <f t="shared" si="102"/>
        <v>1097.7769652049751</v>
      </c>
    </row>
    <row r="378" spans="1:33" hidden="1" x14ac:dyDescent="0.15">
      <c r="A378" s="2" t="s">
        <v>44</v>
      </c>
      <c r="C378" s="22">
        <f>MAX(C96:C125)</f>
        <v>67431</v>
      </c>
      <c r="D378" s="22">
        <f t="shared" ref="D378:AC378" si="103">MAX(D96:D125)</f>
        <v>29536</v>
      </c>
      <c r="E378" s="22">
        <f t="shared" si="103"/>
        <v>94082</v>
      </c>
      <c r="F378" s="147">
        <f t="shared" si="103"/>
        <v>4823.7</v>
      </c>
      <c r="G378" s="22">
        <f t="shared" si="103"/>
        <v>3123.9</v>
      </c>
      <c r="H378" s="22">
        <f t="shared" si="103"/>
        <v>0</v>
      </c>
      <c r="I378" s="22">
        <f t="shared" si="103"/>
        <v>0</v>
      </c>
      <c r="J378" s="22">
        <f t="shared" si="103"/>
        <v>69581</v>
      </c>
      <c r="K378" s="22">
        <f>SUM(K96:K125)</f>
        <v>48645</v>
      </c>
      <c r="L378" s="22">
        <f>SUM(L96:L125)</f>
        <v>23757</v>
      </c>
      <c r="M378" s="148"/>
      <c r="N378" s="22">
        <f t="shared" si="103"/>
        <v>1851291</v>
      </c>
      <c r="O378" s="22">
        <f t="shared" si="103"/>
        <v>765566</v>
      </c>
      <c r="P378" s="22">
        <f t="shared" si="103"/>
        <v>2706381.48</v>
      </c>
      <c r="Q378" s="22">
        <f t="shared" si="103"/>
        <v>6899246.6100000003</v>
      </c>
      <c r="R378" s="22">
        <f t="shared" si="103"/>
        <v>3093019</v>
      </c>
      <c r="S378" s="22">
        <f t="shared" si="103"/>
        <v>10236488.107999999</v>
      </c>
      <c r="T378" s="22"/>
      <c r="U378" s="22"/>
      <c r="V378" s="22"/>
      <c r="W378" s="22"/>
      <c r="X378" s="22"/>
      <c r="Y378" s="22"/>
      <c r="Z378" s="136">
        <f t="shared" si="103"/>
        <v>49.661538</v>
      </c>
      <c r="AA378" s="136">
        <f t="shared" si="103"/>
        <v>640.26315699999998</v>
      </c>
      <c r="AB378" s="22">
        <f t="shared" si="103"/>
        <v>4258.08</v>
      </c>
      <c r="AC378" s="22">
        <f t="shared" si="103"/>
        <v>1503.6428554653739</v>
      </c>
    </row>
    <row r="379" spans="1:33" hidden="1" x14ac:dyDescent="0.15">
      <c r="A379" s="2" t="s">
        <v>45</v>
      </c>
      <c r="C379" s="22">
        <f>MAX(C126:C156)</f>
        <v>68675</v>
      </c>
      <c r="D379" s="22">
        <f t="shared" ref="D379:AC379" si="104">MAX(D126:D156)</f>
        <v>32022</v>
      </c>
      <c r="E379" s="22">
        <f t="shared" si="104"/>
        <v>99638</v>
      </c>
      <c r="F379" s="147">
        <f t="shared" si="104"/>
        <v>5069</v>
      </c>
      <c r="G379" s="22">
        <f t="shared" si="104"/>
        <v>3281</v>
      </c>
      <c r="H379" s="22">
        <f t="shared" si="104"/>
        <v>0</v>
      </c>
      <c r="I379" s="22">
        <f t="shared" si="104"/>
        <v>0</v>
      </c>
      <c r="J379" s="22">
        <f t="shared" si="104"/>
        <v>71825</v>
      </c>
      <c r="K379" s="22">
        <f>SUM(K126:K156)</f>
        <v>21833</v>
      </c>
      <c r="L379" s="22">
        <f>SUM(L126:L156)</f>
        <v>24251</v>
      </c>
      <c r="M379" s="148"/>
      <c r="N379" s="22">
        <f t="shared" si="104"/>
        <v>1912230.87</v>
      </c>
      <c r="O379" s="22">
        <f t="shared" si="104"/>
        <v>872265</v>
      </c>
      <c r="P379" s="22">
        <f t="shared" si="104"/>
        <v>2846588.21</v>
      </c>
      <c r="Q379" s="22">
        <f t="shared" si="104"/>
        <v>8811477.8200000003</v>
      </c>
      <c r="R379" s="22">
        <f t="shared" si="104"/>
        <v>3965284</v>
      </c>
      <c r="S379" s="22">
        <f t="shared" si="104"/>
        <v>13083076.318</v>
      </c>
      <c r="T379" s="22"/>
      <c r="U379" s="22"/>
      <c r="V379" s="22"/>
      <c r="W379" s="22"/>
      <c r="X379" s="22"/>
      <c r="Y379" s="22"/>
      <c r="Z379" s="136">
        <f t="shared" si="104"/>
        <v>61.937674999999999</v>
      </c>
      <c r="AA379" s="136">
        <f t="shared" si="104"/>
        <v>819.21010699999999</v>
      </c>
      <c r="AB379" s="22">
        <f t="shared" si="104"/>
        <v>4258.08</v>
      </c>
      <c r="AC379" s="22">
        <f t="shared" si="104"/>
        <v>1923.8955280314133</v>
      </c>
    </row>
    <row r="380" spans="1:33" hidden="1" x14ac:dyDescent="0.15">
      <c r="A380" s="2" t="s">
        <v>46</v>
      </c>
      <c r="C380" s="22">
        <f>MAX(C157:C186)</f>
        <v>68973</v>
      </c>
      <c r="D380" s="22">
        <f t="shared" ref="D380:AC380" si="105">MAX(D157:D186)</f>
        <v>48578</v>
      </c>
      <c r="E380" s="22">
        <f t="shared" si="105"/>
        <v>100237</v>
      </c>
      <c r="F380" s="147">
        <f t="shared" si="105"/>
        <v>5054.2</v>
      </c>
      <c r="G380" s="22">
        <f t="shared" si="105"/>
        <v>3336.2</v>
      </c>
      <c r="H380" s="22">
        <f t="shared" si="105"/>
        <v>0</v>
      </c>
      <c r="I380" s="22">
        <f t="shared" si="105"/>
        <v>0</v>
      </c>
      <c r="J380" s="22">
        <f t="shared" si="105"/>
        <v>72323</v>
      </c>
      <c r="K380" s="22">
        <f>SUM(K157:K186)</f>
        <v>53878</v>
      </c>
      <c r="L380" s="22">
        <f>SUM(L157:L186)</f>
        <v>23363</v>
      </c>
      <c r="M380" s="148"/>
      <c r="N380" s="22">
        <f t="shared" si="105"/>
        <v>1590356.35</v>
      </c>
      <c r="O380" s="22">
        <f t="shared" si="105"/>
        <v>1129004</v>
      </c>
      <c r="P380" s="22">
        <f t="shared" si="105"/>
        <v>2809993.67</v>
      </c>
      <c r="Q380" s="22">
        <f t="shared" si="105"/>
        <v>10401834.17</v>
      </c>
      <c r="R380" s="22">
        <f t="shared" si="105"/>
        <v>5094369</v>
      </c>
      <c r="S380" s="22">
        <f t="shared" si="105"/>
        <v>15893069.988</v>
      </c>
      <c r="T380" s="22"/>
      <c r="U380" s="22"/>
      <c r="V380" s="22"/>
      <c r="W380" s="22"/>
      <c r="X380" s="22"/>
      <c r="Y380" s="22"/>
      <c r="Z380" s="136">
        <f t="shared" si="105"/>
        <v>72.042916000000005</v>
      </c>
      <c r="AA380" s="136">
        <f t="shared" si="105"/>
        <v>968.14050099999997</v>
      </c>
      <c r="AB380" s="22">
        <f t="shared" si="105"/>
        <v>4258.08</v>
      </c>
      <c r="AC380" s="22">
        <f t="shared" si="105"/>
        <v>2273.6550299665578</v>
      </c>
    </row>
    <row r="381" spans="1:33" hidden="1" x14ac:dyDescent="0.15">
      <c r="A381" s="2" t="s">
        <v>47</v>
      </c>
      <c r="C381" s="22">
        <f>MAX(C187:C217)</f>
        <v>91399</v>
      </c>
      <c r="D381" s="22">
        <f t="shared" ref="D381:F381" si="106">MAX(D187:D217)</f>
        <v>53386</v>
      </c>
      <c r="E381" s="22">
        <f t="shared" si="106"/>
        <v>145277</v>
      </c>
      <c r="F381" s="22">
        <f t="shared" si="106"/>
        <v>6982.6</v>
      </c>
      <c r="G381" s="22">
        <f t="shared" ref="G381:AC381" si="107">MAX(G187:G217)</f>
        <v>4796.8999999999996</v>
      </c>
      <c r="H381" s="22">
        <f t="shared" si="107"/>
        <v>0</v>
      </c>
      <c r="I381" s="22">
        <f t="shared" si="107"/>
        <v>0</v>
      </c>
      <c r="J381" s="22">
        <f t="shared" si="107"/>
        <v>93982</v>
      </c>
      <c r="K381" s="22">
        <f>SUM(K187:K217)</f>
        <v>55118</v>
      </c>
      <c r="L381" s="22">
        <f>SUM(L187:L217)</f>
        <v>23362</v>
      </c>
      <c r="M381" s="148"/>
      <c r="N381" s="22">
        <f t="shared" si="107"/>
        <v>2193364</v>
      </c>
      <c r="O381" s="22">
        <f t="shared" si="107"/>
        <v>1562848</v>
      </c>
      <c r="P381" s="22">
        <f t="shared" si="107"/>
        <v>3862604</v>
      </c>
      <c r="Q381" s="22">
        <f t="shared" si="107"/>
        <v>12523144.17</v>
      </c>
      <c r="R381" s="22">
        <f t="shared" si="107"/>
        <v>6660436</v>
      </c>
      <c r="S381" s="22">
        <f t="shared" si="107"/>
        <v>19635356.987999998</v>
      </c>
      <c r="T381" s="22"/>
      <c r="U381" s="22"/>
      <c r="V381" s="22"/>
      <c r="W381" s="22"/>
      <c r="X381" s="22"/>
      <c r="Y381" s="22"/>
      <c r="Z381" s="136">
        <f t="shared" si="107"/>
        <v>94.687922</v>
      </c>
      <c r="AA381" s="136">
        <f t="shared" si="107"/>
        <v>1164.8319919999999</v>
      </c>
      <c r="AB381" s="22">
        <f t="shared" si="107"/>
        <v>4258.08</v>
      </c>
      <c r="AC381" s="22">
        <f t="shared" si="107"/>
        <v>2735.5803366775635</v>
      </c>
    </row>
    <row r="382" spans="1:33" s="112" customFormat="1" hidden="1" x14ac:dyDescent="0.15">
      <c r="A382" s="114" t="s">
        <v>48</v>
      </c>
      <c r="B382" s="114"/>
      <c r="C382" s="148">
        <f>MAX(C218:C248)</f>
        <v>85355</v>
      </c>
      <c r="D382" s="148">
        <f t="shared" ref="D382:J382" si="108">MAX(D218:D248)</f>
        <v>50248</v>
      </c>
      <c r="E382" s="148">
        <f t="shared" si="108"/>
        <v>137831</v>
      </c>
      <c r="F382" s="148">
        <f t="shared" si="108"/>
        <v>6854.9</v>
      </c>
      <c r="G382" s="148">
        <f t="shared" si="108"/>
        <v>4469.6000000000004</v>
      </c>
      <c r="H382" s="148">
        <f t="shared" si="108"/>
        <v>0</v>
      </c>
      <c r="I382" s="148">
        <f t="shared" si="108"/>
        <v>0</v>
      </c>
      <c r="J382" s="148">
        <f t="shared" si="108"/>
        <v>90848</v>
      </c>
      <c r="K382" s="148">
        <f>SUM(K218:K248)</f>
        <v>32811</v>
      </c>
      <c r="L382" s="148">
        <f>SUM(L218:L248)</f>
        <v>23020</v>
      </c>
      <c r="M382" s="148"/>
      <c r="N382" s="148">
        <f t="shared" ref="N382:S382" si="109">MAX(N218:N248)</f>
        <v>2269233</v>
      </c>
      <c r="O382" s="148">
        <f t="shared" si="109"/>
        <v>1463038</v>
      </c>
      <c r="P382" s="148">
        <f t="shared" si="109"/>
        <v>3827260</v>
      </c>
      <c r="Q382" s="148">
        <f t="shared" si="109"/>
        <v>14807489.140000001</v>
      </c>
      <c r="R382" s="148">
        <f t="shared" si="109"/>
        <v>8138008</v>
      </c>
      <c r="S382" s="148">
        <f t="shared" si="109"/>
        <v>23483061.947999999</v>
      </c>
      <c r="T382" s="148"/>
      <c r="U382" s="148"/>
      <c r="V382" s="148"/>
      <c r="W382" s="148"/>
      <c r="X382" s="148"/>
      <c r="Y382" s="148"/>
      <c r="Z382" s="154">
        <f>MAX(Z218:Z248)</f>
        <v>115.025204</v>
      </c>
      <c r="AA382" s="154">
        <f>MAX(AA218:AA248)</f>
        <v>1371.41803</v>
      </c>
      <c r="AB382" s="148">
        <f>MAX(AB218:AB248)</f>
        <v>4258.08</v>
      </c>
      <c r="AC382" s="148">
        <f>MAX(AC218:AC248)</f>
        <v>3220.742752602112</v>
      </c>
    </row>
    <row r="383" spans="1:33" s="112" customFormat="1" hidden="1" x14ac:dyDescent="0.15">
      <c r="A383" s="112" t="s">
        <v>49</v>
      </c>
      <c r="C383" s="149">
        <f t="shared" ref="C383:J383" si="110">MAX(C189:C219)</f>
        <v>91399</v>
      </c>
      <c r="D383" s="149">
        <f t="shared" si="110"/>
        <v>53386</v>
      </c>
      <c r="E383" s="149">
        <f t="shared" si="110"/>
        <v>145277</v>
      </c>
      <c r="F383" s="150">
        <f t="shared" si="110"/>
        <v>6982.6</v>
      </c>
      <c r="G383" s="149">
        <f t="shared" si="110"/>
        <v>4796.8999999999996</v>
      </c>
      <c r="H383" s="149">
        <f t="shared" si="110"/>
        <v>0</v>
      </c>
      <c r="I383" s="149">
        <f t="shared" si="110"/>
        <v>0</v>
      </c>
      <c r="J383" s="149">
        <f t="shared" si="110"/>
        <v>93982</v>
      </c>
      <c r="K383" s="149">
        <f t="shared" ref="K383:L383" si="111">SUM(K189:K219)</f>
        <v>52287</v>
      </c>
      <c r="L383" s="149">
        <f t="shared" si="111"/>
        <v>23305</v>
      </c>
      <c r="M383" s="149"/>
      <c r="N383" s="149">
        <f t="shared" ref="N383:AC383" si="112">MAX(N189:N219)</f>
        <v>2193364</v>
      </c>
      <c r="O383" s="149">
        <f t="shared" si="112"/>
        <v>1562848</v>
      </c>
      <c r="P383" s="149">
        <f t="shared" si="112"/>
        <v>3862604</v>
      </c>
      <c r="Q383" s="149">
        <f t="shared" si="112"/>
        <v>12729936.140000001</v>
      </c>
      <c r="R383" s="149">
        <f t="shared" si="112"/>
        <v>6755026</v>
      </c>
      <c r="S383" s="149">
        <f t="shared" si="112"/>
        <v>19991093.947999999</v>
      </c>
      <c r="T383" s="149"/>
      <c r="U383" s="149"/>
      <c r="V383" s="149"/>
      <c r="W383" s="149"/>
      <c r="X383" s="149"/>
      <c r="Y383" s="149"/>
      <c r="Z383" s="155">
        <f t="shared" si="112"/>
        <v>95.732857142857142</v>
      </c>
      <c r="AA383" s="155">
        <f t="shared" si="112"/>
        <v>1177.260756857143</v>
      </c>
      <c r="AB383" s="149">
        <f t="shared" si="112"/>
        <v>4258.08</v>
      </c>
      <c r="AC383" s="149">
        <f t="shared" si="112"/>
        <v>2735.5803366775635</v>
      </c>
    </row>
    <row r="384" spans="1:33" s="112" customFormat="1" hidden="1" x14ac:dyDescent="0.15">
      <c r="A384" s="112" t="s">
        <v>50</v>
      </c>
      <c r="C384" s="149">
        <f t="shared" ref="C384:J384" si="113">MAX(C190:C220)</f>
        <v>91399</v>
      </c>
      <c r="D384" s="149">
        <f t="shared" si="113"/>
        <v>53386</v>
      </c>
      <c r="E384" s="149">
        <f t="shared" si="113"/>
        <v>145277</v>
      </c>
      <c r="F384" s="150">
        <f t="shared" si="113"/>
        <v>6982.6</v>
      </c>
      <c r="G384" s="149">
        <f t="shared" si="113"/>
        <v>4796.8999999999996</v>
      </c>
      <c r="H384" s="149">
        <f t="shared" si="113"/>
        <v>0</v>
      </c>
      <c r="I384" s="149">
        <f t="shared" si="113"/>
        <v>0</v>
      </c>
      <c r="J384" s="149">
        <f t="shared" si="113"/>
        <v>93982</v>
      </c>
      <c r="K384" s="149">
        <f t="shared" ref="K384:L384" si="114">SUM(K190:K220)</f>
        <v>50477</v>
      </c>
      <c r="L384" s="149">
        <f t="shared" si="114"/>
        <v>23278</v>
      </c>
      <c r="M384" s="149"/>
      <c r="N384" s="149">
        <f t="shared" ref="N384:AC384" si="115">MAX(N190:N220)</f>
        <v>2193364</v>
      </c>
      <c r="O384" s="149">
        <f t="shared" si="115"/>
        <v>1562848</v>
      </c>
      <c r="P384" s="149">
        <f t="shared" si="115"/>
        <v>3862604</v>
      </c>
      <c r="Q384" s="149">
        <f t="shared" si="115"/>
        <v>12809681.140000001</v>
      </c>
      <c r="R384" s="149">
        <f t="shared" si="115"/>
        <v>6799159</v>
      </c>
      <c r="S384" s="149">
        <f t="shared" si="115"/>
        <v>20120070.947999999</v>
      </c>
      <c r="T384" s="149"/>
      <c r="U384" s="149"/>
      <c r="V384" s="149"/>
      <c r="W384" s="149"/>
      <c r="X384" s="149"/>
      <c r="Y384" s="149"/>
      <c r="Z384" s="155">
        <f t="shared" si="115"/>
        <v>96.5</v>
      </c>
      <c r="AA384" s="155">
        <f t="shared" si="115"/>
        <v>1184.468114</v>
      </c>
      <c r="AB384" s="149">
        <f t="shared" si="115"/>
        <v>4258.08</v>
      </c>
      <c r="AC384" s="149">
        <f t="shared" si="115"/>
        <v>2781.6953039867735</v>
      </c>
    </row>
    <row r="385" spans="1:29" s="112" customFormat="1" hidden="1" x14ac:dyDescent="0.15">
      <c r="A385" s="112" t="s">
        <v>51</v>
      </c>
      <c r="C385" s="149">
        <f t="shared" ref="C385:J385" si="116">MAX(C191:C221)</f>
        <v>91399</v>
      </c>
      <c r="D385" s="149">
        <f t="shared" si="116"/>
        <v>53386</v>
      </c>
      <c r="E385" s="149">
        <f t="shared" si="116"/>
        <v>145277</v>
      </c>
      <c r="F385" s="150">
        <f t="shared" si="116"/>
        <v>6982.6</v>
      </c>
      <c r="G385" s="149">
        <f t="shared" si="116"/>
        <v>4796.8999999999996</v>
      </c>
      <c r="H385" s="149">
        <f t="shared" si="116"/>
        <v>0</v>
      </c>
      <c r="I385" s="149">
        <f t="shared" si="116"/>
        <v>0</v>
      </c>
      <c r="J385" s="149">
        <f t="shared" si="116"/>
        <v>93982</v>
      </c>
      <c r="K385" s="149">
        <f t="shared" ref="K385:L385" si="117">SUM(K191:K221)</f>
        <v>49149</v>
      </c>
      <c r="L385" s="149">
        <f t="shared" si="117"/>
        <v>23238</v>
      </c>
      <c r="M385" s="149"/>
      <c r="N385" s="149">
        <f t="shared" ref="N385:AC385" si="118">MAX(N191:N221)</f>
        <v>2193364</v>
      </c>
      <c r="O385" s="149">
        <f t="shared" si="118"/>
        <v>1562848</v>
      </c>
      <c r="P385" s="149">
        <f t="shared" si="118"/>
        <v>3862604</v>
      </c>
      <c r="Q385" s="149">
        <f t="shared" si="118"/>
        <v>12894429.140000001</v>
      </c>
      <c r="R385" s="149">
        <f t="shared" si="118"/>
        <v>6843334</v>
      </c>
      <c r="S385" s="149">
        <f t="shared" si="118"/>
        <v>20254734.947999999</v>
      </c>
      <c r="T385" s="149"/>
      <c r="U385" s="149"/>
      <c r="V385" s="149"/>
      <c r="W385" s="149"/>
      <c r="X385" s="149"/>
      <c r="Y385" s="149"/>
      <c r="Z385" s="155">
        <f t="shared" si="118"/>
        <v>96.5</v>
      </c>
      <c r="AA385" s="155">
        <f t="shared" si="118"/>
        <v>1184.468114</v>
      </c>
      <c r="AB385" s="149">
        <f t="shared" si="118"/>
        <v>4258.08</v>
      </c>
      <c r="AC385" s="149">
        <f t="shared" si="118"/>
        <v>2781.6953039867735</v>
      </c>
    </row>
    <row r="386" spans="1:29" s="112" customFormat="1" hidden="1" x14ac:dyDescent="0.15">
      <c r="A386" s="112" t="s">
        <v>52</v>
      </c>
      <c r="C386" s="149">
        <f t="shared" ref="C386:J386" si="119">MAX(C192:C222)</f>
        <v>91399</v>
      </c>
      <c r="D386" s="149">
        <f t="shared" si="119"/>
        <v>53386</v>
      </c>
      <c r="E386" s="149">
        <f t="shared" si="119"/>
        <v>145277</v>
      </c>
      <c r="F386" s="150">
        <f t="shared" si="119"/>
        <v>6982.6</v>
      </c>
      <c r="G386" s="149">
        <f t="shared" si="119"/>
        <v>4796.8999999999996</v>
      </c>
      <c r="H386" s="149">
        <f t="shared" si="119"/>
        <v>0</v>
      </c>
      <c r="I386" s="149">
        <f t="shared" si="119"/>
        <v>0</v>
      </c>
      <c r="J386" s="149">
        <f t="shared" si="119"/>
        <v>93982</v>
      </c>
      <c r="K386" s="149">
        <f t="shared" ref="K386:L386" si="120">SUM(K192:K222)</f>
        <v>48093</v>
      </c>
      <c r="L386" s="149">
        <f t="shared" si="120"/>
        <v>23193</v>
      </c>
      <c r="M386" s="149"/>
      <c r="N386" s="149">
        <f t="shared" ref="N386:AC386" si="121">MAX(N192:N222)</f>
        <v>2193364</v>
      </c>
      <c r="O386" s="149">
        <f t="shared" si="121"/>
        <v>1562848</v>
      </c>
      <c r="P386" s="149">
        <f t="shared" si="121"/>
        <v>3862604</v>
      </c>
      <c r="Q386" s="149">
        <f t="shared" si="121"/>
        <v>12978797.140000001</v>
      </c>
      <c r="R386" s="149">
        <f t="shared" si="121"/>
        <v>6886728</v>
      </c>
      <c r="S386" s="149">
        <f t="shared" si="121"/>
        <v>20388976.947999999</v>
      </c>
      <c r="T386" s="149"/>
      <c r="U386" s="149"/>
      <c r="V386" s="149"/>
      <c r="W386" s="149"/>
      <c r="X386" s="149"/>
      <c r="Y386" s="149"/>
      <c r="Z386" s="155">
        <f t="shared" si="121"/>
        <v>96.5</v>
      </c>
      <c r="AA386" s="155">
        <f t="shared" si="121"/>
        <v>1184.468114</v>
      </c>
      <c r="AB386" s="149">
        <f t="shared" si="121"/>
        <v>4258.08</v>
      </c>
      <c r="AC386" s="149">
        <f t="shared" si="121"/>
        <v>2781.6953039867735</v>
      </c>
    </row>
    <row r="387" spans="1:29" x14ac:dyDescent="0.15">
      <c r="Q387" s="2"/>
    </row>
    <row r="388" spans="1:29" x14ac:dyDescent="0.15">
      <c r="Q388" s="2"/>
    </row>
    <row r="389" spans="1:29" x14ac:dyDescent="0.15">
      <c r="Q389" s="2"/>
    </row>
    <row r="390" spans="1:29" x14ac:dyDescent="0.15">
      <c r="Q390" s="2"/>
    </row>
    <row r="391" spans="1:29" x14ac:dyDescent="0.15">
      <c r="Q391" s="2"/>
    </row>
    <row r="392" spans="1:29" x14ac:dyDescent="0.15">
      <c r="Q392" s="2"/>
    </row>
    <row r="393" spans="1:29" x14ac:dyDescent="0.15">
      <c r="Q393" s="2"/>
    </row>
    <row r="394" spans="1:29" x14ac:dyDescent="0.15">
      <c r="Q394" s="2"/>
    </row>
    <row r="395" spans="1:29" x14ac:dyDescent="0.15">
      <c r="Q395" s="2"/>
    </row>
    <row r="396" spans="1:29" x14ac:dyDescent="0.15">
      <c r="Q396" s="2"/>
    </row>
    <row r="397" spans="1:29" x14ac:dyDescent="0.15">
      <c r="Q397" s="2"/>
    </row>
    <row r="398" spans="1:29" x14ac:dyDescent="0.15">
      <c r="Q398" s="2"/>
    </row>
    <row r="399" spans="1:29" x14ac:dyDescent="0.15">
      <c r="Q399" s="2"/>
    </row>
    <row r="400" spans="1:29" x14ac:dyDescent="0.15">
      <c r="Q400" s="2"/>
    </row>
    <row r="401" spans="17:17" x14ac:dyDescent="0.15">
      <c r="Q401" s="2"/>
    </row>
    <row r="402" spans="17:17" x14ac:dyDescent="0.15">
      <c r="Q402" s="2"/>
    </row>
    <row r="403" spans="17:17" x14ac:dyDescent="0.15">
      <c r="Q403" s="2"/>
    </row>
    <row r="404" spans="17:17" x14ac:dyDescent="0.15">
      <c r="Q404" s="2"/>
    </row>
    <row r="405" spans="17:17" x14ac:dyDescent="0.15">
      <c r="Q405" s="2"/>
    </row>
    <row r="406" spans="17:17" x14ac:dyDescent="0.15">
      <c r="Q406" s="2"/>
    </row>
    <row r="407" spans="17:17" x14ac:dyDescent="0.15">
      <c r="Q407" s="2"/>
    </row>
    <row r="408" spans="17:17" x14ac:dyDescent="0.15">
      <c r="Q408" s="2"/>
    </row>
    <row r="409" spans="17:17" x14ac:dyDescent="0.15">
      <c r="Q409" s="2"/>
    </row>
    <row r="410" spans="17:17" x14ac:dyDescent="0.15">
      <c r="Q410" s="2"/>
    </row>
    <row r="411" spans="17:17" x14ac:dyDescent="0.15">
      <c r="Q411" s="2"/>
    </row>
    <row r="412" spans="17:17" x14ac:dyDescent="0.15">
      <c r="Q412" s="2"/>
    </row>
    <row r="413" spans="17:17" x14ac:dyDescent="0.15">
      <c r="Q413" s="2"/>
    </row>
    <row r="414" spans="17:17" x14ac:dyDescent="0.15">
      <c r="Q414" s="2"/>
    </row>
    <row r="415" spans="17:17" x14ac:dyDescent="0.15">
      <c r="Q415" s="2"/>
    </row>
    <row r="416" spans="17:17" x14ac:dyDescent="0.15">
      <c r="Q416" s="2"/>
    </row>
    <row r="417" spans="17:17" x14ac:dyDescent="0.15">
      <c r="Q417" s="2"/>
    </row>
    <row r="418" spans="17:17" x14ac:dyDescent="0.15">
      <c r="Q418" s="2"/>
    </row>
    <row r="419" spans="17:17" x14ac:dyDescent="0.15">
      <c r="Q419" s="2"/>
    </row>
    <row r="420" spans="17:17" x14ac:dyDescent="0.15">
      <c r="Q420" s="2"/>
    </row>
    <row r="421" spans="17:17" x14ac:dyDescent="0.15">
      <c r="Q421" s="2"/>
    </row>
    <row r="422" spans="17:17" x14ac:dyDescent="0.15">
      <c r="Q422" s="2"/>
    </row>
    <row r="423" spans="17:17" x14ac:dyDescent="0.15">
      <c r="Q423" s="2"/>
    </row>
    <row r="424" spans="17:17" x14ac:dyDescent="0.15">
      <c r="Q424" s="2"/>
    </row>
    <row r="425" spans="17:17" x14ac:dyDescent="0.15">
      <c r="Q425" s="2"/>
    </row>
    <row r="426" spans="17:17" x14ac:dyDescent="0.15">
      <c r="Q426" s="2"/>
    </row>
    <row r="427" spans="17:17" x14ac:dyDescent="0.15">
      <c r="Q427" s="2"/>
    </row>
    <row r="428" spans="17:17" x14ac:dyDescent="0.15">
      <c r="Q428" s="2"/>
    </row>
    <row r="429" spans="17:17" x14ac:dyDescent="0.15">
      <c r="Q429" s="2"/>
    </row>
    <row r="430" spans="17:17" x14ac:dyDescent="0.15">
      <c r="Q430" s="2"/>
    </row>
    <row r="431" spans="17:17" x14ac:dyDescent="0.15">
      <c r="Q431" s="2"/>
    </row>
    <row r="432" spans="17:17" x14ac:dyDescent="0.15">
      <c r="Q432" s="2"/>
    </row>
    <row r="433" spans="17:17" x14ac:dyDescent="0.15">
      <c r="Q433" s="2"/>
    </row>
    <row r="434" spans="17:17" x14ac:dyDescent="0.15">
      <c r="Q434" s="2"/>
    </row>
    <row r="435" spans="17:17" x14ac:dyDescent="0.15">
      <c r="Q435" s="2"/>
    </row>
    <row r="436" spans="17:17" x14ac:dyDescent="0.15">
      <c r="Q436" s="2"/>
    </row>
    <row r="437" spans="17:17" x14ac:dyDescent="0.15">
      <c r="Q437" s="2"/>
    </row>
    <row r="438" spans="17:17" x14ac:dyDescent="0.15">
      <c r="Q438" s="2"/>
    </row>
    <row r="439" spans="17:17" x14ac:dyDescent="0.15">
      <c r="Q439" s="2"/>
    </row>
    <row r="440" spans="17:17" x14ac:dyDescent="0.15">
      <c r="Q440" s="2"/>
    </row>
    <row r="441" spans="17:17" x14ac:dyDescent="0.15">
      <c r="Q441" s="2"/>
    </row>
    <row r="442" spans="17:17" x14ac:dyDescent="0.15">
      <c r="Q442" s="2"/>
    </row>
    <row r="443" spans="17:17" x14ac:dyDescent="0.15">
      <c r="Q443" s="2"/>
    </row>
    <row r="444" spans="17:17" x14ac:dyDescent="0.15">
      <c r="Q444" s="2"/>
    </row>
    <row r="445" spans="17:17" x14ac:dyDescent="0.15">
      <c r="Q445" s="2"/>
    </row>
    <row r="446" spans="17:17" x14ac:dyDescent="0.15">
      <c r="Q446" s="2"/>
    </row>
    <row r="447" spans="17:17" x14ac:dyDescent="0.15">
      <c r="Q447" s="2"/>
    </row>
    <row r="448" spans="17:17" x14ac:dyDescent="0.15">
      <c r="Q448" s="2"/>
    </row>
    <row r="449" spans="17:17" x14ac:dyDescent="0.15">
      <c r="Q449" s="2"/>
    </row>
    <row r="450" spans="17:17" x14ac:dyDescent="0.15">
      <c r="Q450" s="2"/>
    </row>
    <row r="451" spans="17:17" x14ac:dyDescent="0.15">
      <c r="Q451" s="2"/>
    </row>
    <row r="452" spans="17:17" x14ac:dyDescent="0.15">
      <c r="Q452" s="2"/>
    </row>
    <row r="453" spans="17:17" x14ac:dyDescent="0.15">
      <c r="Q453" s="2"/>
    </row>
    <row r="454" spans="17:17" x14ac:dyDescent="0.15">
      <c r="Q454" s="2"/>
    </row>
    <row r="455" spans="17:17" x14ac:dyDescent="0.15">
      <c r="Q455" s="2"/>
    </row>
    <row r="456" spans="17:17" x14ac:dyDescent="0.15">
      <c r="Q456" s="2"/>
    </row>
    <row r="457" spans="17:17" x14ac:dyDescent="0.15">
      <c r="Q457" s="2"/>
    </row>
    <row r="458" spans="17:17" x14ac:dyDescent="0.15">
      <c r="Q458" s="2"/>
    </row>
    <row r="459" spans="17:17" x14ac:dyDescent="0.15">
      <c r="Q459" s="2"/>
    </row>
    <row r="460" spans="17:17" x14ac:dyDescent="0.15">
      <c r="Q460" s="2"/>
    </row>
    <row r="461" spans="17:17" x14ac:dyDescent="0.15">
      <c r="Q461" s="2"/>
    </row>
    <row r="462" spans="17:17" x14ac:dyDescent="0.15">
      <c r="Q462" s="2"/>
    </row>
    <row r="463" spans="17:17" x14ac:dyDescent="0.15">
      <c r="Q463" s="2"/>
    </row>
    <row r="464" spans="17:17" x14ac:dyDescent="0.15">
      <c r="Q464" s="2"/>
    </row>
    <row r="465" spans="17:17" x14ac:dyDescent="0.15">
      <c r="Q465" s="2"/>
    </row>
    <row r="466" spans="17:17" x14ac:dyDescent="0.15">
      <c r="Q466" s="2"/>
    </row>
    <row r="467" spans="17:17" x14ac:dyDescent="0.15">
      <c r="Q467" s="2"/>
    </row>
    <row r="468" spans="17:17" x14ac:dyDescent="0.15">
      <c r="Q468" s="2"/>
    </row>
    <row r="469" spans="17:17" x14ac:dyDescent="0.15">
      <c r="Q469" s="2"/>
    </row>
    <row r="470" spans="17:17" x14ac:dyDescent="0.15">
      <c r="Q470" s="2"/>
    </row>
    <row r="471" spans="17:17" x14ac:dyDescent="0.15">
      <c r="Q471" s="2"/>
    </row>
    <row r="472" spans="17:17" x14ac:dyDescent="0.15">
      <c r="Q472" s="2"/>
    </row>
    <row r="473" spans="17:17" x14ac:dyDescent="0.15">
      <c r="Q473" s="2"/>
    </row>
    <row r="474" spans="17:17" x14ac:dyDescent="0.15">
      <c r="Q474" s="2"/>
    </row>
    <row r="475" spans="17:17" x14ac:dyDescent="0.15">
      <c r="Q475" s="2"/>
    </row>
    <row r="476" spans="17:17" x14ac:dyDescent="0.15">
      <c r="Q476" s="2"/>
    </row>
    <row r="477" spans="17:17" x14ac:dyDescent="0.15">
      <c r="Q477" s="2"/>
    </row>
    <row r="478" spans="17:17" x14ac:dyDescent="0.15">
      <c r="Q478" s="2"/>
    </row>
    <row r="479" spans="17:17" x14ac:dyDescent="0.15">
      <c r="Q479" s="2"/>
    </row>
    <row r="480" spans="17:17" x14ac:dyDescent="0.15">
      <c r="Q480" s="2"/>
    </row>
    <row r="481" spans="17:17" x14ac:dyDescent="0.15">
      <c r="Q481" s="2"/>
    </row>
    <row r="482" spans="17:17" x14ac:dyDescent="0.15">
      <c r="Q482" s="2"/>
    </row>
    <row r="483" spans="17:17" x14ac:dyDescent="0.15">
      <c r="Q483" s="2"/>
    </row>
    <row r="484" spans="17:17" x14ac:dyDescent="0.15">
      <c r="Q484" s="2"/>
    </row>
    <row r="485" spans="17:17" x14ac:dyDescent="0.15">
      <c r="Q485" s="2"/>
    </row>
    <row r="486" spans="17:17" x14ac:dyDescent="0.15">
      <c r="Q486" s="2"/>
    </row>
    <row r="487" spans="17:17" x14ac:dyDescent="0.15">
      <c r="Q487" s="2"/>
    </row>
    <row r="488" spans="17:17" x14ac:dyDescent="0.15">
      <c r="Q488" s="2"/>
    </row>
    <row r="489" spans="17:17" x14ac:dyDescent="0.15">
      <c r="Q489" s="2"/>
    </row>
    <row r="490" spans="17:17" x14ac:dyDescent="0.15">
      <c r="Q490" s="2"/>
    </row>
    <row r="491" spans="17:17" x14ac:dyDescent="0.15">
      <c r="Q491" s="2"/>
    </row>
    <row r="492" spans="17:17" x14ac:dyDescent="0.15">
      <c r="Q492" s="2"/>
    </row>
    <row r="493" spans="17:17" x14ac:dyDescent="0.15">
      <c r="Q493" s="2"/>
    </row>
    <row r="494" spans="17:17" x14ac:dyDescent="0.15">
      <c r="Q494" s="2"/>
    </row>
    <row r="495" spans="17:17" x14ac:dyDescent="0.15">
      <c r="Q495" s="2"/>
    </row>
    <row r="496" spans="17:17" x14ac:dyDescent="0.15">
      <c r="Q496" s="2"/>
    </row>
    <row r="497" spans="17:17" x14ac:dyDescent="0.15">
      <c r="Q497" s="2"/>
    </row>
    <row r="498" spans="17:17" x14ac:dyDescent="0.15">
      <c r="Q498" s="2"/>
    </row>
    <row r="499" spans="17:17" x14ac:dyDescent="0.15">
      <c r="Q499" s="2"/>
    </row>
    <row r="500" spans="17:17" x14ac:dyDescent="0.15">
      <c r="Q500" s="2"/>
    </row>
    <row r="501" spans="17:17" x14ac:dyDescent="0.15">
      <c r="Q501" s="2"/>
    </row>
    <row r="502" spans="17:17" x14ac:dyDescent="0.15">
      <c r="Q502" s="2"/>
    </row>
    <row r="503" spans="17:17" x14ac:dyDescent="0.15">
      <c r="Q503" s="2"/>
    </row>
    <row r="504" spans="17:17" x14ac:dyDescent="0.15">
      <c r="Q504" s="2"/>
    </row>
    <row r="505" spans="17:17" x14ac:dyDescent="0.15">
      <c r="Q505" s="2"/>
    </row>
    <row r="506" spans="17:17" x14ac:dyDescent="0.15">
      <c r="Q506" s="2"/>
    </row>
    <row r="507" spans="17:17" x14ac:dyDescent="0.15">
      <c r="Q507" s="2"/>
    </row>
    <row r="508" spans="17:17" x14ac:dyDescent="0.15">
      <c r="Q508" s="2"/>
    </row>
    <row r="509" spans="17:17" x14ac:dyDescent="0.15">
      <c r="Q509" s="2"/>
    </row>
    <row r="510" spans="17:17" x14ac:dyDescent="0.15">
      <c r="Q510" s="2"/>
    </row>
    <row r="511" spans="17:17" x14ac:dyDescent="0.15">
      <c r="Q511" s="2"/>
    </row>
    <row r="512" spans="17:17" x14ac:dyDescent="0.15">
      <c r="Q512" s="2"/>
    </row>
    <row r="513" spans="17:17" x14ac:dyDescent="0.15">
      <c r="Q513" s="2"/>
    </row>
    <row r="514" spans="17:17" x14ac:dyDescent="0.15">
      <c r="Q514" s="2"/>
    </row>
    <row r="515" spans="17:17" x14ac:dyDescent="0.15">
      <c r="Q515" s="2"/>
    </row>
    <row r="516" spans="17:17" x14ac:dyDescent="0.15">
      <c r="Q516" s="2"/>
    </row>
    <row r="517" spans="17:17" x14ac:dyDescent="0.15">
      <c r="Q517" s="2"/>
    </row>
    <row r="518" spans="17:17" x14ac:dyDescent="0.15">
      <c r="Q518" s="2"/>
    </row>
    <row r="519" spans="17:17" x14ac:dyDescent="0.15">
      <c r="Q519" s="2"/>
    </row>
    <row r="520" spans="17:17" x14ac:dyDescent="0.15">
      <c r="Q520" s="2"/>
    </row>
    <row r="521" spans="17:17" x14ac:dyDescent="0.15">
      <c r="Q521" s="2"/>
    </row>
    <row r="522" spans="17:17" x14ac:dyDescent="0.15">
      <c r="Q522" s="2"/>
    </row>
    <row r="523" spans="17:17" x14ac:dyDescent="0.15">
      <c r="Q523" s="2"/>
    </row>
    <row r="524" spans="17:17" x14ac:dyDescent="0.15">
      <c r="Q524" s="2"/>
    </row>
    <row r="525" spans="17:17" x14ac:dyDescent="0.15">
      <c r="Q525" s="2"/>
    </row>
    <row r="526" spans="17:17" x14ac:dyDescent="0.15">
      <c r="Q526" s="2"/>
    </row>
    <row r="527" spans="17:17" x14ac:dyDescent="0.15">
      <c r="Q527" s="2"/>
    </row>
    <row r="528" spans="17:17" x14ac:dyDescent="0.15">
      <c r="Q528" s="2"/>
    </row>
    <row r="529" spans="17:17" x14ac:dyDescent="0.15">
      <c r="Q529" s="2"/>
    </row>
    <row r="530" spans="17:17" x14ac:dyDescent="0.15">
      <c r="Q530" s="2"/>
    </row>
    <row r="531" spans="17:17" x14ac:dyDescent="0.15">
      <c r="Q531" s="2"/>
    </row>
    <row r="532" spans="17:17" x14ac:dyDescent="0.15">
      <c r="Q532" s="2"/>
    </row>
    <row r="533" spans="17:17" x14ac:dyDescent="0.15">
      <c r="Q533" s="2"/>
    </row>
    <row r="534" spans="17:17" x14ac:dyDescent="0.15">
      <c r="Q534" s="2"/>
    </row>
    <row r="535" spans="17:17" x14ac:dyDescent="0.15">
      <c r="Q535" s="2"/>
    </row>
    <row r="536" spans="17:17" x14ac:dyDescent="0.15">
      <c r="Q536" s="2"/>
    </row>
    <row r="537" spans="17:17" x14ac:dyDescent="0.15">
      <c r="Q537" s="2"/>
    </row>
    <row r="538" spans="17:17" x14ac:dyDescent="0.15">
      <c r="Q538" s="2"/>
    </row>
    <row r="539" spans="17:17" x14ac:dyDescent="0.15">
      <c r="Q539" s="2"/>
    </row>
    <row r="540" spans="17:17" x14ac:dyDescent="0.15">
      <c r="Q540" s="2"/>
    </row>
    <row r="541" spans="17:17" x14ac:dyDescent="0.15">
      <c r="Q541" s="2"/>
    </row>
    <row r="542" spans="17:17" x14ac:dyDescent="0.15">
      <c r="Q542" s="2"/>
    </row>
    <row r="543" spans="17:17" x14ac:dyDescent="0.15">
      <c r="Q543" s="2"/>
    </row>
    <row r="544" spans="17:17" x14ac:dyDescent="0.15">
      <c r="Q544" s="2"/>
    </row>
    <row r="545" spans="17:17" x14ac:dyDescent="0.15">
      <c r="Q545" s="2"/>
    </row>
    <row r="546" spans="17:17" x14ac:dyDescent="0.15">
      <c r="Q546" s="2"/>
    </row>
    <row r="547" spans="17:17" x14ac:dyDescent="0.15">
      <c r="Q547" s="2"/>
    </row>
    <row r="548" spans="17:17" x14ac:dyDescent="0.15">
      <c r="Q548" s="2"/>
    </row>
    <row r="549" spans="17:17" x14ac:dyDescent="0.15">
      <c r="Q549" s="2"/>
    </row>
    <row r="550" spans="17:17" x14ac:dyDescent="0.15">
      <c r="Q550" s="2"/>
    </row>
    <row r="551" spans="17:17" x14ac:dyDescent="0.15">
      <c r="Q551" s="2"/>
    </row>
    <row r="552" spans="17:17" x14ac:dyDescent="0.15">
      <c r="Q552" s="2"/>
    </row>
    <row r="553" spans="17:17" x14ac:dyDescent="0.15">
      <c r="Q553" s="2"/>
    </row>
    <row r="554" spans="17:17" x14ac:dyDescent="0.15">
      <c r="Q554" s="2"/>
    </row>
    <row r="555" spans="17:17" x14ac:dyDescent="0.15">
      <c r="Q555" s="2"/>
    </row>
    <row r="556" spans="17:17" x14ac:dyDescent="0.15">
      <c r="Q556" s="2"/>
    </row>
    <row r="557" spans="17:17" x14ac:dyDescent="0.15">
      <c r="Q557" s="2"/>
    </row>
    <row r="558" spans="17:17" x14ac:dyDescent="0.15">
      <c r="Q558" s="2"/>
    </row>
    <row r="559" spans="17:17" x14ac:dyDescent="0.15">
      <c r="Q559" s="2"/>
    </row>
    <row r="560" spans="17:17" x14ac:dyDescent="0.15">
      <c r="Q560" s="2"/>
    </row>
    <row r="561" spans="17:17" x14ac:dyDescent="0.15">
      <c r="Q561" s="2"/>
    </row>
    <row r="562" spans="17:17" x14ac:dyDescent="0.15">
      <c r="Q562" s="2"/>
    </row>
    <row r="563" spans="17:17" x14ac:dyDescent="0.15">
      <c r="Q563" s="2"/>
    </row>
    <row r="564" spans="17:17" x14ac:dyDescent="0.15">
      <c r="Q564" s="2"/>
    </row>
    <row r="565" spans="17:17" x14ac:dyDescent="0.15">
      <c r="Q565" s="2"/>
    </row>
    <row r="566" spans="17:17" x14ac:dyDescent="0.15">
      <c r="Q566" s="2"/>
    </row>
    <row r="567" spans="17:17" x14ac:dyDescent="0.15">
      <c r="Q567" s="2"/>
    </row>
    <row r="568" spans="17:17" x14ac:dyDescent="0.15">
      <c r="Q568" s="2"/>
    </row>
    <row r="569" spans="17:17" x14ac:dyDescent="0.15">
      <c r="Q569" s="2"/>
    </row>
    <row r="570" spans="17:17" x14ac:dyDescent="0.15">
      <c r="Q570" s="2"/>
    </row>
    <row r="571" spans="17:17" x14ac:dyDescent="0.15">
      <c r="Q571" s="2"/>
    </row>
    <row r="572" spans="17:17" x14ac:dyDescent="0.15">
      <c r="Q572" s="2"/>
    </row>
    <row r="573" spans="17:17" x14ac:dyDescent="0.15">
      <c r="Q573" s="2"/>
    </row>
    <row r="574" spans="17:17" x14ac:dyDescent="0.15">
      <c r="Q574" s="2"/>
    </row>
    <row r="575" spans="17:17" x14ac:dyDescent="0.15">
      <c r="Q575" s="2"/>
    </row>
    <row r="576" spans="17:17" x14ac:dyDescent="0.15">
      <c r="Q576" s="2"/>
    </row>
    <row r="577" spans="17:17" x14ac:dyDescent="0.15">
      <c r="Q577" s="2"/>
    </row>
    <row r="578" spans="17:17" x14ac:dyDescent="0.15">
      <c r="Q578" s="2"/>
    </row>
    <row r="579" spans="17:17" x14ac:dyDescent="0.15">
      <c r="Q579" s="2"/>
    </row>
    <row r="580" spans="17:17" x14ac:dyDescent="0.15">
      <c r="Q580" s="2"/>
    </row>
    <row r="581" spans="17:17" x14ac:dyDescent="0.15">
      <c r="Q581" s="2"/>
    </row>
    <row r="582" spans="17:17" x14ac:dyDescent="0.15">
      <c r="Q582" s="2"/>
    </row>
    <row r="583" spans="17:17" x14ac:dyDescent="0.15">
      <c r="Q583" s="2"/>
    </row>
    <row r="584" spans="17:17" x14ac:dyDescent="0.15">
      <c r="Q584" s="2"/>
    </row>
    <row r="585" spans="17:17" x14ac:dyDescent="0.15">
      <c r="Q585" s="2"/>
    </row>
    <row r="586" spans="17:17" x14ac:dyDescent="0.15">
      <c r="Q586" s="2"/>
    </row>
    <row r="587" spans="17:17" x14ac:dyDescent="0.15">
      <c r="Q587" s="2"/>
    </row>
    <row r="588" spans="17:17" x14ac:dyDescent="0.15">
      <c r="Q588" s="2"/>
    </row>
    <row r="589" spans="17:17" x14ac:dyDescent="0.15">
      <c r="Q589" s="2"/>
    </row>
    <row r="590" spans="17:17" x14ac:dyDescent="0.15">
      <c r="Q590" s="2"/>
    </row>
    <row r="591" spans="17:17" x14ac:dyDescent="0.15">
      <c r="Q591" s="2"/>
    </row>
    <row r="592" spans="17:17" x14ac:dyDescent="0.15">
      <c r="Q592" s="2"/>
    </row>
    <row r="593" spans="17:17" x14ac:dyDescent="0.15">
      <c r="Q593" s="2"/>
    </row>
    <row r="594" spans="17:17" x14ac:dyDescent="0.15">
      <c r="Q594" s="2"/>
    </row>
    <row r="595" spans="17:17" x14ac:dyDescent="0.15">
      <c r="Q595" s="2"/>
    </row>
    <row r="596" spans="17:17" x14ac:dyDescent="0.15">
      <c r="Q596" s="2"/>
    </row>
    <row r="597" spans="17:17" x14ac:dyDescent="0.15">
      <c r="Q597" s="2"/>
    </row>
    <row r="598" spans="17:17" x14ac:dyDescent="0.15">
      <c r="Q598" s="2"/>
    </row>
    <row r="599" spans="17:17" x14ac:dyDescent="0.15">
      <c r="Q599" s="2"/>
    </row>
    <row r="600" spans="17:17" x14ac:dyDescent="0.15">
      <c r="Q600" s="2"/>
    </row>
    <row r="601" spans="17:17" x14ac:dyDescent="0.15">
      <c r="Q601" s="2"/>
    </row>
    <row r="602" spans="17:17" x14ac:dyDescent="0.15">
      <c r="Q602" s="2"/>
    </row>
    <row r="603" spans="17:17" x14ac:dyDescent="0.15">
      <c r="Q603" s="2"/>
    </row>
    <row r="604" spans="17:17" x14ac:dyDescent="0.15">
      <c r="Q604" s="2"/>
    </row>
    <row r="605" spans="17:17" x14ac:dyDescent="0.15">
      <c r="Q605" s="2"/>
    </row>
    <row r="606" spans="17:17" x14ac:dyDescent="0.15">
      <c r="Q606" s="2"/>
    </row>
    <row r="607" spans="17:17" x14ac:dyDescent="0.15">
      <c r="Q607" s="2"/>
    </row>
    <row r="608" spans="17:17" x14ac:dyDescent="0.15">
      <c r="Q608" s="2"/>
    </row>
    <row r="609" spans="17:17" x14ac:dyDescent="0.15">
      <c r="Q609" s="2"/>
    </row>
    <row r="610" spans="17:17" x14ac:dyDescent="0.15">
      <c r="Q610" s="2"/>
    </row>
    <row r="611" spans="17:17" x14ac:dyDescent="0.15">
      <c r="Q611" s="2"/>
    </row>
    <row r="612" spans="17:17" x14ac:dyDescent="0.15">
      <c r="Q612" s="2"/>
    </row>
    <row r="613" spans="17:17" x14ac:dyDescent="0.15">
      <c r="Q613" s="2"/>
    </row>
    <row r="614" spans="17:17" x14ac:dyDescent="0.15">
      <c r="Q614" s="2"/>
    </row>
    <row r="615" spans="17:17" x14ac:dyDescent="0.15">
      <c r="Q615" s="2"/>
    </row>
    <row r="616" spans="17:17" x14ac:dyDescent="0.15">
      <c r="Q616" s="2"/>
    </row>
    <row r="617" spans="17:17" x14ac:dyDescent="0.15">
      <c r="Q617" s="2"/>
    </row>
    <row r="618" spans="17:17" x14ac:dyDescent="0.15">
      <c r="Q618" s="2"/>
    </row>
    <row r="619" spans="17:17" x14ac:dyDescent="0.15">
      <c r="Q619" s="2"/>
    </row>
    <row r="620" spans="17:17" x14ac:dyDescent="0.15">
      <c r="Q620" s="2"/>
    </row>
    <row r="621" spans="17:17" x14ac:dyDescent="0.15">
      <c r="Q621" s="2"/>
    </row>
    <row r="622" spans="17:17" x14ac:dyDescent="0.15">
      <c r="Q622" s="2"/>
    </row>
    <row r="623" spans="17:17" x14ac:dyDescent="0.15">
      <c r="Q623" s="2"/>
    </row>
    <row r="624" spans="17:17" x14ac:dyDescent="0.15">
      <c r="Q624" s="2"/>
    </row>
    <row r="625" spans="17:17" x14ac:dyDescent="0.15">
      <c r="Q625" s="2"/>
    </row>
    <row r="626" spans="17:17" x14ac:dyDescent="0.15">
      <c r="Q626" s="2"/>
    </row>
    <row r="627" spans="17:17" x14ac:dyDescent="0.15">
      <c r="Q627" s="2"/>
    </row>
    <row r="628" spans="17:17" x14ac:dyDescent="0.15">
      <c r="Q628" s="2"/>
    </row>
    <row r="629" spans="17:17" x14ac:dyDescent="0.15">
      <c r="Q629" s="2"/>
    </row>
    <row r="630" spans="17:17" x14ac:dyDescent="0.15">
      <c r="Q630" s="2"/>
    </row>
    <row r="631" spans="17:17" x14ac:dyDescent="0.15">
      <c r="Q631" s="2"/>
    </row>
    <row r="632" spans="17:17" x14ac:dyDescent="0.15">
      <c r="Q632" s="2"/>
    </row>
    <row r="633" spans="17:17" x14ac:dyDescent="0.15">
      <c r="Q633" s="2"/>
    </row>
    <row r="634" spans="17:17" x14ac:dyDescent="0.15">
      <c r="Q634" s="2"/>
    </row>
    <row r="635" spans="17:17" x14ac:dyDescent="0.15">
      <c r="Q635" s="2"/>
    </row>
    <row r="636" spans="17:17" x14ac:dyDescent="0.15">
      <c r="Q636" s="2"/>
    </row>
    <row r="637" spans="17:17" x14ac:dyDescent="0.15">
      <c r="Q637" s="2"/>
    </row>
    <row r="638" spans="17:17" x14ac:dyDescent="0.15">
      <c r="Q638" s="2"/>
    </row>
    <row r="639" spans="17:17" x14ac:dyDescent="0.15">
      <c r="Q639" s="2"/>
    </row>
    <row r="640" spans="17:17" x14ac:dyDescent="0.15">
      <c r="Q640" s="2"/>
    </row>
    <row r="641" spans="17:17" x14ac:dyDescent="0.15">
      <c r="Q641" s="2"/>
    </row>
    <row r="642" spans="17:17" x14ac:dyDescent="0.15">
      <c r="Q642" s="2"/>
    </row>
    <row r="643" spans="17:17" x14ac:dyDescent="0.15">
      <c r="Q643" s="2"/>
    </row>
    <row r="644" spans="17:17" x14ac:dyDescent="0.15">
      <c r="Q644" s="2"/>
    </row>
    <row r="645" spans="17:17" x14ac:dyDescent="0.15">
      <c r="Q645" s="2"/>
    </row>
    <row r="646" spans="17:17" x14ac:dyDescent="0.15">
      <c r="Q646" s="2"/>
    </row>
    <row r="647" spans="17:17" x14ac:dyDescent="0.15">
      <c r="Q647" s="2"/>
    </row>
    <row r="648" spans="17:17" x14ac:dyDescent="0.15">
      <c r="Q648" s="2"/>
    </row>
    <row r="649" spans="17:17" x14ac:dyDescent="0.15">
      <c r="Q649" s="2"/>
    </row>
    <row r="650" spans="17:17" x14ac:dyDescent="0.15">
      <c r="Q650" s="2"/>
    </row>
    <row r="651" spans="17:17" x14ac:dyDescent="0.15">
      <c r="Q651" s="2"/>
    </row>
    <row r="652" spans="17:17" x14ac:dyDescent="0.15">
      <c r="Q652" s="2"/>
    </row>
    <row r="653" spans="17:17" x14ac:dyDescent="0.15">
      <c r="Q653" s="2"/>
    </row>
    <row r="654" spans="17:17" x14ac:dyDescent="0.15">
      <c r="Q654" s="2"/>
    </row>
    <row r="655" spans="17:17" x14ac:dyDescent="0.15">
      <c r="Q655" s="2"/>
    </row>
    <row r="656" spans="17:17" x14ac:dyDescent="0.15">
      <c r="Q656" s="2"/>
    </row>
    <row r="657" spans="17:17" x14ac:dyDescent="0.15">
      <c r="Q657" s="2"/>
    </row>
    <row r="658" spans="17:17" x14ac:dyDescent="0.15">
      <c r="Q658" s="2"/>
    </row>
    <row r="659" spans="17:17" x14ac:dyDescent="0.15">
      <c r="Q659" s="2"/>
    </row>
    <row r="660" spans="17:17" x14ac:dyDescent="0.15">
      <c r="Q660" s="2"/>
    </row>
    <row r="661" spans="17:17" x14ac:dyDescent="0.15">
      <c r="Q661" s="2"/>
    </row>
    <row r="662" spans="17:17" x14ac:dyDescent="0.15">
      <c r="Q662" s="2"/>
    </row>
    <row r="663" spans="17:17" x14ac:dyDescent="0.15">
      <c r="Q663" s="2"/>
    </row>
    <row r="664" spans="17:17" x14ac:dyDescent="0.15">
      <c r="Q664" s="2"/>
    </row>
    <row r="665" spans="17:17" x14ac:dyDescent="0.15">
      <c r="Q665" s="2"/>
    </row>
    <row r="666" spans="17:17" x14ac:dyDescent="0.15">
      <c r="Q666" s="2"/>
    </row>
    <row r="667" spans="17:17" x14ac:dyDescent="0.15">
      <c r="Q667" s="2"/>
    </row>
    <row r="668" spans="17:17" x14ac:dyDescent="0.15">
      <c r="Q668" s="2"/>
    </row>
    <row r="669" spans="17:17" x14ac:dyDescent="0.15">
      <c r="Q669" s="2"/>
    </row>
    <row r="670" spans="17:17" x14ac:dyDescent="0.15">
      <c r="Q670" s="2"/>
    </row>
    <row r="671" spans="17:17" x14ac:dyDescent="0.15">
      <c r="Q671" s="2"/>
    </row>
    <row r="672" spans="17:17" x14ac:dyDescent="0.15">
      <c r="Q672" s="2"/>
    </row>
    <row r="673" spans="17:17" x14ac:dyDescent="0.15">
      <c r="Q673" s="2"/>
    </row>
    <row r="674" spans="17:17" x14ac:dyDescent="0.15">
      <c r="Q674" s="2"/>
    </row>
    <row r="675" spans="17:17" x14ac:dyDescent="0.15">
      <c r="Q675" s="2"/>
    </row>
    <row r="676" spans="17:17" x14ac:dyDescent="0.15">
      <c r="Q676" s="2"/>
    </row>
    <row r="677" spans="17:17" x14ac:dyDescent="0.15">
      <c r="Q677" s="2"/>
    </row>
    <row r="678" spans="17:17" x14ac:dyDescent="0.15">
      <c r="Q678" s="2"/>
    </row>
    <row r="679" spans="17:17" x14ac:dyDescent="0.15">
      <c r="Q679" s="2"/>
    </row>
    <row r="680" spans="17:17" x14ac:dyDescent="0.15">
      <c r="Q680" s="2"/>
    </row>
    <row r="681" spans="17:17" x14ac:dyDescent="0.15">
      <c r="Q681" s="2"/>
    </row>
    <row r="682" spans="17:17" x14ac:dyDescent="0.15">
      <c r="Q682" s="2"/>
    </row>
    <row r="683" spans="17:17" x14ac:dyDescent="0.15">
      <c r="Q683" s="2"/>
    </row>
    <row r="684" spans="17:17" x14ac:dyDescent="0.15">
      <c r="Q684" s="2"/>
    </row>
    <row r="685" spans="17:17" x14ac:dyDescent="0.15">
      <c r="Q685" s="2"/>
    </row>
    <row r="686" spans="17:17" x14ac:dyDescent="0.15">
      <c r="Q686" s="2"/>
    </row>
    <row r="687" spans="17:17" x14ac:dyDescent="0.15">
      <c r="Q687" s="2"/>
    </row>
    <row r="688" spans="17:17" x14ac:dyDescent="0.15">
      <c r="Q688" s="2"/>
    </row>
    <row r="689" spans="17:17" x14ac:dyDescent="0.15">
      <c r="Q689" s="2"/>
    </row>
    <row r="690" spans="17:17" x14ac:dyDescent="0.15">
      <c r="Q690" s="2"/>
    </row>
    <row r="691" spans="17:17" x14ac:dyDescent="0.15">
      <c r="Q691" s="2"/>
    </row>
    <row r="692" spans="17:17" x14ac:dyDescent="0.15">
      <c r="Q692" s="2"/>
    </row>
    <row r="693" spans="17:17" x14ac:dyDescent="0.15">
      <c r="Q693" s="2"/>
    </row>
    <row r="694" spans="17:17" x14ac:dyDescent="0.15">
      <c r="Q694" s="2"/>
    </row>
    <row r="695" spans="17:17" x14ac:dyDescent="0.15">
      <c r="Q695" s="2"/>
    </row>
    <row r="696" spans="17:17" x14ac:dyDescent="0.15">
      <c r="Q696" s="2"/>
    </row>
    <row r="697" spans="17:17" x14ac:dyDescent="0.15">
      <c r="Q697" s="2"/>
    </row>
    <row r="698" spans="17:17" x14ac:dyDescent="0.15">
      <c r="Q698" s="2"/>
    </row>
    <row r="699" spans="17:17" x14ac:dyDescent="0.15">
      <c r="Q699" s="2"/>
    </row>
    <row r="700" spans="17:17" x14ac:dyDescent="0.15">
      <c r="Q700" s="2"/>
    </row>
    <row r="701" spans="17:17" x14ac:dyDescent="0.15">
      <c r="Q701" s="2"/>
    </row>
    <row r="702" spans="17:17" x14ac:dyDescent="0.15">
      <c r="Q702" s="2"/>
    </row>
    <row r="703" spans="17:17" x14ac:dyDescent="0.15">
      <c r="Q703" s="2"/>
    </row>
    <row r="704" spans="17:17" x14ac:dyDescent="0.15">
      <c r="Q704" s="2"/>
    </row>
    <row r="705" spans="17:17" x14ac:dyDescent="0.15">
      <c r="Q705" s="2"/>
    </row>
    <row r="706" spans="17:17" x14ac:dyDescent="0.15">
      <c r="Q706" s="2"/>
    </row>
    <row r="707" spans="17:17" x14ac:dyDescent="0.15">
      <c r="Q707" s="2"/>
    </row>
    <row r="708" spans="17:17" x14ac:dyDescent="0.15">
      <c r="Q708" s="2"/>
    </row>
    <row r="709" spans="17:17" x14ac:dyDescent="0.15">
      <c r="Q709" s="2"/>
    </row>
    <row r="710" spans="17:17" x14ac:dyDescent="0.15">
      <c r="Q710" s="2"/>
    </row>
    <row r="711" spans="17:17" x14ac:dyDescent="0.15">
      <c r="Q711" s="2"/>
    </row>
    <row r="712" spans="17:17" x14ac:dyDescent="0.15">
      <c r="Q712" s="2"/>
    </row>
    <row r="713" spans="17:17" x14ac:dyDescent="0.15">
      <c r="Q713" s="2"/>
    </row>
    <row r="714" spans="17:17" x14ac:dyDescent="0.15">
      <c r="Q714" s="2"/>
    </row>
    <row r="715" spans="17:17" x14ac:dyDescent="0.15">
      <c r="Q715" s="2"/>
    </row>
    <row r="716" spans="17:17" x14ac:dyDescent="0.15">
      <c r="Q716" s="2"/>
    </row>
    <row r="717" spans="17:17" x14ac:dyDescent="0.15">
      <c r="Q717" s="2"/>
    </row>
    <row r="718" spans="17:17" x14ac:dyDescent="0.15">
      <c r="Q718" s="2"/>
    </row>
    <row r="719" spans="17:17" x14ac:dyDescent="0.15">
      <c r="Q719" s="2"/>
    </row>
    <row r="720" spans="17:17" x14ac:dyDescent="0.15">
      <c r="Q720" s="2"/>
    </row>
    <row r="721" spans="17:17" x14ac:dyDescent="0.15">
      <c r="Q721" s="2"/>
    </row>
    <row r="722" spans="17:17" x14ac:dyDescent="0.15">
      <c r="Q722" s="2"/>
    </row>
    <row r="723" spans="17:17" x14ac:dyDescent="0.15">
      <c r="Q723" s="2"/>
    </row>
    <row r="724" spans="17:17" x14ac:dyDescent="0.15">
      <c r="Q724" s="2"/>
    </row>
    <row r="725" spans="17:17" x14ac:dyDescent="0.15">
      <c r="Q725" s="2"/>
    </row>
    <row r="726" spans="17:17" x14ac:dyDescent="0.15">
      <c r="Q726" s="2"/>
    </row>
    <row r="727" spans="17:17" x14ac:dyDescent="0.15">
      <c r="Q727" s="2"/>
    </row>
    <row r="728" spans="17:17" x14ac:dyDescent="0.15">
      <c r="Q728" s="2"/>
    </row>
    <row r="729" spans="17:17" x14ac:dyDescent="0.15">
      <c r="Q729" s="2"/>
    </row>
    <row r="730" spans="17:17" x14ac:dyDescent="0.15">
      <c r="Q730" s="2"/>
    </row>
    <row r="731" spans="17:17" x14ac:dyDescent="0.15">
      <c r="Q731" s="2"/>
    </row>
    <row r="732" spans="17:17" x14ac:dyDescent="0.15">
      <c r="Q732" s="2"/>
    </row>
    <row r="733" spans="17:17" x14ac:dyDescent="0.15">
      <c r="Q733" s="2"/>
    </row>
    <row r="734" spans="17:17" x14ac:dyDescent="0.15">
      <c r="Q734" s="2"/>
    </row>
    <row r="735" spans="17:17" x14ac:dyDescent="0.15">
      <c r="Q735" s="2"/>
    </row>
    <row r="736" spans="17:17" x14ac:dyDescent="0.15">
      <c r="Q736" s="2"/>
    </row>
    <row r="737" spans="17:17" x14ac:dyDescent="0.15">
      <c r="Q737" s="2"/>
    </row>
    <row r="738" spans="17:17" x14ac:dyDescent="0.15">
      <c r="Q738" s="2"/>
    </row>
    <row r="739" spans="17:17" x14ac:dyDescent="0.15">
      <c r="Q739" s="2"/>
    </row>
    <row r="740" spans="17:17" x14ac:dyDescent="0.15">
      <c r="Q740" s="2"/>
    </row>
    <row r="741" spans="17:17" x14ac:dyDescent="0.15">
      <c r="Q741" s="2"/>
    </row>
    <row r="742" spans="17:17" x14ac:dyDescent="0.15">
      <c r="Q742" s="2"/>
    </row>
    <row r="743" spans="17:17" x14ac:dyDescent="0.15">
      <c r="Q743" s="2"/>
    </row>
    <row r="744" spans="17:17" x14ac:dyDescent="0.15">
      <c r="Q744" s="2"/>
    </row>
    <row r="745" spans="17:17" x14ac:dyDescent="0.15">
      <c r="Q745" s="2"/>
    </row>
    <row r="746" spans="17:17" x14ac:dyDescent="0.15">
      <c r="Q746" s="2"/>
    </row>
    <row r="747" spans="17:17" x14ac:dyDescent="0.15">
      <c r="Q747" s="2"/>
    </row>
    <row r="748" spans="17:17" x14ac:dyDescent="0.15">
      <c r="Q748" s="2"/>
    </row>
    <row r="749" spans="17:17" x14ac:dyDescent="0.15">
      <c r="Q749" s="2"/>
    </row>
    <row r="750" spans="17:17" x14ac:dyDescent="0.15">
      <c r="Q750" s="2"/>
    </row>
    <row r="751" spans="17:17" x14ac:dyDescent="0.15">
      <c r="Q751" s="2"/>
    </row>
    <row r="752" spans="17:17" x14ac:dyDescent="0.15">
      <c r="Q752" s="2"/>
    </row>
    <row r="753" spans="17:17" x14ac:dyDescent="0.15">
      <c r="Q753" s="2"/>
    </row>
    <row r="754" spans="17:17" x14ac:dyDescent="0.15">
      <c r="Q754" s="2"/>
    </row>
    <row r="755" spans="17:17" x14ac:dyDescent="0.15">
      <c r="Q755" s="2"/>
    </row>
    <row r="756" spans="17:17" x14ac:dyDescent="0.15">
      <c r="Q756" s="2"/>
    </row>
    <row r="757" spans="17:17" x14ac:dyDescent="0.15">
      <c r="Q757" s="2"/>
    </row>
    <row r="758" spans="17:17" x14ac:dyDescent="0.15">
      <c r="Q758" s="2"/>
    </row>
    <row r="759" spans="17:17" x14ac:dyDescent="0.15">
      <c r="Q759" s="2"/>
    </row>
    <row r="760" spans="17:17" x14ac:dyDescent="0.15">
      <c r="Q760" s="2"/>
    </row>
    <row r="761" spans="17:17" x14ac:dyDescent="0.15">
      <c r="Q761" s="2"/>
    </row>
    <row r="762" spans="17:17" x14ac:dyDescent="0.15">
      <c r="Q762" s="2"/>
    </row>
    <row r="763" spans="17:17" x14ac:dyDescent="0.15">
      <c r="Q763" s="2"/>
    </row>
    <row r="764" spans="17:17" x14ac:dyDescent="0.15">
      <c r="Q764" s="2"/>
    </row>
    <row r="765" spans="17:17" x14ac:dyDescent="0.15">
      <c r="Q765" s="2"/>
    </row>
    <row r="766" spans="17:17" x14ac:dyDescent="0.15">
      <c r="Q766" s="2"/>
    </row>
    <row r="767" spans="17:17" x14ac:dyDescent="0.15">
      <c r="Q767" s="2"/>
    </row>
    <row r="768" spans="17:17" x14ac:dyDescent="0.15">
      <c r="Q768" s="2"/>
    </row>
    <row r="769" spans="17:17" x14ac:dyDescent="0.15">
      <c r="Q769" s="2"/>
    </row>
    <row r="770" spans="17:17" x14ac:dyDescent="0.15">
      <c r="Q770" s="2"/>
    </row>
    <row r="771" spans="17:17" x14ac:dyDescent="0.15">
      <c r="Q771" s="2"/>
    </row>
    <row r="772" spans="17:17" x14ac:dyDescent="0.15">
      <c r="Q772" s="2"/>
    </row>
    <row r="773" spans="17:17" x14ac:dyDescent="0.15">
      <c r="Q773" s="2"/>
    </row>
    <row r="774" spans="17:17" x14ac:dyDescent="0.15">
      <c r="Q774" s="2"/>
    </row>
    <row r="775" spans="17:17" x14ac:dyDescent="0.15">
      <c r="Q775" s="2"/>
    </row>
    <row r="776" spans="17:17" x14ac:dyDescent="0.15">
      <c r="Q776" s="2"/>
    </row>
    <row r="777" spans="17:17" x14ac:dyDescent="0.15">
      <c r="Q777" s="2"/>
    </row>
    <row r="778" spans="17:17" x14ac:dyDescent="0.15">
      <c r="Q778" s="2"/>
    </row>
    <row r="779" spans="17:17" x14ac:dyDescent="0.15">
      <c r="Q779" s="2"/>
    </row>
    <row r="780" spans="17:17" x14ac:dyDescent="0.15">
      <c r="Q780" s="2"/>
    </row>
    <row r="781" spans="17:17" x14ac:dyDescent="0.15">
      <c r="Q781" s="2"/>
    </row>
    <row r="782" spans="17:17" x14ac:dyDescent="0.15">
      <c r="Q782" s="2"/>
    </row>
    <row r="783" spans="17:17" x14ac:dyDescent="0.15">
      <c r="Q783" s="2"/>
    </row>
    <row r="784" spans="17:17" x14ac:dyDescent="0.15">
      <c r="Q784" s="2"/>
    </row>
    <row r="785" spans="17:17" x14ac:dyDescent="0.15">
      <c r="Q785" s="2"/>
    </row>
    <row r="786" spans="17:17" x14ac:dyDescent="0.15">
      <c r="Q786" s="2"/>
    </row>
    <row r="787" spans="17:17" x14ac:dyDescent="0.15">
      <c r="Q787" s="2"/>
    </row>
    <row r="788" spans="17:17" x14ac:dyDescent="0.15">
      <c r="Q788" s="2"/>
    </row>
    <row r="789" spans="17:17" x14ac:dyDescent="0.15">
      <c r="Q789" s="2"/>
    </row>
    <row r="790" spans="17:17" x14ac:dyDescent="0.15">
      <c r="Q790" s="2"/>
    </row>
    <row r="791" spans="17:17" x14ac:dyDescent="0.15">
      <c r="Q791" s="2"/>
    </row>
    <row r="792" spans="17:17" x14ac:dyDescent="0.15">
      <c r="Q792" s="2"/>
    </row>
    <row r="793" spans="17:17" x14ac:dyDescent="0.15">
      <c r="Q793" s="2"/>
    </row>
    <row r="794" spans="17:17" x14ac:dyDescent="0.15">
      <c r="Q794" s="2"/>
    </row>
    <row r="795" spans="17:17" x14ac:dyDescent="0.15">
      <c r="Q795" s="2"/>
    </row>
    <row r="796" spans="17:17" x14ac:dyDescent="0.15">
      <c r="Q796" s="2"/>
    </row>
    <row r="797" spans="17:17" x14ac:dyDescent="0.15">
      <c r="Q797" s="2"/>
    </row>
    <row r="798" spans="17:17" x14ac:dyDescent="0.15">
      <c r="Q798" s="2"/>
    </row>
    <row r="799" spans="17:17" x14ac:dyDescent="0.15">
      <c r="Q799" s="2"/>
    </row>
    <row r="800" spans="17:17" x14ac:dyDescent="0.15">
      <c r="Q800" s="2"/>
    </row>
    <row r="801" spans="17:17" x14ac:dyDescent="0.15">
      <c r="Q801" s="2"/>
    </row>
    <row r="802" spans="17:17" x14ac:dyDescent="0.15">
      <c r="Q802" s="2"/>
    </row>
    <row r="803" spans="17:17" x14ac:dyDescent="0.15">
      <c r="Q803" s="2"/>
    </row>
    <row r="804" spans="17:17" x14ac:dyDescent="0.15">
      <c r="Q804" s="2"/>
    </row>
    <row r="805" spans="17:17" x14ac:dyDescent="0.15">
      <c r="Q805" s="2"/>
    </row>
    <row r="806" spans="17:17" x14ac:dyDescent="0.15">
      <c r="Q806" s="2"/>
    </row>
    <row r="807" spans="17:17" x14ac:dyDescent="0.15">
      <c r="Q807" s="2"/>
    </row>
    <row r="808" spans="17:17" x14ac:dyDescent="0.15">
      <c r="Q808" s="2"/>
    </row>
    <row r="809" spans="17:17" x14ac:dyDescent="0.15">
      <c r="Q809" s="2"/>
    </row>
    <row r="810" spans="17:17" x14ac:dyDescent="0.15">
      <c r="Q810" s="2"/>
    </row>
    <row r="811" spans="17:17" x14ac:dyDescent="0.15">
      <c r="Q811" s="2"/>
    </row>
    <row r="812" spans="17:17" x14ac:dyDescent="0.15">
      <c r="Q812" s="2"/>
    </row>
    <row r="813" spans="17:17" x14ac:dyDescent="0.15">
      <c r="Q813" s="2"/>
    </row>
    <row r="814" spans="17:17" x14ac:dyDescent="0.15">
      <c r="Q814" s="2"/>
    </row>
    <row r="815" spans="17:17" x14ac:dyDescent="0.15">
      <c r="Q815" s="2"/>
    </row>
    <row r="816" spans="17:17" x14ac:dyDescent="0.15">
      <c r="Q816" s="2"/>
    </row>
    <row r="817" spans="17:17" x14ac:dyDescent="0.15">
      <c r="Q817" s="2"/>
    </row>
    <row r="818" spans="17:17" x14ac:dyDescent="0.15">
      <c r="Q818" s="2"/>
    </row>
    <row r="819" spans="17:17" x14ac:dyDescent="0.15">
      <c r="Q819" s="2"/>
    </row>
    <row r="820" spans="17:17" x14ac:dyDescent="0.15">
      <c r="Q820" s="2"/>
    </row>
    <row r="821" spans="17:17" x14ac:dyDescent="0.15">
      <c r="Q821" s="2"/>
    </row>
    <row r="822" spans="17:17" x14ac:dyDescent="0.15">
      <c r="Q822" s="2"/>
    </row>
    <row r="823" spans="17:17" x14ac:dyDescent="0.15">
      <c r="Q823" s="2"/>
    </row>
    <row r="824" spans="17:17" x14ac:dyDescent="0.15">
      <c r="Q824" s="2"/>
    </row>
    <row r="825" spans="17:17" x14ac:dyDescent="0.15">
      <c r="Q825" s="2"/>
    </row>
    <row r="826" spans="17:17" x14ac:dyDescent="0.15">
      <c r="Q826" s="2"/>
    </row>
    <row r="827" spans="17:17" x14ac:dyDescent="0.15">
      <c r="Q827" s="2"/>
    </row>
    <row r="828" spans="17:17" x14ac:dyDescent="0.15">
      <c r="Q828" s="2"/>
    </row>
    <row r="829" spans="17:17" x14ac:dyDescent="0.15">
      <c r="Q829" s="2"/>
    </row>
    <row r="830" spans="17:17" x14ac:dyDescent="0.15">
      <c r="Q830" s="2"/>
    </row>
    <row r="831" spans="17:17" x14ac:dyDescent="0.15">
      <c r="Q831" s="2"/>
    </row>
    <row r="832" spans="17:17" x14ac:dyDescent="0.15">
      <c r="Q832" s="2"/>
    </row>
    <row r="833" spans="17:17" x14ac:dyDescent="0.15">
      <c r="Q833" s="2"/>
    </row>
    <row r="834" spans="17:17" x14ac:dyDescent="0.15">
      <c r="Q834" s="2"/>
    </row>
    <row r="835" spans="17:17" x14ac:dyDescent="0.15">
      <c r="Q835" s="2"/>
    </row>
    <row r="836" spans="17:17" x14ac:dyDescent="0.15">
      <c r="Q836" s="2"/>
    </row>
    <row r="837" spans="17:17" x14ac:dyDescent="0.15">
      <c r="Q837" s="2"/>
    </row>
    <row r="838" spans="17:17" x14ac:dyDescent="0.15">
      <c r="Q838" s="2"/>
    </row>
    <row r="839" spans="17:17" x14ac:dyDescent="0.15">
      <c r="Q839" s="2"/>
    </row>
    <row r="840" spans="17:17" x14ac:dyDescent="0.15">
      <c r="Q840" s="2"/>
    </row>
    <row r="841" spans="17:17" x14ac:dyDescent="0.15">
      <c r="Q841" s="2"/>
    </row>
    <row r="842" spans="17:17" x14ac:dyDescent="0.15">
      <c r="Q842" s="2"/>
    </row>
    <row r="843" spans="17:17" x14ac:dyDescent="0.15">
      <c r="Q843" s="2"/>
    </row>
    <row r="844" spans="17:17" x14ac:dyDescent="0.15">
      <c r="Q844" s="2"/>
    </row>
    <row r="845" spans="17:17" x14ac:dyDescent="0.15">
      <c r="Q845" s="2"/>
    </row>
    <row r="846" spans="17:17" x14ac:dyDescent="0.15">
      <c r="Q846" s="2"/>
    </row>
    <row r="847" spans="17:17" x14ac:dyDescent="0.15">
      <c r="Q847" s="2"/>
    </row>
    <row r="848" spans="17:17" x14ac:dyDescent="0.15">
      <c r="Q848" s="2"/>
    </row>
    <row r="849" spans="17:17" x14ac:dyDescent="0.15">
      <c r="Q849" s="2"/>
    </row>
    <row r="850" spans="17:17" x14ac:dyDescent="0.15">
      <c r="Q850" s="2"/>
    </row>
    <row r="851" spans="17:17" x14ac:dyDescent="0.15">
      <c r="Q851" s="2"/>
    </row>
    <row r="852" spans="17:17" x14ac:dyDescent="0.15">
      <c r="Q852" s="2"/>
    </row>
    <row r="853" spans="17:17" x14ac:dyDescent="0.15">
      <c r="Q853" s="2"/>
    </row>
    <row r="854" spans="17:17" x14ac:dyDescent="0.15">
      <c r="Q854" s="2"/>
    </row>
    <row r="855" spans="17:17" x14ac:dyDescent="0.15">
      <c r="Q855" s="2"/>
    </row>
    <row r="856" spans="17:17" x14ac:dyDescent="0.15">
      <c r="Q856" s="2"/>
    </row>
    <row r="857" spans="17:17" x14ac:dyDescent="0.15">
      <c r="Q857" s="2"/>
    </row>
    <row r="858" spans="17:17" x14ac:dyDescent="0.15">
      <c r="Q858" s="2"/>
    </row>
    <row r="859" spans="17:17" x14ac:dyDescent="0.15">
      <c r="Q859" s="2"/>
    </row>
    <row r="860" spans="17:17" x14ac:dyDescent="0.15">
      <c r="Q860" s="2"/>
    </row>
    <row r="861" spans="17:17" x14ac:dyDescent="0.15">
      <c r="Q861" s="2"/>
    </row>
    <row r="862" spans="17:17" x14ac:dyDescent="0.15">
      <c r="Q862" s="2"/>
    </row>
    <row r="863" spans="17:17" x14ac:dyDescent="0.15">
      <c r="Q863" s="2"/>
    </row>
    <row r="864" spans="17:17" x14ac:dyDescent="0.15">
      <c r="Q864" s="2"/>
    </row>
    <row r="865" spans="17:17" x14ac:dyDescent="0.15">
      <c r="Q865" s="2"/>
    </row>
    <row r="866" spans="17:17" x14ac:dyDescent="0.15">
      <c r="Q866" s="2"/>
    </row>
    <row r="867" spans="17:17" x14ac:dyDescent="0.15">
      <c r="Q867" s="2"/>
    </row>
    <row r="868" spans="17:17" x14ac:dyDescent="0.15">
      <c r="Q868" s="2"/>
    </row>
    <row r="869" spans="17:17" x14ac:dyDescent="0.15">
      <c r="Q869" s="2"/>
    </row>
    <row r="870" spans="17:17" x14ac:dyDescent="0.15">
      <c r="Q870" s="2"/>
    </row>
    <row r="871" spans="17:17" x14ac:dyDescent="0.15">
      <c r="Q871" s="2"/>
    </row>
    <row r="872" spans="17:17" x14ac:dyDescent="0.15">
      <c r="Q872" s="2"/>
    </row>
    <row r="873" spans="17:17" x14ac:dyDescent="0.15">
      <c r="Q873" s="2"/>
    </row>
    <row r="874" spans="17:17" x14ac:dyDescent="0.15">
      <c r="Q874" s="2"/>
    </row>
    <row r="875" spans="17:17" x14ac:dyDescent="0.15">
      <c r="Q875" s="2"/>
    </row>
    <row r="876" spans="17:17" x14ac:dyDescent="0.15">
      <c r="Q876" s="2"/>
    </row>
    <row r="877" spans="17:17" x14ac:dyDescent="0.15">
      <c r="Q877" s="2"/>
    </row>
    <row r="878" spans="17:17" x14ac:dyDescent="0.15">
      <c r="Q878" s="2"/>
    </row>
    <row r="879" spans="17:17" x14ac:dyDescent="0.15">
      <c r="Q879" s="2"/>
    </row>
    <row r="880" spans="17:17" x14ac:dyDescent="0.15">
      <c r="Q880" s="2"/>
    </row>
    <row r="881" spans="17:17" x14ac:dyDescent="0.15">
      <c r="Q881" s="2"/>
    </row>
    <row r="882" spans="17:17" x14ac:dyDescent="0.15">
      <c r="Q882" s="2"/>
    </row>
    <row r="883" spans="17:17" x14ac:dyDescent="0.15">
      <c r="Q883" s="2"/>
    </row>
    <row r="884" spans="17:17" x14ac:dyDescent="0.15">
      <c r="Q884" s="2"/>
    </row>
    <row r="885" spans="17:17" x14ac:dyDescent="0.15">
      <c r="Q885" s="2"/>
    </row>
    <row r="886" spans="17:17" x14ac:dyDescent="0.15">
      <c r="Q886" s="2"/>
    </row>
    <row r="887" spans="17:17" x14ac:dyDescent="0.15">
      <c r="Q887" s="2"/>
    </row>
    <row r="888" spans="17:17" x14ac:dyDescent="0.15">
      <c r="Q888" s="2"/>
    </row>
    <row r="889" spans="17:17" x14ac:dyDescent="0.15">
      <c r="Q889" s="2"/>
    </row>
    <row r="890" spans="17:17" x14ac:dyDescent="0.15">
      <c r="Q890" s="2"/>
    </row>
    <row r="891" spans="17:17" x14ac:dyDescent="0.15">
      <c r="Q891" s="2"/>
    </row>
    <row r="892" spans="17:17" x14ac:dyDescent="0.15">
      <c r="Q892" s="2"/>
    </row>
    <row r="893" spans="17:17" x14ac:dyDescent="0.15">
      <c r="Q893" s="2"/>
    </row>
    <row r="894" spans="17:17" x14ac:dyDescent="0.15">
      <c r="Q894" s="2"/>
    </row>
    <row r="895" spans="17:17" x14ac:dyDescent="0.15">
      <c r="Q895" s="2"/>
    </row>
    <row r="896" spans="17:17" x14ac:dyDescent="0.15">
      <c r="Q896" s="2"/>
    </row>
    <row r="897" spans="17:17" x14ac:dyDescent="0.15">
      <c r="Q897" s="2"/>
    </row>
    <row r="898" spans="17:17" x14ac:dyDescent="0.15">
      <c r="Q898" s="2"/>
    </row>
    <row r="899" spans="17:17" x14ac:dyDescent="0.15">
      <c r="Q899" s="2"/>
    </row>
    <row r="900" spans="17:17" x14ac:dyDescent="0.15">
      <c r="Q900" s="2"/>
    </row>
    <row r="901" spans="17:17" x14ac:dyDescent="0.15">
      <c r="Q901" s="2"/>
    </row>
    <row r="902" spans="17:17" x14ac:dyDescent="0.15">
      <c r="Q902" s="2"/>
    </row>
    <row r="903" spans="17:17" x14ac:dyDescent="0.15">
      <c r="Q903" s="2"/>
    </row>
    <row r="904" spans="17:17" x14ac:dyDescent="0.15">
      <c r="Q904" s="2"/>
    </row>
    <row r="905" spans="17:17" x14ac:dyDescent="0.15">
      <c r="Q905" s="2"/>
    </row>
    <row r="906" spans="17:17" x14ac:dyDescent="0.15">
      <c r="Q906" s="2"/>
    </row>
    <row r="907" spans="17:17" x14ac:dyDescent="0.15">
      <c r="Q907" s="2"/>
    </row>
    <row r="908" spans="17:17" x14ac:dyDescent="0.15">
      <c r="Q908" s="2"/>
    </row>
    <row r="909" spans="17:17" x14ac:dyDescent="0.15">
      <c r="Q909" s="2"/>
    </row>
    <row r="910" spans="17:17" x14ac:dyDescent="0.15">
      <c r="Q910" s="2"/>
    </row>
    <row r="911" spans="17:17" x14ac:dyDescent="0.15">
      <c r="Q911" s="2"/>
    </row>
    <row r="912" spans="17:17" x14ac:dyDescent="0.15">
      <c r="Q912" s="2"/>
    </row>
    <row r="913" spans="17:17" x14ac:dyDescent="0.15">
      <c r="Q913" s="2"/>
    </row>
    <row r="914" spans="17:17" x14ac:dyDescent="0.15">
      <c r="Q914" s="2"/>
    </row>
    <row r="915" spans="17:17" x14ac:dyDescent="0.15">
      <c r="Q915" s="2"/>
    </row>
    <row r="916" spans="17:17" x14ac:dyDescent="0.15">
      <c r="Q916" s="2"/>
    </row>
    <row r="917" spans="17:17" x14ac:dyDescent="0.15">
      <c r="Q917" s="2"/>
    </row>
    <row r="918" spans="17:17" x14ac:dyDescent="0.15">
      <c r="Q918" s="2"/>
    </row>
    <row r="919" spans="17:17" x14ac:dyDescent="0.15">
      <c r="Q919" s="2"/>
    </row>
    <row r="920" spans="17:17" x14ac:dyDescent="0.15">
      <c r="Q920" s="2"/>
    </row>
    <row r="921" spans="17:17" x14ac:dyDescent="0.15">
      <c r="Q921" s="2"/>
    </row>
    <row r="922" spans="17:17" x14ac:dyDescent="0.15">
      <c r="Q922" s="2"/>
    </row>
    <row r="923" spans="17:17" x14ac:dyDescent="0.15">
      <c r="Q923" s="2"/>
    </row>
    <row r="924" spans="17:17" x14ac:dyDescent="0.15">
      <c r="Q924" s="2"/>
    </row>
    <row r="925" spans="17:17" x14ac:dyDescent="0.15">
      <c r="Q925" s="2"/>
    </row>
    <row r="926" spans="17:17" x14ac:dyDescent="0.15">
      <c r="Q926" s="2"/>
    </row>
    <row r="927" spans="17:17" x14ac:dyDescent="0.15">
      <c r="Q927" s="2"/>
    </row>
    <row r="928" spans="17:17" x14ac:dyDescent="0.15">
      <c r="Q928" s="2"/>
    </row>
    <row r="929" spans="17:17" x14ac:dyDescent="0.15">
      <c r="Q929" s="2"/>
    </row>
    <row r="930" spans="17:17" x14ac:dyDescent="0.15">
      <c r="Q930" s="2"/>
    </row>
    <row r="931" spans="17:17" x14ac:dyDescent="0.15">
      <c r="Q931" s="2"/>
    </row>
    <row r="932" spans="17:17" x14ac:dyDescent="0.15">
      <c r="Q932" s="2"/>
    </row>
    <row r="933" spans="17:17" x14ac:dyDescent="0.15">
      <c r="Q933" s="2"/>
    </row>
    <row r="934" spans="17:17" x14ac:dyDescent="0.15">
      <c r="Q934" s="2"/>
    </row>
    <row r="935" spans="17:17" x14ac:dyDescent="0.15">
      <c r="Q935" s="2"/>
    </row>
    <row r="936" spans="17:17" x14ac:dyDescent="0.15">
      <c r="Q936" s="2"/>
    </row>
    <row r="937" spans="17:17" x14ac:dyDescent="0.15">
      <c r="Q937" s="2"/>
    </row>
    <row r="938" spans="17:17" x14ac:dyDescent="0.15">
      <c r="Q938" s="2"/>
    </row>
    <row r="939" spans="17:17" x14ac:dyDescent="0.15">
      <c r="Q939" s="2"/>
    </row>
    <row r="940" spans="17:17" x14ac:dyDescent="0.15">
      <c r="Q940" s="2"/>
    </row>
    <row r="941" spans="17:17" x14ac:dyDescent="0.15">
      <c r="Q941" s="2"/>
    </row>
    <row r="942" spans="17:17" x14ac:dyDescent="0.15">
      <c r="Q942" s="2"/>
    </row>
    <row r="943" spans="17:17" x14ac:dyDescent="0.15">
      <c r="Q943" s="2"/>
    </row>
    <row r="944" spans="17:17" x14ac:dyDescent="0.15">
      <c r="Q944" s="2"/>
    </row>
    <row r="945" spans="17:17" x14ac:dyDescent="0.15">
      <c r="Q945" s="2"/>
    </row>
    <row r="946" spans="17:17" x14ac:dyDescent="0.15">
      <c r="Q946" s="2"/>
    </row>
    <row r="947" spans="17:17" x14ac:dyDescent="0.15">
      <c r="Q947" s="2"/>
    </row>
    <row r="948" spans="17:17" x14ac:dyDescent="0.15">
      <c r="Q948" s="2"/>
    </row>
    <row r="949" spans="17:17" x14ac:dyDescent="0.15">
      <c r="Q949" s="2"/>
    </row>
    <row r="950" spans="17:17" x14ac:dyDescent="0.15">
      <c r="Q950" s="2"/>
    </row>
    <row r="951" spans="17:17" x14ac:dyDescent="0.15">
      <c r="Q951" s="2"/>
    </row>
    <row r="952" spans="17:17" x14ac:dyDescent="0.15">
      <c r="Q952" s="2"/>
    </row>
    <row r="953" spans="17:17" x14ac:dyDescent="0.15">
      <c r="Q953" s="2"/>
    </row>
    <row r="954" spans="17:17" x14ac:dyDescent="0.15">
      <c r="Q954" s="2"/>
    </row>
    <row r="955" spans="17:17" x14ac:dyDescent="0.15">
      <c r="Q955" s="2"/>
    </row>
    <row r="956" spans="17:17" x14ac:dyDescent="0.15">
      <c r="Q956" s="2"/>
    </row>
    <row r="957" spans="17:17" x14ac:dyDescent="0.15">
      <c r="Q957" s="2"/>
    </row>
    <row r="958" spans="17:17" x14ac:dyDescent="0.15">
      <c r="Q958" s="2"/>
    </row>
    <row r="959" spans="17:17" x14ac:dyDescent="0.15">
      <c r="Q959" s="2"/>
    </row>
    <row r="960" spans="17:17" x14ac:dyDescent="0.15">
      <c r="Q960" s="2"/>
    </row>
    <row r="961" spans="17:17" x14ac:dyDescent="0.15">
      <c r="Q961" s="2"/>
    </row>
    <row r="962" spans="17:17" x14ac:dyDescent="0.15">
      <c r="Q962" s="2"/>
    </row>
    <row r="963" spans="17:17" x14ac:dyDescent="0.15">
      <c r="Q963" s="2"/>
    </row>
    <row r="964" spans="17:17" x14ac:dyDescent="0.15">
      <c r="Q964" s="2"/>
    </row>
    <row r="965" spans="17:17" x14ac:dyDescent="0.15">
      <c r="Q965" s="2"/>
    </row>
    <row r="966" spans="17:17" x14ac:dyDescent="0.15">
      <c r="Q966" s="2"/>
    </row>
    <row r="967" spans="17:17" x14ac:dyDescent="0.15">
      <c r="Q967" s="2"/>
    </row>
    <row r="968" spans="17:17" x14ac:dyDescent="0.15">
      <c r="Q968" s="2"/>
    </row>
    <row r="969" spans="17:17" x14ac:dyDescent="0.15">
      <c r="Q969" s="2"/>
    </row>
    <row r="970" spans="17:17" x14ac:dyDescent="0.15">
      <c r="Q970" s="2"/>
    </row>
    <row r="971" spans="17:17" x14ac:dyDescent="0.15">
      <c r="Q971" s="2"/>
    </row>
    <row r="972" spans="17:17" x14ac:dyDescent="0.15">
      <c r="Q972" s="2"/>
    </row>
    <row r="973" spans="17:17" x14ac:dyDescent="0.15">
      <c r="Q973" s="2"/>
    </row>
    <row r="974" spans="17:17" x14ac:dyDescent="0.15">
      <c r="Q974" s="2"/>
    </row>
    <row r="975" spans="17:17" x14ac:dyDescent="0.15">
      <c r="Q975" s="2"/>
    </row>
    <row r="976" spans="17:17" x14ac:dyDescent="0.15">
      <c r="Q976" s="2"/>
    </row>
    <row r="977" spans="17:17" x14ac:dyDescent="0.15">
      <c r="Q977" s="2"/>
    </row>
    <row r="978" spans="17:17" x14ac:dyDescent="0.15">
      <c r="Q978" s="2"/>
    </row>
    <row r="979" spans="17:17" x14ac:dyDescent="0.15">
      <c r="Q979" s="2"/>
    </row>
    <row r="980" spans="17:17" x14ac:dyDescent="0.15">
      <c r="Q980" s="2"/>
    </row>
    <row r="981" spans="17:17" x14ac:dyDescent="0.15">
      <c r="Q981" s="2"/>
    </row>
    <row r="982" spans="17:17" x14ac:dyDescent="0.15">
      <c r="Q982" s="2"/>
    </row>
    <row r="983" spans="17:17" x14ac:dyDescent="0.15">
      <c r="Q983" s="2"/>
    </row>
    <row r="984" spans="17:17" x14ac:dyDescent="0.15">
      <c r="Q984" s="2"/>
    </row>
    <row r="985" spans="17:17" x14ac:dyDescent="0.15">
      <c r="Q985" s="2"/>
    </row>
    <row r="986" spans="17:17" x14ac:dyDescent="0.15">
      <c r="Q986" s="2"/>
    </row>
    <row r="987" spans="17:17" x14ac:dyDescent="0.15">
      <c r="Q987" s="2"/>
    </row>
    <row r="988" spans="17:17" x14ac:dyDescent="0.15">
      <c r="Q988" s="2"/>
    </row>
    <row r="989" spans="17:17" x14ac:dyDescent="0.15">
      <c r="Q989" s="2"/>
    </row>
    <row r="990" spans="17:17" x14ac:dyDescent="0.15">
      <c r="Q990" s="2"/>
    </row>
    <row r="991" spans="17:17" x14ac:dyDescent="0.15">
      <c r="Q991" s="2"/>
    </row>
    <row r="992" spans="17:17" x14ac:dyDescent="0.15">
      <c r="Q992" s="2"/>
    </row>
    <row r="993" spans="17:17" x14ac:dyDescent="0.15">
      <c r="Q993" s="2"/>
    </row>
    <row r="994" spans="17:17" x14ac:dyDescent="0.15">
      <c r="Q994" s="2"/>
    </row>
    <row r="995" spans="17:17" x14ac:dyDescent="0.15">
      <c r="Q995" s="2"/>
    </row>
    <row r="996" spans="17:17" x14ac:dyDescent="0.15">
      <c r="Q996" s="2"/>
    </row>
    <row r="997" spans="17:17" x14ac:dyDescent="0.15">
      <c r="Q997" s="2"/>
    </row>
    <row r="998" spans="17:17" x14ac:dyDescent="0.15">
      <c r="Q998" s="2"/>
    </row>
    <row r="999" spans="17:17" x14ac:dyDescent="0.15">
      <c r="Q999" s="2"/>
    </row>
    <row r="1000" spans="17:17" x14ac:dyDescent="0.15">
      <c r="Q1000" s="2"/>
    </row>
    <row r="1001" spans="17:17" x14ac:dyDescent="0.15">
      <c r="Q1001" s="2"/>
    </row>
    <row r="1002" spans="17:17" x14ac:dyDescent="0.15">
      <c r="Q1002" s="2"/>
    </row>
    <row r="1003" spans="17:17" x14ac:dyDescent="0.15">
      <c r="Q1003" s="2"/>
    </row>
    <row r="1004" spans="17:17" x14ac:dyDescent="0.15">
      <c r="Q1004" s="2"/>
    </row>
    <row r="1005" spans="17:17" x14ac:dyDescent="0.15">
      <c r="Q1005" s="2"/>
    </row>
    <row r="1006" spans="17:17" x14ac:dyDescent="0.15">
      <c r="Q1006" s="2"/>
    </row>
    <row r="1007" spans="17:17" x14ac:dyDescent="0.15">
      <c r="Q1007" s="2"/>
    </row>
    <row r="1008" spans="17:17" x14ac:dyDescent="0.15">
      <c r="Q1008" s="2"/>
    </row>
    <row r="1009" spans="17:17" x14ac:dyDescent="0.15">
      <c r="Q1009" s="2"/>
    </row>
    <row r="1010" spans="17:17" x14ac:dyDescent="0.15">
      <c r="Q1010" s="2"/>
    </row>
    <row r="1011" spans="17:17" x14ac:dyDescent="0.15">
      <c r="Q1011" s="2"/>
    </row>
    <row r="1012" spans="17:17" x14ac:dyDescent="0.15">
      <c r="Q1012" s="2"/>
    </row>
    <row r="1013" spans="17:17" x14ac:dyDescent="0.15">
      <c r="Q1013" s="2"/>
    </row>
    <row r="1014" spans="17:17" x14ac:dyDescent="0.15">
      <c r="Q1014" s="2"/>
    </row>
    <row r="1015" spans="17:17" x14ac:dyDescent="0.15">
      <c r="Q1015" s="2"/>
    </row>
    <row r="1016" spans="17:17" x14ac:dyDescent="0.15">
      <c r="Q1016" s="2"/>
    </row>
    <row r="1017" spans="17:17" x14ac:dyDescent="0.15">
      <c r="Q1017" s="2"/>
    </row>
    <row r="1018" spans="17:17" x14ac:dyDescent="0.15">
      <c r="Q1018" s="2"/>
    </row>
    <row r="1019" spans="17:17" x14ac:dyDescent="0.15">
      <c r="Q1019" s="2"/>
    </row>
    <row r="1020" spans="17:17" x14ac:dyDescent="0.15">
      <c r="Q1020" s="2"/>
    </row>
    <row r="1021" spans="17:17" x14ac:dyDescent="0.15">
      <c r="Q1021" s="2"/>
    </row>
    <row r="1022" spans="17:17" x14ac:dyDescent="0.15">
      <c r="Q1022" s="2"/>
    </row>
    <row r="1023" spans="17:17" x14ac:dyDescent="0.15">
      <c r="Q1023" s="2"/>
    </row>
    <row r="1024" spans="17:17" x14ac:dyDescent="0.15">
      <c r="Q1024" s="2"/>
    </row>
    <row r="1025" spans="17:17" x14ac:dyDescent="0.15">
      <c r="Q1025" s="2"/>
    </row>
    <row r="1026" spans="17:17" x14ac:dyDescent="0.15">
      <c r="Q1026" s="2"/>
    </row>
    <row r="1027" spans="17:17" x14ac:dyDescent="0.15">
      <c r="Q1027" s="2"/>
    </row>
    <row r="1028" spans="17:17" x14ac:dyDescent="0.15">
      <c r="Q1028" s="2"/>
    </row>
    <row r="1029" spans="17:17" x14ac:dyDescent="0.15">
      <c r="Q1029" s="2"/>
    </row>
    <row r="1030" spans="17:17" x14ac:dyDescent="0.15">
      <c r="Q1030" s="2"/>
    </row>
    <row r="1031" spans="17:17" x14ac:dyDescent="0.15">
      <c r="Q1031" s="2"/>
    </row>
    <row r="1032" spans="17:17" x14ac:dyDescent="0.15">
      <c r="Q1032" s="2"/>
    </row>
    <row r="1033" spans="17:17" x14ac:dyDescent="0.15">
      <c r="Q1033" s="2"/>
    </row>
    <row r="1034" spans="17:17" x14ac:dyDescent="0.15">
      <c r="Q1034" s="2"/>
    </row>
    <row r="1035" spans="17:17" x14ac:dyDescent="0.15">
      <c r="Q1035" s="2"/>
    </row>
    <row r="1036" spans="17:17" x14ac:dyDescent="0.15">
      <c r="Q1036" s="2"/>
    </row>
    <row r="1037" spans="17:17" x14ac:dyDescent="0.15">
      <c r="Q1037" s="2"/>
    </row>
    <row r="1038" spans="17:17" x14ac:dyDescent="0.15">
      <c r="Q1038" s="2"/>
    </row>
    <row r="1039" spans="17:17" x14ac:dyDescent="0.15">
      <c r="Q1039" s="2"/>
    </row>
    <row r="1040" spans="17:17" x14ac:dyDescent="0.15">
      <c r="Q1040" s="2"/>
    </row>
    <row r="1041" spans="17:17" x14ac:dyDescent="0.15">
      <c r="Q1041" s="2"/>
    </row>
    <row r="1042" spans="17:17" x14ac:dyDescent="0.15">
      <c r="Q1042" s="2"/>
    </row>
    <row r="1043" spans="17:17" x14ac:dyDescent="0.15">
      <c r="Q1043" s="2"/>
    </row>
    <row r="1044" spans="17:17" x14ac:dyDescent="0.15">
      <c r="Q1044" s="2"/>
    </row>
    <row r="1045" spans="17:17" x14ac:dyDescent="0.15">
      <c r="Q1045" s="2"/>
    </row>
    <row r="1046" spans="17:17" x14ac:dyDescent="0.15">
      <c r="Q1046" s="2"/>
    </row>
    <row r="1047" spans="17:17" x14ac:dyDescent="0.15">
      <c r="Q1047" s="2"/>
    </row>
    <row r="1048" spans="17:17" x14ac:dyDescent="0.15">
      <c r="Q1048" s="2"/>
    </row>
    <row r="1049" spans="17:17" x14ac:dyDescent="0.15">
      <c r="Q1049" s="2"/>
    </row>
    <row r="1050" spans="17:17" x14ac:dyDescent="0.15">
      <c r="Q1050" s="2"/>
    </row>
    <row r="1051" spans="17:17" x14ac:dyDescent="0.15">
      <c r="Q1051" s="2"/>
    </row>
    <row r="1052" spans="17:17" x14ac:dyDescent="0.15">
      <c r="Q1052" s="2"/>
    </row>
    <row r="1053" spans="17:17" x14ac:dyDescent="0.15">
      <c r="Q1053" s="2"/>
    </row>
    <row r="1054" spans="17:17" x14ac:dyDescent="0.15">
      <c r="Q1054" s="2"/>
    </row>
    <row r="1055" spans="17:17" x14ac:dyDescent="0.15">
      <c r="Q1055" s="2"/>
    </row>
    <row r="1056" spans="17:17" x14ac:dyDescent="0.15">
      <c r="Q1056" s="2"/>
    </row>
    <row r="1057" spans="17:17" x14ac:dyDescent="0.15">
      <c r="Q1057" s="2"/>
    </row>
    <row r="1058" spans="17:17" x14ac:dyDescent="0.15">
      <c r="Q1058" s="2"/>
    </row>
    <row r="1059" spans="17:17" x14ac:dyDescent="0.15">
      <c r="Q1059" s="2"/>
    </row>
    <row r="1060" spans="17:17" x14ac:dyDescent="0.15">
      <c r="Q1060" s="2"/>
    </row>
    <row r="1061" spans="17:17" x14ac:dyDescent="0.15">
      <c r="Q1061" s="2"/>
    </row>
    <row r="1062" spans="17:17" x14ac:dyDescent="0.15">
      <c r="Q1062" s="2"/>
    </row>
    <row r="1063" spans="17:17" x14ac:dyDescent="0.15">
      <c r="Q1063" s="2"/>
    </row>
    <row r="1064" spans="17:17" x14ac:dyDescent="0.15">
      <c r="Q1064" s="2"/>
    </row>
    <row r="1065" spans="17:17" x14ac:dyDescent="0.15">
      <c r="Q1065" s="2"/>
    </row>
    <row r="1066" spans="17:17" x14ac:dyDescent="0.15">
      <c r="Q1066" s="2"/>
    </row>
    <row r="1067" spans="17:17" x14ac:dyDescent="0.15">
      <c r="Q1067" s="2"/>
    </row>
    <row r="1068" spans="17:17" x14ac:dyDescent="0.15">
      <c r="Q1068" s="2"/>
    </row>
    <row r="1069" spans="17:17" x14ac:dyDescent="0.15">
      <c r="Q1069" s="2"/>
    </row>
    <row r="1070" spans="17:17" x14ac:dyDescent="0.15">
      <c r="Q1070" s="2"/>
    </row>
    <row r="1071" spans="17:17" x14ac:dyDescent="0.15">
      <c r="Q1071" s="2"/>
    </row>
    <row r="1072" spans="17:17" x14ac:dyDescent="0.15">
      <c r="Q1072" s="2"/>
    </row>
    <row r="1073" spans="17:17" x14ac:dyDescent="0.15">
      <c r="Q1073" s="2"/>
    </row>
    <row r="1074" spans="17:17" x14ac:dyDescent="0.15">
      <c r="Q1074" s="2"/>
    </row>
    <row r="1075" spans="17:17" x14ac:dyDescent="0.15">
      <c r="Q1075" s="2"/>
    </row>
    <row r="1076" spans="17:17" x14ac:dyDescent="0.15">
      <c r="Q1076" s="2"/>
    </row>
    <row r="1077" spans="17:17" x14ac:dyDescent="0.15">
      <c r="Q1077" s="2"/>
    </row>
    <row r="1078" spans="17:17" x14ac:dyDescent="0.15">
      <c r="Q1078" s="2"/>
    </row>
    <row r="1079" spans="17:17" x14ac:dyDescent="0.15">
      <c r="Q1079" s="2"/>
    </row>
    <row r="1080" spans="17:17" x14ac:dyDescent="0.15">
      <c r="Q1080" s="2"/>
    </row>
    <row r="1081" spans="17:17" x14ac:dyDescent="0.15">
      <c r="Q1081" s="2"/>
    </row>
    <row r="1082" spans="17:17" x14ac:dyDescent="0.15">
      <c r="Q1082" s="2"/>
    </row>
    <row r="1083" spans="17:17" x14ac:dyDescent="0.15">
      <c r="Q1083" s="2"/>
    </row>
    <row r="1084" spans="17:17" x14ac:dyDescent="0.15">
      <c r="Q1084" s="2"/>
    </row>
    <row r="1085" spans="17:17" x14ac:dyDescent="0.15">
      <c r="Q1085" s="2"/>
    </row>
    <row r="1086" spans="17:17" x14ac:dyDescent="0.15">
      <c r="Q1086" s="2"/>
    </row>
    <row r="1087" spans="17:17" x14ac:dyDescent="0.15">
      <c r="Q1087" s="2"/>
    </row>
    <row r="1088" spans="17:17" x14ac:dyDescent="0.15">
      <c r="Q1088" s="2"/>
    </row>
    <row r="1089" spans="17:17" x14ac:dyDescent="0.15">
      <c r="Q1089" s="2"/>
    </row>
    <row r="1090" spans="17:17" x14ac:dyDescent="0.15">
      <c r="Q1090" s="2"/>
    </row>
    <row r="1091" spans="17:17" x14ac:dyDescent="0.15">
      <c r="Q1091" s="2"/>
    </row>
    <row r="1092" spans="17:17" x14ac:dyDescent="0.15">
      <c r="Q1092" s="2"/>
    </row>
    <row r="1093" spans="17:17" x14ac:dyDescent="0.15">
      <c r="Q1093" s="2"/>
    </row>
    <row r="1094" spans="17:17" x14ac:dyDescent="0.15">
      <c r="Q1094" s="2"/>
    </row>
    <row r="1095" spans="17:17" x14ac:dyDescent="0.15">
      <c r="Q1095" s="2"/>
    </row>
    <row r="1096" spans="17:17" x14ac:dyDescent="0.15">
      <c r="Q1096" s="2"/>
    </row>
    <row r="1097" spans="17:17" x14ac:dyDescent="0.15">
      <c r="Q1097" s="2"/>
    </row>
    <row r="1098" spans="17:17" x14ac:dyDescent="0.15">
      <c r="Q1098" s="2"/>
    </row>
    <row r="1099" spans="17:17" x14ac:dyDescent="0.15">
      <c r="Q1099" s="2"/>
    </row>
    <row r="1100" spans="17:17" x14ac:dyDescent="0.15">
      <c r="Q1100" s="2"/>
    </row>
    <row r="1101" spans="17:17" x14ac:dyDescent="0.15">
      <c r="Q1101" s="2"/>
    </row>
    <row r="1102" spans="17:17" x14ac:dyDescent="0.15">
      <c r="Q1102" s="2"/>
    </row>
    <row r="1103" spans="17:17" x14ac:dyDescent="0.15">
      <c r="Q1103" s="2"/>
    </row>
    <row r="1104" spans="17:17" x14ac:dyDescent="0.15">
      <c r="Q1104" s="2"/>
    </row>
    <row r="1105" spans="17:17" x14ac:dyDescent="0.15">
      <c r="Q1105" s="2"/>
    </row>
    <row r="1106" spans="17:17" x14ac:dyDescent="0.15">
      <c r="Q1106" s="2"/>
    </row>
    <row r="1107" spans="17:17" x14ac:dyDescent="0.15">
      <c r="Q1107" s="2"/>
    </row>
    <row r="1108" spans="17:17" x14ac:dyDescent="0.15">
      <c r="Q1108" s="2"/>
    </row>
    <row r="1109" spans="17:17" x14ac:dyDescent="0.15">
      <c r="Q1109" s="2"/>
    </row>
    <row r="1110" spans="17:17" x14ac:dyDescent="0.15">
      <c r="Q1110" s="2"/>
    </row>
    <row r="1111" spans="17:17" x14ac:dyDescent="0.15">
      <c r="Q1111" s="2"/>
    </row>
    <row r="1112" spans="17:17" x14ac:dyDescent="0.15">
      <c r="Q1112" s="2"/>
    </row>
    <row r="1113" spans="17:17" x14ac:dyDescent="0.15">
      <c r="Q1113" s="2"/>
    </row>
    <row r="1114" spans="17:17" x14ac:dyDescent="0.15">
      <c r="Q1114" s="2"/>
    </row>
    <row r="1115" spans="17:17" x14ac:dyDescent="0.15">
      <c r="Q1115" s="2"/>
    </row>
    <row r="1116" spans="17:17" x14ac:dyDescent="0.15">
      <c r="Q1116" s="2"/>
    </row>
    <row r="1117" spans="17:17" x14ac:dyDescent="0.15">
      <c r="Q1117" s="2"/>
    </row>
    <row r="1118" spans="17:17" x14ac:dyDescent="0.15">
      <c r="Q1118" s="2"/>
    </row>
    <row r="1119" spans="17:17" x14ac:dyDescent="0.15">
      <c r="Q1119" s="2"/>
    </row>
    <row r="1120" spans="17:17" x14ac:dyDescent="0.15">
      <c r="Q1120" s="2"/>
    </row>
    <row r="1121" spans="17:17" x14ac:dyDescent="0.15">
      <c r="Q1121" s="2"/>
    </row>
    <row r="1122" spans="17:17" x14ac:dyDescent="0.15">
      <c r="Q1122" s="2"/>
    </row>
    <row r="1123" spans="17:17" x14ac:dyDescent="0.15">
      <c r="Q1123" s="2"/>
    </row>
    <row r="1124" spans="17:17" x14ac:dyDescent="0.15">
      <c r="Q1124" s="2"/>
    </row>
    <row r="1125" spans="17:17" x14ac:dyDescent="0.15">
      <c r="Q1125" s="2"/>
    </row>
    <row r="1126" spans="17:17" x14ac:dyDescent="0.15">
      <c r="Q1126" s="2"/>
    </row>
    <row r="1127" spans="17:17" x14ac:dyDescent="0.15">
      <c r="Q1127" s="2"/>
    </row>
    <row r="1128" spans="17:17" x14ac:dyDescent="0.15">
      <c r="Q1128" s="2"/>
    </row>
    <row r="1129" spans="17:17" x14ac:dyDescent="0.15">
      <c r="Q1129" s="2"/>
    </row>
    <row r="1130" spans="17:17" x14ac:dyDescent="0.15">
      <c r="Q1130" s="2"/>
    </row>
    <row r="1131" spans="17:17" x14ac:dyDescent="0.15">
      <c r="Q1131" s="2"/>
    </row>
    <row r="1132" spans="17:17" x14ac:dyDescent="0.15">
      <c r="Q1132" s="2"/>
    </row>
    <row r="1133" spans="17:17" x14ac:dyDescent="0.15">
      <c r="Q1133" s="2"/>
    </row>
    <row r="1134" spans="17:17" x14ac:dyDescent="0.15">
      <c r="Q1134" s="2"/>
    </row>
    <row r="1135" spans="17:17" x14ac:dyDescent="0.15">
      <c r="Q1135" s="2"/>
    </row>
    <row r="1136" spans="17:17" x14ac:dyDescent="0.15">
      <c r="Q1136" s="2"/>
    </row>
    <row r="1137" spans="17:17" x14ac:dyDescent="0.15">
      <c r="Q1137" s="2"/>
    </row>
    <row r="1138" spans="17:17" x14ac:dyDescent="0.15">
      <c r="Q1138" s="2"/>
    </row>
    <row r="1139" spans="17:17" x14ac:dyDescent="0.15">
      <c r="Q1139" s="2"/>
    </row>
    <row r="1140" spans="17:17" x14ac:dyDescent="0.15">
      <c r="Q1140" s="2"/>
    </row>
    <row r="1141" spans="17:17" x14ac:dyDescent="0.15">
      <c r="Q1141" s="2"/>
    </row>
    <row r="1142" spans="17:17" x14ac:dyDescent="0.15">
      <c r="Q1142" s="2"/>
    </row>
    <row r="1143" spans="17:17" x14ac:dyDescent="0.15">
      <c r="Q1143" s="2"/>
    </row>
    <row r="1144" spans="17:17" x14ac:dyDescent="0.15">
      <c r="Q1144" s="2"/>
    </row>
    <row r="1145" spans="17:17" x14ac:dyDescent="0.15">
      <c r="Q1145" s="2"/>
    </row>
    <row r="1146" spans="17:17" x14ac:dyDescent="0.15">
      <c r="Q1146" s="2"/>
    </row>
    <row r="1147" spans="17:17" x14ac:dyDescent="0.15">
      <c r="Q1147" s="2"/>
    </row>
    <row r="1148" spans="17:17" x14ac:dyDescent="0.15">
      <c r="Q1148" s="2"/>
    </row>
    <row r="1149" spans="17:17" x14ac:dyDescent="0.15">
      <c r="Q1149" s="2"/>
    </row>
    <row r="1150" spans="17:17" x14ac:dyDescent="0.15">
      <c r="Q1150" s="2"/>
    </row>
    <row r="1151" spans="17:17" x14ac:dyDescent="0.15">
      <c r="Q1151" s="2"/>
    </row>
    <row r="1152" spans="17:17" x14ac:dyDescent="0.15">
      <c r="Q1152" s="2"/>
    </row>
    <row r="1153" spans="17:17" x14ac:dyDescent="0.15">
      <c r="Q1153" s="2"/>
    </row>
    <row r="1154" spans="17:17" x14ac:dyDescent="0.15">
      <c r="Q1154" s="2"/>
    </row>
    <row r="1155" spans="17:17" x14ac:dyDescent="0.15">
      <c r="Q1155" s="2"/>
    </row>
    <row r="1156" spans="17:17" x14ac:dyDescent="0.15">
      <c r="Q1156" s="2"/>
    </row>
    <row r="1157" spans="17:17" x14ac:dyDescent="0.15">
      <c r="Q1157" s="2"/>
    </row>
    <row r="1158" spans="17:17" x14ac:dyDescent="0.15">
      <c r="Q1158" s="2"/>
    </row>
    <row r="1159" spans="17:17" x14ac:dyDescent="0.15">
      <c r="Q1159" s="2"/>
    </row>
    <row r="1160" spans="17:17" x14ac:dyDescent="0.15">
      <c r="Q1160" s="2"/>
    </row>
    <row r="1161" spans="17:17" x14ac:dyDescent="0.15">
      <c r="Q1161" s="2"/>
    </row>
    <row r="1162" spans="17:17" x14ac:dyDescent="0.15">
      <c r="Q1162" s="2"/>
    </row>
    <row r="1163" spans="17:17" x14ac:dyDescent="0.15">
      <c r="Q1163" s="2"/>
    </row>
    <row r="1164" spans="17:17" x14ac:dyDescent="0.15">
      <c r="Q1164" s="2"/>
    </row>
    <row r="1165" spans="17:17" x14ac:dyDescent="0.15">
      <c r="Q1165" s="2"/>
    </row>
    <row r="1166" spans="17:17" x14ac:dyDescent="0.15">
      <c r="Q1166" s="2"/>
    </row>
    <row r="1167" spans="17:17" x14ac:dyDescent="0.15">
      <c r="Q1167" s="2"/>
    </row>
    <row r="1168" spans="17:17" x14ac:dyDescent="0.15">
      <c r="Q1168" s="2"/>
    </row>
    <row r="1169" spans="17:17" x14ac:dyDescent="0.15">
      <c r="Q1169" s="2"/>
    </row>
    <row r="1170" spans="17:17" x14ac:dyDescent="0.15">
      <c r="Q1170" s="2"/>
    </row>
    <row r="1171" spans="17:17" x14ac:dyDescent="0.15">
      <c r="Q1171" s="2"/>
    </row>
    <row r="1172" spans="17:17" x14ac:dyDescent="0.15">
      <c r="Q1172" s="2"/>
    </row>
    <row r="1173" spans="17:17" x14ac:dyDescent="0.15">
      <c r="Q1173" s="2"/>
    </row>
    <row r="1174" spans="17:17" x14ac:dyDescent="0.15">
      <c r="Q1174" s="2"/>
    </row>
    <row r="1175" spans="17:17" x14ac:dyDescent="0.15">
      <c r="Q1175" s="2"/>
    </row>
    <row r="1176" spans="17:17" x14ac:dyDescent="0.15">
      <c r="Q1176" s="2"/>
    </row>
    <row r="1177" spans="17:17" x14ac:dyDescent="0.15">
      <c r="Q1177" s="2"/>
    </row>
    <row r="1178" spans="17:17" x14ac:dyDescent="0.15">
      <c r="Q1178" s="2"/>
    </row>
    <row r="1179" spans="17:17" x14ac:dyDescent="0.15">
      <c r="Q1179" s="2"/>
    </row>
    <row r="1180" spans="17:17" x14ac:dyDescent="0.15">
      <c r="Q1180" s="2"/>
    </row>
    <row r="1181" spans="17:17" x14ac:dyDescent="0.15">
      <c r="Q1181" s="2"/>
    </row>
    <row r="1182" spans="17:17" x14ac:dyDescent="0.15">
      <c r="Q1182" s="2"/>
    </row>
    <row r="1183" spans="17:17" x14ac:dyDescent="0.15">
      <c r="Q1183" s="2"/>
    </row>
    <row r="1184" spans="17:17" x14ac:dyDescent="0.15">
      <c r="Q1184" s="2"/>
    </row>
    <row r="1185" spans="17:17" x14ac:dyDescent="0.15">
      <c r="Q1185" s="2"/>
    </row>
    <row r="1186" spans="17:17" x14ac:dyDescent="0.15">
      <c r="Q1186" s="2"/>
    </row>
    <row r="1187" spans="17:17" x14ac:dyDescent="0.15">
      <c r="Q1187" s="2"/>
    </row>
    <row r="1188" spans="17:17" x14ac:dyDescent="0.15">
      <c r="Q1188" s="2"/>
    </row>
    <row r="1189" spans="17:17" x14ac:dyDescent="0.15">
      <c r="Q1189" s="2"/>
    </row>
    <row r="1190" spans="17:17" x14ac:dyDescent="0.15">
      <c r="Q1190" s="2"/>
    </row>
    <row r="1191" spans="17:17" x14ac:dyDescent="0.15">
      <c r="Q1191" s="2"/>
    </row>
    <row r="1192" spans="17:17" x14ac:dyDescent="0.15">
      <c r="Q1192" s="2"/>
    </row>
    <row r="1193" spans="17:17" x14ac:dyDescent="0.15">
      <c r="Q1193" s="2"/>
    </row>
    <row r="1194" spans="17:17" x14ac:dyDescent="0.15">
      <c r="Q1194" s="2"/>
    </row>
    <row r="1195" spans="17:17" x14ac:dyDescent="0.15">
      <c r="Q1195" s="2"/>
    </row>
    <row r="1196" spans="17:17" x14ac:dyDescent="0.15">
      <c r="Q1196" s="2"/>
    </row>
    <row r="1197" spans="17:17" x14ac:dyDescent="0.15">
      <c r="Q1197" s="2"/>
    </row>
    <row r="1198" spans="17:17" x14ac:dyDescent="0.15">
      <c r="Q1198" s="2"/>
    </row>
    <row r="1199" spans="17:17" x14ac:dyDescent="0.15">
      <c r="Q1199" s="2"/>
    </row>
    <row r="1200" spans="17:17" x14ac:dyDescent="0.15">
      <c r="Q1200" s="2"/>
    </row>
    <row r="1201" spans="17:17" x14ac:dyDescent="0.15">
      <c r="Q1201" s="2"/>
    </row>
    <row r="1202" spans="17:17" x14ac:dyDescent="0.15">
      <c r="Q1202" s="2"/>
    </row>
    <row r="1203" spans="17:17" x14ac:dyDescent="0.15">
      <c r="Q1203" s="2"/>
    </row>
    <row r="1204" spans="17:17" x14ac:dyDescent="0.15">
      <c r="Q1204" s="2"/>
    </row>
    <row r="1205" spans="17:17" x14ac:dyDescent="0.15">
      <c r="Q1205" s="2"/>
    </row>
    <row r="1206" spans="17:17" x14ac:dyDescent="0.15">
      <c r="Q1206" s="2"/>
    </row>
    <row r="1207" spans="17:17" x14ac:dyDescent="0.15">
      <c r="Q1207" s="2"/>
    </row>
    <row r="1208" spans="17:17" x14ac:dyDescent="0.15">
      <c r="Q1208" s="2"/>
    </row>
    <row r="1209" spans="17:17" x14ac:dyDescent="0.15">
      <c r="Q1209" s="2"/>
    </row>
    <row r="1210" spans="17:17" x14ac:dyDescent="0.15">
      <c r="Q1210" s="2"/>
    </row>
    <row r="1211" spans="17:17" x14ac:dyDescent="0.15">
      <c r="Q1211" s="2"/>
    </row>
    <row r="1212" spans="17:17" x14ac:dyDescent="0.15">
      <c r="Q1212" s="2"/>
    </row>
    <row r="1213" spans="17:17" x14ac:dyDescent="0.15">
      <c r="Q1213" s="2"/>
    </row>
    <row r="1214" spans="17:17" x14ac:dyDescent="0.15">
      <c r="Q1214" s="2"/>
    </row>
    <row r="1215" spans="17:17" x14ac:dyDescent="0.15">
      <c r="Q1215" s="2"/>
    </row>
    <row r="1216" spans="17:17" x14ac:dyDescent="0.15">
      <c r="Q1216" s="2"/>
    </row>
    <row r="1217" spans="17:17" x14ac:dyDescent="0.15">
      <c r="Q1217" s="2"/>
    </row>
    <row r="1218" spans="17:17" x14ac:dyDescent="0.15">
      <c r="Q1218" s="2"/>
    </row>
    <row r="1219" spans="17:17" x14ac:dyDescent="0.15">
      <c r="Q1219" s="2"/>
    </row>
    <row r="1220" spans="17:17" x14ac:dyDescent="0.15">
      <c r="Q1220" s="2"/>
    </row>
    <row r="1221" spans="17:17" x14ac:dyDescent="0.15">
      <c r="Q1221" s="2"/>
    </row>
    <row r="1222" spans="17:17" x14ac:dyDescent="0.15">
      <c r="Q1222" s="2"/>
    </row>
    <row r="1223" spans="17:17" x14ac:dyDescent="0.15">
      <c r="Q1223" s="2"/>
    </row>
    <row r="1224" spans="17:17" x14ac:dyDescent="0.15">
      <c r="Q1224" s="2"/>
    </row>
    <row r="1225" spans="17:17" x14ac:dyDescent="0.15">
      <c r="Q1225" s="2"/>
    </row>
    <row r="1226" spans="17:17" x14ac:dyDescent="0.15">
      <c r="Q1226" s="2"/>
    </row>
    <row r="1227" spans="17:17" x14ac:dyDescent="0.15">
      <c r="Q1227" s="2"/>
    </row>
    <row r="1228" spans="17:17" x14ac:dyDescent="0.15">
      <c r="Q1228" s="2"/>
    </row>
    <row r="1229" spans="17:17" x14ac:dyDescent="0.15">
      <c r="Q1229" s="2"/>
    </row>
    <row r="1230" spans="17:17" x14ac:dyDescent="0.15">
      <c r="Q1230" s="2"/>
    </row>
    <row r="1231" spans="17:17" x14ac:dyDescent="0.15">
      <c r="Q1231" s="2"/>
    </row>
    <row r="1232" spans="17:17" x14ac:dyDescent="0.15">
      <c r="Q1232" s="2"/>
    </row>
    <row r="1233" spans="17:17" x14ac:dyDescent="0.15">
      <c r="Q1233" s="2"/>
    </row>
    <row r="1234" spans="17:17" x14ac:dyDescent="0.15">
      <c r="Q1234" s="2"/>
    </row>
    <row r="1235" spans="17:17" x14ac:dyDescent="0.15">
      <c r="Q1235" s="2"/>
    </row>
    <row r="1236" spans="17:17" x14ac:dyDescent="0.15">
      <c r="Q1236" s="2"/>
    </row>
    <row r="1237" spans="17:17" x14ac:dyDescent="0.15">
      <c r="Q1237" s="2"/>
    </row>
    <row r="1238" spans="17:17" x14ac:dyDescent="0.15">
      <c r="Q1238" s="2"/>
    </row>
    <row r="1239" spans="17:17" x14ac:dyDescent="0.15">
      <c r="Q1239" s="2"/>
    </row>
    <row r="1240" spans="17:17" x14ac:dyDescent="0.15">
      <c r="Q1240" s="2"/>
    </row>
    <row r="1241" spans="17:17" x14ac:dyDescent="0.15">
      <c r="Q1241" s="2"/>
    </row>
    <row r="1242" spans="17:17" x14ac:dyDescent="0.15">
      <c r="Q1242" s="2"/>
    </row>
    <row r="1243" spans="17:17" x14ac:dyDescent="0.15">
      <c r="Q1243" s="2"/>
    </row>
    <row r="1244" spans="17:17" x14ac:dyDescent="0.15">
      <c r="Q1244" s="2"/>
    </row>
    <row r="1245" spans="17:17" x14ac:dyDescent="0.15">
      <c r="Q1245" s="2"/>
    </row>
    <row r="1246" spans="17:17" x14ac:dyDescent="0.15">
      <c r="Q1246" s="2"/>
    </row>
    <row r="1247" spans="17:17" x14ac:dyDescent="0.15">
      <c r="Q1247" s="2"/>
    </row>
    <row r="1248" spans="17:17" x14ac:dyDescent="0.15">
      <c r="Q1248" s="2"/>
    </row>
    <row r="1249" spans="17:17" x14ac:dyDescent="0.15">
      <c r="Q1249" s="2"/>
    </row>
    <row r="1250" spans="17:17" x14ac:dyDescent="0.15">
      <c r="Q1250" s="2"/>
    </row>
    <row r="1251" spans="17:17" x14ac:dyDescent="0.15">
      <c r="Q1251" s="2"/>
    </row>
    <row r="1252" spans="17:17" x14ac:dyDescent="0.15">
      <c r="Q1252" s="2"/>
    </row>
    <row r="1253" spans="17:17" x14ac:dyDescent="0.15">
      <c r="Q1253" s="2"/>
    </row>
    <row r="1254" spans="17:17" x14ac:dyDescent="0.15">
      <c r="Q1254" s="2"/>
    </row>
    <row r="1255" spans="17:17" x14ac:dyDescent="0.15">
      <c r="Q1255" s="2"/>
    </row>
    <row r="1256" spans="17:17" x14ac:dyDescent="0.15">
      <c r="Q1256" s="2"/>
    </row>
    <row r="1257" spans="17:17" x14ac:dyDescent="0.15">
      <c r="Q1257" s="2"/>
    </row>
    <row r="1258" spans="17:17" x14ac:dyDescent="0.15">
      <c r="Q1258" s="2"/>
    </row>
    <row r="1259" spans="17:17" x14ac:dyDescent="0.15">
      <c r="Q1259" s="2"/>
    </row>
    <row r="1260" spans="17:17" x14ac:dyDescent="0.15">
      <c r="Q1260" s="2"/>
    </row>
    <row r="1261" spans="17:17" x14ac:dyDescent="0.15">
      <c r="Q1261" s="2"/>
    </row>
    <row r="1262" spans="17:17" x14ac:dyDescent="0.15">
      <c r="Q1262" s="2"/>
    </row>
    <row r="1263" spans="17:17" x14ac:dyDescent="0.15">
      <c r="Q1263" s="2"/>
    </row>
    <row r="1264" spans="17:17" x14ac:dyDescent="0.15">
      <c r="Q1264" s="2"/>
    </row>
    <row r="1265" spans="17:17" x14ac:dyDescent="0.15">
      <c r="Q1265" s="2"/>
    </row>
    <row r="1266" spans="17:17" x14ac:dyDescent="0.15">
      <c r="Q1266" s="2"/>
    </row>
    <row r="1267" spans="17:17" x14ac:dyDescent="0.15">
      <c r="Q1267" s="2"/>
    </row>
    <row r="1268" spans="17:17" x14ac:dyDescent="0.15">
      <c r="Q1268" s="2"/>
    </row>
    <row r="1269" spans="17:17" x14ac:dyDescent="0.15">
      <c r="Q1269" s="2"/>
    </row>
    <row r="1270" spans="17:17" x14ac:dyDescent="0.15">
      <c r="Q1270" s="2"/>
    </row>
    <row r="1271" spans="17:17" x14ac:dyDescent="0.15">
      <c r="Q1271" s="2"/>
    </row>
    <row r="1272" spans="17:17" x14ac:dyDescent="0.15">
      <c r="Q1272" s="2"/>
    </row>
    <row r="1273" spans="17:17" x14ac:dyDescent="0.15">
      <c r="Q1273" s="2"/>
    </row>
    <row r="1274" spans="17:17" x14ac:dyDescent="0.15">
      <c r="Q1274" s="2"/>
    </row>
    <row r="1275" spans="17:17" x14ac:dyDescent="0.15">
      <c r="Q1275" s="2"/>
    </row>
    <row r="1276" spans="17:17" x14ac:dyDescent="0.15">
      <c r="Q1276" s="2"/>
    </row>
    <row r="1277" spans="17:17" x14ac:dyDescent="0.15">
      <c r="Q1277" s="2"/>
    </row>
    <row r="1278" spans="17:17" x14ac:dyDescent="0.15">
      <c r="Q1278" s="2"/>
    </row>
    <row r="1279" spans="17:17" x14ac:dyDescent="0.15">
      <c r="Q1279" s="2"/>
    </row>
    <row r="1280" spans="17:17" x14ac:dyDescent="0.15">
      <c r="Q1280" s="2"/>
    </row>
    <row r="1281" spans="17:17" x14ac:dyDescent="0.15">
      <c r="Q1281" s="2"/>
    </row>
    <row r="1282" spans="17:17" x14ac:dyDescent="0.15">
      <c r="Q1282" s="2"/>
    </row>
    <row r="1283" spans="17:17" x14ac:dyDescent="0.15">
      <c r="Q1283" s="2"/>
    </row>
    <row r="1284" spans="17:17" x14ac:dyDescent="0.15">
      <c r="Q1284" s="2"/>
    </row>
    <row r="1285" spans="17:17" x14ac:dyDescent="0.15">
      <c r="Q1285" s="2"/>
    </row>
    <row r="1286" spans="17:17" x14ac:dyDescent="0.15">
      <c r="Q1286" s="2"/>
    </row>
    <row r="1287" spans="17:17" x14ac:dyDescent="0.15">
      <c r="Q1287" s="2"/>
    </row>
    <row r="1288" spans="17:17" x14ac:dyDescent="0.15">
      <c r="Q1288" s="2"/>
    </row>
    <row r="1289" spans="17:17" x14ac:dyDescent="0.15">
      <c r="Q1289" s="2"/>
    </row>
    <row r="1290" spans="17:17" x14ac:dyDescent="0.15">
      <c r="Q1290" s="2"/>
    </row>
    <row r="1291" spans="17:17" x14ac:dyDescent="0.15">
      <c r="Q1291" s="2"/>
    </row>
    <row r="1292" spans="17:17" x14ac:dyDescent="0.15">
      <c r="Q1292" s="2"/>
    </row>
    <row r="1293" spans="17:17" x14ac:dyDescent="0.15">
      <c r="Q1293" s="2"/>
    </row>
    <row r="1294" spans="17:17" x14ac:dyDescent="0.15">
      <c r="Q1294" s="2"/>
    </row>
    <row r="1295" spans="17:17" x14ac:dyDescent="0.15">
      <c r="Q1295" s="2"/>
    </row>
    <row r="1296" spans="17:17" x14ac:dyDescent="0.15">
      <c r="Q1296" s="2"/>
    </row>
    <row r="1297" spans="17:17" x14ac:dyDescent="0.15">
      <c r="Q1297" s="2"/>
    </row>
    <row r="1298" spans="17:17" x14ac:dyDescent="0.15">
      <c r="Q1298" s="2"/>
    </row>
    <row r="1299" spans="17:17" x14ac:dyDescent="0.15">
      <c r="Q1299" s="2"/>
    </row>
    <row r="1300" spans="17:17" x14ac:dyDescent="0.15">
      <c r="Q1300" s="2"/>
    </row>
    <row r="1301" spans="17:17" x14ac:dyDescent="0.15">
      <c r="Q1301" s="2"/>
    </row>
    <row r="1302" spans="17:17" x14ac:dyDescent="0.15">
      <c r="Q1302" s="2"/>
    </row>
    <row r="1303" spans="17:17" x14ac:dyDescent="0.15">
      <c r="Q1303" s="2"/>
    </row>
    <row r="1304" spans="17:17" x14ac:dyDescent="0.15">
      <c r="Q1304" s="2"/>
    </row>
    <row r="1305" spans="17:17" x14ac:dyDescent="0.15">
      <c r="Q1305" s="2"/>
    </row>
    <row r="1306" spans="17:17" x14ac:dyDescent="0.15">
      <c r="Q1306" s="2"/>
    </row>
    <row r="1307" spans="17:17" x14ac:dyDescent="0.15">
      <c r="Q1307" s="2"/>
    </row>
    <row r="1308" spans="17:17" x14ac:dyDescent="0.15">
      <c r="Q1308" s="2"/>
    </row>
    <row r="1309" spans="17:17" x14ac:dyDescent="0.15">
      <c r="Q1309" s="2"/>
    </row>
    <row r="1310" spans="17:17" x14ac:dyDescent="0.15">
      <c r="Q1310" s="2"/>
    </row>
    <row r="1311" spans="17:17" x14ac:dyDescent="0.15">
      <c r="Q1311" s="2"/>
    </row>
    <row r="1312" spans="17:17" x14ac:dyDescent="0.15">
      <c r="Q1312" s="2"/>
    </row>
    <row r="1313" spans="17:17" x14ac:dyDescent="0.15">
      <c r="Q1313" s="2"/>
    </row>
    <row r="1314" spans="17:17" x14ac:dyDescent="0.15">
      <c r="Q1314" s="2"/>
    </row>
    <row r="1315" spans="17:17" x14ac:dyDescent="0.15">
      <c r="Q1315" s="2"/>
    </row>
    <row r="1316" spans="17:17" x14ac:dyDescent="0.15">
      <c r="Q1316" s="2"/>
    </row>
    <row r="1317" spans="17:17" x14ac:dyDescent="0.15">
      <c r="Q1317" s="2"/>
    </row>
    <row r="1318" spans="17:17" x14ac:dyDescent="0.15">
      <c r="Q1318" s="2"/>
    </row>
    <row r="1319" spans="17:17" x14ac:dyDescent="0.15">
      <c r="Q1319" s="2"/>
    </row>
    <row r="1320" spans="17:17" x14ac:dyDescent="0.15">
      <c r="Q1320" s="2"/>
    </row>
    <row r="1321" spans="17:17" x14ac:dyDescent="0.15">
      <c r="Q1321" s="2"/>
    </row>
    <row r="1322" spans="17:17" x14ac:dyDescent="0.15">
      <c r="Q1322" s="2"/>
    </row>
    <row r="1323" spans="17:17" x14ac:dyDescent="0.15">
      <c r="Q1323" s="2"/>
    </row>
    <row r="1324" spans="17:17" x14ac:dyDescent="0.15">
      <c r="Q1324" s="2"/>
    </row>
    <row r="1325" spans="17:17" x14ac:dyDescent="0.15">
      <c r="Q1325" s="2"/>
    </row>
    <row r="1326" spans="17:17" x14ac:dyDescent="0.15">
      <c r="Q1326" s="2"/>
    </row>
    <row r="1327" spans="17:17" x14ac:dyDescent="0.15">
      <c r="Q1327" s="2"/>
    </row>
    <row r="1328" spans="17:17" x14ac:dyDescent="0.15">
      <c r="Q1328" s="2"/>
    </row>
    <row r="1329" spans="17:17" x14ac:dyDescent="0.15">
      <c r="Q1329" s="2"/>
    </row>
    <row r="1330" spans="17:17" x14ac:dyDescent="0.15">
      <c r="Q1330" s="2"/>
    </row>
    <row r="1331" spans="17:17" x14ac:dyDescent="0.15">
      <c r="Q1331" s="2"/>
    </row>
    <row r="1332" spans="17:17" x14ac:dyDescent="0.15">
      <c r="Q1332" s="2"/>
    </row>
    <row r="1333" spans="17:17" x14ac:dyDescent="0.15">
      <c r="Q1333" s="2"/>
    </row>
    <row r="1334" spans="17:17" x14ac:dyDescent="0.15">
      <c r="Q1334" s="2"/>
    </row>
    <row r="1335" spans="17:17" x14ac:dyDescent="0.15">
      <c r="Q1335" s="2"/>
    </row>
    <row r="1336" spans="17:17" x14ac:dyDescent="0.15">
      <c r="Q1336" s="2"/>
    </row>
    <row r="1337" spans="17:17" x14ac:dyDescent="0.15">
      <c r="Q1337" s="2"/>
    </row>
    <row r="1338" spans="17:17" x14ac:dyDescent="0.15">
      <c r="Q1338" s="2"/>
    </row>
    <row r="1339" spans="17:17" x14ac:dyDescent="0.15">
      <c r="Q1339" s="2"/>
    </row>
    <row r="1340" spans="17:17" x14ac:dyDescent="0.15">
      <c r="Q1340" s="2"/>
    </row>
    <row r="1341" spans="17:17" x14ac:dyDescent="0.15">
      <c r="Q1341" s="2"/>
    </row>
    <row r="1342" spans="17:17" x14ac:dyDescent="0.15">
      <c r="Q1342" s="2"/>
    </row>
    <row r="1343" spans="17:17" x14ac:dyDescent="0.15">
      <c r="Q1343" s="2"/>
    </row>
    <row r="1344" spans="17:17" x14ac:dyDescent="0.15">
      <c r="Q1344" s="2"/>
    </row>
    <row r="1345" spans="17:17" x14ac:dyDescent="0.15">
      <c r="Q1345" s="2"/>
    </row>
    <row r="1346" spans="17:17" x14ac:dyDescent="0.15">
      <c r="Q1346" s="2"/>
    </row>
    <row r="1347" spans="17:17" x14ac:dyDescent="0.15">
      <c r="Q1347" s="2"/>
    </row>
    <row r="1348" spans="17:17" x14ac:dyDescent="0.15">
      <c r="Q1348" s="2"/>
    </row>
    <row r="1349" spans="17:17" x14ac:dyDescent="0.15">
      <c r="Q1349" s="2"/>
    </row>
    <row r="1350" spans="17:17" x14ac:dyDescent="0.15">
      <c r="Q1350" s="2"/>
    </row>
    <row r="1351" spans="17:17" x14ac:dyDescent="0.15">
      <c r="Q1351" s="2"/>
    </row>
    <row r="1352" spans="17:17" x14ac:dyDescent="0.15">
      <c r="Q1352" s="2"/>
    </row>
    <row r="1353" spans="17:17" x14ac:dyDescent="0.15">
      <c r="Q1353" s="2"/>
    </row>
    <row r="1354" spans="17:17" x14ac:dyDescent="0.15">
      <c r="Q1354" s="2"/>
    </row>
    <row r="1355" spans="17:17" x14ac:dyDescent="0.15">
      <c r="Q1355" s="2"/>
    </row>
    <row r="1356" spans="17:17" x14ac:dyDescent="0.15">
      <c r="Q1356" s="2"/>
    </row>
    <row r="1357" spans="17:17" x14ac:dyDescent="0.15">
      <c r="Q1357" s="2"/>
    </row>
    <row r="1358" spans="17:17" x14ac:dyDescent="0.15">
      <c r="Q1358" s="2"/>
    </row>
    <row r="1359" spans="17:17" x14ac:dyDescent="0.15">
      <c r="Q1359" s="2"/>
    </row>
    <row r="1360" spans="17:17" x14ac:dyDescent="0.15">
      <c r="Q1360" s="2"/>
    </row>
    <row r="1361" spans="17:17" x14ac:dyDescent="0.15">
      <c r="Q1361" s="2"/>
    </row>
    <row r="1362" spans="17:17" x14ac:dyDescent="0.15">
      <c r="Q1362" s="2"/>
    </row>
    <row r="1363" spans="17:17" x14ac:dyDescent="0.15">
      <c r="Q1363" s="2"/>
    </row>
    <row r="1364" spans="17:17" x14ac:dyDescent="0.15">
      <c r="Q1364" s="2"/>
    </row>
    <row r="1365" spans="17:17" x14ac:dyDescent="0.15">
      <c r="Q1365" s="2"/>
    </row>
    <row r="1366" spans="17:17" x14ac:dyDescent="0.15">
      <c r="Q1366" s="2"/>
    </row>
    <row r="1367" spans="17:17" x14ac:dyDescent="0.15">
      <c r="Q1367" s="2"/>
    </row>
    <row r="1368" spans="17:17" x14ac:dyDescent="0.15">
      <c r="Q1368" s="2"/>
    </row>
    <row r="1369" spans="17:17" x14ac:dyDescent="0.15">
      <c r="Q1369" s="2"/>
    </row>
    <row r="1370" spans="17:17" x14ac:dyDescent="0.15">
      <c r="Q1370" s="2"/>
    </row>
    <row r="1371" spans="17:17" x14ac:dyDescent="0.15">
      <c r="Q1371" s="2"/>
    </row>
    <row r="1372" spans="17:17" x14ac:dyDescent="0.15">
      <c r="Q1372" s="2"/>
    </row>
    <row r="1373" spans="17:17" x14ac:dyDescent="0.15">
      <c r="Q1373" s="2"/>
    </row>
    <row r="1374" spans="17:17" x14ac:dyDescent="0.15">
      <c r="Q1374" s="2"/>
    </row>
    <row r="1375" spans="17:17" x14ac:dyDescent="0.15">
      <c r="Q1375" s="2"/>
    </row>
    <row r="1376" spans="17:17" x14ac:dyDescent="0.15">
      <c r="Q1376" s="2"/>
    </row>
    <row r="1377" spans="17:17" x14ac:dyDescent="0.15">
      <c r="Q1377" s="2"/>
    </row>
    <row r="1378" spans="17:17" x14ac:dyDescent="0.15">
      <c r="Q1378" s="2"/>
    </row>
    <row r="1379" spans="17:17" x14ac:dyDescent="0.15">
      <c r="Q1379" s="2"/>
    </row>
    <row r="1380" spans="17:17" x14ac:dyDescent="0.15">
      <c r="Q1380" s="2"/>
    </row>
    <row r="1381" spans="17:17" x14ac:dyDescent="0.15">
      <c r="Q1381" s="2"/>
    </row>
    <row r="1382" spans="17:17" x14ac:dyDescent="0.15">
      <c r="Q1382" s="2"/>
    </row>
    <row r="1383" spans="17:17" x14ac:dyDescent="0.15">
      <c r="Q1383" s="2"/>
    </row>
    <row r="1384" spans="17:17" x14ac:dyDescent="0.15">
      <c r="Q1384" s="2"/>
    </row>
    <row r="1385" spans="17:17" x14ac:dyDescent="0.15">
      <c r="Q1385" s="2"/>
    </row>
    <row r="1386" spans="17:17" x14ac:dyDescent="0.15">
      <c r="Q1386" s="2"/>
    </row>
    <row r="1387" spans="17:17" x14ac:dyDescent="0.15">
      <c r="Q1387" s="2"/>
    </row>
    <row r="1388" spans="17:17" x14ac:dyDescent="0.15">
      <c r="Q1388" s="2"/>
    </row>
    <row r="1389" spans="17:17" x14ac:dyDescent="0.15">
      <c r="Q1389" s="2"/>
    </row>
    <row r="1390" spans="17:17" x14ac:dyDescent="0.15">
      <c r="Q1390" s="2"/>
    </row>
    <row r="1391" spans="17:17" x14ac:dyDescent="0.15">
      <c r="Q1391" s="2"/>
    </row>
    <row r="1392" spans="17:17" x14ac:dyDescent="0.15">
      <c r="Q1392" s="2"/>
    </row>
    <row r="1393" spans="17:17" x14ac:dyDescent="0.15">
      <c r="Q1393" s="2"/>
    </row>
    <row r="1394" spans="17:17" x14ac:dyDescent="0.15">
      <c r="Q1394" s="2"/>
    </row>
    <row r="1395" spans="17:17" x14ac:dyDescent="0.15">
      <c r="Q1395" s="2"/>
    </row>
    <row r="1396" spans="17:17" x14ac:dyDescent="0.15">
      <c r="Q1396" s="2"/>
    </row>
    <row r="1397" spans="17:17" x14ac:dyDescent="0.15">
      <c r="Q1397" s="2"/>
    </row>
    <row r="1398" spans="17:17" x14ac:dyDescent="0.15">
      <c r="Q1398" s="2"/>
    </row>
    <row r="1399" spans="17:17" x14ac:dyDescent="0.15">
      <c r="Q1399" s="2"/>
    </row>
    <row r="1400" spans="17:17" x14ac:dyDescent="0.15">
      <c r="Q1400" s="2"/>
    </row>
    <row r="1401" spans="17:17" x14ac:dyDescent="0.15">
      <c r="Q1401" s="2"/>
    </row>
    <row r="1402" spans="17:17" x14ac:dyDescent="0.15">
      <c r="Q1402" s="2"/>
    </row>
    <row r="1403" spans="17:17" x14ac:dyDescent="0.15">
      <c r="Q1403" s="2"/>
    </row>
    <row r="1404" spans="17:17" x14ac:dyDescent="0.15">
      <c r="Q1404" s="2"/>
    </row>
    <row r="1405" spans="17:17" x14ac:dyDescent="0.15">
      <c r="Q1405" s="2"/>
    </row>
    <row r="1406" spans="17:17" x14ac:dyDescent="0.15">
      <c r="Q1406" s="2"/>
    </row>
    <row r="1407" spans="17:17" x14ac:dyDescent="0.15">
      <c r="Q1407" s="2"/>
    </row>
    <row r="1408" spans="17:17" x14ac:dyDescent="0.15">
      <c r="Q1408" s="2"/>
    </row>
    <row r="1409" spans="17:17" x14ac:dyDescent="0.15">
      <c r="Q1409" s="2"/>
    </row>
    <row r="1410" spans="17:17" x14ac:dyDescent="0.15">
      <c r="Q1410" s="2"/>
    </row>
    <row r="1411" spans="17:17" x14ac:dyDescent="0.15">
      <c r="Q1411" s="2"/>
    </row>
    <row r="1412" spans="17:17" x14ac:dyDescent="0.15">
      <c r="Q1412" s="2"/>
    </row>
    <row r="1413" spans="17:17" x14ac:dyDescent="0.15">
      <c r="Q1413" s="2"/>
    </row>
    <row r="1414" spans="17:17" x14ac:dyDescent="0.15">
      <c r="Q1414" s="2"/>
    </row>
    <row r="1415" spans="17:17" x14ac:dyDescent="0.15">
      <c r="Q1415" s="2"/>
    </row>
    <row r="1416" spans="17:17" x14ac:dyDescent="0.15">
      <c r="Q1416" s="2"/>
    </row>
    <row r="1417" spans="17:17" x14ac:dyDescent="0.15">
      <c r="Q1417" s="2"/>
    </row>
    <row r="1418" spans="17:17" x14ac:dyDescent="0.15">
      <c r="Q1418" s="2"/>
    </row>
    <row r="1419" spans="17:17" x14ac:dyDescent="0.15">
      <c r="Q1419" s="2"/>
    </row>
    <row r="1420" spans="17:17" x14ac:dyDescent="0.15">
      <c r="Q1420" s="2"/>
    </row>
    <row r="1421" spans="17:17" x14ac:dyDescent="0.15">
      <c r="Q1421" s="2"/>
    </row>
    <row r="1422" spans="17:17" x14ac:dyDescent="0.15">
      <c r="Q1422" s="2"/>
    </row>
    <row r="1423" spans="17:17" x14ac:dyDescent="0.15">
      <c r="Q1423" s="2"/>
    </row>
    <row r="1424" spans="17:17" x14ac:dyDescent="0.15">
      <c r="Q1424" s="2"/>
    </row>
    <row r="1425" spans="17:17" x14ac:dyDescent="0.15">
      <c r="Q1425" s="2"/>
    </row>
    <row r="1426" spans="17:17" x14ac:dyDescent="0.15">
      <c r="Q1426" s="2"/>
    </row>
    <row r="1427" spans="17:17" x14ac:dyDescent="0.15">
      <c r="Q1427" s="2"/>
    </row>
    <row r="1428" spans="17:17" x14ac:dyDescent="0.15">
      <c r="Q1428" s="2"/>
    </row>
    <row r="1429" spans="17:17" x14ac:dyDescent="0.15">
      <c r="Q1429" s="2"/>
    </row>
    <row r="1430" spans="17:17" x14ac:dyDescent="0.15">
      <c r="Q1430" s="2"/>
    </row>
    <row r="1431" spans="17:17" x14ac:dyDescent="0.15">
      <c r="Q1431" s="2"/>
    </row>
    <row r="1432" spans="17:17" x14ac:dyDescent="0.15">
      <c r="Q1432" s="2"/>
    </row>
    <row r="1433" spans="17:17" x14ac:dyDescent="0.15">
      <c r="Q1433" s="2"/>
    </row>
    <row r="1434" spans="17:17" x14ac:dyDescent="0.15">
      <c r="Q1434" s="2"/>
    </row>
    <row r="1435" spans="17:17" x14ac:dyDescent="0.15">
      <c r="Q1435" s="2"/>
    </row>
    <row r="1436" spans="17:17" x14ac:dyDescent="0.15">
      <c r="Q1436" s="2"/>
    </row>
    <row r="1437" spans="17:17" x14ac:dyDescent="0.15">
      <c r="Q1437" s="2"/>
    </row>
    <row r="1438" spans="17:17" x14ac:dyDescent="0.15">
      <c r="Q1438" s="2"/>
    </row>
    <row r="1439" spans="17:17" x14ac:dyDescent="0.15">
      <c r="Q1439" s="2"/>
    </row>
    <row r="1440" spans="17:17" x14ac:dyDescent="0.15">
      <c r="Q1440" s="2"/>
    </row>
    <row r="1441" spans="17:17" x14ac:dyDescent="0.15">
      <c r="Q1441" s="2"/>
    </row>
    <row r="1442" spans="17:17" x14ac:dyDescent="0.15">
      <c r="Q1442" s="2"/>
    </row>
    <row r="1443" spans="17:17" x14ac:dyDescent="0.15">
      <c r="Q1443" s="2"/>
    </row>
    <row r="1444" spans="17:17" x14ac:dyDescent="0.15">
      <c r="Q1444" s="2"/>
    </row>
    <row r="1445" spans="17:17" x14ac:dyDescent="0.15">
      <c r="Q1445" s="2"/>
    </row>
    <row r="1446" spans="17:17" x14ac:dyDescent="0.15">
      <c r="Q1446" s="2"/>
    </row>
    <row r="1447" spans="17:17" x14ac:dyDescent="0.15">
      <c r="Q1447" s="2"/>
    </row>
    <row r="1448" spans="17:17" x14ac:dyDescent="0.15">
      <c r="Q1448" s="2"/>
    </row>
    <row r="1449" spans="17:17" x14ac:dyDescent="0.15">
      <c r="Q1449" s="2"/>
    </row>
    <row r="1450" spans="17:17" x14ac:dyDescent="0.15">
      <c r="Q1450" s="2"/>
    </row>
    <row r="1451" spans="17:17" x14ac:dyDescent="0.15">
      <c r="Q1451" s="2"/>
    </row>
    <row r="1452" spans="17:17" x14ac:dyDescent="0.15">
      <c r="Q1452" s="2"/>
    </row>
    <row r="1453" spans="17:17" x14ac:dyDescent="0.15">
      <c r="Q1453" s="2"/>
    </row>
    <row r="1454" spans="17:17" x14ac:dyDescent="0.15">
      <c r="Q1454" s="2"/>
    </row>
    <row r="1455" spans="17:17" x14ac:dyDescent="0.15">
      <c r="Q1455" s="2"/>
    </row>
    <row r="1456" spans="17:17" x14ac:dyDescent="0.15">
      <c r="Q1456" s="2"/>
    </row>
    <row r="1457" spans="17:17" x14ac:dyDescent="0.15">
      <c r="Q1457" s="2"/>
    </row>
    <row r="1458" spans="17:17" x14ac:dyDescent="0.15">
      <c r="Q1458" s="2"/>
    </row>
    <row r="1459" spans="17:17" x14ac:dyDescent="0.15">
      <c r="Q1459" s="2"/>
    </row>
    <row r="1460" spans="17:17" x14ac:dyDescent="0.15">
      <c r="Q1460" s="2"/>
    </row>
    <row r="1461" spans="17:17" x14ac:dyDescent="0.15">
      <c r="Q1461" s="2"/>
    </row>
    <row r="1462" spans="17:17" x14ac:dyDescent="0.15">
      <c r="Q1462" s="2"/>
    </row>
    <row r="1463" spans="17:17" x14ac:dyDescent="0.15">
      <c r="Q1463" s="2"/>
    </row>
    <row r="1464" spans="17:17" x14ac:dyDescent="0.15">
      <c r="Q1464" s="2"/>
    </row>
    <row r="1465" spans="17:17" x14ac:dyDescent="0.15">
      <c r="Q1465" s="2"/>
    </row>
    <row r="1466" spans="17:17" x14ac:dyDescent="0.15">
      <c r="Q1466" s="2"/>
    </row>
    <row r="1467" spans="17:17" x14ac:dyDescent="0.15">
      <c r="Q1467" s="2"/>
    </row>
    <row r="1468" spans="17:17" x14ac:dyDescent="0.15">
      <c r="Q1468" s="2"/>
    </row>
    <row r="1469" spans="17:17" x14ac:dyDescent="0.15">
      <c r="Q1469" s="2"/>
    </row>
    <row r="1470" spans="17:17" x14ac:dyDescent="0.15">
      <c r="Q1470" s="2"/>
    </row>
    <row r="1471" spans="17:17" x14ac:dyDescent="0.15">
      <c r="Q1471" s="2"/>
    </row>
    <row r="1472" spans="17:17" x14ac:dyDescent="0.15">
      <c r="Q1472" s="2"/>
    </row>
    <row r="1473" spans="17:17" x14ac:dyDescent="0.15">
      <c r="Q1473" s="2"/>
    </row>
    <row r="1474" spans="17:17" x14ac:dyDescent="0.15">
      <c r="Q1474" s="2"/>
    </row>
    <row r="1475" spans="17:17" x14ac:dyDescent="0.15">
      <c r="Q1475" s="2"/>
    </row>
    <row r="1476" spans="17:17" x14ac:dyDescent="0.15">
      <c r="Q1476" s="2"/>
    </row>
    <row r="1477" spans="17:17" x14ac:dyDescent="0.15">
      <c r="Q1477" s="2"/>
    </row>
    <row r="1478" spans="17:17" x14ac:dyDescent="0.15">
      <c r="Q1478" s="2"/>
    </row>
    <row r="1479" spans="17:17" x14ac:dyDescent="0.15">
      <c r="Q1479" s="2"/>
    </row>
    <row r="1480" spans="17:17" x14ac:dyDescent="0.15">
      <c r="Q1480" s="2"/>
    </row>
    <row r="1481" spans="17:17" x14ac:dyDescent="0.15">
      <c r="Q1481" s="2"/>
    </row>
    <row r="1482" spans="17:17" x14ac:dyDescent="0.15">
      <c r="Q1482" s="2"/>
    </row>
    <row r="1483" spans="17:17" x14ac:dyDescent="0.15">
      <c r="Q1483" s="2"/>
    </row>
    <row r="1484" spans="17:17" x14ac:dyDescent="0.15">
      <c r="Q1484" s="2"/>
    </row>
    <row r="1485" spans="17:17" x14ac:dyDescent="0.15">
      <c r="Q1485" s="2"/>
    </row>
    <row r="1486" spans="17:17" x14ac:dyDescent="0.15">
      <c r="Q1486" s="2"/>
    </row>
    <row r="1487" spans="17:17" x14ac:dyDescent="0.15">
      <c r="Q1487" s="2"/>
    </row>
    <row r="1488" spans="17:17" x14ac:dyDescent="0.15">
      <c r="Q1488" s="2"/>
    </row>
    <row r="1489" spans="17:17" x14ac:dyDescent="0.15">
      <c r="Q1489" s="2"/>
    </row>
    <row r="1490" spans="17:17" x14ac:dyDescent="0.15">
      <c r="Q1490" s="2"/>
    </row>
    <row r="1491" spans="17:17" x14ac:dyDescent="0.15">
      <c r="Q1491" s="2"/>
    </row>
    <row r="1492" spans="17:17" x14ac:dyDescent="0.15">
      <c r="Q1492" s="2"/>
    </row>
    <row r="1493" spans="17:17" x14ac:dyDescent="0.15">
      <c r="Q1493" s="2"/>
    </row>
    <row r="1494" spans="17:17" x14ac:dyDescent="0.15">
      <c r="Q1494" s="2"/>
    </row>
    <row r="1495" spans="17:17" x14ac:dyDescent="0.15">
      <c r="Q1495" s="2"/>
    </row>
    <row r="1496" spans="17:17" x14ac:dyDescent="0.15">
      <c r="Q1496" s="2"/>
    </row>
    <row r="1497" spans="17:17" x14ac:dyDescent="0.15">
      <c r="Q1497" s="2"/>
    </row>
    <row r="1498" spans="17:17" x14ac:dyDescent="0.15">
      <c r="Q1498" s="2"/>
    </row>
    <row r="1499" spans="17:17" x14ac:dyDescent="0.15">
      <c r="Q1499" s="2"/>
    </row>
    <row r="1500" spans="17:17" x14ac:dyDescent="0.15">
      <c r="Q1500" s="2"/>
    </row>
    <row r="1501" spans="17:17" x14ac:dyDescent="0.15">
      <c r="Q1501" s="2"/>
    </row>
    <row r="1502" spans="17:17" x14ac:dyDescent="0.15">
      <c r="Q1502" s="2"/>
    </row>
    <row r="1503" spans="17:17" x14ac:dyDescent="0.15">
      <c r="Q1503" s="2"/>
    </row>
    <row r="1504" spans="17:17" x14ac:dyDescent="0.15">
      <c r="Q1504" s="2"/>
    </row>
    <row r="1505" spans="17:17" x14ac:dyDescent="0.15">
      <c r="Q1505" s="2"/>
    </row>
    <row r="1506" spans="17:17" x14ac:dyDescent="0.15">
      <c r="Q1506" s="2"/>
    </row>
    <row r="1507" spans="17:17" x14ac:dyDescent="0.15">
      <c r="Q1507" s="2"/>
    </row>
    <row r="1508" spans="17:17" x14ac:dyDescent="0.15">
      <c r="Q1508" s="2"/>
    </row>
    <row r="1509" spans="17:17" x14ac:dyDescent="0.15">
      <c r="Q1509" s="2"/>
    </row>
    <row r="1510" spans="17:17" x14ac:dyDescent="0.15">
      <c r="Q1510" s="2"/>
    </row>
    <row r="1511" spans="17:17" x14ac:dyDescent="0.15">
      <c r="Q1511" s="2"/>
    </row>
    <row r="1512" spans="17:17" x14ac:dyDescent="0.15">
      <c r="Q1512" s="2"/>
    </row>
    <row r="1513" spans="17:17" x14ac:dyDescent="0.15">
      <c r="Q1513" s="2"/>
    </row>
    <row r="1514" spans="17:17" x14ac:dyDescent="0.15">
      <c r="Q1514" s="2"/>
    </row>
    <row r="1515" spans="17:17" x14ac:dyDescent="0.15">
      <c r="Q1515" s="2"/>
    </row>
    <row r="1516" spans="17:17" x14ac:dyDescent="0.15">
      <c r="Q1516" s="2"/>
    </row>
    <row r="1517" spans="17:17" x14ac:dyDescent="0.15">
      <c r="Q1517" s="2"/>
    </row>
    <row r="1518" spans="17:17" x14ac:dyDescent="0.15">
      <c r="Q1518" s="2"/>
    </row>
    <row r="1519" spans="17:17" x14ac:dyDescent="0.15">
      <c r="Q1519" s="2"/>
    </row>
    <row r="1520" spans="17:17" x14ac:dyDescent="0.15">
      <c r="Q1520" s="2"/>
    </row>
    <row r="1521" spans="17:17" x14ac:dyDescent="0.15">
      <c r="Q1521" s="2"/>
    </row>
    <row r="1522" spans="17:17" x14ac:dyDescent="0.15">
      <c r="Q1522" s="2"/>
    </row>
    <row r="1523" spans="17:17" x14ac:dyDescent="0.15">
      <c r="Q1523" s="2"/>
    </row>
    <row r="1524" spans="17:17" x14ac:dyDescent="0.15">
      <c r="Q1524" s="2"/>
    </row>
    <row r="1525" spans="17:17" x14ac:dyDescent="0.15">
      <c r="Q1525" s="2"/>
    </row>
    <row r="1526" spans="17:17" x14ac:dyDescent="0.15">
      <c r="Q1526" s="2"/>
    </row>
    <row r="1527" spans="17:17" x14ac:dyDescent="0.15">
      <c r="Q1527" s="2"/>
    </row>
    <row r="1528" spans="17:17" x14ac:dyDescent="0.15">
      <c r="Q1528" s="2"/>
    </row>
    <row r="1529" spans="17:17" x14ac:dyDescent="0.15">
      <c r="Q1529" s="2"/>
    </row>
    <row r="1530" spans="17:17" x14ac:dyDescent="0.15">
      <c r="Q1530" s="2"/>
    </row>
    <row r="1531" spans="17:17" x14ac:dyDescent="0.15">
      <c r="Q1531" s="2"/>
    </row>
    <row r="1532" spans="17:17" x14ac:dyDescent="0.15">
      <c r="Q1532" s="2"/>
    </row>
    <row r="1533" spans="17:17" x14ac:dyDescent="0.15">
      <c r="Q1533" s="2"/>
    </row>
    <row r="1534" spans="17:17" x14ac:dyDescent="0.15">
      <c r="Q1534" s="2"/>
    </row>
    <row r="1535" spans="17:17" x14ac:dyDescent="0.15">
      <c r="Q1535" s="2"/>
    </row>
    <row r="1536" spans="17:17" x14ac:dyDescent="0.15">
      <c r="Q1536" s="2"/>
    </row>
    <row r="1537" spans="17:17" x14ac:dyDescent="0.15">
      <c r="Q1537" s="2"/>
    </row>
    <row r="1538" spans="17:17" x14ac:dyDescent="0.15">
      <c r="Q1538" s="2"/>
    </row>
    <row r="1539" spans="17:17" x14ac:dyDescent="0.15">
      <c r="Q1539" s="2"/>
    </row>
    <row r="1540" spans="17:17" x14ac:dyDescent="0.15">
      <c r="Q1540" s="2"/>
    </row>
    <row r="1541" spans="17:17" x14ac:dyDescent="0.15">
      <c r="Q1541" s="2"/>
    </row>
    <row r="1542" spans="17:17" x14ac:dyDescent="0.15">
      <c r="Q1542" s="2"/>
    </row>
    <row r="1543" spans="17:17" x14ac:dyDescent="0.15">
      <c r="Q1543" s="2"/>
    </row>
    <row r="1544" spans="17:17" x14ac:dyDescent="0.15">
      <c r="Q1544" s="2"/>
    </row>
    <row r="1545" spans="17:17" x14ac:dyDescent="0.15">
      <c r="Q1545" s="2"/>
    </row>
    <row r="1546" spans="17:17" x14ac:dyDescent="0.15">
      <c r="Q1546" s="2"/>
    </row>
    <row r="1547" spans="17:17" x14ac:dyDescent="0.15">
      <c r="Q1547" s="2"/>
    </row>
    <row r="1548" spans="17:17" x14ac:dyDescent="0.15">
      <c r="Q1548" s="2"/>
    </row>
    <row r="1549" spans="17:17" x14ac:dyDescent="0.15">
      <c r="Q1549" s="2"/>
    </row>
    <row r="1550" spans="17:17" x14ac:dyDescent="0.15">
      <c r="Q1550" s="2"/>
    </row>
    <row r="1551" spans="17:17" x14ac:dyDescent="0.15">
      <c r="Q1551" s="2"/>
    </row>
    <row r="1552" spans="17:17" x14ac:dyDescent="0.15">
      <c r="Q1552" s="2"/>
    </row>
    <row r="1553" spans="17:17" x14ac:dyDescent="0.15">
      <c r="Q1553" s="2"/>
    </row>
    <row r="1554" spans="17:17" x14ac:dyDescent="0.15">
      <c r="Q1554" s="2"/>
    </row>
    <row r="1555" spans="17:17" x14ac:dyDescent="0.15">
      <c r="Q1555" s="2"/>
    </row>
    <row r="1556" spans="17:17" x14ac:dyDescent="0.15">
      <c r="Q1556" s="2"/>
    </row>
    <row r="1557" spans="17:17" x14ac:dyDescent="0.15">
      <c r="Q1557" s="2"/>
    </row>
    <row r="1558" spans="17:17" x14ac:dyDescent="0.15">
      <c r="Q1558" s="2"/>
    </row>
    <row r="1559" spans="17:17" x14ac:dyDescent="0.15">
      <c r="Q1559" s="2"/>
    </row>
    <row r="1560" spans="17:17" x14ac:dyDescent="0.15">
      <c r="Q1560" s="2"/>
    </row>
    <row r="1561" spans="17:17" x14ac:dyDescent="0.15">
      <c r="Q1561" s="2"/>
    </row>
    <row r="1562" spans="17:17" x14ac:dyDescent="0.15">
      <c r="Q1562" s="2"/>
    </row>
    <row r="1563" spans="17:17" x14ac:dyDescent="0.15">
      <c r="Q1563" s="2"/>
    </row>
    <row r="1564" spans="17:17" x14ac:dyDescent="0.15">
      <c r="Q1564" s="2"/>
    </row>
    <row r="1565" spans="17:17" x14ac:dyDescent="0.15">
      <c r="Q1565" s="2"/>
    </row>
    <row r="1566" spans="17:17" x14ac:dyDescent="0.15">
      <c r="Q1566" s="2"/>
    </row>
    <row r="1567" spans="17:17" x14ac:dyDescent="0.15">
      <c r="Q1567" s="2"/>
    </row>
    <row r="1568" spans="17:17" x14ac:dyDescent="0.15">
      <c r="Q1568" s="2"/>
    </row>
    <row r="1569" spans="17:17" x14ac:dyDescent="0.15">
      <c r="Q1569" s="2"/>
    </row>
    <row r="1570" spans="17:17" x14ac:dyDescent="0.15">
      <c r="Q1570" s="2"/>
    </row>
    <row r="1571" spans="17:17" x14ac:dyDescent="0.15">
      <c r="Q1571" s="2"/>
    </row>
    <row r="1572" spans="17:17" x14ac:dyDescent="0.15">
      <c r="Q1572" s="2"/>
    </row>
    <row r="1573" spans="17:17" x14ac:dyDescent="0.15">
      <c r="Q1573" s="2"/>
    </row>
    <row r="1574" spans="17:17" x14ac:dyDescent="0.15">
      <c r="Q1574" s="2"/>
    </row>
    <row r="1575" spans="17:17" x14ac:dyDescent="0.15">
      <c r="Q1575" s="2"/>
    </row>
    <row r="1576" spans="17:17" x14ac:dyDescent="0.15">
      <c r="Q1576" s="2"/>
    </row>
    <row r="1577" spans="17:17" x14ac:dyDescent="0.15">
      <c r="Q1577" s="2"/>
    </row>
    <row r="1578" spans="17:17" x14ac:dyDescent="0.15">
      <c r="Q1578" s="2"/>
    </row>
    <row r="1579" spans="17:17" x14ac:dyDescent="0.15">
      <c r="Q1579" s="2"/>
    </row>
    <row r="1580" spans="17:17" x14ac:dyDescent="0.15">
      <c r="Q1580" s="2"/>
    </row>
    <row r="1581" spans="17:17" x14ac:dyDescent="0.15">
      <c r="Q1581" s="2"/>
    </row>
    <row r="1582" spans="17:17" x14ac:dyDescent="0.15">
      <c r="Q1582" s="2"/>
    </row>
    <row r="1583" spans="17:17" x14ac:dyDescent="0.15">
      <c r="Q1583" s="2"/>
    </row>
    <row r="1584" spans="17:17" x14ac:dyDescent="0.15">
      <c r="Q1584" s="2"/>
    </row>
    <row r="1585" spans="17:17" x14ac:dyDescent="0.15">
      <c r="Q1585" s="2"/>
    </row>
    <row r="1586" spans="17:17" x14ac:dyDescent="0.15">
      <c r="Q1586" s="2"/>
    </row>
    <row r="1587" spans="17:17" x14ac:dyDescent="0.15">
      <c r="Q1587" s="2"/>
    </row>
    <row r="1588" spans="17:17" x14ac:dyDescent="0.15">
      <c r="Q1588" s="2"/>
    </row>
    <row r="1589" spans="17:17" x14ac:dyDescent="0.15">
      <c r="Q1589" s="2"/>
    </row>
    <row r="1590" spans="17:17" x14ac:dyDescent="0.15">
      <c r="Q1590" s="2"/>
    </row>
    <row r="1591" spans="17:17" x14ac:dyDescent="0.15">
      <c r="Q1591" s="2"/>
    </row>
    <row r="1592" spans="17:17" x14ac:dyDescent="0.15">
      <c r="Q1592" s="2"/>
    </row>
    <row r="1593" spans="17:17" x14ac:dyDescent="0.15">
      <c r="Q1593" s="2"/>
    </row>
    <row r="1594" spans="17:17" x14ac:dyDescent="0.15">
      <c r="Q1594" s="2"/>
    </row>
    <row r="1595" spans="17:17" x14ac:dyDescent="0.15">
      <c r="Q1595" s="2"/>
    </row>
    <row r="1596" spans="17:17" x14ac:dyDescent="0.15">
      <c r="Q1596" s="2"/>
    </row>
    <row r="1597" spans="17:17" x14ac:dyDescent="0.15">
      <c r="Q1597" s="2"/>
    </row>
    <row r="1598" spans="17:17" x14ac:dyDescent="0.15">
      <c r="Q1598" s="2"/>
    </row>
    <row r="1599" spans="17:17" x14ac:dyDescent="0.15">
      <c r="Q1599" s="2"/>
    </row>
    <row r="1600" spans="17:17" x14ac:dyDescent="0.15">
      <c r="Q1600" s="2"/>
    </row>
    <row r="1601" spans="17:17" x14ac:dyDescent="0.15">
      <c r="Q1601" s="2"/>
    </row>
    <row r="1602" spans="17:17" x14ac:dyDescent="0.15">
      <c r="Q1602" s="2"/>
    </row>
    <row r="1603" spans="17:17" x14ac:dyDescent="0.15">
      <c r="Q1603" s="2"/>
    </row>
    <row r="1604" spans="17:17" x14ac:dyDescent="0.15">
      <c r="Q1604" s="2"/>
    </row>
    <row r="1605" spans="17:17" x14ac:dyDescent="0.15">
      <c r="Q1605" s="2"/>
    </row>
    <row r="1606" spans="17:17" x14ac:dyDescent="0.15">
      <c r="Q1606" s="2"/>
    </row>
    <row r="1607" spans="17:17" x14ac:dyDescent="0.15">
      <c r="Q1607" s="2"/>
    </row>
    <row r="1608" spans="17:17" x14ac:dyDescent="0.15">
      <c r="Q1608" s="2"/>
    </row>
    <row r="1609" spans="17:17" x14ac:dyDescent="0.15">
      <c r="Q1609" s="2"/>
    </row>
    <row r="1610" spans="17:17" x14ac:dyDescent="0.15">
      <c r="Q1610" s="2"/>
    </row>
    <row r="1611" spans="17:17" x14ac:dyDescent="0.15">
      <c r="Q1611" s="2"/>
    </row>
    <row r="1612" spans="17:17" x14ac:dyDescent="0.15">
      <c r="Q1612" s="2"/>
    </row>
    <row r="1613" spans="17:17" x14ac:dyDescent="0.15">
      <c r="Q1613" s="2"/>
    </row>
    <row r="1614" spans="17:17" x14ac:dyDescent="0.15">
      <c r="Q1614" s="2"/>
    </row>
    <row r="1615" spans="17:17" x14ac:dyDescent="0.15">
      <c r="Q1615" s="2"/>
    </row>
    <row r="1616" spans="17:17" x14ac:dyDescent="0.15">
      <c r="Q1616" s="2"/>
    </row>
    <row r="1617" spans="17:17" x14ac:dyDescent="0.15">
      <c r="Q1617" s="2"/>
    </row>
    <row r="1618" spans="17:17" x14ac:dyDescent="0.15">
      <c r="Q1618" s="2"/>
    </row>
    <row r="1619" spans="17:17" x14ac:dyDescent="0.15">
      <c r="Q1619" s="2"/>
    </row>
    <row r="1620" spans="17:17" x14ac:dyDescent="0.15">
      <c r="Q1620" s="2"/>
    </row>
    <row r="1621" spans="17:17" x14ac:dyDescent="0.15">
      <c r="Q1621" s="2"/>
    </row>
    <row r="1622" spans="17:17" x14ac:dyDescent="0.15">
      <c r="Q1622" s="2"/>
    </row>
    <row r="1623" spans="17:17" x14ac:dyDescent="0.15">
      <c r="Q1623" s="2"/>
    </row>
    <row r="1624" spans="17:17" x14ac:dyDescent="0.15">
      <c r="Q1624" s="2"/>
    </row>
    <row r="1625" spans="17:17" x14ac:dyDescent="0.15">
      <c r="Q1625" s="2"/>
    </row>
    <row r="1626" spans="17:17" x14ac:dyDescent="0.15">
      <c r="Q1626" s="2"/>
    </row>
    <row r="1627" spans="17:17" x14ac:dyDescent="0.15">
      <c r="Q1627" s="2"/>
    </row>
    <row r="1628" spans="17:17" x14ac:dyDescent="0.15">
      <c r="Q1628" s="2"/>
    </row>
    <row r="1629" spans="17:17" x14ac:dyDescent="0.15">
      <c r="Q1629" s="2"/>
    </row>
    <row r="1630" spans="17:17" x14ac:dyDescent="0.15">
      <c r="Q1630" s="2"/>
    </row>
    <row r="1631" spans="17:17" x14ac:dyDescent="0.15">
      <c r="Q1631" s="2"/>
    </row>
    <row r="1632" spans="17:17" x14ac:dyDescent="0.15">
      <c r="Q1632" s="2"/>
    </row>
    <row r="1633" spans="17:17" x14ac:dyDescent="0.15">
      <c r="Q1633" s="2"/>
    </row>
    <row r="1634" spans="17:17" x14ac:dyDescent="0.15">
      <c r="Q1634" s="2"/>
    </row>
    <row r="1635" spans="17:17" x14ac:dyDescent="0.15">
      <c r="Q1635" s="2"/>
    </row>
    <row r="1636" spans="17:17" x14ac:dyDescent="0.15">
      <c r="Q1636" s="2"/>
    </row>
    <row r="1637" spans="17:17" x14ac:dyDescent="0.15">
      <c r="Q1637" s="2"/>
    </row>
    <row r="1638" spans="17:17" x14ac:dyDescent="0.15">
      <c r="Q1638" s="2"/>
    </row>
    <row r="1639" spans="17:17" x14ac:dyDescent="0.15">
      <c r="Q1639" s="2"/>
    </row>
    <row r="1640" spans="17:17" x14ac:dyDescent="0.15">
      <c r="Q1640" s="2"/>
    </row>
    <row r="1641" spans="17:17" x14ac:dyDescent="0.15">
      <c r="Q1641" s="2"/>
    </row>
    <row r="1642" spans="17:17" x14ac:dyDescent="0.15">
      <c r="Q1642" s="2"/>
    </row>
    <row r="1643" spans="17:17" x14ac:dyDescent="0.15">
      <c r="Q1643" s="2"/>
    </row>
    <row r="1644" spans="17:17" x14ac:dyDescent="0.15">
      <c r="Q1644" s="2"/>
    </row>
    <row r="1645" spans="17:17" x14ac:dyDescent="0.15">
      <c r="Q1645" s="2"/>
    </row>
    <row r="1646" spans="17:17" x14ac:dyDescent="0.15">
      <c r="Q1646" s="2"/>
    </row>
    <row r="1647" spans="17:17" x14ac:dyDescent="0.15">
      <c r="Q1647" s="2"/>
    </row>
    <row r="1648" spans="17:17" x14ac:dyDescent="0.15">
      <c r="Q1648" s="2"/>
    </row>
    <row r="1649" spans="17:17" x14ac:dyDescent="0.15">
      <c r="Q1649" s="2"/>
    </row>
    <row r="1650" spans="17:17" x14ac:dyDescent="0.15">
      <c r="Q1650" s="2"/>
    </row>
    <row r="1651" spans="17:17" x14ac:dyDescent="0.15">
      <c r="Q1651" s="2"/>
    </row>
    <row r="1652" spans="17:17" x14ac:dyDescent="0.15">
      <c r="Q1652" s="2"/>
    </row>
    <row r="1653" spans="17:17" x14ac:dyDescent="0.15">
      <c r="Q1653" s="2"/>
    </row>
    <row r="1654" spans="17:17" x14ac:dyDescent="0.15">
      <c r="Q1654" s="2"/>
    </row>
    <row r="1655" spans="17:17" x14ac:dyDescent="0.15">
      <c r="Q1655" s="2"/>
    </row>
    <row r="1656" spans="17:17" x14ac:dyDescent="0.15">
      <c r="Q1656" s="2"/>
    </row>
    <row r="1657" spans="17:17" x14ac:dyDescent="0.15">
      <c r="Q1657" s="2"/>
    </row>
    <row r="1658" spans="17:17" x14ac:dyDescent="0.15">
      <c r="Q1658" s="2"/>
    </row>
    <row r="1659" spans="17:17" x14ac:dyDescent="0.15">
      <c r="Q1659" s="2"/>
    </row>
    <row r="1660" spans="17:17" x14ac:dyDescent="0.15">
      <c r="Q1660" s="2"/>
    </row>
    <row r="1661" spans="17:17" x14ac:dyDescent="0.15">
      <c r="Q1661" s="2"/>
    </row>
    <row r="1662" spans="17:17" x14ac:dyDescent="0.15">
      <c r="Q1662" s="2"/>
    </row>
    <row r="1663" spans="17:17" x14ac:dyDescent="0.15">
      <c r="Q1663" s="2"/>
    </row>
    <row r="1664" spans="17:17" x14ac:dyDescent="0.15">
      <c r="Q1664" s="2"/>
    </row>
    <row r="1665" spans="17:17" x14ac:dyDescent="0.15">
      <c r="Q1665" s="2"/>
    </row>
    <row r="1666" spans="17:17" x14ac:dyDescent="0.15">
      <c r="Q1666" s="2"/>
    </row>
    <row r="1667" spans="17:17" x14ac:dyDescent="0.15">
      <c r="Q1667" s="2"/>
    </row>
    <row r="1668" spans="17:17" x14ac:dyDescent="0.15">
      <c r="Q1668" s="2"/>
    </row>
    <row r="1669" spans="17:17" x14ac:dyDescent="0.15">
      <c r="Q1669" s="2"/>
    </row>
    <row r="1670" spans="17:17" x14ac:dyDescent="0.15">
      <c r="Q1670" s="2"/>
    </row>
    <row r="1671" spans="17:17" x14ac:dyDescent="0.15">
      <c r="Q1671" s="2"/>
    </row>
    <row r="1672" spans="17:17" x14ac:dyDescent="0.15">
      <c r="Q1672" s="2"/>
    </row>
    <row r="1673" spans="17:17" x14ac:dyDescent="0.15">
      <c r="Q1673" s="2"/>
    </row>
    <row r="1674" spans="17:17" x14ac:dyDescent="0.15">
      <c r="Q1674" s="2"/>
    </row>
    <row r="1675" spans="17:17" x14ac:dyDescent="0.15">
      <c r="Q1675" s="2"/>
    </row>
    <row r="1676" spans="17:17" x14ac:dyDescent="0.15">
      <c r="Q1676" s="2"/>
    </row>
    <row r="1677" spans="17:17" x14ac:dyDescent="0.15">
      <c r="Q1677" s="2"/>
    </row>
    <row r="1678" spans="17:17" x14ac:dyDescent="0.15">
      <c r="Q1678" s="2"/>
    </row>
    <row r="1679" spans="17:17" x14ac:dyDescent="0.15">
      <c r="Q1679" s="2"/>
    </row>
    <row r="1680" spans="17:17" x14ac:dyDescent="0.15">
      <c r="Q1680" s="2"/>
    </row>
    <row r="1681" spans="17:17" x14ac:dyDescent="0.15">
      <c r="Q1681" s="2"/>
    </row>
    <row r="1682" spans="17:17" x14ac:dyDescent="0.15">
      <c r="Q1682" s="2"/>
    </row>
    <row r="1683" spans="17:17" x14ac:dyDescent="0.15">
      <c r="Q1683" s="2"/>
    </row>
    <row r="1684" spans="17:17" x14ac:dyDescent="0.15">
      <c r="Q1684" s="2"/>
    </row>
    <row r="1685" spans="17:17" x14ac:dyDescent="0.15">
      <c r="Q1685" s="2"/>
    </row>
    <row r="1686" spans="17:17" x14ac:dyDescent="0.15">
      <c r="Q1686" s="2"/>
    </row>
    <row r="1687" spans="17:17" x14ac:dyDescent="0.15">
      <c r="Q1687" s="2"/>
    </row>
    <row r="1688" spans="17:17" x14ac:dyDescent="0.15">
      <c r="Q1688" s="2"/>
    </row>
    <row r="1689" spans="17:17" x14ac:dyDescent="0.15">
      <c r="Q1689" s="2"/>
    </row>
    <row r="1690" spans="17:17" x14ac:dyDescent="0.15">
      <c r="Q1690" s="2"/>
    </row>
    <row r="1691" spans="17:17" x14ac:dyDescent="0.15">
      <c r="Q1691" s="2"/>
    </row>
    <row r="1692" spans="17:17" x14ac:dyDescent="0.15">
      <c r="Q1692" s="2"/>
    </row>
    <row r="1693" spans="17:17" x14ac:dyDescent="0.15">
      <c r="Q1693" s="2"/>
    </row>
    <row r="1694" spans="17:17" x14ac:dyDescent="0.15">
      <c r="Q1694" s="2"/>
    </row>
    <row r="1695" spans="17:17" x14ac:dyDescent="0.15">
      <c r="Q1695" s="2"/>
    </row>
    <row r="1696" spans="17:17" x14ac:dyDescent="0.15">
      <c r="Q1696" s="2"/>
    </row>
    <row r="1697" spans="17:17" x14ac:dyDescent="0.15">
      <c r="Q1697" s="2"/>
    </row>
    <row r="1698" spans="17:17" x14ac:dyDescent="0.15">
      <c r="Q1698" s="2"/>
    </row>
    <row r="1699" spans="17:17" x14ac:dyDescent="0.15">
      <c r="Q1699" s="2"/>
    </row>
    <row r="1700" spans="17:17" x14ac:dyDescent="0.15">
      <c r="Q1700" s="2"/>
    </row>
    <row r="1701" spans="17:17" x14ac:dyDescent="0.15">
      <c r="Q1701" s="2"/>
    </row>
    <row r="1702" spans="17:17" x14ac:dyDescent="0.15">
      <c r="Q1702" s="2"/>
    </row>
    <row r="1703" spans="17:17" x14ac:dyDescent="0.15">
      <c r="Q1703" s="2"/>
    </row>
    <row r="1704" spans="17:17" x14ac:dyDescent="0.15">
      <c r="Q1704" s="2"/>
    </row>
    <row r="1705" spans="17:17" x14ac:dyDescent="0.15">
      <c r="Q1705" s="2"/>
    </row>
    <row r="1706" spans="17:17" x14ac:dyDescent="0.15">
      <c r="Q1706" s="2"/>
    </row>
    <row r="1707" spans="17:17" x14ac:dyDescent="0.15">
      <c r="Q1707" s="2"/>
    </row>
    <row r="1708" spans="17:17" x14ac:dyDescent="0.15">
      <c r="Q1708" s="2"/>
    </row>
    <row r="1709" spans="17:17" x14ac:dyDescent="0.15">
      <c r="Q1709" s="2"/>
    </row>
    <row r="1710" spans="17:17" x14ac:dyDescent="0.15">
      <c r="Q1710" s="2"/>
    </row>
    <row r="1711" spans="17:17" x14ac:dyDescent="0.15">
      <c r="Q1711" s="2"/>
    </row>
    <row r="1712" spans="17:17" x14ac:dyDescent="0.15">
      <c r="Q1712" s="2"/>
    </row>
    <row r="1713" spans="17:17" x14ac:dyDescent="0.15">
      <c r="Q1713" s="2"/>
    </row>
    <row r="1714" spans="17:17" x14ac:dyDescent="0.15">
      <c r="Q1714" s="2"/>
    </row>
    <row r="1715" spans="17:17" x14ac:dyDescent="0.15">
      <c r="Q1715" s="2"/>
    </row>
    <row r="1716" spans="17:17" x14ac:dyDescent="0.15">
      <c r="Q1716" s="2"/>
    </row>
    <row r="1717" spans="17:17" x14ac:dyDescent="0.15">
      <c r="Q1717" s="2"/>
    </row>
    <row r="1718" spans="17:17" x14ac:dyDescent="0.15">
      <c r="Q1718" s="2"/>
    </row>
    <row r="1719" spans="17:17" x14ac:dyDescent="0.15">
      <c r="Q1719" s="2"/>
    </row>
    <row r="1720" spans="17:17" x14ac:dyDescent="0.15">
      <c r="Q1720" s="2"/>
    </row>
    <row r="1721" spans="17:17" x14ac:dyDescent="0.15">
      <c r="Q1721" s="2"/>
    </row>
    <row r="1722" spans="17:17" x14ac:dyDescent="0.15">
      <c r="Q1722" s="2"/>
    </row>
    <row r="1723" spans="17:17" x14ac:dyDescent="0.15">
      <c r="Q1723" s="2"/>
    </row>
    <row r="1724" spans="17:17" x14ac:dyDescent="0.15">
      <c r="Q1724" s="2"/>
    </row>
    <row r="1725" spans="17:17" x14ac:dyDescent="0.15">
      <c r="Q1725" s="2"/>
    </row>
    <row r="1726" spans="17:17" x14ac:dyDescent="0.15">
      <c r="Q1726" s="2"/>
    </row>
    <row r="1727" spans="17:17" x14ac:dyDescent="0.15">
      <c r="Q1727" s="2"/>
    </row>
    <row r="1728" spans="17:17" x14ac:dyDescent="0.15">
      <c r="Q1728" s="2"/>
    </row>
    <row r="1729" spans="17:17" x14ac:dyDescent="0.15">
      <c r="Q1729" s="2"/>
    </row>
    <row r="1730" spans="17:17" x14ac:dyDescent="0.15">
      <c r="Q1730" s="2"/>
    </row>
    <row r="1731" spans="17:17" x14ac:dyDescent="0.15">
      <c r="Q1731" s="2"/>
    </row>
    <row r="1732" spans="17:17" x14ac:dyDescent="0.15">
      <c r="Q1732" s="2"/>
    </row>
    <row r="1733" spans="17:17" x14ac:dyDescent="0.15">
      <c r="Q1733" s="2"/>
    </row>
    <row r="1734" spans="17:17" x14ac:dyDescent="0.15">
      <c r="Q1734" s="2"/>
    </row>
    <row r="1735" spans="17:17" x14ac:dyDescent="0.15">
      <c r="Q1735" s="2"/>
    </row>
    <row r="1736" spans="17:17" x14ac:dyDescent="0.15">
      <c r="Q1736" s="2"/>
    </row>
    <row r="1737" spans="17:17" x14ac:dyDescent="0.15">
      <c r="Q1737" s="2"/>
    </row>
    <row r="1738" spans="17:17" x14ac:dyDescent="0.15">
      <c r="Q1738" s="2"/>
    </row>
    <row r="1739" spans="17:17" x14ac:dyDescent="0.15">
      <c r="Q1739" s="2"/>
    </row>
    <row r="1740" spans="17:17" x14ac:dyDescent="0.15">
      <c r="Q1740" s="2"/>
    </row>
    <row r="1741" spans="17:17" x14ac:dyDescent="0.15">
      <c r="Q1741" s="2"/>
    </row>
    <row r="1742" spans="17:17" x14ac:dyDescent="0.15">
      <c r="Q1742" s="2"/>
    </row>
    <row r="1743" spans="17:17" x14ac:dyDescent="0.15">
      <c r="Q1743" s="2"/>
    </row>
    <row r="1744" spans="17:17" x14ac:dyDescent="0.15">
      <c r="Q1744" s="2"/>
    </row>
    <row r="1745" spans="17:17" x14ac:dyDescent="0.15">
      <c r="Q1745" s="2"/>
    </row>
    <row r="1746" spans="17:17" x14ac:dyDescent="0.15">
      <c r="Q1746" s="2"/>
    </row>
    <row r="1747" spans="17:17" x14ac:dyDescent="0.15">
      <c r="Q1747" s="2"/>
    </row>
    <row r="1748" spans="17:17" x14ac:dyDescent="0.15">
      <c r="Q1748" s="2"/>
    </row>
    <row r="1749" spans="17:17" x14ac:dyDescent="0.15">
      <c r="Q1749" s="2"/>
    </row>
    <row r="1750" spans="17:17" x14ac:dyDescent="0.15">
      <c r="Q1750" s="2"/>
    </row>
    <row r="1751" spans="17:17" x14ac:dyDescent="0.15">
      <c r="Q1751" s="2"/>
    </row>
    <row r="1752" spans="17:17" x14ac:dyDescent="0.15">
      <c r="Q1752" s="2"/>
    </row>
    <row r="1753" spans="17:17" x14ac:dyDescent="0.15">
      <c r="Q1753" s="2"/>
    </row>
    <row r="1754" spans="17:17" x14ac:dyDescent="0.15">
      <c r="Q1754" s="2"/>
    </row>
    <row r="1755" spans="17:17" x14ac:dyDescent="0.15">
      <c r="Q1755" s="2"/>
    </row>
    <row r="1756" spans="17:17" x14ac:dyDescent="0.15">
      <c r="Q1756" s="2"/>
    </row>
    <row r="1757" spans="17:17" x14ac:dyDescent="0.15">
      <c r="Q1757" s="2"/>
    </row>
    <row r="1758" spans="17:17" x14ac:dyDescent="0.15">
      <c r="Q1758" s="2"/>
    </row>
    <row r="1759" spans="17:17" x14ac:dyDescent="0.15">
      <c r="Q1759" s="2"/>
    </row>
    <row r="1760" spans="17:17" x14ac:dyDescent="0.15">
      <c r="Q1760" s="2"/>
    </row>
    <row r="1761" spans="17:17" x14ac:dyDescent="0.15">
      <c r="Q1761" s="2"/>
    </row>
    <row r="1762" spans="17:17" x14ac:dyDescent="0.15">
      <c r="Q1762" s="2"/>
    </row>
    <row r="1763" spans="17:17" x14ac:dyDescent="0.15">
      <c r="Q1763" s="2"/>
    </row>
    <row r="1764" spans="17:17" x14ac:dyDescent="0.15">
      <c r="Q1764" s="2"/>
    </row>
    <row r="1765" spans="17:17" x14ac:dyDescent="0.15">
      <c r="Q1765" s="2"/>
    </row>
    <row r="1766" spans="17:17" x14ac:dyDescent="0.15">
      <c r="Q1766" s="2"/>
    </row>
    <row r="1767" spans="17:17" x14ac:dyDescent="0.15">
      <c r="Q1767" s="2"/>
    </row>
    <row r="1768" spans="17:17" x14ac:dyDescent="0.15">
      <c r="Q1768" s="2"/>
    </row>
    <row r="1769" spans="17:17" x14ac:dyDescent="0.15">
      <c r="Q1769" s="2"/>
    </row>
    <row r="1770" spans="17:17" x14ac:dyDescent="0.15">
      <c r="Q1770" s="2"/>
    </row>
    <row r="1771" spans="17:17" x14ac:dyDescent="0.15">
      <c r="Q1771" s="2"/>
    </row>
    <row r="1772" spans="17:17" x14ac:dyDescent="0.15">
      <c r="Q1772" s="2"/>
    </row>
    <row r="1773" spans="17:17" x14ac:dyDescent="0.15">
      <c r="Q1773" s="2"/>
    </row>
    <row r="1774" spans="17:17" x14ac:dyDescent="0.15">
      <c r="Q1774" s="2"/>
    </row>
    <row r="1775" spans="17:17" x14ac:dyDescent="0.15">
      <c r="Q1775" s="2"/>
    </row>
    <row r="1776" spans="17:17" x14ac:dyDescent="0.15">
      <c r="Q1776" s="2"/>
    </row>
    <row r="1777" spans="17:17" x14ac:dyDescent="0.15">
      <c r="Q1777" s="2"/>
    </row>
    <row r="1778" spans="17:17" x14ac:dyDescent="0.15">
      <c r="Q1778" s="2"/>
    </row>
    <row r="1779" spans="17:17" x14ac:dyDescent="0.15">
      <c r="Q1779" s="2"/>
    </row>
    <row r="1780" spans="17:17" x14ac:dyDescent="0.15">
      <c r="Q1780" s="2"/>
    </row>
    <row r="1781" spans="17:17" x14ac:dyDescent="0.15">
      <c r="Q1781" s="2"/>
    </row>
    <row r="1782" spans="17:17" x14ac:dyDescent="0.15">
      <c r="Q1782" s="2"/>
    </row>
    <row r="1783" spans="17:17" x14ac:dyDescent="0.15">
      <c r="Q1783" s="2"/>
    </row>
    <row r="1784" spans="17:17" x14ac:dyDescent="0.15">
      <c r="Q1784" s="2"/>
    </row>
    <row r="1785" spans="17:17" x14ac:dyDescent="0.15">
      <c r="Q1785" s="2"/>
    </row>
    <row r="1786" spans="17:17" x14ac:dyDescent="0.15">
      <c r="Q1786" s="2"/>
    </row>
    <row r="1787" spans="17:17" x14ac:dyDescent="0.15">
      <c r="Q1787" s="2"/>
    </row>
    <row r="1788" spans="17:17" x14ac:dyDescent="0.15">
      <c r="Q1788" s="2"/>
    </row>
    <row r="1789" spans="17:17" x14ac:dyDescent="0.15">
      <c r="Q1789" s="2"/>
    </row>
    <row r="1790" spans="17:17" x14ac:dyDescent="0.15">
      <c r="Q1790" s="2"/>
    </row>
    <row r="1791" spans="17:17" x14ac:dyDescent="0.15">
      <c r="Q1791" s="2"/>
    </row>
    <row r="1792" spans="17:17" x14ac:dyDescent="0.15">
      <c r="Q1792" s="2"/>
    </row>
    <row r="1793" spans="17:17" x14ac:dyDescent="0.15">
      <c r="Q1793" s="2"/>
    </row>
    <row r="1794" spans="17:17" x14ac:dyDescent="0.15">
      <c r="Q1794" s="2"/>
    </row>
    <row r="1795" spans="17:17" x14ac:dyDescent="0.15">
      <c r="Q1795" s="2"/>
    </row>
    <row r="1796" spans="17:17" x14ac:dyDescent="0.15">
      <c r="Q1796" s="2"/>
    </row>
    <row r="1797" spans="17:17" x14ac:dyDescent="0.15">
      <c r="Q1797" s="2"/>
    </row>
    <row r="1798" spans="17:17" x14ac:dyDescent="0.15">
      <c r="Q1798" s="2"/>
    </row>
    <row r="1799" spans="17:17" x14ac:dyDescent="0.15">
      <c r="Q1799" s="2"/>
    </row>
    <row r="1800" spans="17:17" x14ac:dyDescent="0.15">
      <c r="Q1800" s="2"/>
    </row>
    <row r="1801" spans="17:17" x14ac:dyDescent="0.15">
      <c r="Q1801" s="2"/>
    </row>
    <row r="1802" spans="17:17" x14ac:dyDescent="0.15">
      <c r="Q1802" s="2"/>
    </row>
    <row r="1803" spans="17:17" x14ac:dyDescent="0.15">
      <c r="Q1803" s="2"/>
    </row>
    <row r="1804" spans="17:17" x14ac:dyDescent="0.15">
      <c r="Q1804" s="2"/>
    </row>
    <row r="1805" spans="17:17" x14ac:dyDescent="0.15">
      <c r="Q1805" s="2"/>
    </row>
    <row r="1806" spans="17:17" x14ac:dyDescent="0.15">
      <c r="Q1806" s="2"/>
    </row>
    <row r="1807" spans="17:17" x14ac:dyDescent="0.15">
      <c r="Q1807" s="2"/>
    </row>
    <row r="1808" spans="17:17" x14ac:dyDescent="0.15">
      <c r="Q1808" s="2"/>
    </row>
    <row r="1809" spans="17:17" x14ac:dyDescent="0.15">
      <c r="Q1809" s="2"/>
    </row>
    <row r="1810" spans="17:17" x14ac:dyDescent="0.15">
      <c r="Q1810" s="2"/>
    </row>
    <row r="1811" spans="17:17" x14ac:dyDescent="0.15">
      <c r="Q1811" s="2"/>
    </row>
    <row r="1812" spans="17:17" x14ac:dyDescent="0.15">
      <c r="Q1812" s="2"/>
    </row>
    <row r="1813" spans="17:17" x14ac:dyDescent="0.15">
      <c r="Q1813" s="2"/>
    </row>
    <row r="1814" spans="17:17" x14ac:dyDescent="0.15">
      <c r="Q1814" s="2"/>
    </row>
    <row r="1815" spans="17:17" x14ac:dyDescent="0.15">
      <c r="Q1815" s="2"/>
    </row>
    <row r="1816" spans="17:17" x14ac:dyDescent="0.15">
      <c r="Q1816" s="2"/>
    </row>
    <row r="1817" spans="17:17" x14ac:dyDescent="0.15">
      <c r="Q1817" s="2"/>
    </row>
    <row r="1818" spans="17:17" x14ac:dyDescent="0.15">
      <c r="Q1818" s="2"/>
    </row>
    <row r="1819" spans="17:17" x14ac:dyDescent="0.15">
      <c r="Q1819" s="2"/>
    </row>
    <row r="1820" spans="17:17" x14ac:dyDescent="0.15">
      <c r="Q1820" s="2"/>
    </row>
    <row r="1821" spans="17:17" x14ac:dyDescent="0.15">
      <c r="Q1821" s="2"/>
    </row>
    <row r="1822" spans="17:17" x14ac:dyDescent="0.15">
      <c r="Q1822" s="2"/>
    </row>
    <row r="1823" spans="17:17" x14ac:dyDescent="0.15">
      <c r="Q1823" s="2"/>
    </row>
    <row r="1824" spans="17:17" x14ac:dyDescent="0.15">
      <c r="Q1824" s="2"/>
    </row>
    <row r="1825" spans="17:17" x14ac:dyDescent="0.15">
      <c r="Q1825" s="2"/>
    </row>
    <row r="1826" spans="17:17" x14ac:dyDescent="0.15">
      <c r="Q1826" s="2"/>
    </row>
    <row r="1827" spans="17:17" x14ac:dyDescent="0.15">
      <c r="Q1827" s="2"/>
    </row>
    <row r="1828" spans="17:17" x14ac:dyDescent="0.15">
      <c r="Q1828" s="2"/>
    </row>
    <row r="1829" spans="17:17" x14ac:dyDescent="0.15">
      <c r="Q1829" s="2"/>
    </row>
    <row r="1830" spans="17:17" x14ac:dyDescent="0.15">
      <c r="Q1830" s="2"/>
    </row>
    <row r="1831" spans="17:17" x14ac:dyDescent="0.15">
      <c r="Q1831" s="2"/>
    </row>
    <row r="1832" spans="17:17" x14ac:dyDescent="0.15">
      <c r="Q1832" s="2"/>
    </row>
    <row r="1833" spans="17:17" x14ac:dyDescent="0.15">
      <c r="Q1833" s="2"/>
    </row>
    <row r="1834" spans="17:17" x14ac:dyDescent="0.15">
      <c r="Q1834" s="2"/>
    </row>
    <row r="1835" spans="17:17" x14ac:dyDescent="0.15">
      <c r="Q1835" s="2"/>
    </row>
    <row r="1836" spans="17:17" x14ac:dyDescent="0.15">
      <c r="Q1836" s="2"/>
    </row>
    <row r="1837" spans="17:17" x14ac:dyDescent="0.15">
      <c r="Q1837" s="2"/>
    </row>
    <row r="1838" spans="17:17" x14ac:dyDescent="0.15">
      <c r="Q1838" s="2"/>
    </row>
    <row r="1839" spans="17:17" x14ac:dyDescent="0.15">
      <c r="Q1839" s="2"/>
    </row>
    <row r="1840" spans="17:17" x14ac:dyDescent="0.15">
      <c r="Q1840" s="2"/>
    </row>
    <row r="1841" spans="17:17" x14ac:dyDescent="0.15">
      <c r="Q1841" s="2"/>
    </row>
    <row r="1842" spans="17:17" x14ac:dyDescent="0.15">
      <c r="Q1842" s="2"/>
    </row>
    <row r="1843" spans="17:17" x14ac:dyDescent="0.15">
      <c r="Q1843" s="2"/>
    </row>
    <row r="1844" spans="17:17" x14ac:dyDescent="0.15">
      <c r="Q1844" s="2"/>
    </row>
    <row r="1845" spans="17:17" x14ac:dyDescent="0.15">
      <c r="Q1845" s="2"/>
    </row>
    <row r="1846" spans="17:17" x14ac:dyDescent="0.15">
      <c r="Q1846" s="2"/>
    </row>
    <row r="1847" spans="17:17" x14ac:dyDescent="0.15">
      <c r="Q1847" s="2"/>
    </row>
    <row r="1848" spans="17:17" x14ac:dyDescent="0.15">
      <c r="Q1848" s="2"/>
    </row>
    <row r="1849" spans="17:17" x14ac:dyDescent="0.15">
      <c r="Q1849" s="2"/>
    </row>
    <row r="1850" spans="17:17" x14ac:dyDescent="0.15">
      <c r="Q1850" s="2"/>
    </row>
    <row r="1851" spans="17:17" x14ac:dyDescent="0.15">
      <c r="Q1851" s="2"/>
    </row>
    <row r="1852" spans="17:17" x14ac:dyDescent="0.15">
      <c r="Q1852" s="2"/>
    </row>
    <row r="1853" spans="17:17" x14ac:dyDescent="0.15">
      <c r="Q1853" s="2"/>
    </row>
    <row r="1854" spans="17:17" x14ac:dyDescent="0.15">
      <c r="Q1854" s="2"/>
    </row>
    <row r="1855" spans="17:17" x14ac:dyDescent="0.15">
      <c r="Q1855" s="2"/>
    </row>
    <row r="1856" spans="17:17" x14ac:dyDescent="0.15">
      <c r="Q1856" s="2"/>
    </row>
    <row r="1857" spans="17:17" x14ac:dyDescent="0.15">
      <c r="Q1857" s="2"/>
    </row>
    <row r="1858" spans="17:17" x14ac:dyDescent="0.15">
      <c r="Q1858" s="2"/>
    </row>
    <row r="1859" spans="17:17" x14ac:dyDescent="0.15">
      <c r="Q1859" s="2"/>
    </row>
    <row r="1860" spans="17:17" x14ac:dyDescent="0.15">
      <c r="Q1860" s="2"/>
    </row>
    <row r="1861" spans="17:17" x14ac:dyDescent="0.15">
      <c r="Q1861" s="2"/>
    </row>
    <row r="1862" spans="17:17" x14ac:dyDescent="0.15">
      <c r="Q1862" s="2"/>
    </row>
    <row r="1863" spans="17:17" x14ac:dyDescent="0.15">
      <c r="Q1863" s="2"/>
    </row>
    <row r="1864" spans="17:17" x14ac:dyDescent="0.15">
      <c r="Q1864" s="2"/>
    </row>
    <row r="1865" spans="17:17" x14ac:dyDescent="0.15">
      <c r="Q1865" s="2"/>
    </row>
    <row r="1866" spans="17:17" x14ac:dyDescent="0.15">
      <c r="Q1866" s="2"/>
    </row>
    <row r="1867" spans="17:17" x14ac:dyDescent="0.15">
      <c r="Q1867" s="2"/>
    </row>
    <row r="1868" spans="17:17" x14ac:dyDescent="0.15">
      <c r="Q1868" s="2"/>
    </row>
    <row r="1869" spans="17:17" x14ac:dyDescent="0.15">
      <c r="Q1869" s="2"/>
    </row>
    <row r="1870" spans="17:17" x14ac:dyDescent="0.15">
      <c r="Q1870" s="2"/>
    </row>
    <row r="1871" spans="17:17" x14ac:dyDescent="0.15">
      <c r="Q1871" s="2"/>
    </row>
    <row r="1872" spans="17:17" x14ac:dyDescent="0.15">
      <c r="Q1872" s="2"/>
    </row>
    <row r="1873" spans="17:17" x14ac:dyDescent="0.15">
      <c r="Q1873" s="2"/>
    </row>
    <row r="1874" spans="17:17" x14ac:dyDescent="0.15">
      <c r="Q1874" s="2"/>
    </row>
    <row r="1875" spans="17:17" x14ac:dyDescent="0.15">
      <c r="Q1875" s="2"/>
    </row>
    <row r="1876" spans="17:17" x14ac:dyDescent="0.15">
      <c r="Q1876" s="2"/>
    </row>
    <row r="1877" spans="17:17" x14ac:dyDescent="0.15">
      <c r="Q1877" s="2"/>
    </row>
    <row r="1878" spans="17:17" x14ac:dyDescent="0.15">
      <c r="Q1878" s="2"/>
    </row>
    <row r="1879" spans="17:17" x14ac:dyDescent="0.15">
      <c r="Q1879" s="2"/>
    </row>
    <row r="1880" spans="17:17" x14ac:dyDescent="0.15">
      <c r="Q1880" s="2"/>
    </row>
    <row r="1881" spans="17:17" x14ac:dyDescent="0.15">
      <c r="Q1881" s="2"/>
    </row>
    <row r="1882" spans="17:17" x14ac:dyDescent="0.15">
      <c r="Q1882" s="2"/>
    </row>
    <row r="1883" spans="17:17" x14ac:dyDescent="0.15">
      <c r="Q1883" s="2"/>
    </row>
    <row r="1884" spans="17:17" x14ac:dyDescent="0.15">
      <c r="Q1884" s="2"/>
    </row>
    <row r="1885" spans="17:17" x14ac:dyDescent="0.15">
      <c r="Q1885" s="2"/>
    </row>
    <row r="1886" spans="17:17" x14ac:dyDescent="0.15">
      <c r="Q1886" s="2"/>
    </row>
    <row r="1887" spans="17:17" x14ac:dyDescent="0.15">
      <c r="Q1887" s="2"/>
    </row>
    <row r="1888" spans="17:17" x14ac:dyDescent="0.15">
      <c r="Q1888" s="2"/>
    </row>
    <row r="1889" spans="17:17" x14ac:dyDescent="0.15">
      <c r="Q1889" s="2"/>
    </row>
    <row r="1890" spans="17:17" x14ac:dyDescent="0.15">
      <c r="Q1890" s="2"/>
    </row>
    <row r="1891" spans="17:17" x14ac:dyDescent="0.15">
      <c r="Q1891" s="2"/>
    </row>
    <row r="1892" spans="17:17" x14ac:dyDescent="0.15">
      <c r="Q1892" s="2"/>
    </row>
    <row r="1893" spans="17:17" x14ac:dyDescent="0.15">
      <c r="Q1893" s="2"/>
    </row>
    <row r="1894" spans="17:17" x14ac:dyDescent="0.15">
      <c r="Q1894" s="2"/>
    </row>
    <row r="1895" spans="17:17" x14ac:dyDescent="0.15">
      <c r="Q1895" s="2"/>
    </row>
    <row r="1896" spans="17:17" x14ac:dyDescent="0.15">
      <c r="Q1896" s="2"/>
    </row>
    <row r="1897" spans="17:17" x14ac:dyDescent="0.15">
      <c r="Q1897" s="2"/>
    </row>
    <row r="1898" spans="17:17" x14ac:dyDescent="0.15">
      <c r="Q1898" s="2"/>
    </row>
    <row r="1899" spans="17:17" x14ac:dyDescent="0.15">
      <c r="Q1899" s="2"/>
    </row>
    <row r="1900" spans="17:17" x14ac:dyDescent="0.15">
      <c r="Q1900" s="2"/>
    </row>
    <row r="1901" spans="17:17" x14ac:dyDescent="0.15">
      <c r="Q1901" s="2"/>
    </row>
    <row r="1902" spans="17:17" x14ac:dyDescent="0.15">
      <c r="Q1902" s="2"/>
    </row>
    <row r="1903" spans="17:17" x14ac:dyDescent="0.15">
      <c r="Q1903" s="2"/>
    </row>
    <row r="1904" spans="17:17" x14ac:dyDescent="0.15">
      <c r="Q1904" s="2"/>
    </row>
    <row r="1905" spans="17:17" x14ac:dyDescent="0.15">
      <c r="Q1905" s="2"/>
    </row>
    <row r="1906" spans="17:17" x14ac:dyDescent="0.15">
      <c r="Q1906" s="2"/>
    </row>
    <row r="1907" spans="17:17" x14ac:dyDescent="0.15">
      <c r="Q1907" s="2"/>
    </row>
    <row r="1908" spans="17:17" x14ac:dyDescent="0.15">
      <c r="Q1908" s="2"/>
    </row>
    <row r="1909" spans="17:17" x14ac:dyDescent="0.15">
      <c r="Q1909" s="2"/>
    </row>
    <row r="1910" spans="17:17" x14ac:dyDescent="0.15">
      <c r="Q1910" s="2"/>
    </row>
    <row r="1911" spans="17:17" x14ac:dyDescent="0.15">
      <c r="Q1911" s="2"/>
    </row>
    <row r="1912" spans="17:17" x14ac:dyDescent="0.15">
      <c r="Q1912" s="2"/>
    </row>
    <row r="1913" spans="17:17" x14ac:dyDescent="0.15">
      <c r="Q1913" s="2"/>
    </row>
    <row r="1914" spans="17:17" x14ac:dyDescent="0.15">
      <c r="Q1914" s="2"/>
    </row>
    <row r="1915" spans="17:17" x14ac:dyDescent="0.15">
      <c r="Q1915" s="2"/>
    </row>
    <row r="1916" spans="17:17" x14ac:dyDescent="0.15">
      <c r="Q1916" s="2"/>
    </row>
    <row r="1917" spans="17:17" x14ac:dyDescent="0.15">
      <c r="Q1917" s="2"/>
    </row>
    <row r="1918" spans="17:17" x14ac:dyDescent="0.15">
      <c r="Q1918" s="2"/>
    </row>
    <row r="1919" spans="17:17" x14ac:dyDescent="0.15">
      <c r="Q1919" s="2"/>
    </row>
    <row r="1920" spans="17:17" x14ac:dyDescent="0.15">
      <c r="Q1920" s="2"/>
    </row>
    <row r="1921" spans="17:17" x14ac:dyDescent="0.15">
      <c r="Q1921" s="2"/>
    </row>
    <row r="1922" spans="17:17" x14ac:dyDescent="0.15">
      <c r="Q1922" s="2"/>
    </row>
    <row r="1923" spans="17:17" x14ac:dyDescent="0.15">
      <c r="Q1923" s="2"/>
    </row>
    <row r="1924" spans="17:17" x14ac:dyDescent="0.15">
      <c r="Q1924" s="2"/>
    </row>
    <row r="1925" spans="17:17" x14ac:dyDescent="0.15">
      <c r="Q1925" s="2"/>
    </row>
    <row r="1926" spans="17:17" x14ac:dyDescent="0.15">
      <c r="Q1926" s="2"/>
    </row>
    <row r="1927" spans="17:17" x14ac:dyDescent="0.15">
      <c r="Q1927" s="2"/>
    </row>
    <row r="1928" spans="17:17" x14ac:dyDescent="0.15">
      <c r="Q1928" s="2"/>
    </row>
    <row r="1929" spans="17:17" x14ac:dyDescent="0.15">
      <c r="Q1929" s="2"/>
    </row>
    <row r="1930" spans="17:17" x14ac:dyDescent="0.15">
      <c r="Q1930" s="2"/>
    </row>
    <row r="1931" spans="17:17" x14ac:dyDescent="0.15">
      <c r="Q1931" s="2"/>
    </row>
    <row r="1932" spans="17:17" x14ac:dyDescent="0.15">
      <c r="Q1932" s="2"/>
    </row>
    <row r="1933" spans="17:17" x14ac:dyDescent="0.15">
      <c r="Q1933" s="2"/>
    </row>
    <row r="1934" spans="17:17" x14ac:dyDescent="0.15">
      <c r="Q1934" s="2"/>
    </row>
    <row r="1935" spans="17:17" x14ac:dyDescent="0.15">
      <c r="Q1935" s="2"/>
    </row>
    <row r="1936" spans="17:17" x14ac:dyDescent="0.15">
      <c r="Q1936" s="2"/>
    </row>
    <row r="1937" spans="17:17" x14ac:dyDescent="0.15">
      <c r="Q1937" s="2"/>
    </row>
    <row r="1938" spans="17:17" x14ac:dyDescent="0.15">
      <c r="Q1938" s="2"/>
    </row>
    <row r="1939" spans="17:17" x14ac:dyDescent="0.15">
      <c r="Q1939" s="2"/>
    </row>
    <row r="1940" spans="17:17" x14ac:dyDescent="0.15">
      <c r="Q1940" s="2"/>
    </row>
    <row r="1941" spans="17:17" x14ac:dyDescent="0.15">
      <c r="Q1941" s="2"/>
    </row>
    <row r="1942" spans="17:17" x14ac:dyDescent="0.15">
      <c r="Q1942" s="2"/>
    </row>
    <row r="1943" spans="17:17" x14ac:dyDescent="0.15">
      <c r="Q1943" s="2"/>
    </row>
    <row r="1944" spans="17:17" x14ac:dyDescent="0.15">
      <c r="Q1944" s="2"/>
    </row>
    <row r="1945" spans="17:17" x14ac:dyDescent="0.15">
      <c r="Q1945" s="2"/>
    </row>
    <row r="1946" spans="17:17" x14ac:dyDescent="0.15">
      <c r="Q1946" s="2"/>
    </row>
    <row r="1947" spans="17:17" x14ac:dyDescent="0.15">
      <c r="Q1947" s="2"/>
    </row>
    <row r="1948" spans="17:17" x14ac:dyDescent="0.15">
      <c r="Q1948" s="2"/>
    </row>
    <row r="1949" spans="17:17" x14ac:dyDescent="0.15">
      <c r="Q1949" s="2"/>
    </row>
    <row r="1950" spans="17:17" x14ac:dyDescent="0.15">
      <c r="Q1950" s="2"/>
    </row>
    <row r="1951" spans="17:17" x14ac:dyDescent="0.15">
      <c r="Q1951" s="2"/>
    </row>
    <row r="1952" spans="17:17" x14ac:dyDescent="0.15">
      <c r="Q1952" s="2"/>
    </row>
    <row r="1953" spans="17:17" x14ac:dyDescent="0.15">
      <c r="Q1953" s="2"/>
    </row>
    <row r="1954" spans="17:17" x14ac:dyDescent="0.15">
      <c r="Q1954" s="2"/>
    </row>
    <row r="1955" spans="17:17" x14ac:dyDescent="0.15">
      <c r="Q1955" s="2"/>
    </row>
    <row r="1956" spans="17:17" x14ac:dyDescent="0.15">
      <c r="Q1956" s="2"/>
    </row>
    <row r="1957" spans="17:17" x14ac:dyDescent="0.15">
      <c r="Q1957" s="2"/>
    </row>
    <row r="1958" spans="17:17" x14ac:dyDescent="0.15">
      <c r="Q1958" s="2"/>
    </row>
    <row r="1959" spans="17:17" x14ac:dyDescent="0.15">
      <c r="Q1959" s="2"/>
    </row>
    <row r="1960" spans="17:17" x14ac:dyDescent="0.15">
      <c r="Q1960" s="2"/>
    </row>
    <row r="1961" spans="17:17" x14ac:dyDescent="0.15">
      <c r="Q1961" s="2"/>
    </row>
    <row r="1962" spans="17:17" x14ac:dyDescent="0.15">
      <c r="Q1962" s="2"/>
    </row>
    <row r="1963" spans="17:17" x14ac:dyDescent="0.15">
      <c r="Q1963" s="2"/>
    </row>
    <row r="1964" spans="17:17" x14ac:dyDescent="0.15">
      <c r="Q1964" s="2"/>
    </row>
    <row r="1965" spans="17:17" x14ac:dyDescent="0.15">
      <c r="Q1965" s="2"/>
    </row>
    <row r="1966" spans="17:17" x14ac:dyDescent="0.15">
      <c r="Q1966" s="2"/>
    </row>
    <row r="1967" spans="17:17" x14ac:dyDescent="0.15">
      <c r="Q1967" s="2"/>
    </row>
    <row r="1968" spans="17:17" x14ac:dyDescent="0.15">
      <c r="Q1968" s="2"/>
    </row>
    <row r="1969" spans="17:17" x14ac:dyDescent="0.15">
      <c r="Q1969" s="2"/>
    </row>
    <row r="1970" spans="17:17" x14ac:dyDescent="0.15">
      <c r="Q1970" s="2"/>
    </row>
    <row r="1971" spans="17:17" x14ac:dyDescent="0.15">
      <c r="Q1971" s="2"/>
    </row>
    <row r="1972" spans="17:17" x14ac:dyDescent="0.15">
      <c r="Q1972" s="2"/>
    </row>
    <row r="1973" spans="17:17" x14ac:dyDescent="0.15">
      <c r="Q1973" s="2"/>
    </row>
    <row r="1974" spans="17:17" x14ac:dyDescent="0.15">
      <c r="Q1974" s="2"/>
    </row>
    <row r="1975" spans="17:17" x14ac:dyDescent="0.15">
      <c r="Q1975" s="2"/>
    </row>
    <row r="1976" spans="17:17" x14ac:dyDescent="0.15">
      <c r="Q1976" s="2"/>
    </row>
    <row r="1977" spans="17:17" x14ac:dyDescent="0.15">
      <c r="Q1977" s="2"/>
    </row>
    <row r="1978" spans="17:17" x14ac:dyDescent="0.15">
      <c r="Q1978" s="2"/>
    </row>
    <row r="1979" spans="17:17" x14ac:dyDescent="0.15">
      <c r="Q1979" s="2"/>
    </row>
    <row r="1980" spans="17:17" x14ac:dyDescent="0.15">
      <c r="Q1980" s="2"/>
    </row>
    <row r="1981" spans="17:17" x14ac:dyDescent="0.15">
      <c r="Q1981" s="2"/>
    </row>
    <row r="1982" spans="17:17" x14ac:dyDescent="0.15">
      <c r="Q1982" s="2"/>
    </row>
    <row r="1983" spans="17:17" x14ac:dyDescent="0.15">
      <c r="Q1983" s="2"/>
    </row>
    <row r="1984" spans="17:17" x14ac:dyDescent="0.15">
      <c r="Q1984" s="2"/>
    </row>
    <row r="1985" spans="17:17" x14ac:dyDescent="0.15">
      <c r="Q1985" s="2"/>
    </row>
    <row r="1986" spans="17:17" x14ac:dyDescent="0.15">
      <c r="Q1986" s="2"/>
    </row>
    <row r="1987" spans="17:17" x14ac:dyDescent="0.15">
      <c r="Q1987" s="2"/>
    </row>
    <row r="1988" spans="17:17" x14ac:dyDescent="0.15">
      <c r="Q1988" s="2"/>
    </row>
    <row r="1989" spans="17:17" x14ac:dyDescent="0.15">
      <c r="Q1989" s="2"/>
    </row>
    <row r="1990" spans="17:17" x14ac:dyDescent="0.15">
      <c r="Q1990" s="2"/>
    </row>
    <row r="1991" spans="17:17" x14ac:dyDescent="0.15">
      <c r="Q1991" s="2"/>
    </row>
    <row r="1992" spans="17:17" x14ac:dyDescent="0.15">
      <c r="Q1992" s="2"/>
    </row>
    <row r="1993" spans="17:17" x14ac:dyDescent="0.15">
      <c r="Q1993" s="2"/>
    </row>
    <row r="1994" spans="17:17" x14ac:dyDescent="0.15">
      <c r="Q1994" s="2"/>
    </row>
    <row r="1995" spans="17:17" x14ac:dyDescent="0.15">
      <c r="Q1995" s="2"/>
    </row>
    <row r="1996" spans="17:17" x14ac:dyDescent="0.15">
      <c r="Q1996" s="2"/>
    </row>
    <row r="1997" spans="17:17" x14ac:dyDescent="0.15">
      <c r="Q1997" s="2"/>
    </row>
    <row r="1998" spans="17:17" x14ac:dyDescent="0.15">
      <c r="Q1998" s="2"/>
    </row>
    <row r="1999" spans="17:17" x14ac:dyDescent="0.15">
      <c r="Q1999" s="2"/>
    </row>
    <row r="2000" spans="17:17" x14ac:dyDescent="0.15">
      <c r="Q2000" s="2"/>
    </row>
    <row r="2001" spans="17:17" x14ac:dyDescent="0.15">
      <c r="Q2001" s="2"/>
    </row>
    <row r="2002" spans="17:17" x14ac:dyDescent="0.15">
      <c r="Q2002" s="2"/>
    </row>
    <row r="2003" spans="17:17" x14ac:dyDescent="0.15">
      <c r="Q2003" s="2"/>
    </row>
    <row r="2004" spans="17:17" x14ac:dyDescent="0.15">
      <c r="Q2004" s="2"/>
    </row>
    <row r="2005" spans="17:17" x14ac:dyDescent="0.15">
      <c r="Q2005" s="2"/>
    </row>
    <row r="2006" spans="17:17" x14ac:dyDescent="0.15">
      <c r="Q2006" s="2"/>
    </row>
    <row r="2007" spans="17:17" x14ac:dyDescent="0.15">
      <c r="Q2007" s="2"/>
    </row>
    <row r="2008" spans="17:17" x14ac:dyDescent="0.15">
      <c r="Q2008" s="2"/>
    </row>
    <row r="2009" spans="17:17" x14ac:dyDescent="0.15">
      <c r="Q2009" s="2"/>
    </row>
    <row r="2010" spans="17:17" x14ac:dyDescent="0.15">
      <c r="Q2010" s="2"/>
    </row>
    <row r="2011" spans="17:17" x14ac:dyDescent="0.15">
      <c r="Q2011" s="2"/>
    </row>
    <row r="2012" spans="17:17" x14ac:dyDescent="0.15">
      <c r="Q2012" s="2"/>
    </row>
    <row r="2013" spans="17:17" x14ac:dyDescent="0.15">
      <c r="Q2013" s="2"/>
    </row>
    <row r="2014" spans="17:17" x14ac:dyDescent="0.15">
      <c r="Q2014" s="2"/>
    </row>
    <row r="2015" spans="17:17" x14ac:dyDescent="0.15">
      <c r="Q2015" s="2"/>
    </row>
    <row r="2016" spans="17:17" x14ac:dyDescent="0.15">
      <c r="Q2016" s="2"/>
    </row>
    <row r="2017" spans="17:17" x14ac:dyDescent="0.15">
      <c r="Q2017" s="2"/>
    </row>
    <row r="2018" spans="17:17" x14ac:dyDescent="0.15">
      <c r="Q2018" s="2"/>
    </row>
    <row r="2019" spans="17:17" x14ac:dyDescent="0.15">
      <c r="Q2019" s="2"/>
    </row>
    <row r="2020" spans="17:17" x14ac:dyDescent="0.15">
      <c r="Q2020" s="2"/>
    </row>
    <row r="2021" spans="17:17" x14ac:dyDescent="0.15">
      <c r="Q2021" s="2"/>
    </row>
    <row r="2022" spans="17:17" x14ac:dyDescent="0.15">
      <c r="Q2022" s="2"/>
    </row>
    <row r="2023" spans="17:17" x14ac:dyDescent="0.15">
      <c r="Q2023" s="2"/>
    </row>
    <row r="2024" spans="17:17" x14ac:dyDescent="0.15">
      <c r="Q2024" s="2"/>
    </row>
    <row r="2025" spans="17:17" x14ac:dyDescent="0.15">
      <c r="Q2025" s="2"/>
    </row>
    <row r="2026" spans="17:17" x14ac:dyDescent="0.15">
      <c r="Q2026" s="2"/>
    </row>
    <row r="2027" spans="17:17" x14ac:dyDescent="0.15">
      <c r="Q2027" s="2"/>
    </row>
    <row r="2028" spans="17:17" x14ac:dyDescent="0.15">
      <c r="Q2028" s="2"/>
    </row>
    <row r="2029" spans="17:17" x14ac:dyDescent="0.15">
      <c r="Q2029" s="2"/>
    </row>
    <row r="2030" spans="17:17" x14ac:dyDescent="0.15">
      <c r="Q2030" s="2"/>
    </row>
    <row r="2031" spans="17:17" x14ac:dyDescent="0.15">
      <c r="Q2031" s="2"/>
    </row>
    <row r="2032" spans="17:17" x14ac:dyDescent="0.15">
      <c r="Q2032" s="2"/>
    </row>
    <row r="2033" spans="17:17" x14ac:dyDescent="0.15">
      <c r="Q2033" s="2"/>
    </row>
    <row r="2034" spans="17:17" x14ac:dyDescent="0.15">
      <c r="Q2034" s="2"/>
    </row>
    <row r="2035" spans="17:17" x14ac:dyDescent="0.15">
      <c r="Q2035" s="2"/>
    </row>
    <row r="2036" spans="17:17" x14ac:dyDescent="0.15">
      <c r="Q2036" s="2"/>
    </row>
    <row r="2037" spans="17:17" x14ac:dyDescent="0.15">
      <c r="Q2037" s="2"/>
    </row>
    <row r="2038" spans="17:17" x14ac:dyDescent="0.15">
      <c r="Q2038" s="2"/>
    </row>
    <row r="2039" spans="17:17" x14ac:dyDescent="0.15">
      <c r="Q2039" s="2"/>
    </row>
    <row r="2040" spans="17:17" x14ac:dyDescent="0.15">
      <c r="Q2040" s="2"/>
    </row>
    <row r="2041" spans="17:17" x14ac:dyDescent="0.15">
      <c r="Q2041" s="2"/>
    </row>
    <row r="2042" spans="17:17" x14ac:dyDescent="0.15">
      <c r="Q2042" s="2"/>
    </row>
    <row r="2043" spans="17:17" x14ac:dyDescent="0.15">
      <c r="Q2043" s="2"/>
    </row>
    <row r="2044" spans="17:17" x14ac:dyDescent="0.15">
      <c r="Q2044" s="2"/>
    </row>
    <row r="2045" spans="17:17" x14ac:dyDescent="0.15">
      <c r="Q2045" s="2"/>
    </row>
    <row r="2046" spans="17:17" x14ac:dyDescent="0.15">
      <c r="Q2046" s="2"/>
    </row>
    <row r="2047" spans="17:17" x14ac:dyDescent="0.15">
      <c r="Q2047" s="2"/>
    </row>
    <row r="2048" spans="17:17" x14ac:dyDescent="0.15">
      <c r="Q2048" s="2"/>
    </row>
    <row r="2049" spans="17:17" x14ac:dyDescent="0.15">
      <c r="Q2049" s="2"/>
    </row>
    <row r="2050" spans="17:17" x14ac:dyDescent="0.15">
      <c r="Q2050" s="2"/>
    </row>
    <row r="2051" spans="17:17" x14ac:dyDescent="0.15">
      <c r="Q2051" s="2"/>
    </row>
    <row r="2052" spans="17:17" x14ac:dyDescent="0.15">
      <c r="Q2052" s="2"/>
    </row>
    <row r="2053" spans="17:17" x14ac:dyDescent="0.15">
      <c r="Q2053" s="2"/>
    </row>
    <row r="2054" spans="17:17" x14ac:dyDescent="0.15">
      <c r="Q2054" s="2"/>
    </row>
    <row r="2055" spans="17:17" x14ac:dyDescent="0.15">
      <c r="Q2055" s="2"/>
    </row>
    <row r="2056" spans="17:17" x14ac:dyDescent="0.15">
      <c r="Q2056" s="2"/>
    </row>
    <row r="2057" spans="17:17" x14ac:dyDescent="0.15">
      <c r="Q2057" s="2"/>
    </row>
    <row r="2058" spans="17:17" x14ac:dyDescent="0.15">
      <c r="Q2058" s="2"/>
    </row>
    <row r="2059" spans="17:17" x14ac:dyDescent="0.15">
      <c r="Q2059" s="2"/>
    </row>
    <row r="2060" spans="17:17" x14ac:dyDescent="0.15">
      <c r="Q2060" s="2"/>
    </row>
    <row r="2061" spans="17:17" x14ac:dyDescent="0.15">
      <c r="Q2061" s="2"/>
    </row>
    <row r="2062" spans="17:17" x14ac:dyDescent="0.15">
      <c r="Q2062" s="2"/>
    </row>
    <row r="2063" spans="17:17" x14ac:dyDescent="0.15">
      <c r="Q2063" s="2"/>
    </row>
    <row r="2064" spans="17:17" x14ac:dyDescent="0.15">
      <c r="Q2064" s="2"/>
    </row>
    <row r="2065" spans="17:17" x14ac:dyDescent="0.15">
      <c r="Q2065" s="2"/>
    </row>
    <row r="2066" spans="17:17" x14ac:dyDescent="0.15">
      <c r="Q2066" s="2"/>
    </row>
    <row r="2067" spans="17:17" x14ac:dyDescent="0.15">
      <c r="Q2067" s="2"/>
    </row>
    <row r="2068" spans="17:17" x14ac:dyDescent="0.15">
      <c r="Q2068" s="2"/>
    </row>
    <row r="2069" spans="17:17" x14ac:dyDescent="0.15">
      <c r="Q2069" s="2"/>
    </row>
    <row r="2070" spans="17:17" x14ac:dyDescent="0.15">
      <c r="Q2070" s="2"/>
    </row>
    <row r="2071" spans="17:17" x14ac:dyDescent="0.15">
      <c r="Q2071" s="2"/>
    </row>
    <row r="2072" spans="17:17" x14ac:dyDescent="0.15">
      <c r="Q2072" s="2"/>
    </row>
    <row r="2073" spans="17:17" x14ac:dyDescent="0.15">
      <c r="Q2073" s="2"/>
    </row>
    <row r="2074" spans="17:17" x14ac:dyDescent="0.15">
      <c r="Q2074" s="2"/>
    </row>
    <row r="2075" spans="17:17" x14ac:dyDescent="0.15">
      <c r="Q2075" s="2"/>
    </row>
    <row r="2076" spans="17:17" x14ac:dyDescent="0.15">
      <c r="Q2076" s="2"/>
    </row>
    <row r="2077" spans="17:17" x14ac:dyDescent="0.15">
      <c r="Q2077" s="2"/>
    </row>
    <row r="2078" spans="17:17" x14ac:dyDescent="0.15">
      <c r="Q2078" s="2"/>
    </row>
    <row r="2079" spans="17:17" x14ac:dyDescent="0.15">
      <c r="Q2079" s="2"/>
    </row>
    <row r="2080" spans="17:17" x14ac:dyDescent="0.15">
      <c r="Q2080" s="2"/>
    </row>
    <row r="2081" spans="17:17" x14ac:dyDescent="0.15">
      <c r="Q2081" s="2"/>
    </row>
    <row r="2082" spans="17:17" x14ac:dyDescent="0.15">
      <c r="Q2082" s="2"/>
    </row>
    <row r="2083" spans="17:17" x14ac:dyDescent="0.15">
      <c r="Q2083" s="2"/>
    </row>
    <row r="2084" spans="17:17" x14ac:dyDescent="0.15">
      <c r="Q2084" s="2"/>
    </row>
    <row r="2085" spans="17:17" x14ac:dyDescent="0.15">
      <c r="Q2085" s="2"/>
    </row>
    <row r="2086" spans="17:17" x14ac:dyDescent="0.15">
      <c r="Q2086" s="2"/>
    </row>
    <row r="2087" spans="17:17" x14ac:dyDescent="0.15">
      <c r="Q2087" s="2"/>
    </row>
    <row r="2088" spans="17:17" x14ac:dyDescent="0.15">
      <c r="Q2088" s="2"/>
    </row>
    <row r="2089" spans="17:17" x14ac:dyDescent="0.15">
      <c r="Q2089" s="2"/>
    </row>
    <row r="2090" spans="17:17" x14ac:dyDescent="0.15">
      <c r="Q2090" s="2"/>
    </row>
    <row r="2091" spans="17:17" x14ac:dyDescent="0.15">
      <c r="Q2091" s="2"/>
    </row>
    <row r="2092" spans="17:17" x14ac:dyDescent="0.15">
      <c r="Q2092" s="2"/>
    </row>
    <row r="2093" spans="17:17" x14ac:dyDescent="0.15">
      <c r="Q2093" s="2"/>
    </row>
    <row r="2094" spans="17:17" x14ac:dyDescent="0.15">
      <c r="Q2094" s="2"/>
    </row>
    <row r="2095" spans="17:17" x14ac:dyDescent="0.15">
      <c r="Q2095" s="2"/>
    </row>
    <row r="2096" spans="17:17" x14ac:dyDescent="0.15">
      <c r="Q2096" s="2"/>
    </row>
    <row r="2097" spans="17:17" x14ac:dyDescent="0.15">
      <c r="Q2097" s="2"/>
    </row>
    <row r="2098" spans="17:17" x14ac:dyDescent="0.15">
      <c r="Q2098" s="2"/>
    </row>
    <row r="2099" spans="17:17" x14ac:dyDescent="0.15">
      <c r="Q2099" s="2"/>
    </row>
    <row r="2100" spans="17:17" x14ac:dyDescent="0.15">
      <c r="Q2100" s="2"/>
    </row>
    <row r="2101" spans="17:17" x14ac:dyDescent="0.15">
      <c r="Q2101" s="2"/>
    </row>
    <row r="2102" spans="17:17" x14ac:dyDescent="0.15">
      <c r="Q2102" s="2"/>
    </row>
    <row r="2103" spans="17:17" x14ac:dyDescent="0.15">
      <c r="Q2103" s="2"/>
    </row>
    <row r="2104" spans="17:17" x14ac:dyDescent="0.15">
      <c r="Q2104" s="2"/>
    </row>
    <row r="2105" spans="17:17" x14ac:dyDescent="0.15">
      <c r="Q2105" s="2"/>
    </row>
    <row r="2106" spans="17:17" x14ac:dyDescent="0.15">
      <c r="Q2106" s="2"/>
    </row>
    <row r="2107" spans="17:17" x14ac:dyDescent="0.15">
      <c r="Q2107" s="2"/>
    </row>
    <row r="2108" spans="17:17" x14ac:dyDescent="0.15">
      <c r="Q2108" s="2"/>
    </row>
    <row r="2109" spans="17:17" x14ac:dyDescent="0.15">
      <c r="Q2109" s="2"/>
    </row>
    <row r="2110" spans="17:17" x14ac:dyDescent="0.15">
      <c r="Q2110" s="2"/>
    </row>
    <row r="2111" spans="17:17" x14ac:dyDescent="0.15">
      <c r="Q2111" s="2"/>
    </row>
    <row r="2112" spans="17:17" x14ac:dyDescent="0.15">
      <c r="Q2112" s="2"/>
    </row>
    <row r="2113" spans="17:17" x14ac:dyDescent="0.15">
      <c r="Q2113" s="2"/>
    </row>
    <row r="2114" spans="17:17" x14ac:dyDescent="0.15">
      <c r="Q2114" s="2"/>
    </row>
    <row r="2115" spans="17:17" x14ac:dyDescent="0.15">
      <c r="Q2115" s="2"/>
    </row>
    <row r="2116" spans="17:17" x14ac:dyDescent="0.15">
      <c r="Q2116" s="2"/>
    </row>
    <row r="2117" spans="17:17" x14ac:dyDescent="0.15">
      <c r="Q2117" s="2"/>
    </row>
    <row r="2118" spans="17:17" x14ac:dyDescent="0.15">
      <c r="Q2118" s="2"/>
    </row>
    <row r="2119" spans="17:17" x14ac:dyDescent="0.15">
      <c r="Q2119" s="2"/>
    </row>
    <row r="2120" spans="17:17" x14ac:dyDescent="0.15">
      <c r="Q2120" s="2"/>
    </row>
    <row r="2121" spans="17:17" x14ac:dyDescent="0.15">
      <c r="Q2121" s="2"/>
    </row>
    <row r="2122" spans="17:17" x14ac:dyDescent="0.15">
      <c r="Q2122" s="2"/>
    </row>
    <row r="2123" spans="17:17" x14ac:dyDescent="0.15">
      <c r="Q2123" s="2"/>
    </row>
    <row r="2124" spans="17:17" x14ac:dyDescent="0.15">
      <c r="Q2124" s="2"/>
    </row>
    <row r="2125" spans="17:17" x14ac:dyDescent="0.15">
      <c r="Q2125" s="2"/>
    </row>
    <row r="2126" spans="17:17" x14ac:dyDescent="0.15">
      <c r="Q2126" s="2"/>
    </row>
    <row r="2127" spans="17:17" x14ac:dyDescent="0.15">
      <c r="Q2127" s="2"/>
    </row>
    <row r="2128" spans="17:17" x14ac:dyDescent="0.15">
      <c r="Q2128" s="2"/>
    </row>
    <row r="2129" spans="17:17" x14ac:dyDescent="0.15">
      <c r="Q2129" s="2"/>
    </row>
    <row r="2130" spans="17:17" x14ac:dyDescent="0.15">
      <c r="Q2130" s="2"/>
    </row>
    <row r="2131" spans="17:17" x14ac:dyDescent="0.15">
      <c r="Q2131" s="2"/>
    </row>
    <row r="2132" spans="17:17" x14ac:dyDescent="0.15">
      <c r="Q2132" s="2"/>
    </row>
    <row r="2133" spans="17:17" x14ac:dyDescent="0.15">
      <c r="Q2133" s="2"/>
    </row>
    <row r="2134" spans="17:17" x14ac:dyDescent="0.15">
      <c r="Q2134" s="2"/>
    </row>
    <row r="2135" spans="17:17" x14ac:dyDescent="0.15">
      <c r="Q2135" s="2"/>
    </row>
    <row r="2136" spans="17:17" x14ac:dyDescent="0.15">
      <c r="Q2136" s="2"/>
    </row>
    <row r="2137" spans="17:17" x14ac:dyDescent="0.15">
      <c r="Q2137" s="2"/>
    </row>
    <row r="2138" spans="17:17" x14ac:dyDescent="0.15">
      <c r="Q2138" s="2"/>
    </row>
    <row r="2139" spans="17:17" x14ac:dyDescent="0.15">
      <c r="Q2139" s="2"/>
    </row>
    <row r="2140" spans="17:17" x14ac:dyDescent="0.15">
      <c r="Q2140" s="2"/>
    </row>
    <row r="2141" spans="17:17" x14ac:dyDescent="0.15">
      <c r="Q2141" s="2"/>
    </row>
    <row r="2142" spans="17:17" x14ac:dyDescent="0.15">
      <c r="Q2142" s="2"/>
    </row>
    <row r="2143" spans="17:17" x14ac:dyDescent="0.15">
      <c r="Q2143" s="2"/>
    </row>
    <row r="2144" spans="17:17" x14ac:dyDescent="0.15">
      <c r="Q2144" s="2"/>
    </row>
    <row r="2145" spans="17:17" x14ac:dyDescent="0.15">
      <c r="Q2145" s="2"/>
    </row>
    <row r="2146" spans="17:17" x14ac:dyDescent="0.15">
      <c r="Q2146" s="2"/>
    </row>
    <row r="2147" spans="17:17" x14ac:dyDescent="0.15">
      <c r="Q2147" s="2"/>
    </row>
    <row r="2148" spans="17:17" x14ac:dyDescent="0.15">
      <c r="Q2148" s="2"/>
    </row>
    <row r="2149" spans="17:17" x14ac:dyDescent="0.15">
      <c r="Q2149" s="2"/>
    </row>
    <row r="2150" spans="17:17" x14ac:dyDescent="0.15">
      <c r="Q2150" s="2"/>
    </row>
    <row r="2151" spans="17:17" x14ac:dyDescent="0.15">
      <c r="Q2151" s="2"/>
    </row>
    <row r="2152" spans="17:17" x14ac:dyDescent="0.15">
      <c r="Q2152" s="2"/>
    </row>
    <row r="2153" spans="17:17" x14ac:dyDescent="0.15">
      <c r="Q2153" s="2"/>
    </row>
    <row r="2154" spans="17:17" x14ac:dyDescent="0.15">
      <c r="Q2154" s="2"/>
    </row>
    <row r="2155" spans="17:17" x14ac:dyDescent="0.15">
      <c r="Q2155" s="2"/>
    </row>
    <row r="2156" spans="17:17" x14ac:dyDescent="0.15">
      <c r="Q2156" s="2"/>
    </row>
    <row r="2157" spans="17:17" x14ac:dyDescent="0.15">
      <c r="Q2157" s="2"/>
    </row>
    <row r="2158" spans="17:17" x14ac:dyDescent="0.15">
      <c r="Q2158" s="2"/>
    </row>
    <row r="2159" spans="17:17" x14ac:dyDescent="0.15">
      <c r="Q2159" s="2"/>
    </row>
    <row r="2160" spans="17:17" x14ac:dyDescent="0.15">
      <c r="Q2160" s="2"/>
    </row>
    <row r="2161" spans="17:17" x14ac:dyDescent="0.15">
      <c r="Q2161" s="2"/>
    </row>
    <row r="2162" spans="17:17" x14ac:dyDescent="0.15">
      <c r="Q2162" s="2"/>
    </row>
    <row r="2163" spans="17:17" x14ac:dyDescent="0.15">
      <c r="Q2163" s="2"/>
    </row>
    <row r="2164" spans="17:17" x14ac:dyDescent="0.15">
      <c r="Q2164" s="2"/>
    </row>
    <row r="2165" spans="17:17" x14ac:dyDescent="0.15">
      <c r="Q2165" s="2"/>
    </row>
    <row r="2166" spans="17:17" x14ac:dyDescent="0.15">
      <c r="Q2166" s="2"/>
    </row>
    <row r="2167" spans="17:17" x14ac:dyDescent="0.15">
      <c r="Q2167" s="2"/>
    </row>
    <row r="2168" spans="17:17" x14ac:dyDescent="0.15">
      <c r="Q2168" s="2"/>
    </row>
    <row r="2169" spans="17:17" x14ac:dyDescent="0.15">
      <c r="Q2169" s="2"/>
    </row>
    <row r="2170" spans="17:17" x14ac:dyDescent="0.15">
      <c r="Q2170" s="2"/>
    </row>
    <row r="2171" spans="17:17" x14ac:dyDescent="0.15">
      <c r="Q2171" s="2"/>
    </row>
    <row r="2172" spans="17:17" x14ac:dyDescent="0.15">
      <c r="Q2172" s="2"/>
    </row>
    <row r="2173" spans="17:17" x14ac:dyDescent="0.15">
      <c r="Q2173" s="2"/>
    </row>
    <row r="2174" spans="17:17" x14ac:dyDescent="0.15">
      <c r="Q2174" s="2"/>
    </row>
    <row r="2175" spans="17:17" x14ac:dyDescent="0.15">
      <c r="Q2175" s="2"/>
    </row>
    <row r="2176" spans="17:17" x14ac:dyDescent="0.15">
      <c r="Q2176" s="2"/>
    </row>
    <row r="2177" spans="17:17" x14ac:dyDescent="0.15">
      <c r="Q2177" s="2"/>
    </row>
    <row r="2178" spans="17:17" x14ac:dyDescent="0.15">
      <c r="Q2178" s="2"/>
    </row>
    <row r="2179" spans="17:17" x14ac:dyDescent="0.15">
      <c r="Q2179" s="2"/>
    </row>
    <row r="2180" spans="17:17" x14ac:dyDescent="0.15">
      <c r="Q2180" s="2"/>
    </row>
    <row r="2181" spans="17:17" x14ac:dyDescent="0.15">
      <c r="Q2181" s="2"/>
    </row>
    <row r="2182" spans="17:17" x14ac:dyDescent="0.15">
      <c r="Q2182" s="2"/>
    </row>
    <row r="2183" spans="17:17" x14ac:dyDescent="0.15">
      <c r="Q2183" s="2"/>
    </row>
    <row r="2184" spans="17:17" x14ac:dyDescent="0.15">
      <c r="Q2184" s="2"/>
    </row>
    <row r="2185" spans="17:17" x14ac:dyDescent="0.15">
      <c r="Q2185" s="2"/>
    </row>
    <row r="2186" spans="17:17" x14ac:dyDescent="0.15">
      <c r="Q2186" s="2"/>
    </row>
    <row r="2187" spans="17:17" x14ac:dyDescent="0.15">
      <c r="Q2187" s="2"/>
    </row>
    <row r="2188" spans="17:17" x14ac:dyDescent="0.15">
      <c r="Q2188" s="2"/>
    </row>
    <row r="2189" spans="17:17" x14ac:dyDescent="0.15">
      <c r="Q2189" s="2"/>
    </row>
    <row r="2190" spans="17:17" x14ac:dyDescent="0.15">
      <c r="Q2190" s="2"/>
    </row>
    <row r="2191" spans="17:17" x14ac:dyDescent="0.15">
      <c r="Q2191" s="2"/>
    </row>
    <row r="2192" spans="17:17" x14ac:dyDescent="0.15">
      <c r="Q2192" s="2"/>
    </row>
    <row r="2193" spans="17:17" x14ac:dyDescent="0.15">
      <c r="Q2193" s="2"/>
    </row>
    <row r="2194" spans="17:17" x14ac:dyDescent="0.15">
      <c r="Q2194" s="2"/>
    </row>
    <row r="2195" spans="17:17" x14ac:dyDescent="0.15">
      <c r="Q2195" s="2"/>
    </row>
    <row r="2196" spans="17:17" x14ac:dyDescent="0.15">
      <c r="Q2196" s="2"/>
    </row>
    <row r="2197" spans="17:17" x14ac:dyDescent="0.15">
      <c r="Q2197" s="2"/>
    </row>
    <row r="2198" spans="17:17" x14ac:dyDescent="0.15">
      <c r="Q2198" s="2"/>
    </row>
    <row r="2199" spans="17:17" x14ac:dyDescent="0.15">
      <c r="Q2199" s="2"/>
    </row>
    <row r="2200" spans="17:17" x14ac:dyDescent="0.15">
      <c r="Q2200" s="2"/>
    </row>
    <row r="2201" spans="17:17" x14ac:dyDescent="0.15">
      <c r="Q2201" s="2"/>
    </row>
    <row r="2202" spans="17:17" x14ac:dyDescent="0.15">
      <c r="Q2202" s="2"/>
    </row>
    <row r="2203" spans="17:17" x14ac:dyDescent="0.15">
      <c r="Q2203" s="2"/>
    </row>
    <row r="2204" spans="17:17" x14ac:dyDescent="0.15">
      <c r="Q2204" s="2"/>
    </row>
    <row r="2205" spans="17:17" x14ac:dyDescent="0.15">
      <c r="Q2205" s="2"/>
    </row>
    <row r="2206" spans="17:17" x14ac:dyDescent="0.15">
      <c r="Q2206" s="2"/>
    </row>
    <row r="2207" spans="17:17" x14ac:dyDescent="0.15">
      <c r="Q2207" s="2"/>
    </row>
    <row r="2208" spans="17:17" x14ac:dyDescent="0.15">
      <c r="Q2208" s="2"/>
    </row>
    <row r="2209" spans="17:17" x14ac:dyDescent="0.15">
      <c r="Q2209" s="2"/>
    </row>
    <row r="2210" spans="17:17" x14ac:dyDescent="0.15">
      <c r="Q2210" s="2"/>
    </row>
    <row r="2211" spans="17:17" x14ac:dyDescent="0.15">
      <c r="Q2211" s="2"/>
    </row>
    <row r="2212" spans="17:17" x14ac:dyDescent="0.15">
      <c r="Q2212" s="2"/>
    </row>
    <row r="2213" spans="17:17" x14ac:dyDescent="0.15">
      <c r="Q2213" s="2"/>
    </row>
    <row r="2214" spans="17:17" x14ac:dyDescent="0.15">
      <c r="Q2214" s="2"/>
    </row>
    <row r="2215" spans="17:17" x14ac:dyDescent="0.15">
      <c r="Q2215" s="2"/>
    </row>
    <row r="2216" spans="17:17" x14ac:dyDescent="0.15">
      <c r="Q2216" s="2"/>
    </row>
    <row r="2217" spans="17:17" x14ac:dyDescent="0.15">
      <c r="Q2217" s="2"/>
    </row>
    <row r="2218" spans="17:17" x14ac:dyDescent="0.15">
      <c r="Q2218" s="2"/>
    </row>
    <row r="2219" spans="17:17" x14ac:dyDescent="0.15">
      <c r="Q2219" s="2"/>
    </row>
    <row r="2220" spans="17:17" x14ac:dyDescent="0.15">
      <c r="Q2220" s="2"/>
    </row>
    <row r="2221" spans="17:17" x14ac:dyDescent="0.15">
      <c r="Q2221" s="2"/>
    </row>
    <row r="2222" spans="17:17" x14ac:dyDescent="0.15">
      <c r="Q2222" s="2"/>
    </row>
    <row r="2223" spans="17:17" x14ac:dyDescent="0.15">
      <c r="Q2223" s="2"/>
    </row>
    <row r="2224" spans="17:17" x14ac:dyDescent="0.15">
      <c r="Q2224" s="2"/>
    </row>
    <row r="2225" spans="17:17" x14ac:dyDescent="0.15">
      <c r="Q2225" s="2"/>
    </row>
    <row r="2226" spans="17:17" x14ac:dyDescent="0.15">
      <c r="Q2226" s="2"/>
    </row>
    <row r="2227" spans="17:17" x14ac:dyDescent="0.15">
      <c r="Q2227" s="2"/>
    </row>
    <row r="2228" spans="17:17" x14ac:dyDescent="0.15">
      <c r="Q2228" s="2"/>
    </row>
    <row r="2229" spans="17:17" x14ac:dyDescent="0.15">
      <c r="Q2229" s="2"/>
    </row>
    <row r="2230" spans="17:17" x14ac:dyDescent="0.15">
      <c r="Q2230" s="2"/>
    </row>
    <row r="2231" spans="17:17" x14ac:dyDescent="0.15">
      <c r="Q2231" s="2"/>
    </row>
    <row r="2232" spans="17:17" x14ac:dyDescent="0.15">
      <c r="Q2232" s="2"/>
    </row>
    <row r="2233" spans="17:17" x14ac:dyDescent="0.15">
      <c r="Q2233" s="2"/>
    </row>
    <row r="2234" spans="17:17" x14ac:dyDescent="0.15">
      <c r="Q2234" s="2"/>
    </row>
    <row r="2235" spans="17:17" x14ac:dyDescent="0.15">
      <c r="Q2235" s="2"/>
    </row>
    <row r="2236" spans="17:17" x14ac:dyDescent="0.15">
      <c r="Q2236" s="2"/>
    </row>
    <row r="2237" spans="17:17" x14ac:dyDescent="0.15">
      <c r="Q2237" s="2"/>
    </row>
    <row r="2238" spans="17:17" x14ac:dyDescent="0.15">
      <c r="Q2238" s="2"/>
    </row>
    <row r="2239" spans="17:17" x14ac:dyDescent="0.15">
      <c r="Q2239" s="2"/>
    </row>
    <row r="2240" spans="17:17" x14ac:dyDescent="0.15">
      <c r="Q2240" s="2"/>
    </row>
    <row r="2241" spans="17:17" x14ac:dyDescent="0.15">
      <c r="Q2241" s="2"/>
    </row>
    <row r="2242" spans="17:17" x14ac:dyDescent="0.15">
      <c r="Q2242" s="2"/>
    </row>
    <row r="2243" spans="17:17" x14ac:dyDescent="0.15">
      <c r="Q2243" s="2"/>
    </row>
    <row r="2244" spans="17:17" x14ac:dyDescent="0.15">
      <c r="Q2244" s="2"/>
    </row>
    <row r="2245" spans="17:17" x14ac:dyDescent="0.15">
      <c r="Q2245" s="2"/>
    </row>
    <row r="2246" spans="17:17" x14ac:dyDescent="0.15">
      <c r="Q2246" s="2"/>
    </row>
    <row r="2247" spans="17:17" x14ac:dyDescent="0.15">
      <c r="Q2247" s="2"/>
    </row>
    <row r="2248" spans="17:17" x14ac:dyDescent="0.15">
      <c r="Q2248" s="2"/>
    </row>
    <row r="2249" spans="17:17" x14ac:dyDescent="0.15">
      <c r="Q2249" s="2"/>
    </row>
    <row r="2250" spans="17:17" x14ac:dyDescent="0.15">
      <c r="Q2250" s="2"/>
    </row>
    <row r="2251" spans="17:17" x14ac:dyDescent="0.15">
      <c r="Q2251" s="2"/>
    </row>
    <row r="2252" spans="17:17" x14ac:dyDescent="0.15">
      <c r="Q2252" s="2"/>
    </row>
    <row r="2253" spans="17:17" x14ac:dyDescent="0.15">
      <c r="Q2253" s="2"/>
    </row>
    <row r="2254" spans="17:17" x14ac:dyDescent="0.15">
      <c r="Q2254" s="2"/>
    </row>
    <row r="2255" spans="17:17" x14ac:dyDescent="0.15">
      <c r="Q2255" s="2"/>
    </row>
    <row r="2256" spans="17:17" x14ac:dyDescent="0.15">
      <c r="Q2256" s="2"/>
    </row>
    <row r="2257" spans="17:17" x14ac:dyDescent="0.15">
      <c r="Q2257" s="2"/>
    </row>
    <row r="2258" spans="17:17" x14ac:dyDescent="0.15">
      <c r="Q2258" s="2"/>
    </row>
    <row r="2259" spans="17:17" x14ac:dyDescent="0.15">
      <c r="Q2259" s="2"/>
    </row>
    <row r="2260" spans="17:17" x14ac:dyDescent="0.15">
      <c r="Q2260" s="2"/>
    </row>
    <row r="2261" spans="17:17" x14ac:dyDescent="0.15">
      <c r="Q2261" s="2"/>
    </row>
    <row r="2262" spans="17:17" x14ac:dyDescent="0.15">
      <c r="Q2262" s="2"/>
    </row>
    <row r="2263" spans="17:17" x14ac:dyDescent="0.15">
      <c r="Q2263" s="2"/>
    </row>
    <row r="2264" spans="17:17" x14ac:dyDescent="0.15">
      <c r="Q2264" s="2"/>
    </row>
    <row r="2265" spans="17:17" x14ac:dyDescent="0.15">
      <c r="Q2265" s="2"/>
    </row>
    <row r="2266" spans="17:17" x14ac:dyDescent="0.15">
      <c r="Q2266" s="2"/>
    </row>
    <row r="2267" spans="17:17" x14ac:dyDescent="0.15">
      <c r="Q2267" s="2"/>
    </row>
    <row r="2268" spans="17:17" x14ac:dyDescent="0.15">
      <c r="Q2268" s="2"/>
    </row>
    <row r="2269" spans="17:17" x14ac:dyDescent="0.15">
      <c r="Q2269" s="2"/>
    </row>
    <row r="2270" spans="17:17" x14ac:dyDescent="0.15">
      <c r="Q2270" s="2"/>
    </row>
    <row r="2271" spans="17:17" x14ac:dyDescent="0.15">
      <c r="Q2271" s="2"/>
    </row>
    <row r="2272" spans="17:17" x14ac:dyDescent="0.15">
      <c r="Q2272" s="2"/>
    </row>
    <row r="2273" spans="17:17" x14ac:dyDescent="0.15">
      <c r="Q2273" s="2"/>
    </row>
    <row r="2274" spans="17:17" x14ac:dyDescent="0.15">
      <c r="Q2274" s="2"/>
    </row>
    <row r="2275" spans="17:17" x14ac:dyDescent="0.15">
      <c r="Q2275" s="2"/>
    </row>
    <row r="2276" spans="17:17" x14ac:dyDescent="0.15">
      <c r="Q2276" s="2"/>
    </row>
    <row r="2277" spans="17:17" x14ac:dyDescent="0.15">
      <c r="Q2277" s="2"/>
    </row>
    <row r="2278" spans="17:17" x14ac:dyDescent="0.15">
      <c r="Q2278" s="2"/>
    </row>
    <row r="2279" spans="17:17" x14ac:dyDescent="0.15">
      <c r="Q2279" s="2"/>
    </row>
    <row r="2280" spans="17:17" x14ac:dyDescent="0.15">
      <c r="Q2280" s="2"/>
    </row>
    <row r="2281" spans="17:17" x14ac:dyDescent="0.15">
      <c r="Q2281" s="2"/>
    </row>
    <row r="2282" spans="17:17" x14ac:dyDescent="0.15">
      <c r="Q2282" s="2"/>
    </row>
    <row r="2283" spans="17:17" x14ac:dyDescent="0.15">
      <c r="Q2283" s="2"/>
    </row>
    <row r="2284" spans="17:17" x14ac:dyDescent="0.15">
      <c r="Q2284" s="2"/>
    </row>
    <row r="2285" spans="17:17" x14ac:dyDescent="0.15">
      <c r="Q2285" s="2"/>
    </row>
    <row r="2286" spans="17:17" x14ac:dyDescent="0.15">
      <c r="Q2286" s="2"/>
    </row>
    <row r="2287" spans="17:17" x14ac:dyDescent="0.15">
      <c r="Q2287" s="2"/>
    </row>
    <row r="2288" spans="17:17" x14ac:dyDescent="0.15">
      <c r="Q2288" s="2"/>
    </row>
    <row r="2289" spans="17:17" x14ac:dyDescent="0.15">
      <c r="Q2289" s="2"/>
    </row>
    <row r="2290" spans="17:17" x14ac:dyDescent="0.15">
      <c r="Q2290" s="2"/>
    </row>
    <row r="2291" spans="17:17" x14ac:dyDescent="0.15">
      <c r="Q2291" s="2"/>
    </row>
    <row r="2292" spans="17:17" x14ac:dyDescent="0.15">
      <c r="Q2292" s="2"/>
    </row>
    <row r="2293" spans="17:17" x14ac:dyDescent="0.15">
      <c r="Q2293" s="2"/>
    </row>
    <row r="2294" spans="17:17" x14ac:dyDescent="0.15">
      <c r="Q2294" s="2"/>
    </row>
    <row r="2295" spans="17:17" x14ac:dyDescent="0.15">
      <c r="Q2295" s="2"/>
    </row>
    <row r="2296" spans="17:17" x14ac:dyDescent="0.15">
      <c r="Q2296" s="2"/>
    </row>
    <row r="2297" spans="17:17" x14ac:dyDescent="0.15">
      <c r="Q2297" s="2"/>
    </row>
    <row r="2298" spans="17:17" x14ac:dyDescent="0.15">
      <c r="Q2298" s="2"/>
    </row>
    <row r="2299" spans="17:17" x14ac:dyDescent="0.15">
      <c r="Q2299" s="2"/>
    </row>
    <row r="2300" spans="17:17" x14ac:dyDescent="0.15">
      <c r="Q2300" s="2"/>
    </row>
    <row r="2301" spans="17:17" x14ac:dyDescent="0.15">
      <c r="Q2301" s="2"/>
    </row>
    <row r="2302" spans="17:17" x14ac:dyDescent="0.15">
      <c r="Q2302" s="2"/>
    </row>
    <row r="2303" spans="17:17" x14ac:dyDescent="0.15">
      <c r="Q2303" s="2"/>
    </row>
    <row r="2304" spans="17:17" x14ac:dyDescent="0.15">
      <c r="Q2304" s="2"/>
    </row>
    <row r="2305" spans="17:17" x14ac:dyDescent="0.15">
      <c r="Q2305" s="2"/>
    </row>
    <row r="2306" spans="17:17" x14ac:dyDescent="0.15">
      <c r="Q2306" s="2"/>
    </row>
    <row r="2307" spans="17:17" x14ac:dyDescent="0.15">
      <c r="Q2307" s="2"/>
    </row>
    <row r="2308" spans="17:17" x14ac:dyDescent="0.15">
      <c r="Q2308" s="2"/>
    </row>
    <row r="2309" spans="17:17" x14ac:dyDescent="0.15">
      <c r="Q2309" s="2"/>
    </row>
    <row r="2310" spans="17:17" x14ac:dyDescent="0.15">
      <c r="Q2310" s="2"/>
    </row>
    <row r="2311" spans="17:17" x14ac:dyDescent="0.15">
      <c r="Q2311" s="2"/>
    </row>
    <row r="2312" spans="17:17" x14ac:dyDescent="0.15">
      <c r="Q2312" s="2"/>
    </row>
    <row r="2313" spans="17:17" x14ac:dyDescent="0.15">
      <c r="Q2313" s="2"/>
    </row>
    <row r="2314" spans="17:17" x14ac:dyDescent="0.15">
      <c r="Q2314" s="2"/>
    </row>
    <row r="2315" spans="17:17" x14ac:dyDescent="0.15">
      <c r="Q2315" s="2"/>
    </row>
    <row r="2316" spans="17:17" x14ac:dyDescent="0.15">
      <c r="Q2316" s="2"/>
    </row>
    <row r="2317" spans="17:17" x14ac:dyDescent="0.15">
      <c r="Q2317" s="2"/>
    </row>
    <row r="2318" spans="17:17" x14ac:dyDescent="0.15">
      <c r="Q2318" s="2"/>
    </row>
    <row r="2319" spans="17:17" x14ac:dyDescent="0.15">
      <c r="Q2319" s="2"/>
    </row>
    <row r="2320" spans="17:17" x14ac:dyDescent="0.15">
      <c r="Q2320" s="2"/>
    </row>
    <row r="2321" spans="17:17" x14ac:dyDescent="0.15">
      <c r="Q2321" s="2"/>
    </row>
    <row r="2322" spans="17:17" x14ac:dyDescent="0.15">
      <c r="Q2322" s="2"/>
    </row>
    <row r="2323" spans="17:17" x14ac:dyDescent="0.15">
      <c r="Q2323" s="2"/>
    </row>
    <row r="2324" spans="17:17" x14ac:dyDescent="0.15">
      <c r="Q2324" s="2"/>
    </row>
    <row r="2325" spans="17:17" x14ac:dyDescent="0.15">
      <c r="Q2325" s="2"/>
    </row>
    <row r="2326" spans="17:17" x14ac:dyDescent="0.15">
      <c r="Q2326" s="2"/>
    </row>
    <row r="2327" spans="17:17" x14ac:dyDescent="0.15">
      <c r="Q2327" s="2"/>
    </row>
    <row r="2328" spans="17:17" x14ac:dyDescent="0.15">
      <c r="Q2328" s="2"/>
    </row>
    <row r="2329" spans="17:17" x14ac:dyDescent="0.15">
      <c r="Q2329" s="2"/>
    </row>
    <row r="2330" spans="17:17" x14ac:dyDescent="0.15">
      <c r="Q2330" s="2"/>
    </row>
    <row r="2331" spans="17:17" x14ac:dyDescent="0.15">
      <c r="Q2331" s="2"/>
    </row>
    <row r="2332" spans="17:17" x14ac:dyDescent="0.15">
      <c r="Q2332" s="2"/>
    </row>
    <row r="2333" spans="17:17" x14ac:dyDescent="0.15">
      <c r="Q2333" s="2"/>
    </row>
    <row r="2334" spans="17:17" x14ac:dyDescent="0.15">
      <c r="Q2334" s="2"/>
    </row>
    <row r="2335" spans="17:17" x14ac:dyDescent="0.15">
      <c r="Q2335" s="2"/>
    </row>
    <row r="2336" spans="17:17" x14ac:dyDescent="0.15">
      <c r="Q2336" s="2"/>
    </row>
    <row r="2337" spans="17:17" x14ac:dyDescent="0.15">
      <c r="Q2337" s="2"/>
    </row>
    <row r="2338" spans="17:17" x14ac:dyDescent="0.15">
      <c r="Q2338" s="2"/>
    </row>
    <row r="2339" spans="17:17" x14ac:dyDescent="0.15">
      <c r="Q2339" s="2"/>
    </row>
    <row r="2340" spans="17:17" x14ac:dyDescent="0.15">
      <c r="Q2340" s="2"/>
    </row>
    <row r="2341" spans="17:17" x14ac:dyDescent="0.15">
      <c r="Q2341" s="2"/>
    </row>
    <row r="2342" spans="17:17" x14ac:dyDescent="0.15">
      <c r="Q2342" s="2"/>
    </row>
    <row r="2343" spans="17:17" x14ac:dyDescent="0.15">
      <c r="Q2343" s="2"/>
    </row>
    <row r="2344" spans="17:17" x14ac:dyDescent="0.15">
      <c r="Q2344" s="2"/>
    </row>
    <row r="2345" spans="17:17" x14ac:dyDescent="0.15">
      <c r="Q2345" s="2"/>
    </row>
    <row r="2346" spans="17:17" x14ac:dyDescent="0.15">
      <c r="Q2346" s="2"/>
    </row>
    <row r="2347" spans="17:17" x14ac:dyDescent="0.15">
      <c r="Q2347" s="2"/>
    </row>
    <row r="2348" spans="17:17" x14ac:dyDescent="0.15">
      <c r="Q2348" s="2"/>
    </row>
    <row r="2349" spans="17:17" x14ac:dyDescent="0.15">
      <c r="Q2349" s="2"/>
    </row>
    <row r="2350" spans="17:17" x14ac:dyDescent="0.15">
      <c r="Q2350" s="2"/>
    </row>
    <row r="2351" spans="17:17" x14ac:dyDescent="0.15">
      <c r="Q2351" s="2"/>
    </row>
    <row r="2352" spans="17:17" x14ac:dyDescent="0.15">
      <c r="Q2352" s="2"/>
    </row>
    <row r="2353" spans="17:17" x14ac:dyDescent="0.15">
      <c r="Q2353" s="2"/>
    </row>
    <row r="2354" spans="17:17" x14ac:dyDescent="0.15">
      <c r="Q2354" s="2"/>
    </row>
    <row r="2355" spans="17:17" x14ac:dyDescent="0.15">
      <c r="Q2355" s="2"/>
    </row>
    <row r="2356" spans="17:17" x14ac:dyDescent="0.15">
      <c r="Q2356" s="2"/>
    </row>
    <row r="2357" spans="17:17" x14ac:dyDescent="0.15">
      <c r="Q2357" s="2"/>
    </row>
    <row r="2358" spans="17:17" x14ac:dyDescent="0.15">
      <c r="Q2358" s="2"/>
    </row>
    <row r="2359" spans="17:17" x14ac:dyDescent="0.15">
      <c r="Q2359" s="2"/>
    </row>
    <row r="2360" spans="17:17" x14ac:dyDescent="0.15">
      <c r="Q2360" s="2"/>
    </row>
    <row r="2361" spans="17:17" x14ac:dyDescent="0.15">
      <c r="Q2361" s="2"/>
    </row>
    <row r="2362" spans="17:17" x14ac:dyDescent="0.15">
      <c r="Q2362" s="2"/>
    </row>
    <row r="2363" spans="17:17" x14ac:dyDescent="0.15">
      <c r="Q2363" s="2"/>
    </row>
    <row r="2364" spans="17:17" x14ac:dyDescent="0.15">
      <c r="Q2364" s="2"/>
    </row>
    <row r="2365" spans="17:17" x14ac:dyDescent="0.15">
      <c r="Q2365" s="2"/>
    </row>
    <row r="2366" spans="17:17" x14ac:dyDescent="0.15">
      <c r="Q2366" s="2"/>
    </row>
    <row r="2367" spans="17:17" x14ac:dyDescent="0.15">
      <c r="Q2367" s="2"/>
    </row>
    <row r="2368" spans="17:17" x14ac:dyDescent="0.15">
      <c r="Q2368" s="2"/>
    </row>
    <row r="2369" spans="17:17" x14ac:dyDescent="0.15">
      <c r="Q2369" s="2"/>
    </row>
    <row r="2370" spans="17:17" x14ac:dyDescent="0.15">
      <c r="Q2370" s="2"/>
    </row>
    <row r="2371" spans="17:17" x14ac:dyDescent="0.15">
      <c r="Q2371" s="2"/>
    </row>
    <row r="2372" spans="17:17" x14ac:dyDescent="0.15">
      <c r="Q2372" s="2"/>
    </row>
    <row r="2373" spans="17:17" x14ac:dyDescent="0.15">
      <c r="Q2373" s="2"/>
    </row>
    <row r="2374" spans="17:17" x14ac:dyDescent="0.15">
      <c r="Q2374" s="2"/>
    </row>
    <row r="2375" spans="17:17" x14ac:dyDescent="0.15">
      <c r="Q2375" s="2"/>
    </row>
    <row r="2376" spans="17:17" x14ac:dyDescent="0.15">
      <c r="Q2376" s="2"/>
    </row>
    <row r="2377" spans="17:17" x14ac:dyDescent="0.15">
      <c r="Q2377" s="2"/>
    </row>
    <row r="2378" spans="17:17" x14ac:dyDescent="0.15">
      <c r="Q2378" s="2"/>
    </row>
    <row r="2379" spans="17:17" x14ac:dyDescent="0.15">
      <c r="Q2379" s="2"/>
    </row>
    <row r="2380" spans="17:17" x14ac:dyDescent="0.15">
      <c r="Q2380" s="2"/>
    </row>
    <row r="2381" spans="17:17" x14ac:dyDescent="0.15">
      <c r="Q2381" s="2"/>
    </row>
    <row r="2382" spans="17:17" x14ac:dyDescent="0.15">
      <c r="Q2382" s="2"/>
    </row>
    <row r="2383" spans="17:17" x14ac:dyDescent="0.15">
      <c r="Q2383" s="2"/>
    </row>
    <row r="2384" spans="17:17" x14ac:dyDescent="0.15">
      <c r="Q2384" s="2"/>
    </row>
    <row r="2385" spans="17:17" x14ac:dyDescent="0.15">
      <c r="Q2385" s="2"/>
    </row>
    <row r="2386" spans="17:17" x14ac:dyDescent="0.15">
      <c r="Q2386" s="2"/>
    </row>
    <row r="2387" spans="17:17" x14ac:dyDescent="0.15">
      <c r="Q2387" s="2"/>
    </row>
    <row r="2388" spans="17:17" x14ac:dyDescent="0.15">
      <c r="Q2388" s="2"/>
    </row>
    <row r="2389" spans="17:17" x14ac:dyDescent="0.15">
      <c r="Q2389" s="2"/>
    </row>
    <row r="2390" spans="17:17" x14ac:dyDescent="0.15">
      <c r="Q2390" s="2"/>
    </row>
    <row r="2391" spans="17:17" x14ac:dyDescent="0.15">
      <c r="Q2391" s="2"/>
    </row>
    <row r="2392" spans="17:17" x14ac:dyDescent="0.15">
      <c r="Q2392" s="2"/>
    </row>
    <row r="2393" spans="17:17" x14ac:dyDescent="0.15">
      <c r="Q2393" s="2"/>
    </row>
    <row r="2394" spans="17:17" x14ac:dyDescent="0.15">
      <c r="Q2394" s="2"/>
    </row>
    <row r="2395" spans="17:17" x14ac:dyDescent="0.15">
      <c r="Q2395" s="2"/>
    </row>
    <row r="2396" spans="17:17" x14ac:dyDescent="0.15">
      <c r="Q2396" s="2"/>
    </row>
    <row r="2397" spans="17:17" x14ac:dyDescent="0.15">
      <c r="Q2397" s="2"/>
    </row>
    <row r="2398" spans="17:17" x14ac:dyDescent="0.15">
      <c r="Q2398" s="2"/>
    </row>
    <row r="2399" spans="17:17" x14ac:dyDescent="0.15">
      <c r="Q2399" s="2"/>
    </row>
    <row r="2400" spans="17:17" x14ac:dyDescent="0.15">
      <c r="Q2400" s="2"/>
    </row>
    <row r="2401" spans="17:17" x14ac:dyDescent="0.15">
      <c r="Q2401" s="2"/>
    </row>
    <row r="2402" spans="17:17" x14ac:dyDescent="0.15">
      <c r="Q2402" s="2"/>
    </row>
    <row r="2403" spans="17:17" x14ac:dyDescent="0.15">
      <c r="Q2403" s="2"/>
    </row>
    <row r="2404" spans="17:17" x14ac:dyDescent="0.15">
      <c r="Q2404" s="2"/>
    </row>
    <row r="2405" spans="17:17" x14ac:dyDescent="0.15">
      <c r="Q2405" s="2"/>
    </row>
    <row r="2406" spans="17:17" x14ac:dyDescent="0.15">
      <c r="Q2406" s="2"/>
    </row>
    <row r="2407" spans="17:17" x14ac:dyDescent="0.15">
      <c r="Q2407" s="2"/>
    </row>
    <row r="2408" spans="17:17" x14ac:dyDescent="0.15">
      <c r="Q2408" s="2"/>
    </row>
    <row r="2409" spans="17:17" x14ac:dyDescent="0.15">
      <c r="Q2409" s="2"/>
    </row>
    <row r="2410" spans="17:17" x14ac:dyDescent="0.15">
      <c r="Q2410" s="2"/>
    </row>
    <row r="2411" spans="17:17" x14ac:dyDescent="0.15">
      <c r="Q2411" s="2"/>
    </row>
    <row r="2412" spans="17:17" x14ac:dyDescent="0.15">
      <c r="Q2412" s="2"/>
    </row>
    <row r="2413" spans="17:17" x14ac:dyDescent="0.15">
      <c r="Q2413" s="2"/>
    </row>
    <row r="2414" spans="17:17" x14ac:dyDescent="0.15">
      <c r="Q2414" s="2"/>
    </row>
    <row r="2415" spans="17:17" x14ac:dyDescent="0.15">
      <c r="Q2415" s="2"/>
    </row>
    <row r="2416" spans="17:17" x14ac:dyDescent="0.15">
      <c r="Q2416" s="2"/>
    </row>
    <row r="2417" spans="17:17" x14ac:dyDescent="0.15">
      <c r="Q2417" s="2"/>
    </row>
    <row r="2418" spans="17:17" x14ac:dyDescent="0.15">
      <c r="Q2418" s="2"/>
    </row>
    <row r="2419" spans="17:17" x14ac:dyDescent="0.15">
      <c r="Q2419" s="2"/>
    </row>
    <row r="2420" spans="17:17" x14ac:dyDescent="0.15">
      <c r="Q2420" s="2"/>
    </row>
    <row r="2421" spans="17:17" x14ac:dyDescent="0.15">
      <c r="Q2421" s="2"/>
    </row>
    <row r="2422" spans="17:17" x14ac:dyDescent="0.15">
      <c r="Q2422" s="2"/>
    </row>
    <row r="2423" spans="17:17" x14ac:dyDescent="0.15">
      <c r="Q2423" s="2"/>
    </row>
    <row r="2424" spans="17:17" x14ac:dyDescent="0.15">
      <c r="Q2424" s="2"/>
    </row>
    <row r="2425" spans="17:17" x14ac:dyDescent="0.15">
      <c r="Q2425" s="2"/>
    </row>
    <row r="2426" spans="17:17" x14ac:dyDescent="0.15">
      <c r="Q2426" s="2"/>
    </row>
    <row r="2427" spans="17:17" x14ac:dyDescent="0.15">
      <c r="Q2427" s="2"/>
    </row>
    <row r="2428" spans="17:17" x14ac:dyDescent="0.15">
      <c r="Q2428" s="2"/>
    </row>
    <row r="2429" spans="17:17" x14ac:dyDescent="0.15">
      <c r="Q2429" s="2"/>
    </row>
    <row r="2430" spans="17:17" x14ac:dyDescent="0.15">
      <c r="Q2430" s="2"/>
    </row>
    <row r="2431" spans="17:17" x14ac:dyDescent="0.15">
      <c r="Q2431" s="2"/>
    </row>
    <row r="2432" spans="17:17" x14ac:dyDescent="0.15">
      <c r="Q2432" s="2"/>
    </row>
    <row r="2433" spans="17:17" x14ac:dyDescent="0.15">
      <c r="Q2433" s="2"/>
    </row>
    <row r="2434" spans="17:17" x14ac:dyDescent="0.15">
      <c r="Q2434" s="2"/>
    </row>
    <row r="2435" spans="17:17" x14ac:dyDescent="0.15">
      <c r="Q2435" s="2"/>
    </row>
    <row r="2436" spans="17:17" x14ac:dyDescent="0.15">
      <c r="Q2436" s="2"/>
    </row>
    <row r="2437" spans="17:17" x14ac:dyDescent="0.15">
      <c r="Q2437" s="2"/>
    </row>
    <row r="2438" spans="17:17" x14ac:dyDescent="0.15">
      <c r="Q2438" s="2"/>
    </row>
    <row r="2439" spans="17:17" x14ac:dyDescent="0.15">
      <c r="Q2439" s="2"/>
    </row>
    <row r="2440" spans="17:17" x14ac:dyDescent="0.15">
      <c r="Q2440" s="2"/>
    </row>
    <row r="2441" spans="17:17" x14ac:dyDescent="0.15">
      <c r="Q2441" s="2"/>
    </row>
    <row r="2442" spans="17:17" x14ac:dyDescent="0.15">
      <c r="Q2442" s="2"/>
    </row>
    <row r="2443" spans="17:17" x14ac:dyDescent="0.15">
      <c r="Q2443" s="2"/>
    </row>
    <row r="2444" spans="17:17" x14ac:dyDescent="0.15">
      <c r="Q2444" s="2"/>
    </row>
    <row r="2445" spans="17:17" x14ac:dyDescent="0.15">
      <c r="Q2445" s="2"/>
    </row>
    <row r="2446" spans="17:17" x14ac:dyDescent="0.15">
      <c r="Q2446" s="2"/>
    </row>
    <row r="2447" spans="17:17" x14ac:dyDescent="0.15">
      <c r="Q2447" s="2"/>
    </row>
    <row r="2448" spans="17:17" x14ac:dyDescent="0.15">
      <c r="Q2448" s="2"/>
    </row>
    <row r="2449" spans="17:17" x14ac:dyDescent="0.15">
      <c r="Q2449" s="2"/>
    </row>
    <row r="2450" spans="17:17" x14ac:dyDescent="0.15">
      <c r="Q2450" s="2"/>
    </row>
    <row r="2451" spans="17:17" x14ac:dyDescent="0.15">
      <c r="Q2451" s="2"/>
    </row>
    <row r="2452" spans="17:17" x14ac:dyDescent="0.15">
      <c r="Q2452" s="2"/>
    </row>
    <row r="2453" spans="17:17" x14ac:dyDescent="0.15">
      <c r="Q2453" s="2"/>
    </row>
    <row r="2454" spans="17:17" x14ac:dyDescent="0.15">
      <c r="Q2454" s="2"/>
    </row>
    <row r="2455" spans="17:17" x14ac:dyDescent="0.15">
      <c r="Q2455" s="2"/>
    </row>
    <row r="2456" spans="17:17" x14ac:dyDescent="0.15">
      <c r="Q2456" s="2"/>
    </row>
    <row r="2457" spans="17:17" x14ac:dyDescent="0.15">
      <c r="Q2457" s="2"/>
    </row>
    <row r="2458" spans="17:17" x14ac:dyDescent="0.15">
      <c r="Q2458" s="2"/>
    </row>
    <row r="2459" spans="17:17" x14ac:dyDescent="0.15">
      <c r="Q2459" s="2"/>
    </row>
    <row r="2460" spans="17:17" x14ac:dyDescent="0.15">
      <c r="Q2460" s="2"/>
    </row>
    <row r="2461" spans="17:17" x14ac:dyDescent="0.15">
      <c r="Q2461" s="2"/>
    </row>
    <row r="2462" spans="17:17" x14ac:dyDescent="0.15">
      <c r="Q2462" s="2"/>
    </row>
    <row r="2463" spans="17:17" x14ac:dyDescent="0.15">
      <c r="Q2463" s="2"/>
    </row>
    <row r="2464" spans="17:17" x14ac:dyDescent="0.15">
      <c r="Q2464" s="2"/>
    </row>
    <row r="2465" spans="17:17" x14ac:dyDescent="0.15">
      <c r="Q2465" s="2"/>
    </row>
    <row r="2466" spans="17:17" x14ac:dyDescent="0.15">
      <c r="Q2466" s="2"/>
    </row>
    <row r="2467" spans="17:17" x14ac:dyDescent="0.15">
      <c r="Q2467" s="2"/>
    </row>
    <row r="2468" spans="17:17" x14ac:dyDescent="0.15">
      <c r="Q2468" s="2"/>
    </row>
    <row r="2469" spans="17:17" x14ac:dyDescent="0.15">
      <c r="Q2469" s="2"/>
    </row>
    <row r="2470" spans="17:17" x14ac:dyDescent="0.15">
      <c r="Q2470" s="2"/>
    </row>
    <row r="2471" spans="17:17" x14ac:dyDescent="0.15">
      <c r="Q2471" s="2"/>
    </row>
    <row r="2472" spans="17:17" x14ac:dyDescent="0.15">
      <c r="Q2472" s="2"/>
    </row>
    <row r="2473" spans="17:17" x14ac:dyDescent="0.15">
      <c r="Q2473" s="2"/>
    </row>
    <row r="2474" spans="17:17" x14ac:dyDescent="0.15">
      <c r="Q2474" s="2"/>
    </row>
    <row r="2475" spans="17:17" x14ac:dyDescent="0.15">
      <c r="Q2475" s="2"/>
    </row>
    <row r="2476" spans="17:17" x14ac:dyDescent="0.15">
      <c r="Q2476" s="2"/>
    </row>
    <row r="2477" spans="17:17" x14ac:dyDescent="0.15">
      <c r="Q2477" s="2"/>
    </row>
    <row r="2478" spans="17:17" x14ac:dyDescent="0.15">
      <c r="Q2478" s="2"/>
    </row>
    <row r="2479" spans="17:17" x14ac:dyDescent="0.15">
      <c r="Q2479" s="2"/>
    </row>
    <row r="2480" spans="17:17" x14ac:dyDescent="0.15">
      <c r="Q2480" s="2"/>
    </row>
    <row r="2481" spans="17:17" x14ac:dyDescent="0.15">
      <c r="Q2481" s="2"/>
    </row>
    <row r="2482" spans="17:17" x14ac:dyDescent="0.15">
      <c r="Q2482" s="2"/>
    </row>
    <row r="2483" spans="17:17" x14ac:dyDescent="0.15">
      <c r="Q2483" s="2"/>
    </row>
    <row r="2484" spans="17:17" x14ac:dyDescent="0.15">
      <c r="Q2484" s="2"/>
    </row>
    <row r="2485" spans="17:17" x14ac:dyDescent="0.15">
      <c r="Q2485" s="2"/>
    </row>
    <row r="2486" spans="17:17" x14ac:dyDescent="0.15">
      <c r="Q2486" s="2"/>
    </row>
    <row r="2487" spans="17:17" x14ac:dyDescent="0.15">
      <c r="Q2487" s="2"/>
    </row>
    <row r="2488" spans="17:17" x14ac:dyDescent="0.15">
      <c r="Q2488" s="2"/>
    </row>
    <row r="2489" spans="17:17" x14ac:dyDescent="0.15">
      <c r="Q2489" s="2"/>
    </row>
    <row r="2490" spans="17:17" x14ac:dyDescent="0.15">
      <c r="Q2490" s="2"/>
    </row>
    <row r="2491" spans="17:17" x14ac:dyDescent="0.15">
      <c r="Q2491" s="2"/>
    </row>
    <row r="2492" spans="17:17" x14ac:dyDescent="0.15">
      <c r="Q2492" s="2"/>
    </row>
    <row r="2493" spans="17:17" x14ac:dyDescent="0.15">
      <c r="Q2493" s="2"/>
    </row>
    <row r="2494" spans="17:17" x14ac:dyDescent="0.15">
      <c r="Q2494" s="2"/>
    </row>
    <row r="2495" spans="17:17" x14ac:dyDescent="0.15">
      <c r="Q2495" s="2"/>
    </row>
    <row r="2496" spans="17:17" x14ac:dyDescent="0.15">
      <c r="Q2496" s="2"/>
    </row>
    <row r="2497" spans="17:17" x14ac:dyDescent="0.15">
      <c r="Q2497" s="2"/>
    </row>
    <row r="2498" spans="17:17" x14ac:dyDescent="0.15">
      <c r="Q2498" s="2"/>
    </row>
    <row r="2499" spans="17:17" x14ac:dyDescent="0.15">
      <c r="Q2499" s="2"/>
    </row>
    <row r="2500" spans="17:17" x14ac:dyDescent="0.15">
      <c r="Q2500" s="2"/>
    </row>
    <row r="2501" spans="17:17" x14ac:dyDescent="0.15">
      <c r="Q2501" s="2"/>
    </row>
    <row r="2502" spans="17:17" x14ac:dyDescent="0.15">
      <c r="Q2502" s="2"/>
    </row>
    <row r="2503" spans="17:17" x14ac:dyDescent="0.15">
      <c r="Q2503" s="2"/>
    </row>
    <row r="2504" spans="17:17" x14ac:dyDescent="0.15">
      <c r="Q2504" s="2"/>
    </row>
    <row r="2505" spans="17:17" x14ac:dyDescent="0.15">
      <c r="Q2505" s="2"/>
    </row>
    <row r="2506" spans="17:17" x14ac:dyDescent="0.15">
      <c r="Q2506" s="2"/>
    </row>
    <row r="2507" spans="17:17" x14ac:dyDescent="0.15">
      <c r="Q2507" s="2"/>
    </row>
    <row r="2508" spans="17:17" x14ac:dyDescent="0.15">
      <c r="Q2508" s="2"/>
    </row>
    <row r="2509" spans="17:17" x14ac:dyDescent="0.15">
      <c r="Q2509" s="2"/>
    </row>
    <row r="2510" spans="17:17" x14ac:dyDescent="0.15">
      <c r="Q2510" s="2"/>
    </row>
    <row r="2511" spans="17:17" x14ac:dyDescent="0.15">
      <c r="Q2511" s="2"/>
    </row>
    <row r="2512" spans="17:17" x14ac:dyDescent="0.15">
      <c r="Q2512" s="2"/>
    </row>
    <row r="2513" spans="17:17" x14ac:dyDescent="0.15">
      <c r="Q2513" s="2"/>
    </row>
    <row r="2514" spans="17:17" x14ac:dyDescent="0.15">
      <c r="Q2514" s="2"/>
    </row>
    <row r="2515" spans="17:17" x14ac:dyDescent="0.15">
      <c r="Q2515" s="2"/>
    </row>
    <row r="2516" spans="17:17" x14ac:dyDescent="0.15">
      <c r="Q2516" s="2"/>
    </row>
    <row r="2517" spans="17:17" x14ac:dyDescent="0.15">
      <c r="Q2517" s="2"/>
    </row>
    <row r="2518" spans="17:17" x14ac:dyDescent="0.15">
      <c r="Q2518" s="2"/>
    </row>
    <row r="2519" spans="17:17" x14ac:dyDescent="0.15">
      <c r="Q2519" s="2"/>
    </row>
    <row r="2520" spans="17:17" x14ac:dyDescent="0.15">
      <c r="Q2520" s="2"/>
    </row>
    <row r="2521" spans="17:17" x14ac:dyDescent="0.15">
      <c r="Q2521" s="2"/>
    </row>
    <row r="2522" spans="17:17" x14ac:dyDescent="0.15">
      <c r="Q2522" s="2"/>
    </row>
    <row r="2523" spans="17:17" x14ac:dyDescent="0.15">
      <c r="Q2523" s="2"/>
    </row>
    <row r="2524" spans="17:17" x14ac:dyDescent="0.15">
      <c r="Q2524" s="2"/>
    </row>
    <row r="2525" spans="17:17" x14ac:dyDescent="0.15">
      <c r="Q2525" s="2"/>
    </row>
    <row r="2526" spans="17:17" x14ac:dyDescent="0.15">
      <c r="Q2526" s="2"/>
    </row>
    <row r="2527" spans="17:17" x14ac:dyDescent="0.15">
      <c r="Q2527" s="2"/>
    </row>
    <row r="2528" spans="17:17" x14ac:dyDescent="0.15">
      <c r="Q2528" s="2"/>
    </row>
    <row r="2529" spans="17:17" x14ac:dyDescent="0.15">
      <c r="Q2529" s="2"/>
    </row>
    <row r="2530" spans="17:17" x14ac:dyDescent="0.15">
      <c r="Q2530" s="2"/>
    </row>
    <row r="2531" spans="17:17" x14ac:dyDescent="0.15">
      <c r="Q2531" s="2"/>
    </row>
    <row r="2532" spans="17:17" x14ac:dyDescent="0.15">
      <c r="Q2532" s="2"/>
    </row>
    <row r="2533" spans="17:17" x14ac:dyDescent="0.15">
      <c r="Q2533" s="2"/>
    </row>
    <row r="2534" spans="17:17" x14ac:dyDescent="0.15">
      <c r="Q2534" s="2"/>
    </row>
    <row r="2535" spans="17:17" x14ac:dyDescent="0.15">
      <c r="Q2535" s="2"/>
    </row>
    <row r="2536" spans="17:17" x14ac:dyDescent="0.15">
      <c r="Q2536" s="2"/>
    </row>
    <row r="2537" spans="17:17" x14ac:dyDescent="0.15">
      <c r="Q2537" s="2"/>
    </row>
    <row r="2538" spans="17:17" x14ac:dyDescent="0.15">
      <c r="Q2538" s="2"/>
    </row>
    <row r="2539" spans="17:17" x14ac:dyDescent="0.15">
      <c r="Q2539" s="2"/>
    </row>
    <row r="2540" spans="17:17" x14ac:dyDescent="0.15">
      <c r="Q2540" s="2"/>
    </row>
    <row r="2541" spans="17:17" x14ac:dyDescent="0.15">
      <c r="Q2541" s="2"/>
    </row>
    <row r="2542" spans="17:17" x14ac:dyDescent="0.15">
      <c r="Q2542" s="2"/>
    </row>
    <row r="2543" spans="17:17" x14ac:dyDescent="0.15">
      <c r="Q2543" s="2"/>
    </row>
    <row r="2544" spans="17:17" x14ac:dyDescent="0.15">
      <c r="Q2544" s="2"/>
    </row>
    <row r="2545" spans="17:17" x14ac:dyDescent="0.15">
      <c r="Q2545" s="2"/>
    </row>
    <row r="2546" spans="17:17" x14ac:dyDescent="0.15">
      <c r="Q2546" s="2"/>
    </row>
    <row r="2547" spans="17:17" x14ac:dyDescent="0.15">
      <c r="Q2547" s="2"/>
    </row>
    <row r="2548" spans="17:17" x14ac:dyDescent="0.15">
      <c r="Q2548" s="2"/>
    </row>
    <row r="2549" spans="17:17" x14ac:dyDescent="0.15">
      <c r="Q2549" s="2"/>
    </row>
    <row r="2550" spans="17:17" x14ac:dyDescent="0.15">
      <c r="Q2550" s="2"/>
    </row>
    <row r="2551" spans="17:17" x14ac:dyDescent="0.15">
      <c r="Q2551" s="2"/>
    </row>
    <row r="2552" spans="17:17" x14ac:dyDescent="0.15">
      <c r="Q2552" s="2"/>
    </row>
    <row r="2553" spans="17:17" x14ac:dyDescent="0.15">
      <c r="Q2553" s="2"/>
    </row>
    <row r="2554" spans="17:17" x14ac:dyDescent="0.15">
      <c r="Q2554" s="2"/>
    </row>
    <row r="2555" spans="17:17" x14ac:dyDescent="0.15">
      <c r="Q2555" s="2"/>
    </row>
    <row r="2556" spans="17:17" x14ac:dyDescent="0.15">
      <c r="Q2556" s="2"/>
    </row>
    <row r="2557" spans="17:17" x14ac:dyDescent="0.15">
      <c r="Q2557" s="2"/>
    </row>
    <row r="2558" spans="17:17" x14ac:dyDescent="0.15">
      <c r="Q2558" s="2"/>
    </row>
    <row r="2559" spans="17:17" x14ac:dyDescent="0.15">
      <c r="Q2559" s="2"/>
    </row>
    <row r="2560" spans="17:17" x14ac:dyDescent="0.15">
      <c r="Q2560" s="2"/>
    </row>
    <row r="2561" spans="17:17" x14ac:dyDescent="0.15">
      <c r="Q2561" s="2"/>
    </row>
    <row r="2562" spans="17:17" x14ac:dyDescent="0.15">
      <c r="Q2562" s="2"/>
    </row>
    <row r="2563" spans="17:17" x14ac:dyDescent="0.15">
      <c r="Q2563" s="2"/>
    </row>
    <row r="2564" spans="17:17" x14ac:dyDescent="0.15">
      <c r="Q2564" s="2"/>
    </row>
    <row r="2565" spans="17:17" x14ac:dyDescent="0.15">
      <c r="Q2565" s="2"/>
    </row>
    <row r="2566" spans="17:17" x14ac:dyDescent="0.15">
      <c r="Q2566" s="2"/>
    </row>
    <row r="2567" spans="17:17" x14ac:dyDescent="0.15">
      <c r="Q2567" s="2"/>
    </row>
    <row r="2568" spans="17:17" x14ac:dyDescent="0.15">
      <c r="Q2568" s="2"/>
    </row>
    <row r="2569" spans="17:17" x14ac:dyDescent="0.15">
      <c r="Q2569" s="2"/>
    </row>
    <row r="2570" spans="17:17" x14ac:dyDescent="0.15">
      <c r="Q2570" s="2"/>
    </row>
    <row r="2571" spans="17:17" x14ac:dyDescent="0.15">
      <c r="Q2571" s="2"/>
    </row>
    <row r="2572" spans="17:17" x14ac:dyDescent="0.15">
      <c r="Q2572" s="2"/>
    </row>
    <row r="2573" spans="17:17" x14ac:dyDescent="0.15">
      <c r="Q2573" s="2"/>
    </row>
    <row r="2574" spans="17:17" x14ac:dyDescent="0.15">
      <c r="Q2574" s="2"/>
    </row>
    <row r="2575" spans="17:17" x14ac:dyDescent="0.15">
      <c r="Q2575" s="2"/>
    </row>
    <row r="2576" spans="17:17" x14ac:dyDescent="0.15">
      <c r="Q2576" s="2"/>
    </row>
    <row r="2577" spans="17:17" x14ac:dyDescent="0.15">
      <c r="Q2577" s="2"/>
    </row>
    <row r="2578" spans="17:17" x14ac:dyDescent="0.15">
      <c r="Q2578" s="2"/>
    </row>
    <row r="2579" spans="17:17" x14ac:dyDescent="0.15">
      <c r="Q2579" s="2"/>
    </row>
    <row r="2580" spans="17:17" x14ac:dyDescent="0.15">
      <c r="Q2580" s="2"/>
    </row>
    <row r="2581" spans="17:17" x14ac:dyDescent="0.15">
      <c r="Q2581" s="2"/>
    </row>
    <row r="2582" spans="17:17" x14ac:dyDescent="0.15">
      <c r="Q2582" s="2"/>
    </row>
    <row r="2583" spans="17:17" x14ac:dyDescent="0.15">
      <c r="Q2583" s="2"/>
    </row>
    <row r="2584" spans="17:17" x14ac:dyDescent="0.15">
      <c r="Q2584" s="2"/>
    </row>
    <row r="2585" spans="17:17" x14ac:dyDescent="0.15">
      <c r="Q2585" s="2"/>
    </row>
    <row r="2586" spans="17:17" x14ac:dyDescent="0.15">
      <c r="Q2586" s="2"/>
    </row>
    <row r="2587" spans="17:17" x14ac:dyDescent="0.15">
      <c r="Q2587" s="2"/>
    </row>
    <row r="2588" spans="17:17" x14ac:dyDescent="0.15">
      <c r="Q2588" s="2"/>
    </row>
    <row r="2589" spans="17:17" x14ac:dyDescent="0.15">
      <c r="Q2589" s="2"/>
    </row>
    <row r="2590" spans="17:17" x14ac:dyDescent="0.15">
      <c r="Q2590" s="2"/>
    </row>
    <row r="2591" spans="17:17" x14ac:dyDescent="0.15">
      <c r="Q2591" s="2"/>
    </row>
    <row r="2592" spans="17:17" x14ac:dyDescent="0.15">
      <c r="Q2592" s="2"/>
    </row>
    <row r="2593" spans="17:17" x14ac:dyDescent="0.15">
      <c r="Q2593" s="2"/>
    </row>
    <row r="2594" spans="17:17" x14ac:dyDescent="0.15">
      <c r="Q2594" s="2"/>
    </row>
    <row r="2595" spans="17:17" x14ac:dyDescent="0.15">
      <c r="Q2595" s="2"/>
    </row>
    <row r="2596" spans="17:17" x14ac:dyDescent="0.15">
      <c r="Q2596" s="2"/>
    </row>
    <row r="2597" spans="17:17" x14ac:dyDescent="0.15">
      <c r="Q2597" s="2"/>
    </row>
    <row r="2598" spans="17:17" x14ac:dyDescent="0.15">
      <c r="Q2598" s="2"/>
    </row>
    <row r="2599" spans="17:17" x14ac:dyDescent="0.15">
      <c r="Q2599" s="2"/>
    </row>
    <row r="2600" spans="17:17" x14ac:dyDescent="0.15">
      <c r="Q2600" s="2"/>
    </row>
    <row r="2601" spans="17:17" x14ac:dyDescent="0.15">
      <c r="Q2601" s="2"/>
    </row>
    <row r="2602" spans="17:17" x14ac:dyDescent="0.15">
      <c r="Q2602" s="2"/>
    </row>
    <row r="2603" spans="17:17" x14ac:dyDescent="0.15">
      <c r="Q2603" s="2"/>
    </row>
    <row r="2604" spans="17:17" x14ac:dyDescent="0.15">
      <c r="Q2604" s="2"/>
    </row>
    <row r="2605" spans="17:17" x14ac:dyDescent="0.15">
      <c r="Q2605" s="2"/>
    </row>
    <row r="2606" spans="17:17" x14ac:dyDescent="0.15">
      <c r="Q2606" s="2"/>
    </row>
    <row r="2607" spans="17:17" x14ac:dyDescent="0.15">
      <c r="Q2607" s="2"/>
    </row>
    <row r="2608" spans="17:17" x14ac:dyDescent="0.15">
      <c r="Q2608" s="2"/>
    </row>
    <row r="2609" spans="17:17" x14ac:dyDescent="0.15">
      <c r="Q2609" s="2"/>
    </row>
    <row r="2610" spans="17:17" x14ac:dyDescent="0.15">
      <c r="Q2610" s="2"/>
    </row>
    <row r="2611" spans="17:17" x14ac:dyDescent="0.15">
      <c r="Q2611" s="2"/>
    </row>
    <row r="2612" spans="17:17" x14ac:dyDescent="0.15">
      <c r="Q2612" s="2"/>
    </row>
    <row r="2613" spans="17:17" x14ac:dyDescent="0.15">
      <c r="Q2613" s="2"/>
    </row>
    <row r="2614" spans="17:17" x14ac:dyDescent="0.15">
      <c r="Q2614" s="2"/>
    </row>
    <row r="2615" spans="17:17" x14ac:dyDescent="0.15">
      <c r="Q2615" s="2"/>
    </row>
    <row r="2616" spans="17:17" x14ac:dyDescent="0.15">
      <c r="Q2616" s="2"/>
    </row>
    <row r="2617" spans="17:17" x14ac:dyDescent="0.15">
      <c r="Q2617" s="2"/>
    </row>
    <row r="2618" spans="17:17" x14ac:dyDescent="0.15">
      <c r="Q2618" s="2"/>
    </row>
    <row r="2619" spans="17:17" x14ac:dyDescent="0.15">
      <c r="Q2619" s="2"/>
    </row>
    <row r="2620" spans="17:17" x14ac:dyDescent="0.15">
      <c r="Q2620" s="2"/>
    </row>
    <row r="2621" spans="17:17" x14ac:dyDescent="0.15">
      <c r="Q2621" s="2"/>
    </row>
    <row r="2622" spans="17:17" x14ac:dyDescent="0.15">
      <c r="Q2622" s="2"/>
    </row>
    <row r="2623" spans="17:17" x14ac:dyDescent="0.15">
      <c r="Q2623" s="2"/>
    </row>
    <row r="2624" spans="17:17" x14ac:dyDescent="0.15">
      <c r="Q2624" s="2"/>
    </row>
    <row r="2625" spans="17:17" x14ac:dyDescent="0.15">
      <c r="Q2625" s="2"/>
    </row>
    <row r="2626" spans="17:17" x14ac:dyDescent="0.15">
      <c r="Q2626" s="2"/>
    </row>
    <row r="2627" spans="17:17" x14ac:dyDescent="0.15">
      <c r="Q2627" s="2"/>
    </row>
    <row r="2628" spans="17:17" x14ac:dyDescent="0.15">
      <c r="Q2628" s="2"/>
    </row>
    <row r="2629" spans="17:17" x14ac:dyDescent="0.15">
      <c r="Q2629" s="2"/>
    </row>
    <row r="2630" spans="17:17" x14ac:dyDescent="0.15">
      <c r="Q2630" s="2"/>
    </row>
    <row r="2631" spans="17:17" x14ac:dyDescent="0.15">
      <c r="Q2631" s="2"/>
    </row>
    <row r="2632" spans="17:17" x14ac:dyDescent="0.15">
      <c r="Q2632" s="2"/>
    </row>
    <row r="2633" spans="17:17" x14ac:dyDescent="0.15">
      <c r="Q2633" s="2"/>
    </row>
    <row r="2634" spans="17:17" x14ac:dyDescent="0.15">
      <c r="Q2634" s="2"/>
    </row>
    <row r="2635" spans="17:17" x14ac:dyDescent="0.15">
      <c r="Q2635" s="2"/>
    </row>
    <row r="2636" spans="17:17" x14ac:dyDescent="0.15">
      <c r="Q2636" s="2"/>
    </row>
    <row r="2637" spans="17:17" x14ac:dyDescent="0.15">
      <c r="Q2637" s="2"/>
    </row>
    <row r="2638" spans="17:17" x14ac:dyDescent="0.15">
      <c r="Q2638" s="2"/>
    </row>
    <row r="2639" spans="17:17" x14ac:dyDescent="0.15">
      <c r="Q2639" s="2"/>
    </row>
    <row r="2640" spans="17:17" x14ac:dyDescent="0.15">
      <c r="Q2640" s="2"/>
    </row>
    <row r="2641" spans="17:17" x14ac:dyDescent="0.15">
      <c r="Q2641" s="2"/>
    </row>
    <row r="2642" spans="17:17" x14ac:dyDescent="0.15">
      <c r="Q2642" s="2"/>
    </row>
    <row r="2643" spans="17:17" x14ac:dyDescent="0.15">
      <c r="Q2643" s="2"/>
    </row>
    <row r="2644" spans="17:17" x14ac:dyDescent="0.15">
      <c r="Q2644" s="2"/>
    </row>
    <row r="2645" spans="17:17" x14ac:dyDescent="0.15">
      <c r="Q2645" s="2"/>
    </row>
    <row r="2646" spans="17:17" x14ac:dyDescent="0.15">
      <c r="Q2646" s="2"/>
    </row>
    <row r="2647" spans="17:17" x14ac:dyDescent="0.15">
      <c r="Q2647" s="2"/>
    </row>
    <row r="2648" spans="17:17" x14ac:dyDescent="0.15">
      <c r="Q2648" s="2"/>
    </row>
    <row r="2649" spans="17:17" x14ac:dyDescent="0.15">
      <c r="Q2649" s="2"/>
    </row>
    <row r="2650" spans="17:17" x14ac:dyDescent="0.15">
      <c r="Q2650" s="2"/>
    </row>
    <row r="2651" spans="17:17" x14ac:dyDescent="0.15">
      <c r="Q2651" s="2"/>
    </row>
    <row r="2652" spans="17:17" x14ac:dyDescent="0.15">
      <c r="Q2652" s="2"/>
    </row>
    <row r="2653" spans="17:17" x14ac:dyDescent="0.15">
      <c r="Q2653" s="2"/>
    </row>
    <row r="2654" spans="17:17" x14ac:dyDescent="0.15">
      <c r="Q2654" s="2"/>
    </row>
    <row r="2655" spans="17:17" x14ac:dyDescent="0.15">
      <c r="Q2655" s="2"/>
    </row>
    <row r="2656" spans="17:17" x14ac:dyDescent="0.15">
      <c r="Q2656" s="2"/>
    </row>
    <row r="2657" spans="17:17" x14ac:dyDescent="0.15">
      <c r="Q2657" s="2"/>
    </row>
    <row r="2658" spans="17:17" x14ac:dyDescent="0.15">
      <c r="Q2658" s="2"/>
    </row>
    <row r="2659" spans="17:17" x14ac:dyDescent="0.15">
      <c r="Q2659" s="2"/>
    </row>
    <row r="2660" spans="17:17" x14ac:dyDescent="0.15">
      <c r="Q2660" s="2"/>
    </row>
    <row r="2661" spans="17:17" x14ac:dyDescent="0.15">
      <c r="Q2661" s="2"/>
    </row>
    <row r="2662" spans="17:17" x14ac:dyDescent="0.15">
      <c r="Q2662" s="2"/>
    </row>
    <row r="2663" spans="17:17" x14ac:dyDescent="0.15">
      <c r="Q2663" s="2"/>
    </row>
    <row r="2664" spans="17:17" x14ac:dyDescent="0.15">
      <c r="Q2664" s="2"/>
    </row>
    <row r="2665" spans="17:17" x14ac:dyDescent="0.15">
      <c r="Q2665" s="2"/>
    </row>
    <row r="2666" spans="17:17" x14ac:dyDescent="0.15">
      <c r="Q2666" s="2"/>
    </row>
    <row r="2667" spans="17:17" x14ac:dyDescent="0.15">
      <c r="Q2667" s="2"/>
    </row>
    <row r="2668" spans="17:17" x14ac:dyDescent="0.15">
      <c r="Q2668" s="2"/>
    </row>
    <row r="2669" spans="17:17" x14ac:dyDescent="0.15">
      <c r="Q2669" s="2"/>
    </row>
    <row r="2670" spans="17:17" x14ac:dyDescent="0.15">
      <c r="Q2670" s="2"/>
    </row>
    <row r="2671" spans="17:17" x14ac:dyDescent="0.15">
      <c r="Q2671" s="2"/>
    </row>
    <row r="2672" spans="17:17" x14ac:dyDescent="0.15">
      <c r="Q2672" s="2"/>
    </row>
    <row r="2673" spans="17:17" x14ac:dyDescent="0.15">
      <c r="Q2673" s="2"/>
    </row>
    <row r="2674" spans="17:17" x14ac:dyDescent="0.15">
      <c r="Q2674" s="2"/>
    </row>
    <row r="2675" spans="17:17" x14ac:dyDescent="0.15">
      <c r="Q2675" s="2"/>
    </row>
    <row r="2676" spans="17:17" x14ac:dyDescent="0.15">
      <c r="Q2676" s="2"/>
    </row>
    <row r="2677" spans="17:17" x14ac:dyDescent="0.15">
      <c r="Q2677" s="2"/>
    </row>
    <row r="2678" spans="17:17" x14ac:dyDescent="0.15">
      <c r="Q2678" s="2"/>
    </row>
    <row r="2679" spans="17:17" x14ac:dyDescent="0.15">
      <c r="Q2679" s="2"/>
    </row>
    <row r="2680" spans="17:17" x14ac:dyDescent="0.15">
      <c r="Q2680" s="2"/>
    </row>
    <row r="2681" spans="17:17" x14ac:dyDescent="0.15">
      <c r="Q2681" s="2"/>
    </row>
    <row r="2682" spans="17:17" x14ac:dyDescent="0.15">
      <c r="Q2682" s="2"/>
    </row>
    <row r="2683" spans="17:17" x14ac:dyDescent="0.15">
      <c r="Q2683" s="2"/>
    </row>
    <row r="2684" spans="17:17" x14ac:dyDescent="0.15">
      <c r="Q2684" s="2"/>
    </row>
    <row r="2685" spans="17:17" x14ac:dyDescent="0.15">
      <c r="Q2685" s="2"/>
    </row>
    <row r="2686" spans="17:17" x14ac:dyDescent="0.15">
      <c r="Q2686" s="2"/>
    </row>
    <row r="2687" spans="17:17" x14ac:dyDescent="0.15">
      <c r="Q2687" s="2"/>
    </row>
    <row r="2688" spans="17:17" x14ac:dyDescent="0.15">
      <c r="Q2688" s="2"/>
    </row>
    <row r="2689" spans="17:17" x14ac:dyDescent="0.15">
      <c r="Q2689" s="2"/>
    </row>
    <row r="2690" spans="17:17" x14ac:dyDescent="0.15">
      <c r="Q2690" s="2"/>
    </row>
    <row r="2691" spans="17:17" x14ac:dyDescent="0.15">
      <c r="Q2691" s="2"/>
    </row>
    <row r="2692" spans="17:17" x14ac:dyDescent="0.15">
      <c r="Q2692" s="2"/>
    </row>
    <row r="2693" spans="17:17" x14ac:dyDescent="0.15">
      <c r="Q2693" s="2"/>
    </row>
    <row r="2694" spans="17:17" x14ac:dyDescent="0.15">
      <c r="Q2694" s="2"/>
    </row>
    <row r="2695" spans="17:17" x14ac:dyDescent="0.15">
      <c r="Q2695" s="2"/>
    </row>
    <row r="2696" spans="17:17" x14ac:dyDescent="0.15">
      <c r="Q2696" s="2"/>
    </row>
    <row r="2697" spans="17:17" x14ac:dyDescent="0.15">
      <c r="Q2697" s="2"/>
    </row>
    <row r="2698" spans="17:17" x14ac:dyDescent="0.15">
      <c r="Q2698" s="2"/>
    </row>
    <row r="2699" spans="17:17" x14ac:dyDescent="0.15">
      <c r="Q2699" s="2"/>
    </row>
    <row r="2700" spans="17:17" x14ac:dyDescent="0.15">
      <c r="Q2700" s="2"/>
    </row>
    <row r="2701" spans="17:17" x14ac:dyDescent="0.15">
      <c r="Q2701" s="2"/>
    </row>
    <row r="2702" spans="17:17" x14ac:dyDescent="0.15">
      <c r="Q2702" s="2"/>
    </row>
    <row r="2703" spans="17:17" x14ac:dyDescent="0.15">
      <c r="Q2703" s="2"/>
    </row>
    <row r="2704" spans="17:17" x14ac:dyDescent="0.15">
      <c r="Q2704" s="2"/>
    </row>
    <row r="2705" spans="17:17" x14ac:dyDescent="0.15">
      <c r="Q2705" s="2"/>
    </row>
    <row r="2706" spans="17:17" x14ac:dyDescent="0.15">
      <c r="Q2706" s="2"/>
    </row>
    <row r="2707" spans="17:17" x14ac:dyDescent="0.15">
      <c r="Q2707" s="2"/>
    </row>
    <row r="2708" spans="17:17" x14ac:dyDescent="0.15">
      <c r="Q2708" s="2"/>
    </row>
    <row r="2709" spans="17:17" x14ac:dyDescent="0.15">
      <c r="Q2709" s="2"/>
    </row>
    <row r="2710" spans="17:17" x14ac:dyDescent="0.15">
      <c r="Q2710" s="2"/>
    </row>
    <row r="2711" spans="17:17" x14ac:dyDescent="0.15">
      <c r="Q2711" s="2"/>
    </row>
    <row r="2712" spans="17:17" x14ac:dyDescent="0.15">
      <c r="Q2712" s="2"/>
    </row>
    <row r="2713" spans="17:17" x14ac:dyDescent="0.15">
      <c r="Q2713" s="2"/>
    </row>
    <row r="2714" spans="17:17" x14ac:dyDescent="0.15">
      <c r="Q2714" s="2"/>
    </row>
    <row r="2715" spans="17:17" x14ac:dyDescent="0.15">
      <c r="Q2715" s="2"/>
    </row>
    <row r="2716" spans="17:17" x14ac:dyDescent="0.15">
      <c r="Q2716" s="2"/>
    </row>
    <row r="2717" spans="17:17" x14ac:dyDescent="0.15">
      <c r="Q2717" s="2"/>
    </row>
    <row r="2718" spans="17:17" x14ac:dyDescent="0.15">
      <c r="Q2718" s="2"/>
    </row>
    <row r="2719" spans="17:17" x14ac:dyDescent="0.15">
      <c r="Q2719" s="2"/>
    </row>
    <row r="2720" spans="17:17" x14ac:dyDescent="0.15">
      <c r="Q2720" s="2"/>
    </row>
    <row r="2721" spans="17:17" x14ac:dyDescent="0.15">
      <c r="Q2721" s="2"/>
    </row>
    <row r="2722" spans="17:17" x14ac:dyDescent="0.15">
      <c r="Q2722" s="2"/>
    </row>
    <row r="2723" spans="17:17" x14ac:dyDescent="0.15">
      <c r="Q2723" s="2"/>
    </row>
    <row r="2724" spans="17:17" x14ac:dyDescent="0.15">
      <c r="Q2724" s="2"/>
    </row>
    <row r="2725" spans="17:17" x14ac:dyDescent="0.15">
      <c r="Q2725" s="2"/>
    </row>
    <row r="2726" spans="17:17" x14ac:dyDescent="0.15">
      <c r="Q2726" s="2"/>
    </row>
    <row r="2727" spans="17:17" x14ac:dyDescent="0.15">
      <c r="Q2727" s="2"/>
    </row>
    <row r="2728" spans="17:17" x14ac:dyDescent="0.15">
      <c r="Q2728" s="2"/>
    </row>
    <row r="2729" spans="17:17" x14ac:dyDescent="0.15">
      <c r="Q2729" s="2"/>
    </row>
    <row r="2730" spans="17:17" x14ac:dyDescent="0.15">
      <c r="Q2730" s="2"/>
    </row>
    <row r="2731" spans="17:17" x14ac:dyDescent="0.15">
      <c r="Q2731" s="2"/>
    </row>
    <row r="2732" spans="17:17" x14ac:dyDescent="0.15">
      <c r="Q2732" s="2"/>
    </row>
    <row r="2733" spans="17:17" x14ac:dyDescent="0.15">
      <c r="Q2733" s="2"/>
    </row>
    <row r="2734" spans="17:17" x14ac:dyDescent="0.15">
      <c r="Q2734" s="2"/>
    </row>
    <row r="2735" spans="17:17" x14ac:dyDescent="0.15">
      <c r="Q2735" s="2"/>
    </row>
    <row r="2736" spans="17:17" x14ac:dyDescent="0.15">
      <c r="Q2736" s="2"/>
    </row>
    <row r="2737" spans="17:17" x14ac:dyDescent="0.15">
      <c r="Q2737" s="2"/>
    </row>
    <row r="2738" spans="17:17" x14ac:dyDescent="0.15">
      <c r="Q2738" s="2"/>
    </row>
    <row r="2739" spans="17:17" x14ac:dyDescent="0.15">
      <c r="Q2739" s="2"/>
    </row>
    <row r="2740" spans="17:17" x14ac:dyDescent="0.15">
      <c r="Q2740" s="2"/>
    </row>
    <row r="2741" spans="17:17" x14ac:dyDescent="0.15">
      <c r="Q2741" s="2"/>
    </row>
    <row r="2742" spans="17:17" x14ac:dyDescent="0.15">
      <c r="Q2742" s="2"/>
    </row>
    <row r="2743" spans="17:17" x14ac:dyDescent="0.15">
      <c r="Q2743" s="2"/>
    </row>
    <row r="2744" spans="17:17" x14ac:dyDescent="0.15">
      <c r="Q2744" s="2"/>
    </row>
    <row r="2745" spans="17:17" x14ac:dyDescent="0.15">
      <c r="Q2745" s="2"/>
    </row>
    <row r="2746" spans="17:17" x14ac:dyDescent="0.15">
      <c r="Q2746" s="2"/>
    </row>
    <row r="2747" spans="17:17" x14ac:dyDescent="0.15">
      <c r="Q2747" s="2"/>
    </row>
    <row r="2748" spans="17:17" x14ac:dyDescent="0.15">
      <c r="Q2748" s="2"/>
    </row>
    <row r="2749" spans="17:17" x14ac:dyDescent="0.15">
      <c r="Q2749" s="2"/>
    </row>
    <row r="2750" spans="17:17" x14ac:dyDescent="0.15">
      <c r="Q2750" s="2"/>
    </row>
    <row r="2751" spans="17:17" x14ac:dyDescent="0.15">
      <c r="Q2751" s="2"/>
    </row>
    <row r="2752" spans="17:17" x14ac:dyDescent="0.15">
      <c r="Q2752" s="2"/>
    </row>
    <row r="2753" spans="17:17" x14ac:dyDescent="0.15">
      <c r="Q2753" s="2"/>
    </row>
    <row r="2754" spans="17:17" x14ac:dyDescent="0.15">
      <c r="Q2754" s="2"/>
    </row>
    <row r="2755" spans="17:17" x14ac:dyDescent="0.15">
      <c r="Q2755" s="2"/>
    </row>
    <row r="2756" spans="17:17" x14ac:dyDescent="0.15">
      <c r="Q2756" s="2"/>
    </row>
    <row r="2757" spans="17:17" x14ac:dyDescent="0.15">
      <c r="Q2757" s="2"/>
    </row>
    <row r="2758" spans="17:17" x14ac:dyDescent="0.15">
      <c r="Q2758" s="2"/>
    </row>
    <row r="2759" spans="17:17" x14ac:dyDescent="0.15">
      <c r="Q2759" s="2"/>
    </row>
    <row r="2760" spans="17:17" x14ac:dyDescent="0.15">
      <c r="Q2760" s="2"/>
    </row>
    <row r="2761" spans="17:17" x14ac:dyDescent="0.15">
      <c r="Q2761" s="2"/>
    </row>
    <row r="2762" spans="17:17" x14ac:dyDescent="0.15">
      <c r="Q2762" s="2"/>
    </row>
    <row r="2763" spans="17:17" x14ac:dyDescent="0.15">
      <c r="Q2763" s="2"/>
    </row>
    <row r="2764" spans="17:17" x14ac:dyDescent="0.15">
      <c r="Q2764" s="2"/>
    </row>
    <row r="2765" spans="17:17" x14ac:dyDescent="0.15">
      <c r="Q2765" s="2"/>
    </row>
    <row r="2766" spans="17:17" x14ac:dyDescent="0.15">
      <c r="Q2766" s="2"/>
    </row>
    <row r="2767" spans="17:17" x14ac:dyDescent="0.15">
      <c r="Q2767" s="2"/>
    </row>
    <row r="2768" spans="17:17" x14ac:dyDescent="0.15">
      <c r="Q2768" s="2"/>
    </row>
    <row r="2769" spans="17:17" x14ac:dyDescent="0.15">
      <c r="Q2769" s="2"/>
    </row>
    <row r="2770" spans="17:17" x14ac:dyDescent="0.15">
      <c r="Q2770" s="2"/>
    </row>
    <row r="2771" spans="17:17" x14ac:dyDescent="0.15">
      <c r="Q2771" s="2"/>
    </row>
    <row r="2772" spans="17:17" x14ac:dyDescent="0.15">
      <c r="Q2772" s="2"/>
    </row>
    <row r="2773" spans="17:17" x14ac:dyDescent="0.15">
      <c r="Q2773" s="2"/>
    </row>
    <row r="2774" spans="17:17" x14ac:dyDescent="0.15">
      <c r="Q2774" s="2"/>
    </row>
    <row r="2775" spans="17:17" x14ac:dyDescent="0.15">
      <c r="Q2775" s="2"/>
    </row>
    <row r="2776" spans="17:17" x14ac:dyDescent="0.15">
      <c r="Q2776" s="2"/>
    </row>
    <row r="2777" spans="17:17" x14ac:dyDescent="0.15">
      <c r="Q2777" s="2"/>
    </row>
    <row r="2778" spans="17:17" x14ac:dyDescent="0.15">
      <c r="Q2778" s="2"/>
    </row>
    <row r="2779" spans="17:17" x14ac:dyDescent="0.15">
      <c r="Q2779" s="2"/>
    </row>
    <row r="2780" spans="17:17" x14ac:dyDescent="0.15">
      <c r="Q2780" s="2"/>
    </row>
    <row r="2781" spans="17:17" x14ac:dyDescent="0.15">
      <c r="Q2781" s="2"/>
    </row>
    <row r="2782" spans="17:17" x14ac:dyDescent="0.15">
      <c r="Q2782" s="2"/>
    </row>
    <row r="2783" spans="17:17" x14ac:dyDescent="0.15">
      <c r="Q2783" s="2"/>
    </row>
    <row r="2784" spans="17:17" x14ac:dyDescent="0.15">
      <c r="Q2784" s="2"/>
    </row>
    <row r="2785" spans="17:17" x14ac:dyDescent="0.15">
      <c r="Q2785" s="2"/>
    </row>
    <row r="2786" spans="17:17" x14ac:dyDescent="0.15">
      <c r="Q2786" s="2"/>
    </row>
    <row r="2787" spans="17:17" x14ac:dyDescent="0.15">
      <c r="Q2787" s="2"/>
    </row>
    <row r="2788" spans="17:17" x14ac:dyDescent="0.15">
      <c r="Q2788" s="2"/>
    </row>
    <row r="2789" spans="17:17" x14ac:dyDescent="0.15">
      <c r="Q2789" s="2"/>
    </row>
    <row r="2790" spans="17:17" x14ac:dyDescent="0.15">
      <c r="Q2790" s="2"/>
    </row>
    <row r="2791" spans="17:17" x14ac:dyDescent="0.15">
      <c r="Q2791" s="2"/>
    </row>
    <row r="2792" spans="17:17" x14ac:dyDescent="0.15">
      <c r="Q2792" s="2"/>
    </row>
    <row r="2793" spans="17:17" x14ac:dyDescent="0.15">
      <c r="Q2793" s="2"/>
    </row>
    <row r="2794" spans="17:17" x14ac:dyDescent="0.15">
      <c r="Q2794" s="2"/>
    </row>
    <row r="2795" spans="17:17" x14ac:dyDescent="0.15">
      <c r="Q2795" s="2"/>
    </row>
    <row r="2796" spans="17:17" x14ac:dyDescent="0.15">
      <c r="Q2796" s="2"/>
    </row>
    <row r="2797" spans="17:17" x14ac:dyDescent="0.15">
      <c r="Q2797" s="2"/>
    </row>
    <row r="2798" spans="17:17" x14ac:dyDescent="0.15">
      <c r="Q2798" s="2"/>
    </row>
    <row r="2799" spans="17:17" x14ac:dyDescent="0.15">
      <c r="Q2799" s="2"/>
    </row>
    <row r="2800" spans="17:17" x14ac:dyDescent="0.15">
      <c r="Q2800" s="2"/>
    </row>
    <row r="2801" spans="17:17" x14ac:dyDescent="0.15">
      <c r="Q2801" s="2"/>
    </row>
    <row r="2802" spans="17:17" x14ac:dyDescent="0.15">
      <c r="Q2802" s="2"/>
    </row>
    <row r="2803" spans="17:17" x14ac:dyDescent="0.15">
      <c r="Q2803" s="2"/>
    </row>
    <row r="2804" spans="17:17" x14ac:dyDescent="0.15">
      <c r="Q2804" s="2"/>
    </row>
    <row r="2805" spans="17:17" x14ac:dyDescent="0.15">
      <c r="Q2805" s="2"/>
    </row>
    <row r="2806" spans="17:17" x14ac:dyDescent="0.15">
      <c r="Q2806" s="2"/>
    </row>
    <row r="2807" spans="17:17" x14ac:dyDescent="0.15">
      <c r="Q2807" s="2"/>
    </row>
    <row r="2808" spans="17:17" x14ac:dyDescent="0.15">
      <c r="Q2808" s="2"/>
    </row>
    <row r="2809" spans="17:17" x14ac:dyDescent="0.15">
      <c r="Q2809" s="2"/>
    </row>
    <row r="2810" spans="17:17" x14ac:dyDescent="0.15">
      <c r="Q2810" s="2"/>
    </row>
    <row r="2811" spans="17:17" x14ac:dyDescent="0.15">
      <c r="Q2811" s="2"/>
    </row>
    <row r="2812" spans="17:17" x14ac:dyDescent="0.15">
      <c r="Q2812" s="2"/>
    </row>
    <row r="2813" spans="17:17" x14ac:dyDescent="0.15">
      <c r="Q2813" s="2"/>
    </row>
    <row r="2814" spans="17:17" x14ac:dyDescent="0.15">
      <c r="Q2814" s="2"/>
    </row>
    <row r="2815" spans="17:17" x14ac:dyDescent="0.15">
      <c r="Q2815" s="2"/>
    </row>
    <row r="2816" spans="17:17" x14ac:dyDescent="0.15">
      <c r="Q2816" s="2"/>
    </row>
    <row r="2817" spans="17:17" x14ac:dyDescent="0.15">
      <c r="Q2817" s="2"/>
    </row>
    <row r="2818" spans="17:17" x14ac:dyDescent="0.15">
      <c r="Q2818" s="2"/>
    </row>
    <row r="2819" spans="17:17" x14ac:dyDescent="0.15">
      <c r="Q2819" s="2"/>
    </row>
    <row r="2820" spans="17:17" x14ac:dyDescent="0.15">
      <c r="Q2820" s="2"/>
    </row>
    <row r="2821" spans="17:17" x14ac:dyDescent="0.15">
      <c r="Q2821" s="2"/>
    </row>
    <row r="2822" spans="17:17" x14ac:dyDescent="0.15">
      <c r="Q2822" s="2"/>
    </row>
    <row r="2823" spans="17:17" x14ac:dyDescent="0.15">
      <c r="Q2823" s="2"/>
    </row>
    <row r="2824" spans="17:17" x14ac:dyDescent="0.15">
      <c r="Q2824" s="2"/>
    </row>
    <row r="2825" spans="17:17" x14ac:dyDescent="0.15">
      <c r="Q2825" s="2"/>
    </row>
    <row r="2826" spans="17:17" x14ac:dyDescent="0.15">
      <c r="Q2826" s="2"/>
    </row>
    <row r="2827" spans="17:17" x14ac:dyDescent="0.15">
      <c r="Q2827" s="2"/>
    </row>
    <row r="2828" spans="17:17" x14ac:dyDescent="0.15">
      <c r="Q2828" s="2"/>
    </row>
    <row r="2829" spans="17:17" x14ac:dyDescent="0.15">
      <c r="Q2829" s="2"/>
    </row>
    <row r="2830" spans="17:17" x14ac:dyDescent="0.15">
      <c r="Q2830" s="2"/>
    </row>
    <row r="2831" spans="17:17" x14ac:dyDescent="0.15">
      <c r="Q2831" s="2"/>
    </row>
    <row r="2832" spans="17:17" x14ac:dyDescent="0.15">
      <c r="Q2832" s="2"/>
    </row>
    <row r="2833" spans="17:17" x14ac:dyDescent="0.15">
      <c r="Q2833" s="2"/>
    </row>
    <row r="2834" spans="17:17" x14ac:dyDescent="0.15">
      <c r="Q2834" s="2"/>
    </row>
    <row r="2835" spans="17:17" x14ac:dyDescent="0.15">
      <c r="Q2835" s="2"/>
    </row>
    <row r="2836" spans="17:17" x14ac:dyDescent="0.15">
      <c r="Q2836" s="2"/>
    </row>
    <row r="2837" spans="17:17" x14ac:dyDescent="0.15">
      <c r="Q2837" s="2"/>
    </row>
    <row r="2838" spans="17:17" x14ac:dyDescent="0.15">
      <c r="Q2838" s="2"/>
    </row>
    <row r="2839" spans="17:17" x14ac:dyDescent="0.15">
      <c r="Q2839" s="2"/>
    </row>
    <row r="2840" spans="17:17" x14ac:dyDescent="0.15">
      <c r="Q2840" s="2"/>
    </row>
    <row r="2841" spans="17:17" x14ac:dyDescent="0.15">
      <c r="Q2841" s="2"/>
    </row>
    <row r="2842" spans="17:17" x14ac:dyDescent="0.15">
      <c r="Q2842" s="2"/>
    </row>
    <row r="2843" spans="17:17" x14ac:dyDescent="0.15">
      <c r="Q2843" s="2"/>
    </row>
    <row r="2844" spans="17:17" x14ac:dyDescent="0.15">
      <c r="Q2844" s="2"/>
    </row>
    <row r="2845" spans="17:17" x14ac:dyDescent="0.15">
      <c r="Q2845" s="2"/>
    </row>
    <row r="2846" spans="17:17" x14ac:dyDescent="0.15">
      <c r="Q2846" s="2"/>
    </row>
    <row r="2847" spans="17:17" x14ac:dyDescent="0.15">
      <c r="Q2847" s="2"/>
    </row>
    <row r="2848" spans="17:17" x14ac:dyDescent="0.15">
      <c r="Q2848" s="2"/>
    </row>
    <row r="2849" spans="17:17" x14ac:dyDescent="0.15">
      <c r="Q2849" s="2"/>
    </row>
    <row r="2850" spans="17:17" x14ac:dyDescent="0.15">
      <c r="Q2850" s="2"/>
    </row>
    <row r="2851" spans="17:17" x14ac:dyDescent="0.15">
      <c r="Q2851" s="2"/>
    </row>
    <row r="2852" spans="17:17" x14ac:dyDescent="0.15">
      <c r="Q2852" s="2"/>
    </row>
    <row r="2853" spans="17:17" x14ac:dyDescent="0.15">
      <c r="Q2853" s="2"/>
    </row>
    <row r="2854" spans="17:17" x14ac:dyDescent="0.15">
      <c r="Q2854" s="2"/>
    </row>
    <row r="2855" spans="17:17" x14ac:dyDescent="0.15">
      <c r="Q2855" s="2"/>
    </row>
    <row r="2856" spans="17:17" x14ac:dyDescent="0.15">
      <c r="Q2856" s="2"/>
    </row>
    <row r="2857" spans="17:17" x14ac:dyDescent="0.15">
      <c r="Q2857" s="2"/>
    </row>
    <row r="2858" spans="17:17" x14ac:dyDescent="0.15">
      <c r="Q2858" s="2"/>
    </row>
    <row r="2859" spans="17:17" x14ac:dyDescent="0.15">
      <c r="Q2859" s="2"/>
    </row>
    <row r="2860" spans="17:17" x14ac:dyDescent="0.15">
      <c r="Q2860" s="2"/>
    </row>
    <row r="2861" spans="17:17" x14ac:dyDescent="0.15">
      <c r="Q2861" s="2"/>
    </row>
    <row r="2862" spans="17:17" x14ac:dyDescent="0.15">
      <c r="Q2862" s="2"/>
    </row>
    <row r="2863" spans="17:17" x14ac:dyDescent="0.15">
      <c r="Q2863" s="2"/>
    </row>
    <row r="2864" spans="17:17" x14ac:dyDescent="0.15">
      <c r="Q2864" s="2"/>
    </row>
    <row r="2865" spans="17:17" x14ac:dyDescent="0.15">
      <c r="Q2865" s="2"/>
    </row>
    <row r="2866" spans="17:17" x14ac:dyDescent="0.15">
      <c r="Q2866" s="2"/>
    </row>
    <row r="2867" spans="17:17" x14ac:dyDescent="0.15">
      <c r="Q2867" s="2"/>
    </row>
    <row r="2868" spans="17:17" x14ac:dyDescent="0.15">
      <c r="Q2868" s="2"/>
    </row>
    <row r="2869" spans="17:17" x14ac:dyDescent="0.15">
      <c r="Q2869" s="2"/>
    </row>
    <row r="2870" spans="17:17" x14ac:dyDescent="0.15">
      <c r="Q2870" s="2"/>
    </row>
    <row r="2871" spans="17:17" x14ac:dyDescent="0.15">
      <c r="Q2871" s="2"/>
    </row>
    <row r="2872" spans="17:17" x14ac:dyDescent="0.15">
      <c r="Q2872" s="2"/>
    </row>
    <row r="2873" spans="17:17" x14ac:dyDescent="0.15">
      <c r="Q2873" s="2"/>
    </row>
    <row r="2874" spans="17:17" x14ac:dyDescent="0.15">
      <c r="Q2874" s="2"/>
    </row>
    <row r="2875" spans="17:17" x14ac:dyDescent="0.15">
      <c r="Q2875" s="2"/>
    </row>
    <row r="2876" spans="17:17" x14ac:dyDescent="0.15">
      <c r="Q2876" s="2"/>
    </row>
    <row r="2877" spans="17:17" x14ac:dyDescent="0.15">
      <c r="Q2877" s="2"/>
    </row>
    <row r="2878" spans="17:17" x14ac:dyDescent="0.15">
      <c r="Q2878" s="2"/>
    </row>
    <row r="2879" spans="17:17" x14ac:dyDescent="0.15">
      <c r="Q2879" s="2"/>
    </row>
    <row r="2880" spans="17:17" x14ac:dyDescent="0.15">
      <c r="Q2880" s="2"/>
    </row>
    <row r="2881" spans="17:17" x14ac:dyDescent="0.15">
      <c r="Q2881" s="2"/>
    </row>
    <row r="2882" spans="17:17" x14ac:dyDescent="0.15">
      <c r="Q2882" s="2"/>
    </row>
    <row r="2883" spans="17:17" x14ac:dyDescent="0.15">
      <c r="Q2883" s="2"/>
    </row>
    <row r="2884" spans="17:17" x14ac:dyDescent="0.15">
      <c r="Q2884" s="2"/>
    </row>
    <row r="2885" spans="17:17" x14ac:dyDescent="0.15">
      <c r="Q2885" s="2"/>
    </row>
    <row r="2886" spans="17:17" x14ac:dyDescent="0.15">
      <c r="Q2886" s="2"/>
    </row>
    <row r="2887" spans="17:17" x14ac:dyDescent="0.15">
      <c r="Q2887" s="2"/>
    </row>
    <row r="2888" spans="17:17" x14ac:dyDescent="0.15">
      <c r="Q2888" s="2"/>
    </row>
    <row r="2889" spans="17:17" x14ac:dyDescent="0.15">
      <c r="Q2889" s="2"/>
    </row>
    <row r="2890" spans="17:17" x14ac:dyDescent="0.15">
      <c r="Q2890" s="2"/>
    </row>
    <row r="2891" spans="17:17" x14ac:dyDescent="0.15">
      <c r="Q2891" s="2"/>
    </row>
    <row r="2892" spans="17:17" x14ac:dyDescent="0.15">
      <c r="Q2892" s="2"/>
    </row>
    <row r="2893" spans="17:17" x14ac:dyDescent="0.15">
      <c r="Q2893" s="2"/>
    </row>
    <row r="2894" spans="17:17" x14ac:dyDescent="0.15">
      <c r="Q2894" s="2"/>
    </row>
    <row r="2895" spans="17:17" x14ac:dyDescent="0.15">
      <c r="Q2895" s="2"/>
    </row>
    <row r="2896" spans="17:17" x14ac:dyDescent="0.15">
      <c r="Q2896" s="2"/>
    </row>
    <row r="2897" spans="17:17" x14ac:dyDescent="0.15">
      <c r="Q2897" s="2"/>
    </row>
    <row r="2898" spans="17:17" x14ac:dyDescent="0.15">
      <c r="Q2898" s="2"/>
    </row>
    <row r="2899" spans="17:17" x14ac:dyDescent="0.15">
      <c r="Q2899" s="2"/>
    </row>
    <row r="2900" spans="17:17" x14ac:dyDescent="0.15">
      <c r="Q2900" s="2"/>
    </row>
    <row r="2901" spans="17:17" x14ac:dyDescent="0.15">
      <c r="Q2901" s="2"/>
    </row>
    <row r="2902" spans="17:17" x14ac:dyDescent="0.15">
      <c r="Q2902" s="2"/>
    </row>
    <row r="2903" spans="17:17" x14ac:dyDescent="0.15">
      <c r="Q2903" s="2"/>
    </row>
    <row r="2904" spans="17:17" x14ac:dyDescent="0.15">
      <c r="Q2904" s="2"/>
    </row>
    <row r="2905" spans="17:17" x14ac:dyDescent="0.15">
      <c r="Q2905" s="2"/>
    </row>
    <row r="2906" spans="17:17" x14ac:dyDescent="0.15">
      <c r="Q2906" s="2"/>
    </row>
    <row r="2907" spans="17:17" x14ac:dyDescent="0.15">
      <c r="Q2907" s="2"/>
    </row>
    <row r="2908" spans="17:17" x14ac:dyDescent="0.15">
      <c r="Q2908" s="2"/>
    </row>
    <row r="2909" spans="17:17" x14ac:dyDescent="0.15">
      <c r="Q2909" s="2"/>
    </row>
    <row r="2910" spans="17:17" x14ac:dyDescent="0.15">
      <c r="Q2910" s="2"/>
    </row>
    <row r="2911" spans="17:17" x14ac:dyDescent="0.15">
      <c r="Q2911" s="2"/>
    </row>
    <row r="2912" spans="17:17" x14ac:dyDescent="0.15">
      <c r="Q2912" s="2"/>
    </row>
    <row r="2913" spans="17:17" x14ac:dyDescent="0.15">
      <c r="Q2913" s="2"/>
    </row>
    <row r="2914" spans="17:17" x14ac:dyDescent="0.15">
      <c r="Q2914" s="2"/>
    </row>
    <row r="2915" spans="17:17" x14ac:dyDescent="0.15">
      <c r="Q2915" s="2"/>
    </row>
    <row r="2916" spans="17:17" x14ac:dyDescent="0.15">
      <c r="Q2916" s="2"/>
    </row>
    <row r="2917" spans="17:17" x14ac:dyDescent="0.15">
      <c r="Q2917" s="2"/>
    </row>
    <row r="2918" spans="17:17" x14ac:dyDescent="0.15">
      <c r="Q2918" s="2"/>
    </row>
    <row r="2919" spans="17:17" x14ac:dyDescent="0.15">
      <c r="Q2919" s="2"/>
    </row>
    <row r="2920" spans="17:17" x14ac:dyDescent="0.15">
      <c r="Q2920" s="2"/>
    </row>
    <row r="2921" spans="17:17" x14ac:dyDescent="0.15">
      <c r="Q2921" s="2"/>
    </row>
    <row r="2922" spans="17:17" x14ac:dyDescent="0.15">
      <c r="Q2922" s="2"/>
    </row>
    <row r="2923" spans="17:17" x14ac:dyDescent="0.15">
      <c r="Q2923" s="2"/>
    </row>
    <row r="2924" spans="17:17" x14ac:dyDescent="0.15">
      <c r="Q2924" s="2"/>
    </row>
    <row r="2925" spans="17:17" x14ac:dyDescent="0.15">
      <c r="Q2925" s="2"/>
    </row>
    <row r="2926" spans="17:17" x14ac:dyDescent="0.15">
      <c r="Q2926" s="2"/>
    </row>
    <row r="2927" spans="17:17" x14ac:dyDescent="0.15">
      <c r="Q2927" s="2"/>
    </row>
    <row r="2928" spans="17:17" x14ac:dyDescent="0.15">
      <c r="Q2928" s="2"/>
    </row>
    <row r="2929" spans="17:17" x14ac:dyDescent="0.15">
      <c r="Q2929" s="2"/>
    </row>
    <row r="2930" spans="17:17" x14ac:dyDescent="0.15">
      <c r="Q2930" s="2"/>
    </row>
    <row r="2931" spans="17:17" x14ac:dyDescent="0.15">
      <c r="Q2931" s="2"/>
    </row>
    <row r="2932" spans="17:17" x14ac:dyDescent="0.15">
      <c r="Q2932" s="2"/>
    </row>
    <row r="2933" spans="17:17" x14ac:dyDescent="0.15">
      <c r="Q2933" s="2"/>
    </row>
    <row r="2934" spans="17:17" x14ac:dyDescent="0.15">
      <c r="Q2934" s="2"/>
    </row>
    <row r="2935" spans="17:17" x14ac:dyDescent="0.15">
      <c r="Q2935" s="2"/>
    </row>
    <row r="2936" spans="17:17" x14ac:dyDescent="0.15">
      <c r="Q2936" s="2"/>
    </row>
    <row r="2937" spans="17:17" x14ac:dyDescent="0.15">
      <c r="Q2937" s="2"/>
    </row>
    <row r="2938" spans="17:17" x14ac:dyDescent="0.15">
      <c r="Q2938" s="2"/>
    </row>
    <row r="2939" spans="17:17" x14ac:dyDescent="0.15">
      <c r="Q2939" s="2"/>
    </row>
    <row r="2940" spans="17:17" x14ac:dyDescent="0.15">
      <c r="Q2940" s="2"/>
    </row>
    <row r="2941" spans="17:17" x14ac:dyDescent="0.15">
      <c r="Q2941" s="2"/>
    </row>
    <row r="2942" spans="17:17" x14ac:dyDescent="0.15">
      <c r="Q2942" s="2"/>
    </row>
    <row r="2943" spans="17:17" x14ac:dyDescent="0.15">
      <c r="Q2943" s="2"/>
    </row>
    <row r="2944" spans="17:17" x14ac:dyDescent="0.15">
      <c r="Q2944" s="2"/>
    </row>
    <row r="2945" spans="17:17" x14ac:dyDescent="0.15">
      <c r="Q2945" s="2"/>
    </row>
    <row r="2946" spans="17:17" x14ac:dyDescent="0.15">
      <c r="Q2946" s="2"/>
    </row>
    <row r="2947" spans="17:17" x14ac:dyDescent="0.15">
      <c r="Q2947" s="2"/>
    </row>
    <row r="2948" spans="17:17" x14ac:dyDescent="0.15">
      <c r="Q2948" s="2"/>
    </row>
    <row r="2949" spans="17:17" x14ac:dyDescent="0.15">
      <c r="Q2949" s="2"/>
    </row>
    <row r="2950" spans="17:17" x14ac:dyDescent="0.15">
      <c r="Q2950" s="2"/>
    </row>
    <row r="2951" spans="17:17" x14ac:dyDescent="0.15">
      <c r="Q2951" s="2"/>
    </row>
    <row r="2952" spans="17:17" x14ac:dyDescent="0.15">
      <c r="Q2952" s="2"/>
    </row>
    <row r="2953" spans="17:17" x14ac:dyDescent="0.15">
      <c r="Q2953" s="2"/>
    </row>
    <row r="2954" spans="17:17" x14ac:dyDescent="0.15">
      <c r="Q2954" s="2"/>
    </row>
    <row r="2955" spans="17:17" x14ac:dyDescent="0.15">
      <c r="Q2955" s="2"/>
    </row>
    <row r="2956" spans="17:17" x14ac:dyDescent="0.15">
      <c r="Q2956" s="2"/>
    </row>
    <row r="2957" spans="17:17" x14ac:dyDescent="0.15">
      <c r="Q2957" s="2"/>
    </row>
    <row r="2958" spans="17:17" x14ac:dyDescent="0.15">
      <c r="Q2958" s="2"/>
    </row>
    <row r="2959" spans="17:17" x14ac:dyDescent="0.15">
      <c r="Q2959" s="2"/>
    </row>
    <row r="2960" spans="17:17" x14ac:dyDescent="0.15">
      <c r="Q2960" s="2"/>
    </row>
    <row r="2961" spans="17:17" x14ac:dyDescent="0.15">
      <c r="Q2961" s="2"/>
    </row>
    <row r="2962" spans="17:17" x14ac:dyDescent="0.15">
      <c r="Q2962" s="2"/>
    </row>
    <row r="2963" spans="17:17" x14ac:dyDescent="0.15">
      <c r="Q2963" s="2"/>
    </row>
    <row r="2964" spans="17:17" x14ac:dyDescent="0.15">
      <c r="Q2964" s="2"/>
    </row>
    <row r="2965" spans="17:17" x14ac:dyDescent="0.15">
      <c r="Q2965" s="2"/>
    </row>
    <row r="2966" spans="17:17" x14ac:dyDescent="0.15">
      <c r="Q2966" s="2"/>
    </row>
    <row r="2967" spans="17:17" x14ac:dyDescent="0.15">
      <c r="Q2967" s="2"/>
    </row>
    <row r="2968" spans="17:17" x14ac:dyDescent="0.15">
      <c r="Q2968" s="2"/>
    </row>
    <row r="2969" spans="17:17" x14ac:dyDescent="0.15">
      <c r="Q2969" s="2"/>
    </row>
    <row r="2970" spans="17:17" x14ac:dyDescent="0.15">
      <c r="Q2970" s="2"/>
    </row>
    <row r="2971" spans="17:17" x14ac:dyDescent="0.15">
      <c r="Q2971" s="2"/>
    </row>
    <row r="2972" spans="17:17" x14ac:dyDescent="0.15">
      <c r="Q2972" s="2"/>
    </row>
    <row r="2973" spans="17:17" x14ac:dyDescent="0.15">
      <c r="Q2973" s="2"/>
    </row>
    <row r="2974" spans="17:17" x14ac:dyDescent="0.15">
      <c r="Q2974" s="2"/>
    </row>
    <row r="2975" spans="17:17" x14ac:dyDescent="0.15">
      <c r="Q2975" s="2"/>
    </row>
    <row r="2976" spans="17:17" x14ac:dyDescent="0.15">
      <c r="Q2976" s="2"/>
    </row>
    <row r="2977" spans="17:17" x14ac:dyDescent="0.15">
      <c r="Q2977" s="2"/>
    </row>
    <row r="2978" spans="17:17" x14ac:dyDescent="0.15">
      <c r="Q2978" s="2"/>
    </row>
    <row r="2979" spans="17:17" x14ac:dyDescent="0.15">
      <c r="Q2979" s="2"/>
    </row>
    <row r="2980" spans="17:17" x14ac:dyDescent="0.15">
      <c r="Q2980" s="2"/>
    </row>
    <row r="2981" spans="17:17" x14ac:dyDescent="0.15">
      <c r="Q2981" s="2"/>
    </row>
    <row r="2982" spans="17:17" x14ac:dyDescent="0.15">
      <c r="Q2982" s="2"/>
    </row>
    <row r="2983" spans="17:17" x14ac:dyDescent="0.15">
      <c r="Q2983" s="2"/>
    </row>
    <row r="2984" spans="17:17" x14ac:dyDescent="0.15">
      <c r="Q2984" s="2"/>
    </row>
    <row r="2985" spans="17:17" x14ac:dyDescent="0.15">
      <c r="Q2985" s="2"/>
    </row>
    <row r="2986" spans="17:17" x14ac:dyDescent="0.15">
      <c r="Q2986" s="2"/>
    </row>
    <row r="2987" spans="17:17" x14ac:dyDescent="0.15">
      <c r="Q2987" s="2"/>
    </row>
    <row r="2988" spans="17:17" x14ac:dyDescent="0.15">
      <c r="Q2988" s="2"/>
    </row>
    <row r="2989" spans="17:17" x14ac:dyDescent="0.15">
      <c r="Q2989" s="2"/>
    </row>
    <row r="2990" spans="17:17" x14ac:dyDescent="0.15">
      <c r="Q2990" s="2"/>
    </row>
    <row r="2991" spans="17:17" x14ac:dyDescent="0.15">
      <c r="Q2991" s="2"/>
    </row>
    <row r="2992" spans="17:17" x14ac:dyDescent="0.15">
      <c r="Q2992" s="2"/>
    </row>
    <row r="2993" spans="17:17" x14ac:dyDescent="0.15">
      <c r="Q2993" s="2"/>
    </row>
    <row r="2994" spans="17:17" x14ac:dyDescent="0.15">
      <c r="Q2994" s="2"/>
    </row>
    <row r="2995" spans="17:17" x14ac:dyDescent="0.15">
      <c r="Q2995" s="2"/>
    </row>
    <row r="2996" spans="17:17" x14ac:dyDescent="0.15">
      <c r="Q2996" s="2"/>
    </row>
    <row r="2997" spans="17:17" x14ac:dyDescent="0.15">
      <c r="Q2997" s="2"/>
    </row>
    <row r="2998" spans="17:17" x14ac:dyDescent="0.15">
      <c r="Q2998" s="2"/>
    </row>
    <row r="2999" spans="17:17" x14ac:dyDescent="0.15">
      <c r="Q2999" s="2"/>
    </row>
    <row r="3000" spans="17:17" x14ac:dyDescent="0.15">
      <c r="Q3000" s="2"/>
    </row>
    <row r="3001" spans="17:17" x14ac:dyDescent="0.15">
      <c r="Q3001" s="2"/>
    </row>
    <row r="3002" spans="17:17" x14ac:dyDescent="0.15">
      <c r="Q3002" s="2"/>
    </row>
    <row r="3003" spans="17:17" x14ac:dyDescent="0.15">
      <c r="Q3003" s="2"/>
    </row>
    <row r="3004" spans="17:17" x14ac:dyDescent="0.15">
      <c r="Q3004" s="2"/>
    </row>
    <row r="3005" spans="17:17" x14ac:dyDescent="0.15">
      <c r="Q3005" s="2"/>
    </row>
    <row r="3006" spans="17:17" x14ac:dyDescent="0.15">
      <c r="Q3006" s="2"/>
    </row>
    <row r="3007" spans="17:17" x14ac:dyDescent="0.15">
      <c r="Q3007" s="2"/>
    </row>
    <row r="3008" spans="17:17" x14ac:dyDescent="0.15">
      <c r="Q3008" s="2"/>
    </row>
    <row r="3009" spans="17:17" x14ac:dyDescent="0.15">
      <c r="Q3009" s="2"/>
    </row>
    <row r="3010" spans="17:17" x14ac:dyDescent="0.15">
      <c r="Q3010" s="2"/>
    </row>
    <row r="3011" spans="17:17" x14ac:dyDescent="0.15">
      <c r="Q3011" s="2"/>
    </row>
    <row r="3012" spans="17:17" x14ac:dyDescent="0.15">
      <c r="Q3012" s="2"/>
    </row>
    <row r="3013" spans="17:17" x14ac:dyDescent="0.15">
      <c r="Q3013" s="2"/>
    </row>
    <row r="3014" spans="17:17" x14ac:dyDescent="0.15">
      <c r="Q3014" s="2"/>
    </row>
    <row r="3015" spans="17:17" x14ac:dyDescent="0.15">
      <c r="Q3015" s="2"/>
    </row>
    <row r="3016" spans="17:17" x14ac:dyDescent="0.15">
      <c r="Q3016" s="2"/>
    </row>
    <row r="3017" spans="17:17" x14ac:dyDescent="0.15">
      <c r="Q3017" s="2"/>
    </row>
    <row r="3018" spans="17:17" x14ac:dyDescent="0.15">
      <c r="Q3018" s="2"/>
    </row>
    <row r="3019" spans="17:17" x14ac:dyDescent="0.15">
      <c r="Q3019" s="2"/>
    </row>
    <row r="3020" spans="17:17" x14ac:dyDescent="0.15">
      <c r="Q3020" s="2"/>
    </row>
    <row r="3021" spans="17:17" x14ac:dyDescent="0.15">
      <c r="Q3021" s="2"/>
    </row>
    <row r="3022" spans="17:17" x14ac:dyDescent="0.15">
      <c r="Q3022" s="2"/>
    </row>
    <row r="3023" spans="17:17" x14ac:dyDescent="0.15">
      <c r="Q3023" s="2"/>
    </row>
    <row r="3024" spans="17:17" x14ac:dyDescent="0.15">
      <c r="Q3024" s="2"/>
    </row>
    <row r="3025" spans="17:17" x14ac:dyDescent="0.15">
      <c r="Q3025" s="2"/>
    </row>
    <row r="3026" spans="17:17" x14ac:dyDescent="0.15">
      <c r="Q3026" s="2"/>
    </row>
    <row r="3027" spans="17:17" x14ac:dyDescent="0.15">
      <c r="Q3027" s="2"/>
    </row>
    <row r="3028" spans="17:17" x14ac:dyDescent="0.15">
      <c r="Q3028" s="2"/>
    </row>
    <row r="3029" spans="17:17" x14ac:dyDescent="0.15">
      <c r="Q3029" s="2"/>
    </row>
    <row r="3030" spans="17:17" x14ac:dyDescent="0.15">
      <c r="Q3030" s="2"/>
    </row>
    <row r="3031" spans="17:17" x14ac:dyDescent="0.15">
      <c r="Q3031" s="2"/>
    </row>
    <row r="3032" spans="17:17" x14ac:dyDescent="0.15">
      <c r="Q3032" s="2"/>
    </row>
    <row r="3033" spans="17:17" x14ac:dyDescent="0.15">
      <c r="Q3033" s="2"/>
    </row>
    <row r="3034" spans="17:17" x14ac:dyDescent="0.15">
      <c r="Q3034" s="2"/>
    </row>
    <row r="3035" spans="17:17" x14ac:dyDescent="0.15">
      <c r="Q3035" s="2"/>
    </row>
    <row r="3036" spans="17:17" x14ac:dyDescent="0.15">
      <c r="Q3036" s="2"/>
    </row>
    <row r="3037" spans="17:17" x14ac:dyDescent="0.15">
      <c r="Q3037" s="2"/>
    </row>
    <row r="3038" spans="17:17" x14ac:dyDescent="0.15">
      <c r="Q3038" s="2"/>
    </row>
    <row r="3039" spans="17:17" x14ac:dyDescent="0.15">
      <c r="Q3039" s="2"/>
    </row>
    <row r="3040" spans="17:17" x14ac:dyDescent="0.15">
      <c r="Q3040" s="2"/>
    </row>
    <row r="3041" spans="17:17" x14ac:dyDescent="0.15">
      <c r="Q3041" s="2"/>
    </row>
    <row r="3042" spans="17:17" x14ac:dyDescent="0.15">
      <c r="Q3042" s="2"/>
    </row>
    <row r="3043" spans="17:17" x14ac:dyDescent="0.15">
      <c r="Q3043" s="2"/>
    </row>
    <row r="3044" spans="17:17" x14ac:dyDescent="0.15">
      <c r="Q3044" s="2"/>
    </row>
    <row r="3045" spans="17:17" x14ac:dyDescent="0.15">
      <c r="Q3045" s="2"/>
    </row>
    <row r="3046" spans="17:17" x14ac:dyDescent="0.15">
      <c r="Q3046" s="2"/>
    </row>
    <row r="3047" spans="17:17" x14ac:dyDescent="0.15">
      <c r="Q3047" s="2"/>
    </row>
    <row r="3048" spans="17:17" x14ac:dyDescent="0.15">
      <c r="Q3048" s="2"/>
    </row>
    <row r="3049" spans="17:17" x14ac:dyDescent="0.15">
      <c r="Q3049" s="2"/>
    </row>
    <row r="3050" spans="17:17" x14ac:dyDescent="0.15">
      <c r="Q3050" s="2"/>
    </row>
    <row r="3051" spans="17:17" x14ac:dyDescent="0.15">
      <c r="Q3051" s="2"/>
    </row>
    <row r="3052" spans="17:17" x14ac:dyDescent="0.15">
      <c r="Q3052" s="2"/>
    </row>
    <row r="3053" spans="17:17" x14ac:dyDescent="0.15">
      <c r="Q3053" s="2"/>
    </row>
    <row r="3054" spans="17:17" x14ac:dyDescent="0.15">
      <c r="Q3054" s="2"/>
    </row>
    <row r="3055" spans="17:17" x14ac:dyDescent="0.15">
      <c r="Q3055" s="2"/>
    </row>
    <row r="3056" spans="17:17" x14ac:dyDescent="0.15">
      <c r="Q3056" s="2"/>
    </row>
    <row r="3057" spans="17:17" x14ac:dyDescent="0.15">
      <c r="Q3057" s="2"/>
    </row>
    <row r="3058" spans="17:17" x14ac:dyDescent="0.15">
      <c r="Q3058" s="2"/>
    </row>
    <row r="3059" spans="17:17" x14ac:dyDescent="0.15">
      <c r="Q3059" s="2"/>
    </row>
    <row r="3060" spans="17:17" x14ac:dyDescent="0.15">
      <c r="Q3060" s="2"/>
    </row>
    <row r="3061" spans="17:17" x14ac:dyDescent="0.15">
      <c r="Q3061" s="2"/>
    </row>
    <row r="3062" spans="17:17" x14ac:dyDescent="0.15">
      <c r="Q3062" s="2"/>
    </row>
    <row r="3063" spans="17:17" x14ac:dyDescent="0.15">
      <c r="Q3063" s="2"/>
    </row>
    <row r="3064" spans="17:17" x14ac:dyDescent="0.15">
      <c r="Q3064" s="2"/>
    </row>
    <row r="3065" spans="17:17" x14ac:dyDescent="0.15">
      <c r="Q3065" s="2"/>
    </row>
    <row r="3066" spans="17:17" x14ac:dyDescent="0.15">
      <c r="Q3066" s="2"/>
    </row>
    <row r="3067" spans="17:17" x14ac:dyDescent="0.15">
      <c r="Q3067" s="2"/>
    </row>
    <row r="3068" spans="17:17" x14ac:dyDescent="0.15">
      <c r="Q3068" s="2"/>
    </row>
    <row r="3069" spans="17:17" x14ac:dyDescent="0.15">
      <c r="Q3069" s="2"/>
    </row>
    <row r="3070" spans="17:17" x14ac:dyDescent="0.15">
      <c r="Q3070" s="2"/>
    </row>
    <row r="3071" spans="17:17" x14ac:dyDescent="0.15">
      <c r="Q3071" s="2"/>
    </row>
    <row r="3072" spans="17:17" x14ac:dyDescent="0.15">
      <c r="Q3072" s="2"/>
    </row>
    <row r="3073" spans="17:17" x14ac:dyDescent="0.15">
      <c r="Q3073" s="2"/>
    </row>
    <row r="3074" spans="17:17" x14ac:dyDescent="0.15">
      <c r="Q3074" s="2"/>
    </row>
    <row r="3075" spans="17:17" x14ac:dyDescent="0.15">
      <c r="Q3075" s="2"/>
    </row>
    <row r="3076" spans="17:17" x14ac:dyDescent="0.15">
      <c r="Q3076" s="2"/>
    </row>
    <row r="3077" spans="17:17" x14ac:dyDescent="0.15">
      <c r="Q3077" s="2"/>
    </row>
    <row r="3078" spans="17:17" x14ac:dyDescent="0.15">
      <c r="Q3078" s="2"/>
    </row>
    <row r="3079" spans="17:17" x14ac:dyDescent="0.15">
      <c r="Q3079" s="2"/>
    </row>
    <row r="3080" spans="17:17" x14ac:dyDescent="0.15">
      <c r="Q3080" s="2"/>
    </row>
    <row r="3081" spans="17:17" x14ac:dyDescent="0.15">
      <c r="Q3081" s="2"/>
    </row>
    <row r="3082" spans="17:17" x14ac:dyDescent="0.15">
      <c r="Q3082" s="2"/>
    </row>
    <row r="3083" spans="17:17" x14ac:dyDescent="0.15">
      <c r="Q3083" s="2"/>
    </row>
    <row r="3084" spans="17:17" x14ac:dyDescent="0.15">
      <c r="Q3084" s="2"/>
    </row>
    <row r="3085" spans="17:17" x14ac:dyDescent="0.15">
      <c r="Q3085" s="2"/>
    </row>
    <row r="3086" spans="17:17" x14ac:dyDescent="0.15">
      <c r="Q3086" s="2"/>
    </row>
    <row r="3087" spans="17:17" x14ac:dyDescent="0.15">
      <c r="Q3087" s="2"/>
    </row>
    <row r="3088" spans="17:17" x14ac:dyDescent="0.15">
      <c r="Q3088" s="2"/>
    </row>
    <row r="3089" spans="17:17" x14ac:dyDescent="0.15">
      <c r="Q3089" s="2"/>
    </row>
    <row r="3090" spans="17:17" x14ac:dyDescent="0.15">
      <c r="Q3090" s="2"/>
    </row>
    <row r="3091" spans="17:17" x14ac:dyDescent="0.15">
      <c r="Q3091" s="2"/>
    </row>
    <row r="3092" spans="17:17" x14ac:dyDescent="0.15">
      <c r="Q3092" s="2"/>
    </row>
    <row r="3093" spans="17:17" x14ac:dyDescent="0.15">
      <c r="Q3093" s="2"/>
    </row>
    <row r="3094" spans="17:17" x14ac:dyDescent="0.15">
      <c r="Q3094" s="2"/>
    </row>
    <row r="3095" spans="17:17" x14ac:dyDescent="0.15">
      <c r="Q3095" s="2"/>
    </row>
    <row r="3096" spans="17:17" x14ac:dyDescent="0.15">
      <c r="Q3096" s="2"/>
    </row>
    <row r="3097" spans="17:17" x14ac:dyDescent="0.15">
      <c r="Q3097" s="2"/>
    </row>
    <row r="3098" spans="17:17" x14ac:dyDescent="0.15">
      <c r="Q3098" s="2"/>
    </row>
    <row r="3099" spans="17:17" x14ac:dyDescent="0.15">
      <c r="Q3099" s="2"/>
    </row>
    <row r="3100" spans="17:17" x14ac:dyDescent="0.15">
      <c r="Q3100" s="2"/>
    </row>
    <row r="3101" spans="17:17" x14ac:dyDescent="0.15">
      <c r="Q3101" s="2"/>
    </row>
    <row r="3102" spans="17:17" x14ac:dyDescent="0.15">
      <c r="Q3102" s="2"/>
    </row>
    <row r="3103" spans="17:17" x14ac:dyDescent="0.15">
      <c r="Q3103" s="2"/>
    </row>
    <row r="3104" spans="17:17" x14ac:dyDescent="0.15">
      <c r="Q3104" s="2"/>
    </row>
    <row r="3105" spans="17:17" x14ac:dyDescent="0.15">
      <c r="Q3105" s="2"/>
    </row>
    <row r="3106" spans="17:17" x14ac:dyDescent="0.15">
      <c r="Q3106" s="2"/>
    </row>
    <row r="3107" spans="17:17" x14ac:dyDescent="0.15">
      <c r="Q3107" s="2"/>
    </row>
    <row r="3108" spans="17:17" x14ac:dyDescent="0.15">
      <c r="Q3108" s="2"/>
    </row>
    <row r="3109" spans="17:17" x14ac:dyDescent="0.15">
      <c r="Q3109" s="2"/>
    </row>
    <row r="3110" spans="17:17" x14ac:dyDescent="0.15">
      <c r="Q3110" s="2"/>
    </row>
    <row r="3111" spans="17:17" x14ac:dyDescent="0.15">
      <c r="Q3111" s="2"/>
    </row>
    <row r="3112" spans="17:17" x14ac:dyDescent="0.15">
      <c r="Q3112" s="2"/>
    </row>
    <row r="3113" spans="17:17" x14ac:dyDescent="0.15">
      <c r="Q3113" s="2"/>
    </row>
    <row r="3114" spans="17:17" x14ac:dyDescent="0.15">
      <c r="Q3114" s="2"/>
    </row>
    <row r="3115" spans="17:17" x14ac:dyDescent="0.15">
      <c r="Q3115" s="2"/>
    </row>
    <row r="3116" spans="17:17" x14ac:dyDescent="0.15">
      <c r="Q3116" s="2"/>
    </row>
    <row r="3117" spans="17:17" x14ac:dyDescent="0.15">
      <c r="Q3117" s="2"/>
    </row>
    <row r="3118" spans="17:17" x14ac:dyDescent="0.15">
      <c r="Q3118" s="2"/>
    </row>
    <row r="3119" spans="17:17" x14ac:dyDescent="0.15">
      <c r="Q3119" s="2"/>
    </row>
    <row r="3120" spans="17:17" x14ac:dyDescent="0.15">
      <c r="Q3120" s="2"/>
    </row>
    <row r="3121" spans="17:17" x14ac:dyDescent="0.15">
      <c r="Q3121" s="2"/>
    </row>
    <row r="3122" spans="17:17" x14ac:dyDescent="0.15">
      <c r="Q3122" s="2"/>
    </row>
    <row r="3123" spans="17:17" x14ac:dyDescent="0.15">
      <c r="Q3123" s="2"/>
    </row>
    <row r="3124" spans="17:17" x14ac:dyDescent="0.15">
      <c r="Q3124" s="2"/>
    </row>
    <row r="3125" spans="17:17" x14ac:dyDescent="0.15">
      <c r="Q3125" s="2"/>
    </row>
    <row r="3126" spans="17:17" x14ac:dyDescent="0.15">
      <c r="Q3126" s="2"/>
    </row>
    <row r="3127" spans="17:17" x14ac:dyDescent="0.15">
      <c r="Q3127" s="2"/>
    </row>
    <row r="3128" spans="17:17" x14ac:dyDescent="0.15">
      <c r="Q3128" s="2"/>
    </row>
    <row r="3129" spans="17:17" x14ac:dyDescent="0.15">
      <c r="Q3129" s="2"/>
    </row>
    <row r="3130" spans="17:17" x14ac:dyDescent="0.15">
      <c r="Q3130" s="2"/>
    </row>
    <row r="3131" spans="17:17" x14ac:dyDescent="0.15">
      <c r="Q3131" s="2"/>
    </row>
    <row r="3132" spans="17:17" x14ac:dyDescent="0.15">
      <c r="Q3132" s="2"/>
    </row>
    <row r="3133" spans="17:17" x14ac:dyDescent="0.15">
      <c r="Q3133" s="2"/>
    </row>
    <row r="3134" spans="17:17" x14ac:dyDescent="0.15">
      <c r="Q3134" s="2"/>
    </row>
    <row r="3135" spans="17:17" x14ac:dyDescent="0.15">
      <c r="Q3135" s="2"/>
    </row>
    <row r="3136" spans="17:17" x14ac:dyDescent="0.15">
      <c r="Q3136" s="2"/>
    </row>
    <row r="3137" spans="17:17" x14ac:dyDescent="0.15">
      <c r="Q3137" s="2"/>
    </row>
    <row r="3138" spans="17:17" x14ac:dyDescent="0.15">
      <c r="Q3138" s="2"/>
    </row>
    <row r="3139" spans="17:17" x14ac:dyDescent="0.15">
      <c r="Q3139" s="2"/>
    </row>
    <row r="3140" spans="17:17" x14ac:dyDescent="0.15">
      <c r="Q3140" s="2"/>
    </row>
    <row r="3141" spans="17:17" x14ac:dyDescent="0.15">
      <c r="Q3141" s="2"/>
    </row>
    <row r="3142" spans="17:17" x14ac:dyDescent="0.15">
      <c r="Q3142" s="2"/>
    </row>
    <row r="3143" spans="17:17" x14ac:dyDescent="0.15">
      <c r="Q3143" s="2"/>
    </row>
    <row r="3144" spans="17:17" x14ac:dyDescent="0.15">
      <c r="Q3144" s="2"/>
    </row>
    <row r="3145" spans="17:17" x14ac:dyDescent="0.15">
      <c r="Q3145" s="2"/>
    </row>
    <row r="3146" spans="17:17" x14ac:dyDescent="0.15">
      <c r="Q3146" s="2"/>
    </row>
    <row r="3147" spans="17:17" x14ac:dyDescent="0.15">
      <c r="Q3147" s="2"/>
    </row>
    <row r="3148" spans="17:17" x14ac:dyDescent="0.15">
      <c r="Q3148" s="2"/>
    </row>
    <row r="3149" spans="17:17" x14ac:dyDescent="0.15">
      <c r="Q3149" s="2"/>
    </row>
    <row r="3150" spans="17:17" x14ac:dyDescent="0.15">
      <c r="Q3150" s="2"/>
    </row>
    <row r="3151" spans="17:17" x14ac:dyDescent="0.15">
      <c r="Q3151" s="2"/>
    </row>
    <row r="3152" spans="17:17" x14ac:dyDescent="0.15">
      <c r="Q3152" s="2"/>
    </row>
    <row r="3153" spans="17:17" x14ac:dyDescent="0.15">
      <c r="Q3153" s="2"/>
    </row>
    <row r="3154" spans="17:17" x14ac:dyDescent="0.15">
      <c r="Q3154" s="2"/>
    </row>
    <row r="3155" spans="17:17" x14ac:dyDescent="0.15">
      <c r="Q3155" s="2"/>
    </row>
    <row r="3156" spans="17:17" x14ac:dyDescent="0.15">
      <c r="Q3156" s="2"/>
    </row>
    <row r="3157" spans="17:17" x14ac:dyDescent="0.15">
      <c r="Q3157" s="2"/>
    </row>
    <row r="3158" spans="17:17" x14ac:dyDescent="0.15">
      <c r="Q3158" s="2"/>
    </row>
    <row r="3159" spans="17:17" x14ac:dyDescent="0.15">
      <c r="Q3159" s="2"/>
    </row>
    <row r="3160" spans="17:17" x14ac:dyDescent="0.15">
      <c r="Q3160" s="2"/>
    </row>
    <row r="3161" spans="17:17" x14ac:dyDescent="0.15">
      <c r="Q3161" s="2"/>
    </row>
    <row r="3162" spans="17:17" x14ac:dyDescent="0.15">
      <c r="Q3162" s="2"/>
    </row>
    <row r="3163" spans="17:17" x14ac:dyDescent="0.15">
      <c r="Q3163" s="2"/>
    </row>
    <row r="3164" spans="17:17" x14ac:dyDescent="0.15">
      <c r="Q3164" s="2"/>
    </row>
    <row r="3165" spans="17:17" x14ac:dyDescent="0.15">
      <c r="Q3165" s="2"/>
    </row>
    <row r="3166" spans="17:17" x14ac:dyDescent="0.15">
      <c r="Q3166" s="2"/>
    </row>
    <row r="3167" spans="17:17" x14ac:dyDescent="0.15">
      <c r="Q3167" s="2"/>
    </row>
    <row r="3168" spans="17:17" x14ac:dyDescent="0.15">
      <c r="Q3168" s="2"/>
    </row>
    <row r="3169" spans="17:17" x14ac:dyDescent="0.15">
      <c r="Q3169" s="2"/>
    </row>
    <row r="3170" spans="17:17" x14ac:dyDescent="0.15">
      <c r="Q3170" s="2"/>
    </row>
    <row r="3171" spans="17:17" x14ac:dyDescent="0.15">
      <c r="Q3171" s="2"/>
    </row>
    <row r="3172" spans="17:17" x14ac:dyDescent="0.15">
      <c r="Q3172" s="2"/>
    </row>
    <row r="3173" spans="17:17" x14ac:dyDescent="0.15">
      <c r="Q3173" s="2"/>
    </row>
    <row r="3174" spans="17:17" x14ac:dyDescent="0.15">
      <c r="Q3174" s="2"/>
    </row>
    <row r="3175" spans="17:17" x14ac:dyDescent="0.15">
      <c r="Q3175" s="2"/>
    </row>
    <row r="3176" spans="17:17" x14ac:dyDescent="0.15">
      <c r="Q3176" s="2"/>
    </row>
    <row r="3177" spans="17:17" x14ac:dyDescent="0.15">
      <c r="Q3177" s="2"/>
    </row>
    <row r="3178" spans="17:17" x14ac:dyDescent="0.15">
      <c r="Q3178" s="2"/>
    </row>
    <row r="3179" spans="17:17" x14ac:dyDescent="0.15">
      <c r="Q3179" s="2"/>
    </row>
    <row r="3180" spans="17:17" x14ac:dyDescent="0.15">
      <c r="Q3180" s="2"/>
    </row>
    <row r="3181" spans="17:17" x14ac:dyDescent="0.15">
      <c r="Q3181" s="2"/>
    </row>
    <row r="3182" spans="17:17" x14ac:dyDescent="0.15">
      <c r="Q3182" s="2"/>
    </row>
    <row r="3183" spans="17:17" x14ac:dyDescent="0.15">
      <c r="Q3183" s="2"/>
    </row>
    <row r="3184" spans="17:17" x14ac:dyDescent="0.15">
      <c r="Q3184" s="2"/>
    </row>
    <row r="3185" spans="17:17" x14ac:dyDescent="0.15">
      <c r="Q3185" s="2"/>
    </row>
    <row r="3186" spans="17:17" x14ac:dyDescent="0.15">
      <c r="Q3186" s="2"/>
    </row>
    <row r="3187" spans="17:17" x14ac:dyDescent="0.15">
      <c r="Q3187" s="2"/>
    </row>
    <row r="3188" spans="17:17" x14ac:dyDescent="0.15">
      <c r="Q3188" s="2"/>
    </row>
    <row r="3189" spans="17:17" x14ac:dyDescent="0.15">
      <c r="Q3189" s="2"/>
    </row>
    <row r="3190" spans="17:17" x14ac:dyDescent="0.15">
      <c r="Q3190" s="2"/>
    </row>
    <row r="3191" spans="17:17" x14ac:dyDescent="0.15">
      <c r="Q3191" s="2"/>
    </row>
    <row r="3192" spans="17:17" x14ac:dyDescent="0.15">
      <c r="Q3192" s="2"/>
    </row>
    <row r="3193" spans="17:17" x14ac:dyDescent="0.15">
      <c r="Q3193" s="2"/>
    </row>
    <row r="3194" spans="17:17" x14ac:dyDescent="0.15">
      <c r="Q3194" s="2"/>
    </row>
    <row r="3195" spans="17:17" x14ac:dyDescent="0.15">
      <c r="Q3195" s="2"/>
    </row>
    <row r="3196" spans="17:17" x14ac:dyDescent="0.15">
      <c r="Q3196" s="2"/>
    </row>
    <row r="3197" spans="17:17" x14ac:dyDescent="0.15">
      <c r="Q3197" s="2"/>
    </row>
    <row r="3198" spans="17:17" x14ac:dyDescent="0.15">
      <c r="Q3198" s="2"/>
    </row>
    <row r="3199" spans="17:17" x14ac:dyDescent="0.15">
      <c r="Q3199" s="2"/>
    </row>
    <row r="3200" spans="17:17" x14ac:dyDescent="0.15">
      <c r="Q3200" s="2"/>
    </row>
    <row r="3201" spans="17:17" x14ac:dyDescent="0.15">
      <c r="Q3201" s="2"/>
    </row>
    <row r="3202" spans="17:17" x14ac:dyDescent="0.15">
      <c r="Q3202" s="2"/>
    </row>
    <row r="3203" spans="17:17" x14ac:dyDescent="0.15">
      <c r="Q3203" s="2"/>
    </row>
    <row r="3204" spans="17:17" x14ac:dyDescent="0.15">
      <c r="Q3204" s="2"/>
    </row>
    <row r="3205" spans="17:17" x14ac:dyDescent="0.15">
      <c r="Q3205" s="2"/>
    </row>
    <row r="3206" spans="17:17" x14ac:dyDescent="0.15">
      <c r="Q3206" s="2"/>
    </row>
    <row r="3207" spans="17:17" x14ac:dyDescent="0.15">
      <c r="Q3207" s="2"/>
    </row>
    <row r="3208" spans="17:17" x14ac:dyDescent="0.15">
      <c r="Q3208" s="2"/>
    </row>
    <row r="3209" spans="17:17" x14ac:dyDescent="0.15">
      <c r="Q3209" s="2"/>
    </row>
    <row r="3210" spans="17:17" x14ac:dyDescent="0.15">
      <c r="Q3210" s="2"/>
    </row>
    <row r="3211" spans="17:17" x14ac:dyDescent="0.15">
      <c r="Q3211" s="2"/>
    </row>
    <row r="3212" spans="17:17" x14ac:dyDescent="0.15">
      <c r="Q3212" s="2"/>
    </row>
    <row r="3213" spans="17:17" x14ac:dyDescent="0.15">
      <c r="Q3213" s="2"/>
    </row>
    <row r="3214" spans="17:17" x14ac:dyDescent="0.15">
      <c r="Q3214" s="2"/>
    </row>
    <row r="3215" spans="17:17" x14ac:dyDescent="0.15">
      <c r="Q3215" s="2"/>
    </row>
    <row r="3216" spans="17:17" x14ac:dyDescent="0.15">
      <c r="Q3216" s="2"/>
    </row>
    <row r="3217" spans="17:17" x14ac:dyDescent="0.15">
      <c r="Q3217" s="2"/>
    </row>
    <row r="3218" spans="17:17" x14ac:dyDescent="0.15">
      <c r="Q3218" s="2"/>
    </row>
    <row r="3219" spans="17:17" x14ac:dyDescent="0.15">
      <c r="Q3219" s="2"/>
    </row>
    <row r="3220" spans="17:17" x14ac:dyDescent="0.15">
      <c r="Q3220" s="2"/>
    </row>
    <row r="3221" spans="17:17" x14ac:dyDescent="0.15">
      <c r="Q3221" s="2"/>
    </row>
    <row r="3222" spans="17:17" x14ac:dyDescent="0.15">
      <c r="Q3222" s="2"/>
    </row>
    <row r="3223" spans="17:17" x14ac:dyDescent="0.15">
      <c r="Q3223" s="2"/>
    </row>
    <row r="3224" spans="17:17" x14ac:dyDescent="0.15">
      <c r="Q3224" s="2"/>
    </row>
    <row r="3225" spans="17:17" x14ac:dyDescent="0.15">
      <c r="Q3225" s="2"/>
    </row>
    <row r="3226" spans="17:17" x14ac:dyDescent="0.15">
      <c r="Q3226" s="2"/>
    </row>
    <row r="3227" spans="17:17" x14ac:dyDescent="0.15">
      <c r="Q3227" s="2"/>
    </row>
    <row r="3228" spans="17:17" x14ac:dyDescent="0.15">
      <c r="Q3228" s="2"/>
    </row>
    <row r="3229" spans="17:17" x14ac:dyDescent="0.15">
      <c r="Q3229" s="2"/>
    </row>
    <row r="3230" spans="17:17" x14ac:dyDescent="0.15">
      <c r="Q3230" s="2"/>
    </row>
    <row r="3231" spans="17:17" x14ac:dyDescent="0.15">
      <c r="Q3231" s="2"/>
    </row>
    <row r="3232" spans="17:17" x14ac:dyDescent="0.15">
      <c r="Q3232" s="2"/>
    </row>
    <row r="3233" spans="17:17" x14ac:dyDescent="0.15">
      <c r="Q3233" s="2"/>
    </row>
    <row r="3234" spans="17:17" x14ac:dyDescent="0.15">
      <c r="Q3234" s="2"/>
    </row>
    <row r="3235" spans="17:17" x14ac:dyDescent="0.15">
      <c r="Q3235" s="2"/>
    </row>
    <row r="3236" spans="17:17" x14ac:dyDescent="0.15">
      <c r="Q3236" s="2"/>
    </row>
    <row r="3237" spans="17:17" x14ac:dyDescent="0.15">
      <c r="Q3237" s="2"/>
    </row>
    <row r="3238" spans="17:17" x14ac:dyDescent="0.15">
      <c r="Q3238" s="2"/>
    </row>
    <row r="3239" spans="17:17" x14ac:dyDescent="0.15">
      <c r="Q3239" s="2"/>
    </row>
    <row r="3240" spans="17:17" x14ac:dyDescent="0.15">
      <c r="Q3240" s="2"/>
    </row>
    <row r="3241" spans="17:17" x14ac:dyDescent="0.15">
      <c r="Q3241" s="2"/>
    </row>
    <row r="3242" spans="17:17" x14ac:dyDescent="0.15">
      <c r="Q3242" s="2"/>
    </row>
    <row r="3243" spans="17:17" x14ac:dyDescent="0.15">
      <c r="Q3243" s="2"/>
    </row>
    <row r="3244" spans="17:17" x14ac:dyDescent="0.15">
      <c r="Q3244" s="2"/>
    </row>
    <row r="3245" spans="17:17" x14ac:dyDescent="0.15">
      <c r="Q3245" s="2"/>
    </row>
    <row r="3246" spans="17:17" x14ac:dyDescent="0.15">
      <c r="Q3246" s="2"/>
    </row>
    <row r="3247" spans="17:17" x14ac:dyDescent="0.15">
      <c r="Q3247" s="2"/>
    </row>
    <row r="3248" spans="17:17" x14ac:dyDescent="0.15">
      <c r="Q3248" s="2"/>
    </row>
    <row r="3249" spans="17:17" x14ac:dyDescent="0.15">
      <c r="Q3249" s="2"/>
    </row>
    <row r="3250" spans="17:17" x14ac:dyDescent="0.15">
      <c r="Q3250" s="2"/>
    </row>
    <row r="3251" spans="17:17" x14ac:dyDescent="0.15">
      <c r="Q3251" s="2"/>
    </row>
    <row r="3252" spans="17:17" x14ac:dyDescent="0.15">
      <c r="Q3252" s="2"/>
    </row>
    <row r="3253" spans="17:17" x14ac:dyDescent="0.15">
      <c r="Q3253" s="2"/>
    </row>
    <row r="3254" spans="17:17" x14ac:dyDescent="0.15">
      <c r="Q3254" s="2"/>
    </row>
    <row r="3255" spans="17:17" x14ac:dyDescent="0.15">
      <c r="Q3255" s="2"/>
    </row>
    <row r="3256" spans="17:17" x14ac:dyDescent="0.15">
      <c r="Q3256" s="2"/>
    </row>
    <row r="3257" spans="17:17" x14ac:dyDescent="0.15">
      <c r="Q3257" s="2"/>
    </row>
    <row r="3258" spans="17:17" x14ac:dyDescent="0.15">
      <c r="Q3258" s="2"/>
    </row>
    <row r="3259" spans="17:17" x14ac:dyDescent="0.15">
      <c r="Q3259" s="2"/>
    </row>
    <row r="3260" spans="17:17" x14ac:dyDescent="0.15">
      <c r="Q3260" s="2"/>
    </row>
    <row r="3261" spans="17:17" x14ac:dyDescent="0.15">
      <c r="Q3261" s="2"/>
    </row>
    <row r="3262" spans="17:17" x14ac:dyDescent="0.15">
      <c r="Q3262" s="2"/>
    </row>
    <row r="3263" spans="17:17" x14ac:dyDescent="0.15">
      <c r="Q3263" s="2"/>
    </row>
    <row r="3264" spans="17:17" x14ac:dyDescent="0.15">
      <c r="Q3264" s="2"/>
    </row>
    <row r="3265" spans="17:17" x14ac:dyDescent="0.15">
      <c r="Q3265" s="2"/>
    </row>
    <row r="3266" spans="17:17" x14ac:dyDescent="0.15">
      <c r="Q3266" s="2"/>
    </row>
    <row r="3267" spans="17:17" x14ac:dyDescent="0.15">
      <c r="Q3267" s="2"/>
    </row>
    <row r="3268" spans="17:17" x14ac:dyDescent="0.15">
      <c r="Q3268" s="2"/>
    </row>
    <row r="3269" spans="17:17" x14ac:dyDescent="0.15">
      <c r="Q3269" s="2"/>
    </row>
    <row r="3270" spans="17:17" x14ac:dyDescent="0.15">
      <c r="Q3270" s="2"/>
    </row>
    <row r="3271" spans="17:17" x14ac:dyDescent="0.15">
      <c r="Q3271" s="2"/>
    </row>
    <row r="3272" spans="17:17" x14ac:dyDescent="0.15">
      <c r="Q3272" s="2"/>
    </row>
    <row r="3273" spans="17:17" x14ac:dyDescent="0.15">
      <c r="Q3273" s="2"/>
    </row>
    <row r="3274" spans="17:17" x14ac:dyDescent="0.15">
      <c r="Q3274" s="2"/>
    </row>
    <row r="3275" spans="17:17" x14ac:dyDescent="0.15">
      <c r="Q3275" s="2"/>
    </row>
    <row r="3276" spans="17:17" x14ac:dyDescent="0.15">
      <c r="Q3276" s="2"/>
    </row>
    <row r="3277" spans="17:17" x14ac:dyDescent="0.15">
      <c r="Q3277" s="2"/>
    </row>
    <row r="3278" spans="17:17" x14ac:dyDescent="0.15">
      <c r="Q3278" s="2"/>
    </row>
    <row r="3279" spans="17:17" x14ac:dyDescent="0.15">
      <c r="Q3279" s="2"/>
    </row>
    <row r="3280" spans="17:17" x14ac:dyDescent="0.15">
      <c r="Q3280" s="2"/>
    </row>
    <row r="3281" spans="17:17" x14ac:dyDescent="0.15">
      <c r="Q3281" s="2"/>
    </row>
    <row r="3282" spans="17:17" x14ac:dyDescent="0.15">
      <c r="Q3282" s="2"/>
    </row>
    <row r="3283" spans="17:17" x14ac:dyDescent="0.15">
      <c r="Q3283" s="2"/>
    </row>
    <row r="3284" spans="17:17" x14ac:dyDescent="0.15">
      <c r="Q3284" s="2"/>
    </row>
    <row r="3285" spans="17:17" x14ac:dyDescent="0.15">
      <c r="Q3285" s="2"/>
    </row>
    <row r="3286" spans="17:17" x14ac:dyDescent="0.15">
      <c r="Q3286" s="2"/>
    </row>
    <row r="3287" spans="17:17" x14ac:dyDescent="0.15">
      <c r="Q3287" s="2"/>
    </row>
    <row r="3288" spans="17:17" x14ac:dyDescent="0.15">
      <c r="Q3288" s="2"/>
    </row>
    <row r="3289" spans="17:17" x14ac:dyDescent="0.15">
      <c r="Q3289" s="2"/>
    </row>
    <row r="3290" spans="17:17" x14ac:dyDescent="0.15">
      <c r="Q3290" s="2"/>
    </row>
    <row r="3291" spans="17:17" x14ac:dyDescent="0.15">
      <c r="Q3291" s="2"/>
    </row>
    <row r="3292" spans="17:17" x14ac:dyDescent="0.15">
      <c r="Q3292" s="2"/>
    </row>
    <row r="3293" spans="17:17" x14ac:dyDescent="0.15">
      <c r="Q3293" s="2"/>
    </row>
    <row r="3294" spans="17:17" x14ac:dyDescent="0.15">
      <c r="Q3294" s="2"/>
    </row>
    <row r="3295" spans="17:17" x14ac:dyDescent="0.15">
      <c r="Q3295" s="2"/>
    </row>
    <row r="3296" spans="17:17" x14ac:dyDescent="0.15">
      <c r="Q3296" s="2"/>
    </row>
    <row r="3297" spans="17:17" x14ac:dyDescent="0.15">
      <c r="Q3297" s="2"/>
    </row>
    <row r="3298" spans="17:17" x14ac:dyDescent="0.15">
      <c r="Q3298" s="2"/>
    </row>
    <row r="3299" spans="17:17" x14ac:dyDescent="0.15">
      <c r="Q3299" s="2"/>
    </row>
    <row r="3300" spans="17:17" x14ac:dyDescent="0.15">
      <c r="Q3300" s="2"/>
    </row>
    <row r="3301" spans="17:17" x14ac:dyDescent="0.15">
      <c r="Q3301" s="2"/>
    </row>
    <row r="3302" spans="17:17" x14ac:dyDescent="0.15">
      <c r="Q3302" s="2"/>
    </row>
    <row r="3303" spans="17:17" x14ac:dyDescent="0.15">
      <c r="Q3303" s="2"/>
    </row>
    <row r="3304" spans="17:17" x14ac:dyDescent="0.15">
      <c r="Q3304" s="2"/>
    </row>
    <row r="3305" spans="17:17" x14ac:dyDescent="0.15">
      <c r="Q3305" s="2"/>
    </row>
    <row r="3306" spans="17:17" x14ac:dyDescent="0.15">
      <c r="Q3306" s="2"/>
    </row>
    <row r="3307" spans="17:17" x14ac:dyDescent="0.15">
      <c r="Q3307" s="2"/>
    </row>
    <row r="3308" spans="17:17" x14ac:dyDescent="0.15">
      <c r="Q3308" s="2"/>
    </row>
    <row r="3309" spans="17:17" x14ac:dyDescent="0.15">
      <c r="Q3309" s="2"/>
    </row>
    <row r="3310" spans="17:17" x14ac:dyDescent="0.15">
      <c r="Q3310" s="2"/>
    </row>
    <row r="3311" spans="17:17" x14ac:dyDescent="0.15">
      <c r="Q3311" s="2"/>
    </row>
    <row r="3312" spans="17:17" x14ac:dyDescent="0.15">
      <c r="Q3312" s="2"/>
    </row>
    <row r="3313" spans="17:17" x14ac:dyDescent="0.15">
      <c r="Q3313" s="2"/>
    </row>
    <row r="3314" spans="17:17" x14ac:dyDescent="0.15">
      <c r="Q3314" s="2"/>
    </row>
    <row r="3315" spans="17:17" x14ac:dyDescent="0.15">
      <c r="Q3315" s="2"/>
    </row>
    <row r="3316" spans="17:17" x14ac:dyDescent="0.15">
      <c r="Q3316" s="2"/>
    </row>
    <row r="3317" spans="17:17" x14ac:dyDescent="0.15">
      <c r="Q3317" s="2"/>
    </row>
    <row r="3318" spans="17:17" x14ac:dyDescent="0.15">
      <c r="Q3318" s="2"/>
    </row>
    <row r="3319" spans="17:17" x14ac:dyDescent="0.15">
      <c r="Q3319" s="2"/>
    </row>
    <row r="3320" spans="17:17" x14ac:dyDescent="0.15">
      <c r="Q3320" s="2"/>
    </row>
    <row r="3321" spans="17:17" x14ac:dyDescent="0.15">
      <c r="Q3321" s="2"/>
    </row>
    <row r="3322" spans="17:17" x14ac:dyDescent="0.15">
      <c r="Q3322" s="2"/>
    </row>
    <row r="3323" spans="17:17" x14ac:dyDescent="0.15">
      <c r="Q3323" s="2"/>
    </row>
    <row r="3324" spans="17:17" x14ac:dyDescent="0.15">
      <c r="Q3324" s="2"/>
    </row>
    <row r="3325" spans="17:17" x14ac:dyDescent="0.15">
      <c r="Q3325" s="2"/>
    </row>
    <row r="3326" spans="17:17" x14ac:dyDescent="0.15">
      <c r="Q3326" s="2"/>
    </row>
    <row r="3327" spans="17:17" x14ac:dyDescent="0.15">
      <c r="Q3327" s="2"/>
    </row>
    <row r="3328" spans="17:17" x14ac:dyDescent="0.15">
      <c r="Q3328" s="2"/>
    </row>
    <row r="3329" spans="17:17" x14ac:dyDescent="0.15">
      <c r="Q3329" s="2"/>
    </row>
    <row r="3330" spans="17:17" x14ac:dyDescent="0.15">
      <c r="Q3330" s="2"/>
    </row>
    <row r="3331" spans="17:17" x14ac:dyDescent="0.15">
      <c r="Q3331" s="2"/>
    </row>
    <row r="3332" spans="17:17" x14ac:dyDescent="0.15">
      <c r="Q3332" s="2"/>
    </row>
    <row r="3333" spans="17:17" x14ac:dyDescent="0.15">
      <c r="Q3333" s="2"/>
    </row>
    <row r="3334" spans="17:17" x14ac:dyDescent="0.15">
      <c r="Q3334" s="2"/>
    </row>
    <row r="3335" spans="17:17" x14ac:dyDescent="0.15">
      <c r="Q3335" s="2"/>
    </row>
    <row r="3336" spans="17:17" x14ac:dyDescent="0.15">
      <c r="Q3336" s="2"/>
    </row>
    <row r="3337" spans="17:17" x14ac:dyDescent="0.15">
      <c r="Q3337" s="2"/>
    </row>
    <row r="3338" spans="17:17" x14ac:dyDescent="0.15">
      <c r="Q3338" s="2"/>
    </row>
    <row r="3339" spans="17:17" x14ac:dyDescent="0.15">
      <c r="Q3339" s="2"/>
    </row>
    <row r="3340" spans="17:17" x14ac:dyDescent="0.15">
      <c r="Q3340" s="2"/>
    </row>
    <row r="3341" spans="17:17" x14ac:dyDescent="0.15">
      <c r="Q3341" s="2"/>
    </row>
    <row r="3342" spans="17:17" x14ac:dyDescent="0.15">
      <c r="Q3342" s="2"/>
    </row>
    <row r="3343" spans="17:17" x14ac:dyDescent="0.15">
      <c r="Q3343" s="2"/>
    </row>
    <row r="3344" spans="17:17" x14ac:dyDescent="0.15">
      <c r="Q3344" s="2"/>
    </row>
    <row r="3345" spans="17:17" x14ac:dyDescent="0.15">
      <c r="Q3345" s="2"/>
    </row>
    <row r="3346" spans="17:17" x14ac:dyDescent="0.15">
      <c r="Q3346" s="2"/>
    </row>
    <row r="3347" spans="17:17" x14ac:dyDescent="0.15">
      <c r="Q3347" s="2"/>
    </row>
    <row r="3348" spans="17:17" x14ac:dyDescent="0.15">
      <c r="Q3348" s="2"/>
    </row>
    <row r="3349" spans="17:17" x14ac:dyDescent="0.15">
      <c r="Q3349" s="2"/>
    </row>
    <row r="3350" spans="17:17" x14ac:dyDescent="0.15">
      <c r="Q3350" s="2"/>
    </row>
    <row r="3351" spans="17:17" x14ac:dyDescent="0.15">
      <c r="Q3351" s="2"/>
    </row>
    <row r="3352" spans="17:17" x14ac:dyDescent="0.15">
      <c r="Q3352" s="2"/>
    </row>
    <row r="3353" spans="17:17" x14ac:dyDescent="0.15">
      <c r="Q3353" s="2"/>
    </row>
    <row r="3354" spans="17:17" x14ac:dyDescent="0.15">
      <c r="Q3354" s="2"/>
    </row>
    <row r="3355" spans="17:17" x14ac:dyDescent="0.15">
      <c r="Q3355" s="2"/>
    </row>
    <row r="3356" spans="17:17" x14ac:dyDescent="0.15">
      <c r="Q3356" s="2"/>
    </row>
    <row r="3357" spans="17:17" x14ac:dyDescent="0.15">
      <c r="Q3357" s="2"/>
    </row>
    <row r="3358" spans="17:17" x14ac:dyDescent="0.15">
      <c r="Q3358" s="2"/>
    </row>
    <row r="3359" spans="17:17" x14ac:dyDescent="0.15">
      <c r="Q3359" s="2"/>
    </row>
    <row r="3360" spans="17:17" x14ac:dyDescent="0.15">
      <c r="Q3360" s="2"/>
    </row>
    <row r="3361" spans="17:17" x14ac:dyDescent="0.15">
      <c r="Q3361" s="2"/>
    </row>
    <row r="3362" spans="17:17" x14ac:dyDescent="0.15">
      <c r="Q3362" s="2"/>
    </row>
    <row r="3363" spans="17:17" x14ac:dyDescent="0.15">
      <c r="Q3363" s="2"/>
    </row>
    <row r="3364" spans="17:17" x14ac:dyDescent="0.15">
      <c r="Q3364" s="2"/>
    </row>
    <row r="3365" spans="17:17" x14ac:dyDescent="0.15">
      <c r="Q3365" s="2"/>
    </row>
    <row r="3366" spans="17:17" x14ac:dyDescent="0.15">
      <c r="Q3366" s="2"/>
    </row>
    <row r="3367" spans="17:17" x14ac:dyDescent="0.15">
      <c r="Q3367" s="2"/>
    </row>
    <row r="3368" spans="17:17" x14ac:dyDescent="0.15">
      <c r="Q3368" s="2"/>
    </row>
    <row r="3369" spans="17:17" x14ac:dyDescent="0.15">
      <c r="Q3369" s="2"/>
    </row>
    <row r="3370" spans="17:17" x14ac:dyDescent="0.15">
      <c r="Q3370" s="2"/>
    </row>
    <row r="3371" spans="17:17" x14ac:dyDescent="0.15">
      <c r="Q3371" s="2"/>
    </row>
    <row r="3372" spans="17:17" x14ac:dyDescent="0.15">
      <c r="Q3372" s="2"/>
    </row>
    <row r="3373" spans="17:17" x14ac:dyDescent="0.15">
      <c r="Q3373" s="2"/>
    </row>
    <row r="3374" spans="17:17" x14ac:dyDescent="0.15">
      <c r="Q3374" s="2"/>
    </row>
    <row r="3375" spans="17:17" x14ac:dyDescent="0.15">
      <c r="Q3375" s="2"/>
    </row>
    <row r="3376" spans="17:17" x14ac:dyDescent="0.15">
      <c r="Q3376" s="2"/>
    </row>
    <row r="3377" spans="17:17" x14ac:dyDescent="0.15">
      <c r="Q3377" s="2"/>
    </row>
    <row r="3378" spans="17:17" x14ac:dyDescent="0.15">
      <c r="Q3378" s="2"/>
    </row>
    <row r="3379" spans="17:17" x14ac:dyDescent="0.15">
      <c r="Q3379" s="2"/>
    </row>
    <row r="3380" spans="17:17" x14ac:dyDescent="0.15">
      <c r="Q3380" s="2"/>
    </row>
    <row r="3381" spans="17:17" x14ac:dyDescent="0.15">
      <c r="Q3381" s="2"/>
    </row>
    <row r="3382" spans="17:17" x14ac:dyDescent="0.15">
      <c r="Q3382" s="2"/>
    </row>
    <row r="3383" spans="17:17" x14ac:dyDescent="0.15">
      <c r="Q3383" s="2"/>
    </row>
    <row r="3384" spans="17:17" x14ac:dyDescent="0.15">
      <c r="Q3384" s="2"/>
    </row>
    <row r="3385" spans="17:17" x14ac:dyDescent="0.15">
      <c r="Q3385" s="2"/>
    </row>
    <row r="3386" spans="17:17" x14ac:dyDescent="0.15">
      <c r="Q3386" s="2"/>
    </row>
    <row r="3387" spans="17:17" x14ac:dyDescent="0.15">
      <c r="Q3387" s="2"/>
    </row>
    <row r="3388" spans="17:17" x14ac:dyDescent="0.15">
      <c r="Q3388" s="2"/>
    </row>
    <row r="3389" spans="17:17" x14ac:dyDescent="0.15">
      <c r="Q3389" s="2"/>
    </row>
    <row r="3390" spans="17:17" x14ac:dyDescent="0.15">
      <c r="Q3390" s="2"/>
    </row>
    <row r="3391" spans="17:17" x14ac:dyDescent="0.15">
      <c r="Q3391" s="2"/>
    </row>
    <row r="3392" spans="17:17" x14ac:dyDescent="0.15">
      <c r="Q3392" s="2"/>
    </row>
    <row r="3393" spans="17:17" x14ac:dyDescent="0.15">
      <c r="Q3393" s="2"/>
    </row>
    <row r="3394" spans="17:17" x14ac:dyDescent="0.15">
      <c r="Q3394" s="2"/>
    </row>
    <row r="3395" spans="17:17" x14ac:dyDescent="0.15">
      <c r="Q3395" s="2"/>
    </row>
    <row r="3396" spans="17:17" x14ac:dyDescent="0.15">
      <c r="Q3396" s="2"/>
    </row>
    <row r="3397" spans="17:17" x14ac:dyDescent="0.15">
      <c r="Q3397" s="2"/>
    </row>
    <row r="3398" spans="17:17" x14ac:dyDescent="0.15">
      <c r="Q3398" s="2"/>
    </row>
    <row r="3399" spans="17:17" x14ac:dyDescent="0.15">
      <c r="Q3399" s="2"/>
    </row>
    <row r="3400" spans="17:17" x14ac:dyDescent="0.15">
      <c r="Q3400" s="2"/>
    </row>
    <row r="3401" spans="17:17" x14ac:dyDescent="0.15">
      <c r="Q3401" s="2"/>
    </row>
    <row r="3402" spans="17:17" x14ac:dyDescent="0.15">
      <c r="Q3402" s="2"/>
    </row>
    <row r="3403" spans="17:17" x14ac:dyDescent="0.15">
      <c r="Q3403" s="2"/>
    </row>
    <row r="3404" spans="17:17" x14ac:dyDescent="0.15">
      <c r="Q3404" s="2"/>
    </row>
    <row r="3405" spans="17:17" x14ac:dyDescent="0.15">
      <c r="Q3405" s="2"/>
    </row>
    <row r="3406" spans="17:17" x14ac:dyDescent="0.15">
      <c r="Q3406" s="2"/>
    </row>
    <row r="3407" spans="17:17" x14ac:dyDescent="0.15">
      <c r="Q3407" s="2"/>
    </row>
    <row r="3408" spans="17:17" x14ac:dyDescent="0.15">
      <c r="Q3408" s="2"/>
    </row>
    <row r="3409" spans="17:17" x14ac:dyDescent="0.15">
      <c r="Q3409" s="2"/>
    </row>
    <row r="3410" spans="17:17" x14ac:dyDescent="0.15">
      <c r="Q3410" s="2"/>
    </row>
    <row r="3411" spans="17:17" x14ac:dyDescent="0.15">
      <c r="Q3411" s="2"/>
    </row>
    <row r="3412" spans="17:17" x14ac:dyDescent="0.15">
      <c r="Q3412" s="2"/>
    </row>
    <row r="3413" spans="17:17" x14ac:dyDescent="0.15">
      <c r="Q3413" s="2"/>
    </row>
    <row r="3414" spans="17:17" x14ac:dyDescent="0.15">
      <c r="Q3414" s="2"/>
    </row>
    <row r="3415" spans="17:17" x14ac:dyDescent="0.15">
      <c r="Q3415" s="2"/>
    </row>
    <row r="3416" spans="17:17" x14ac:dyDescent="0.15">
      <c r="Q3416" s="2"/>
    </row>
    <row r="3417" spans="17:17" x14ac:dyDescent="0.15">
      <c r="Q3417" s="2"/>
    </row>
    <row r="3418" spans="17:17" x14ac:dyDescent="0.15">
      <c r="Q3418" s="2"/>
    </row>
    <row r="3419" spans="17:17" x14ac:dyDescent="0.15">
      <c r="Q3419" s="2"/>
    </row>
    <row r="3420" spans="17:17" x14ac:dyDescent="0.15">
      <c r="Q3420" s="2"/>
    </row>
    <row r="3421" spans="17:17" x14ac:dyDescent="0.15">
      <c r="Q3421" s="2"/>
    </row>
    <row r="3422" spans="17:17" x14ac:dyDescent="0.15">
      <c r="Q3422" s="2"/>
    </row>
    <row r="3423" spans="17:17" x14ac:dyDescent="0.15">
      <c r="Q3423" s="2"/>
    </row>
    <row r="3424" spans="17:17" x14ac:dyDescent="0.15">
      <c r="Q3424" s="2"/>
    </row>
    <row r="3425" spans="17:17" x14ac:dyDescent="0.15">
      <c r="Q3425" s="2"/>
    </row>
    <row r="3426" spans="17:17" x14ac:dyDescent="0.15">
      <c r="Q3426" s="2"/>
    </row>
    <row r="3427" spans="17:17" x14ac:dyDescent="0.15">
      <c r="Q3427" s="2"/>
    </row>
    <row r="3428" spans="17:17" x14ac:dyDescent="0.15">
      <c r="Q3428" s="2"/>
    </row>
    <row r="3429" spans="17:17" x14ac:dyDescent="0.15">
      <c r="Q3429" s="2"/>
    </row>
    <row r="3430" spans="17:17" x14ac:dyDescent="0.15">
      <c r="Q3430" s="2"/>
    </row>
    <row r="3431" spans="17:17" x14ac:dyDescent="0.15">
      <c r="Q3431" s="2"/>
    </row>
    <row r="3432" spans="17:17" x14ac:dyDescent="0.15">
      <c r="Q3432" s="2"/>
    </row>
    <row r="3433" spans="17:17" x14ac:dyDescent="0.15">
      <c r="Q3433" s="2"/>
    </row>
    <row r="3434" spans="17:17" x14ac:dyDescent="0.15">
      <c r="Q3434" s="2"/>
    </row>
    <row r="3435" spans="17:17" x14ac:dyDescent="0.15">
      <c r="Q3435" s="2"/>
    </row>
    <row r="3436" spans="17:17" x14ac:dyDescent="0.15">
      <c r="Q3436" s="2"/>
    </row>
    <row r="3437" spans="17:17" x14ac:dyDescent="0.15">
      <c r="Q3437" s="2"/>
    </row>
    <row r="3438" spans="17:17" x14ac:dyDescent="0.15">
      <c r="Q3438" s="2"/>
    </row>
    <row r="3439" spans="17:17" x14ac:dyDescent="0.15">
      <c r="Q3439" s="2"/>
    </row>
    <row r="3440" spans="17:17" x14ac:dyDescent="0.15">
      <c r="Q3440" s="2"/>
    </row>
    <row r="3441" spans="17:17" x14ac:dyDescent="0.15">
      <c r="Q3441" s="2"/>
    </row>
    <row r="3442" spans="17:17" x14ac:dyDescent="0.15">
      <c r="Q3442" s="2"/>
    </row>
    <row r="3443" spans="17:17" x14ac:dyDescent="0.15">
      <c r="Q3443" s="2"/>
    </row>
    <row r="3444" spans="17:17" x14ac:dyDescent="0.15">
      <c r="Q3444" s="2"/>
    </row>
    <row r="3445" spans="17:17" x14ac:dyDescent="0.15">
      <c r="Q3445" s="2"/>
    </row>
    <row r="3446" spans="17:17" x14ac:dyDescent="0.15">
      <c r="Q3446" s="2"/>
    </row>
    <row r="3447" spans="17:17" x14ac:dyDescent="0.15">
      <c r="Q3447" s="2"/>
    </row>
    <row r="3448" spans="17:17" x14ac:dyDescent="0.15">
      <c r="Q3448" s="2"/>
    </row>
    <row r="3449" spans="17:17" x14ac:dyDescent="0.15">
      <c r="Q3449" s="2"/>
    </row>
    <row r="3450" spans="17:17" x14ac:dyDescent="0.15">
      <c r="Q3450" s="2"/>
    </row>
    <row r="3451" spans="17:17" x14ac:dyDescent="0.15">
      <c r="Q3451" s="2"/>
    </row>
    <row r="3452" spans="17:17" x14ac:dyDescent="0.15">
      <c r="Q3452" s="2"/>
    </row>
    <row r="3453" spans="17:17" x14ac:dyDescent="0.15">
      <c r="Q3453" s="2"/>
    </row>
    <row r="3454" spans="17:17" x14ac:dyDescent="0.15">
      <c r="Q3454" s="2"/>
    </row>
    <row r="3455" spans="17:17" x14ac:dyDescent="0.15">
      <c r="Q3455" s="2"/>
    </row>
    <row r="3456" spans="17:17" x14ac:dyDescent="0.15">
      <c r="Q3456" s="2"/>
    </row>
    <row r="3457" spans="17:17" x14ac:dyDescent="0.15">
      <c r="Q3457" s="2"/>
    </row>
    <row r="3458" spans="17:17" x14ac:dyDescent="0.15">
      <c r="Q3458" s="2"/>
    </row>
    <row r="3459" spans="17:17" x14ac:dyDescent="0.15">
      <c r="Q3459" s="2"/>
    </row>
    <row r="3460" spans="17:17" x14ac:dyDescent="0.15">
      <c r="Q3460" s="2"/>
    </row>
    <row r="3461" spans="17:17" x14ac:dyDescent="0.15">
      <c r="Q3461" s="2"/>
    </row>
    <row r="3462" spans="17:17" x14ac:dyDescent="0.15">
      <c r="Q3462" s="2"/>
    </row>
    <row r="3463" spans="17:17" x14ac:dyDescent="0.15">
      <c r="Q3463" s="2"/>
    </row>
    <row r="3464" spans="17:17" x14ac:dyDescent="0.15">
      <c r="Q3464" s="2"/>
    </row>
    <row r="3465" spans="17:17" x14ac:dyDescent="0.15">
      <c r="Q3465" s="2"/>
    </row>
    <row r="3466" spans="17:17" x14ac:dyDescent="0.15">
      <c r="Q3466" s="2"/>
    </row>
    <row r="3467" spans="17:17" x14ac:dyDescent="0.15">
      <c r="Q3467" s="2"/>
    </row>
    <row r="3468" spans="17:17" x14ac:dyDescent="0.15">
      <c r="Q3468" s="2"/>
    </row>
    <row r="3469" spans="17:17" x14ac:dyDescent="0.15">
      <c r="Q3469" s="2"/>
    </row>
    <row r="3470" spans="17:17" x14ac:dyDescent="0.15">
      <c r="Q3470" s="2"/>
    </row>
    <row r="3471" spans="17:17" x14ac:dyDescent="0.15">
      <c r="Q3471" s="2"/>
    </row>
    <row r="3472" spans="17:17" x14ac:dyDescent="0.15">
      <c r="Q3472" s="2"/>
    </row>
    <row r="3473" spans="17:17" x14ac:dyDescent="0.15">
      <c r="Q3473" s="2"/>
    </row>
    <row r="3474" spans="17:17" x14ac:dyDescent="0.15">
      <c r="Q3474" s="2"/>
    </row>
    <row r="3475" spans="17:17" x14ac:dyDescent="0.15">
      <c r="Q3475" s="2"/>
    </row>
    <row r="3476" spans="17:17" x14ac:dyDescent="0.15">
      <c r="Q3476" s="2"/>
    </row>
    <row r="3477" spans="17:17" x14ac:dyDescent="0.15">
      <c r="Q3477" s="2"/>
    </row>
    <row r="3478" spans="17:17" x14ac:dyDescent="0.15">
      <c r="Q3478" s="2"/>
    </row>
    <row r="3479" spans="17:17" x14ac:dyDescent="0.15">
      <c r="Q3479" s="2"/>
    </row>
    <row r="3480" spans="17:17" x14ac:dyDescent="0.15">
      <c r="Q3480" s="2"/>
    </row>
    <row r="3481" spans="17:17" x14ac:dyDescent="0.15">
      <c r="Q3481" s="2"/>
    </row>
    <row r="3482" spans="17:17" x14ac:dyDescent="0.15">
      <c r="Q3482" s="2"/>
    </row>
    <row r="3483" spans="17:17" x14ac:dyDescent="0.15">
      <c r="Q3483" s="2"/>
    </row>
    <row r="3484" spans="17:17" x14ac:dyDescent="0.15">
      <c r="Q3484" s="2"/>
    </row>
    <row r="3485" spans="17:17" x14ac:dyDescent="0.15">
      <c r="Q3485" s="2"/>
    </row>
    <row r="3486" spans="17:17" x14ac:dyDescent="0.15">
      <c r="Q3486" s="2"/>
    </row>
    <row r="3487" spans="17:17" x14ac:dyDescent="0.15">
      <c r="Q3487" s="2"/>
    </row>
    <row r="3488" spans="17:17" x14ac:dyDescent="0.15">
      <c r="Q3488" s="2"/>
    </row>
    <row r="3489" spans="17:17" x14ac:dyDescent="0.15">
      <c r="Q3489" s="2"/>
    </row>
    <row r="3490" spans="17:17" x14ac:dyDescent="0.15">
      <c r="Q3490" s="2"/>
    </row>
    <row r="3491" spans="17:17" x14ac:dyDescent="0.15">
      <c r="Q3491" s="2"/>
    </row>
    <row r="3492" spans="17:17" x14ac:dyDescent="0.15">
      <c r="Q3492" s="2"/>
    </row>
    <row r="3493" spans="17:17" x14ac:dyDescent="0.15">
      <c r="Q3493" s="2"/>
    </row>
    <row r="3494" spans="17:17" x14ac:dyDescent="0.15">
      <c r="Q3494" s="2"/>
    </row>
    <row r="3495" spans="17:17" x14ac:dyDescent="0.15">
      <c r="Q3495" s="2"/>
    </row>
    <row r="3496" spans="17:17" x14ac:dyDescent="0.15">
      <c r="Q3496" s="2"/>
    </row>
    <row r="3497" spans="17:17" x14ac:dyDescent="0.15">
      <c r="Q3497" s="2"/>
    </row>
    <row r="3498" spans="17:17" x14ac:dyDescent="0.15">
      <c r="Q3498" s="2"/>
    </row>
    <row r="3499" spans="17:17" x14ac:dyDescent="0.15">
      <c r="Q3499" s="2"/>
    </row>
    <row r="3500" spans="17:17" x14ac:dyDescent="0.15">
      <c r="Q3500" s="2"/>
    </row>
    <row r="3501" spans="17:17" x14ac:dyDescent="0.15">
      <c r="Q3501" s="2"/>
    </row>
    <row r="3502" spans="17:17" x14ac:dyDescent="0.15">
      <c r="Q3502" s="2"/>
    </row>
    <row r="3503" spans="17:17" x14ac:dyDescent="0.15">
      <c r="Q3503" s="2"/>
    </row>
    <row r="3504" spans="17:17" x14ac:dyDescent="0.15">
      <c r="Q3504" s="2"/>
    </row>
    <row r="3505" spans="17:17" x14ac:dyDescent="0.15">
      <c r="Q3505" s="2"/>
    </row>
    <row r="3506" spans="17:17" x14ac:dyDescent="0.15">
      <c r="Q3506" s="2"/>
    </row>
    <row r="3507" spans="17:17" x14ac:dyDescent="0.15">
      <c r="Q3507" s="2"/>
    </row>
    <row r="3508" spans="17:17" x14ac:dyDescent="0.15">
      <c r="Q3508" s="2"/>
    </row>
    <row r="3509" spans="17:17" x14ac:dyDescent="0.15">
      <c r="Q3509" s="2"/>
    </row>
    <row r="3510" spans="17:17" x14ac:dyDescent="0.15">
      <c r="Q3510" s="2"/>
    </row>
    <row r="3511" spans="17:17" x14ac:dyDescent="0.15">
      <c r="Q3511" s="2"/>
    </row>
    <row r="3512" spans="17:17" x14ac:dyDescent="0.15">
      <c r="Q3512" s="2"/>
    </row>
    <row r="3513" spans="17:17" x14ac:dyDescent="0.15">
      <c r="Q3513" s="2"/>
    </row>
    <row r="3514" spans="17:17" x14ac:dyDescent="0.15">
      <c r="Q3514" s="2"/>
    </row>
    <row r="3515" spans="17:17" x14ac:dyDescent="0.15">
      <c r="Q3515" s="2"/>
    </row>
    <row r="3516" spans="17:17" x14ac:dyDescent="0.15">
      <c r="Q3516" s="2"/>
    </row>
    <row r="3517" spans="17:17" x14ac:dyDescent="0.15">
      <c r="Q3517" s="2"/>
    </row>
    <row r="3518" spans="17:17" x14ac:dyDescent="0.15">
      <c r="Q3518" s="2"/>
    </row>
    <row r="3519" spans="17:17" x14ac:dyDescent="0.15">
      <c r="Q3519" s="2"/>
    </row>
    <row r="3520" spans="17:17" x14ac:dyDescent="0.15">
      <c r="Q3520" s="2"/>
    </row>
    <row r="3521" spans="17:17" x14ac:dyDescent="0.15">
      <c r="Q3521" s="2"/>
    </row>
    <row r="3522" spans="17:17" x14ac:dyDescent="0.15">
      <c r="Q3522" s="2"/>
    </row>
    <row r="3523" spans="17:17" x14ac:dyDescent="0.15">
      <c r="Q3523" s="2"/>
    </row>
    <row r="3524" spans="17:17" x14ac:dyDescent="0.15">
      <c r="Q3524" s="2"/>
    </row>
    <row r="3525" spans="17:17" x14ac:dyDescent="0.15">
      <c r="Q3525" s="2"/>
    </row>
    <row r="3526" spans="17:17" x14ac:dyDescent="0.15">
      <c r="Q3526" s="2"/>
    </row>
    <row r="3527" spans="17:17" x14ac:dyDescent="0.15">
      <c r="Q3527" s="2"/>
    </row>
    <row r="3528" spans="17:17" x14ac:dyDescent="0.15">
      <c r="Q3528" s="2"/>
    </row>
    <row r="3529" spans="17:17" x14ac:dyDescent="0.15">
      <c r="Q3529" s="2"/>
    </row>
    <row r="3530" spans="17:17" x14ac:dyDescent="0.15">
      <c r="Q3530" s="2"/>
    </row>
    <row r="3531" spans="17:17" x14ac:dyDescent="0.15">
      <c r="Q3531" s="2"/>
    </row>
    <row r="3532" spans="17:17" x14ac:dyDescent="0.15">
      <c r="Q3532" s="2"/>
    </row>
    <row r="3533" spans="17:17" x14ac:dyDescent="0.15">
      <c r="Q3533" s="2"/>
    </row>
    <row r="3534" spans="17:17" x14ac:dyDescent="0.15">
      <c r="Q3534" s="2"/>
    </row>
    <row r="3535" spans="17:17" x14ac:dyDescent="0.15">
      <c r="Q3535" s="2"/>
    </row>
    <row r="3536" spans="17:17" x14ac:dyDescent="0.15">
      <c r="Q3536" s="2"/>
    </row>
    <row r="3537" spans="17:17" x14ac:dyDescent="0.15">
      <c r="Q3537" s="2"/>
    </row>
    <row r="3538" spans="17:17" x14ac:dyDescent="0.15">
      <c r="Q3538" s="2"/>
    </row>
    <row r="3539" spans="17:17" x14ac:dyDescent="0.15">
      <c r="Q3539" s="2"/>
    </row>
    <row r="3540" spans="17:17" x14ac:dyDescent="0.15">
      <c r="Q3540" s="2"/>
    </row>
    <row r="3541" spans="17:17" x14ac:dyDescent="0.15">
      <c r="Q3541" s="2"/>
    </row>
    <row r="3542" spans="17:17" x14ac:dyDescent="0.15">
      <c r="Q3542" s="2"/>
    </row>
    <row r="3543" spans="17:17" x14ac:dyDescent="0.15">
      <c r="Q3543" s="2"/>
    </row>
    <row r="3544" spans="17:17" x14ac:dyDescent="0.15">
      <c r="Q3544" s="2"/>
    </row>
    <row r="3545" spans="17:17" x14ac:dyDescent="0.15">
      <c r="Q3545" s="2"/>
    </row>
    <row r="3546" spans="17:17" x14ac:dyDescent="0.15">
      <c r="Q3546" s="2"/>
    </row>
    <row r="3547" spans="17:17" x14ac:dyDescent="0.15">
      <c r="Q3547" s="2"/>
    </row>
    <row r="3548" spans="17:17" x14ac:dyDescent="0.15">
      <c r="Q3548" s="2"/>
    </row>
    <row r="3549" spans="17:17" x14ac:dyDescent="0.15">
      <c r="Q3549" s="2"/>
    </row>
    <row r="3550" spans="17:17" x14ac:dyDescent="0.15">
      <c r="Q3550" s="2"/>
    </row>
    <row r="3551" spans="17:17" x14ac:dyDescent="0.15">
      <c r="Q3551" s="2"/>
    </row>
    <row r="3552" spans="17:17" x14ac:dyDescent="0.15">
      <c r="Q3552" s="2"/>
    </row>
    <row r="3553" spans="17:17" x14ac:dyDescent="0.15">
      <c r="Q3553" s="2"/>
    </row>
    <row r="3554" spans="17:17" x14ac:dyDescent="0.15">
      <c r="Q3554" s="2"/>
    </row>
    <row r="3555" spans="17:17" x14ac:dyDescent="0.15">
      <c r="Q3555" s="2"/>
    </row>
    <row r="3556" spans="17:17" x14ac:dyDescent="0.15">
      <c r="Q3556" s="2"/>
    </row>
    <row r="3557" spans="17:17" x14ac:dyDescent="0.15">
      <c r="Q3557" s="2"/>
    </row>
    <row r="3558" spans="17:17" x14ac:dyDescent="0.15">
      <c r="Q3558" s="2"/>
    </row>
    <row r="3559" spans="17:17" x14ac:dyDescent="0.15">
      <c r="Q3559" s="2"/>
    </row>
    <row r="3560" spans="17:17" x14ac:dyDescent="0.15">
      <c r="Q3560" s="2"/>
    </row>
    <row r="3561" spans="17:17" x14ac:dyDescent="0.15">
      <c r="Q3561" s="2"/>
    </row>
    <row r="3562" spans="17:17" x14ac:dyDescent="0.15">
      <c r="Q3562" s="2"/>
    </row>
    <row r="3563" spans="17:17" x14ac:dyDescent="0.15">
      <c r="Q3563" s="2"/>
    </row>
    <row r="3564" spans="17:17" x14ac:dyDescent="0.15">
      <c r="Q3564" s="2"/>
    </row>
    <row r="3565" spans="17:17" x14ac:dyDescent="0.15">
      <c r="Q3565" s="2"/>
    </row>
    <row r="3566" spans="17:17" x14ac:dyDescent="0.15">
      <c r="Q3566" s="2"/>
    </row>
    <row r="3567" spans="17:17" x14ac:dyDescent="0.15">
      <c r="Q3567" s="2"/>
    </row>
    <row r="3568" spans="17:17" x14ac:dyDescent="0.15">
      <c r="Q3568" s="2"/>
    </row>
    <row r="3569" spans="17:17" x14ac:dyDescent="0.15">
      <c r="Q3569" s="2"/>
    </row>
    <row r="3570" spans="17:17" x14ac:dyDescent="0.15">
      <c r="Q3570" s="2"/>
    </row>
    <row r="3571" spans="17:17" x14ac:dyDescent="0.15">
      <c r="Q3571" s="2"/>
    </row>
    <row r="3572" spans="17:17" x14ac:dyDescent="0.15">
      <c r="Q3572" s="2"/>
    </row>
    <row r="3573" spans="17:17" x14ac:dyDescent="0.15">
      <c r="Q3573" s="2"/>
    </row>
    <row r="3574" spans="17:17" x14ac:dyDescent="0.15">
      <c r="Q3574" s="2"/>
    </row>
    <row r="3575" spans="17:17" x14ac:dyDescent="0.15">
      <c r="Q3575" s="2"/>
    </row>
    <row r="3576" spans="17:17" x14ac:dyDescent="0.15">
      <c r="Q3576" s="2"/>
    </row>
    <row r="3577" spans="17:17" x14ac:dyDescent="0.15">
      <c r="Q3577" s="2"/>
    </row>
    <row r="3578" spans="17:17" x14ac:dyDescent="0.15">
      <c r="Q3578" s="2"/>
    </row>
    <row r="3579" spans="17:17" x14ac:dyDescent="0.15">
      <c r="Q3579" s="2"/>
    </row>
    <row r="3580" spans="17:17" x14ac:dyDescent="0.15">
      <c r="Q3580" s="2"/>
    </row>
    <row r="3581" spans="17:17" x14ac:dyDescent="0.15">
      <c r="Q3581" s="2"/>
    </row>
    <row r="3582" spans="17:17" x14ac:dyDescent="0.15">
      <c r="Q3582" s="2"/>
    </row>
    <row r="3583" spans="17:17" x14ac:dyDescent="0.15">
      <c r="Q3583" s="2"/>
    </row>
    <row r="3584" spans="17:17" x14ac:dyDescent="0.15">
      <c r="Q3584" s="2"/>
    </row>
    <row r="3585" spans="17:17" x14ac:dyDescent="0.15">
      <c r="Q3585" s="2"/>
    </row>
    <row r="3586" spans="17:17" x14ac:dyDescent="0.15">
      <c r="Q3586" s="2"/>
    </row>
    <row r="3587" spans="17:17" x14ac:dyDescent="0.15">
      <c r="Q3587" s="2"/>
    </row>
    <row r="3588" spans="17:17" x14ac:dyDescent="0.15">
      <c r="Q3588" s="2"/>
    </row>
    <row r="3589" spans="17:17" x14ac:dyDescent="0.15">
      <c r="Q3589" s="2"/>
    </row>
    <row r="3590" spans="17:17" x14ac:dyDescent="0.15">
      <c r="Q3590" s="2"/>
    </row>
    <row r="3591" spans="17:17" x14ac:dyDescent="0.15">
      <c r="Q3591" s="2"/>
    </row>
    <row r="3592" spans="17:17" x14ac:dyDescent="0.15">
      <c r="Q3592" s="2"/>
    </row>
    <row r="3593" spans="17:17" x14ac:dyDescent="0.15">
      <c r="Q3593" s="2"/>
    </row>
    <row r="3594" spans="17:17" x14ac:dyDescent="0.15">
      <c r="Q3594" s="2"/>
    </row>
    <row r="3595" spans="17:17" x14ac:dyDescent="0.15">
      <c r="Q3595" s="2"/>
    </row>
    <row r="3596" spans="17:17" x14ac:dyDescent="0.15">
      <c r="Q3596" s="2"/>
    </row>
    <row r="3597" spans="17:17" x14ac:dyDescent="0.15">
      <c r="Q3597" s="2"/>
    </row>
    <row r="3598" spans="17:17" x14ac:dyDescent="0.15">
      <c r="Q3598" s="2"/>
    </row>
    <row r="3599" spans="17:17" x14ac:dyDescent="0.15">
      <c r="Q3599" s="2"/>
    </row>
    <row r="3600" spans="17:17" x14ac:dyDescent="0.15">
      <c r="Q3600" s="2"/>
    </row>
    <row r="3601" spans="17:17" x14ac:dyDescent="0.15">
      <c r="Q3601" s="2"/>
    </row>
    <row r="3602" spans="17:17" x14ac:dyDescent="0.15">
      <c r="Q3602" s="2"/>
    </row>
    <row r="3603" spans="17:17" x14ac:dyDescent="0.15">
      <c r="Q3603" s="2"/>
    </row>
    <row r="3604" spans="17:17" x14ac:dyDescent="0.15">
      <c r="Q3604" s="2"/>
    </row>
    <row r="3605" spans="17:17" x14ac:dyDescent="0.15">
      <c r="Q3605" s="2"/>
    </row>
    <row r="3606" spans="17:17" x14ac:dyDescent="0.15">
      <c r="Q3606" s="2"/>
    </row>
    <row r="3607" spans="17:17" x14ac:dyDescent="0.15">
      <c r="Q3607" s="2"/>
    </row>
    <row r="3608" spans="17:17" x14ac:dyDescent="0.15">
      <c r="Q3608" s="2"/>
    </row>
    <row r="3609" spans="17:17" x14ac:dyDescent="0.15">
      <c r="Q3609" s="2"/>
    </row>
    <row r="3610" spans="17:17" x14ac:dyDescent="0.15">
      <c r="Q3610" s="2"/>
    </row>
    <row r="3611" spans="17:17" x14ac:dyDescent="0.15">
      <c r="Q3611" s="2"/>
    </row>
    <row r="3612" spans="17:17" x14ac:dyDescent="0.15">
      <c r="Q3612" s="2"/>
    </row>
    <row r="3613" spans="17:17" x14ac:dyDescent="0.15">
      <c r="Q3613" s="2"/>
    </row>
    <row r="3614" spans="17:17" x14ac:dyDescent="0.15">
      <c r="Q3614" s="2"/>
    </row>
    <row r="3615" spans="17:17" x14ac:dyDescent="0.15">
      <c r="Q3615" s="2"/>
    </row>
    <row r="3616" spans="17:17" x14ac:dyDescent="0.15">
      <c r="Q3616" s="2"/>
    </row>
    <row r="3617" spans="17:17" x14ac:dyDescent="0.15">
      <c r="Q3617" s="2"/>
    </row>
    <row r="3618" spans="17:17" x14ac:dyDescent="0.15">
      <c r="Q3618" s="2"/>
    </row>
    <row r="3619" spans="17:17" x14ac:dyDescent="0.15">
      <c r="Q3619" s="2"/>
    </row>
    <row r="3620" spans="17:17" x14ac:dyDescent="0.15">
      <c r="Q3620" s="2"/>
    </row>
    <row r="3621" spans="17:17" x14ac:dyDescent="0.15">
      <c r="Q3621" s="2"/>
    </row>
    <row r="3622" spans="17:17" x14ac:dyDescent="0.15">
      <c r="Q3622" s="2"/>
    </row>
    <row r="3623" spans="17:17" x14ac:dyDescent="0.15">
      <c r="Q3623" s="2"/>
    </row>
    <row r="3624" spans="17:17" x14ac:dyDescent="0.15">
      <c r="Q3624" s="2"/>
    </row>
    <row r="3625" spans="17:17" x14ac:dyDescent="0.15">
      <c r="Q3625" s="2"/>
    </row>
    <row r="3626" spans="17:17" x14ac:dyDescent="0.15">
      <c r="Q3626" s="2"/>
    </row>
    <row r="3627" spans="17:17" x14ac:dyDescent="0.15">
      <c r="Q3627" s="2"/>
    </row>
    <row r="3628" spans="17:17" x14ac:dyDescent="0.15">
      <c r="Q3628" s="2"/>
    </row>
    <row r="3629" spans="17:17" x14ac:dyDescent="0.15">
      <c r="Q3629" s="2"/>
    </row>
    <row r="3630" spans="17:17" x14ac:dyDescent="0.15">
      <c r="Q3630" s="2"/>
    </row>
    <row r="3631" spans="17:17" x14ac:dyDescent="0.15">
      <c r="Q3631" s="2"/>
    </row>
    <row r="3632" spans="17:17" x14ac:dyDescent="0.15">
      <c r="Q3632" s="2"/>
    </row>
    <row r="3633" spans="17:17" x14ac:dyDescent="0.15">
      <c r="Q3633" s="2"/>
    </row>
    <row r="3634" spans="17:17" x14ac:dyDescent="0.15">
      <c r="Q3634" s="2"/>
    </row>
    <row r="3635" spans="17:17" x14ac:dyDescent="0.15">
      <c r="Q3635" s="2"/>
    </row>
    <row r="3636" spans="17:17" x14ac:dyDescent="0.15">
      <c r="Q3636" s="2"/>
    </row>
    <row r="3637" spans="17:17" x14ac:dyDescent="0.15">
      <c r="Q3637" s="2"/>
    </row>
    <row r="3638" spans="17:17" x14ac:dyDescent="0.15">
      <c r="Q3638" s="2"/>
    </row>
    <row r="3639" spans="17:17" x14ac:dyDescent="0.15">
      <c r="Q3639" s="2"/>
    </row>
    <row r="3640" spans="17:17" x14ac:dyDescent="0.15">
      <c r="Q3640" s="2"/>
    </row>
    <row r="3641" spans="17:17" x14ac:dyDescent="0.15">
      <c r="Q3641" s="2"/>
    </row>
    <row r="3642" spans="17:17" x14ac:dyDescent="0.15">
      <c r="Q3642" s="2"/>
    </row>
    <row r="3643" spans="17:17" x14ac:dyDescent="0.15">
      <c r="Q3643" s="2"/>
    </row>
    <row r="3644" spans="17:17" x14ac:dyDescent="0.15">
      <c r="Q3644" s="2"/>
    </row>
    <row r="3645" spans="17:17" x14ac:dyDescent="0.15">
      <c r="Q3645" s="2"/>
    </row>
    <row r="3646" spans="17:17" x14ac:dyDescent="0.15">
      <c r="Q3646" s="2"/>
    </row>
    <row r="3647" spans="17:17" x14ac:dyDescent="0.15">
      <c r="Q3647" s="2"/>
    </row>
    <row r="3648" spans="17:17" x14ac:dyDescent="0.15">
      <c r="Q3648" s="2"/>
    </row>
    <row r="3649" spans="17:17" x14ac:dyDescent="0.15">
      <c r="Q3649" s="2"/>
    </row>
    <row r="3650" spans="17:17" x14ac:dyDescent="0.15">
      <c r="Q3650" s="2"/>
    </row>
    <row r="3651" spans="17:17" x14ac:dyDescent="0.15">
      <c r="Q3651" s="2"/>
    </row>
    <row r="3652" spans="17:17" x14ac:dyDescent="0.15">
      <c r="Q3652" s="2"/>
    </row>
    <row r="3653" spans="17:17" x14ac:dyDescent="0.15">
      <c r="Q3653" s="2"/>
    </row>
    <row r="3654" spans="17:17" x14ac:dyDescent="0.15">
      <c r="Q3654" s="2"/>
    </row>
    <row r="3655" spans="17:17" x14ac:dyDescent="0.15">
      <c r="Q3655" s="2"/>
    </row>
    <row r="3656" spans="17:17" x14ac:dyDescent="0.15">
      <c r="Q3656" s="2"/>
    </row>
    <row r="3657" spans="17:17" x14ac:dyDescent="0.15">
      <c r="Q3657" s="2"/>
    </row>
    <row r="3658" spans="17:17" x14ac:dyDescent="0.15">
      <c r="Q3658" s="2"/>
    </row>
    <row r="3659" spans="17:17" x14ac:dyDescent="0.15">
      <c r="Q3659" s="2"/>
    </row>
    <row r="3660" spans="17:17" x14ac:dyDescent="0.15">
      <c r="Q3660" s="2"/>
    </row>
    <row r="3661" spans="17:17" x14ac:dyDescent="0.15">
      <c r="Q3661" s="2"/>
    </row>
    <row r="3662" spans="17:17" x14ac:dyDescent="0.15">
      <c r="Q3662" s="2"/>
    </row>
    <row r="3663" spans="17:17" x14ac:dyDescent="0.15">
      <c r="Q3663" s="2"/>
    </row>
    <row r="3664" spans="17:17" x14ac:dyDescent="0.15">
      <c r="Q3664" s="2"/>
    </row>
    <row r="3665" spans="17:17" x14ac:dyDescent="0.15">
      <c r="Q3665" s="2"/>
    </row>
    <row r="3666" spans="17:17" x14ac:dyDescent="0.15">
      <c r="Q3666" s="2"/>
    </row>
    <row r="3667" spans="17:17" x14ac:dyDescent="0.15">
      <c r="Q3667" s="2"/>
    </row>
    <row r="3668" spans="17:17" x14ac:dyDescent="0.15">
      <c r="Q3668" s="2"/>
    </row>
    <row r="3669" spans="17:17" x14ac:dyDescent="0.15">
      <c r="Q3669" s="2"/>
    </row>
    <row r="3670" spans="17:17" x14ac:dyDescent="0.15">
      <c r="Q3670" s="2"/>
    </row>
    <row r="3671" spans="17:17" x14ac:dyDescent="0.15">
      <c r="Q3671" s="2"/>
    </row>
    <row r="3672" spans="17:17" x14ac:dyDescent="0.15">
      <c r="Q3672" s="2"/>
    </row>
    <row r="3673" spans="17:17" x14ac:dyDescent="0.15">
      <c r="Q3673" s="2"/>
    </row>
    <row r="3674" spans="17:17" x14ac:dyDescent="0.15">
      <c r="Q3674" s="2"/>
    </row>
    <row r="3675" spans="17:17" x14ac:dyDescent="0.15">
      <c r="Q3675" s="2"/>
    </row>
    <row r="3676" spans="17:17" x14ac:dyDescent="0.15">
      <c r="Q3676" s="2"/>
    </row>
    <row r="3677" spans="17:17" x14ac:dyDescent="0.15">
      <c r="Q3677" s="2"/>
    </row>
    <row r="3678" spans="17:17" x14ac:dyDescent="0.15">
      <c r="Q3678" s="2"/>
    </row>
    <row r="3679" spans="17:17" x14ac:dyDescent="0.15">
      <c r="Q3679" s="2"/>
    </row>
    <row r="3680" spans="17:17" x14ac:dyDescent="0.15">
      <c r="Q3680" s="2"/>
    </row>
    <row r="3681" spans="17:17" x14ac:dyDescent="0.15">
      <c r="Q3681" s="2"/>
    </row>
    <row r="3682" spans="17:17" x14ac:dyDescent="0.15">
      <c r="Q3682" s="2"/>
    </row>
    <row r="3683" spans="17:17" x14ac:dyDescent="0.15">
      <c r="Q3683" s="2"/>
    </row>
    <row r="3684" spans="17:17" x14ac:dyDescent="0.15">
      <c r="Q3684" s="2"/>
    </row>
    <row r="3685" spans="17:17" x14ac:dyDescent="0.15">
      <c r="Q3685" s="2"/>
    </row>
    <row r="3686" spans="17:17" x14ac:dyDescent="0.15">
      <c r="Q3686" s="2"/>
    </row>
    <row r="3687" spans="17:17" x14ac:dyDescent="0.15">
      <c r="Q3687" s="2"/>
    </row>
    <row r="3688" spans="17:17" x14ac:dyDescent="0.15">
      <c r="Q3688" s="2"/>
    </row>
    <row r="3689" spans="17:17" x14ac:dyDescent="0.15">
      <c r="Q3689" s="2"/>
    </row>
    <row r="3690" spans="17:17" x14ac:dyDescent="0.15">
      <c r="Q3690" s="2"/>
    </row>
    <row r="3691" spans="17:17" x14ac:dyDescent="0.15">
      <c r="Q3691" s="2"/>
    </row>
    <row r="3692" spans="17:17" x14ac:dyDescent="0.15">
      <c r="Q3692" s="2"/>
    </row>
    <row r="3693" spans="17:17" x14ac:dyDescent="0.15">
      <c r="Q3693" s="2"/>
    </row>
    <row r="3694" spans="17:17" x14ac:dyDescent="0.15">
      <c r="Q3694" s="2"/>
    </row>
    <row r="3695" spans="17:17" x14ac:dyDescent="0.15">
      <c r="Q3695" s="2"/>
    </row>
    <row r="3696" spans="17:17" x14ac:dyDescent="0.15">
      <c r="Q3696" s="2"/>
    </row>
    <row r="3697" spans="17:17" x14ac:dyDescent="0.15">
      <c r="Q3697" s="2"/>
    </row>
    <row r="3698" spans="17:17" x14ac:dyDescent="0.15">
      <c r="Q3698" s="2"/>
    </row>
    <row r="3699" spans="17:17" x14ac:dyDescent="0.15">
      <c r="Q3699" s="2"/>
    </row>
    <row r="3700" spans="17:17" x14ac:dyDescent="0.15">
      <c r="Q3700" s="2"/>
    </row>
    <row r="3701" spans="17:17" x14ac:dyDescent="0.15">
      <c r="Q3701" s="2"/>
    </row>
    <row r="3702" spans="17:17" x14ac:dyDescent="0.15">
      <c r="Q3702" s="2"/>
    </row>
    <row r="3703" spans="17:17" x14ac:dyDescent="0.15">
      <c r="Q3703" s="2"/>
    </row>
    <row r="3704" spans="17:17" x14ac:dyDescent="0.15">
      <c r="Q3704" s="2"/>
    </row>
    <row r="3705" spans="17:17" x14ac:dyDescent="0.15">
      <c r="Q3705" s="2"/>
    </row>
    <row r="3706" spans="17:17" x14ac:dyDescent="0.15">
      <c r="Q3706" s="2"/>
    </row>
    <row r="3707" spans="17:17" x14ac:dyDescent="0.15">
      <c r="Q3707" s="2"/>
    </row>
    <row r="3708" spans="17:17" x14ac:dyDescent="0.15">
      <c r="Q3708" s="2"/>
    </row>
    <row r="3709" spans="17:17" x14ac:dyDescent="0.15">
      <c r="Q3709" s="2"/>
    </row>
    <row r="3710" spans="17:17" x14ac:dyDescent="0.15">
      <c r="Q3710" s="2"/>
    </row>
    <row r="3711" spans="17:17" x14ac:dyDescent="0.15">
      <c r="Q3711" s="2"/>
    </row>
    <row r="3712" spans="17:17" x14ac:dyDescent="0.15">
      <c r="Q3712" s="2"/>
    </row>
    <row r="3713" spans="17:17" x14ac:dyDescent="0.15">
      <c r="Q3713" s="2"/>
    </row>
    <row r="3714" spans="17:17" x14ac:dyDescent="0.15">
      <c r="Q3714" s="2"/>
    </row>
    <row r="3715" spans="17:17" x14ac:dyDescent="0.15">
      <c r="Q3715" s="2"/>
    </row>
    <row r="3716" spans="17:17" x14ac:dyDescent="0.15">
      <c r="Q3716" s="2"/>
    </row>
    <row r="3717" spans="17:17" x14ac:dyDescent="0.15">
      <c r="Q3717" s="2"/>
    </row>
    <row r="3718" spans="17:17" x14ac:dyDescent="0.15">
      <c r="Q3718" s="2"/>
    </row>
    <row r="3719" spans="17:17" x14ac:dyDescent="0.15">
      <c r="Q3719" s="2"/>
    </row>
    <row r="3720" spans="17:17" x14ac:dyDescent="0.15">
      <c r="Q3720" s="2"/>
    </row>
    <row r="3721" spans="17:17" x14ac:dyDescent="0.15">
      <c r="Q3721" s="2"/>
    </row>
    <row r="3722" spans="17:17" x14ac:dyDescent="0.15">
      <c r="Q3722" s="2"/>
    </row>
    <row r="3723" spans="17:17" x14ac:dyDescent="0.15">
      <c r="Q3723" s="2"/>
    </row>
    <row r="3724" spans="17:17" x14ac:dyDescent="0.15">
      <c r="Q3724" s="2"/>
    </row>
    <row r="3725" spans="17:17" x14ac:dyDescent="0.15">
      <c r="Q3725" s="2"/>
    </row>
    <row r="3726" spans="17:17" x14ac:dyDescent="0.15">
      <c r="Q3726" s="2"/>
    </row>
    <row r="3727" spans="17:17" x14ac:dyDescent="0.15">
      <c r="Q3727" s="2"/>
    </row>
    <row r="3728" spans="17:17" x14ac:dyDescent="0.15">
      <c r="Q3728" s="2"/>
    </row>
    <row r="3729" spans="17:17" x14ac:dyDescent="0.15">
      <c r="Q3729" s="2"/>
    </row>
    <row r="3730" spans="17:17" x14ac:dyDescent="0.15">
      <c r="Q3730" s="2"/>
    </row>
    <row r="3731" spans="17:17" x14ac:dyDescent="0.15">
      <c r="Q3731" s="2"/>
    </row>
    <row r="3732" spans="17:17" x14ac:dyDescent="0.15">
      <c r="Q3732" s="2"/>
    </row>
    <row r="3733" spans="17:17" x14ac:dyDescent="0.15">
      <c r="Q3733" s="2"/>
    </row>
    <row r="3734" spans="17:17" x14ac:dyDescent="0.15">
      <c r="Q3734" s="2"/>
    </row>
    <row r="3735" spans="17:17" x14ac:dyDescent="0.15">
      <c r="Q3735" s="2"/>
    </row>
    <row r="3736" spans="17:17" x14ac:dyDescent="0.15">
      <c r="Q3736" s="2"/>
    </row>
    <row r="3737" spans="17:17" x14ac:dyDescent="0.15">
      <c r="Q3737" s="2"/>
    </row>
    <row r="3738" spans="17:17" x14ac:dyDescent="0.15">
      <c r="Q3738" s="2"/>
    </row>
    <row r="3739" spans="17:17" x14ac:dyDescent="0.15">
      <c r="Q3739" s="2"/>
    </row>
    <row r="3740" spans="17:17" x14ac:dyDescent="0.15">
      <c r="Q3740" s="2"/>
    </row>
    <row r="3741" spans="17:17" x14ac:dyDescent="0.15">
      <c r="Q3741" s="2"/>
    </row>
    <row r="3742" spans="17:17" x14ac:dyDescent="0.15">
      <c r="Q3742" s="2"/>
    </row>
    <row r="3743" spans="17:17" x14ac:dyDescent="0.15">
      <c r="Q3743" s="2"/>
    </row>
    <row r="3744" spans="17:17" x14ac:dyDescent="0.15">
      <c r="Q3744" s="2"/>
    </row>
    <row r="3745" spans="17:17" x14ac:dyDescent="0.15">
      <c r="Q3745" s="2"/>
    </row>
    <row r="3746" spans="17:17" x14ac:dyDescent="0.15">
      <c r="Q3746" s="2"/>
    </row>
    <row r="3747" spans="17:17" x14ac:dyDescent="0.15">
      <c r="Q3747" s="2"/>
    </row>
    <row r="3748" spans="17:17" x14ac:dyDescent="0.15">
      <c r="Q3748" s="2"/>
    </row>
    <row r="3749" spans="17:17" x14ac:dyDescent="0.15">
      <c r="Q3749" s="2"/>
    </row>
    <row r="3750" spans="17:17" x14ac:dyDescent="0.15">
      <c r="Q3750" s="2"/>
    </row>
    <row r="3751" spans="17:17" x14ac:dyDescent="0.15">
      <c r="Q3751" s="2"/>
    </row>
    <row r="3752" spans="17:17" x14ac:dyDescent="0.15">
      <c r="Q3752" s="2"/>
    </row>
    <row r="3753" spans="17:17" x14ac:dyDescent="0.15">
      <c r="Q3753" s="2"/>
    </row>
    <row r="3754" spans="17:17" x14ac:dyDescent="0.15">
      <c r="Q3754" s="2"/>
    </row>
    <row r="3755" spans="17:17" x14ac:dyDescent="0.15">
      <c r="Q3755" s="2"/>
    </row>
    <row r="3756" spans="17:17" x14ac:dyDescent="0.15">
      <c r="Q3756" s="2"/>
    </row>
    <row r="3757" spans="17:17" x14ac:dyDescent="0.15">
      <c r="Q3757" s="2"/>
    </row>
    <row r="3758" spans="17:17" x14ac:dyDescent="0.15">
      <c r="Q3758" s="2"/>
    </row>
    <row r="3759" spans="17:17" x14ac:dyDescent="0.15">
      <c r="Q3759" s="2"/>
    </row>
    <row r="3760" spans="17:17" x14ac:dyDescent="0.15">
      <c r="Q3760" s="2"/>
    </row>
    <row r="3761" spans="17:17" x14ac:dyDescent="0.15">
      <c r="Q3761" s="2"/>
    </row>
    <row r="3762" spans="17:17" x14ac:dyDescent="0.15">
      <c r="Q3762" s="2"/>
    </row>
    <row r="3763" spans="17:17" x14ac:dyDescent="0.15">
      <c r="Q3763" s="2"/>
    </row>
    <row r="3764" spans="17:17" x14ac:dyDescent="0.15">
      <c r="Q3764" s="2"/>
    </row>
    <row r="3765" spans="17:17" x14ac:dyDescent="0.15">
      <c r="Q3765" s="2"/>
    </row>
    <row r="3766" spans="17:17" x14ac:dyDescent="0.15">
      <c r="Q3766" s="2"/>
    </row>
    <row r="3767" spans="17:17" x14ac:dyDescent="0.15">
      <c r="Q3767" s="2"/>
    </row>
    <row r="3768" spans="17:17" x14ac:dyDescent="0.15">
      <c r="Q3768" s="2"/>
    </row>
    <row r="3769" spans="17:17" x14ac:dyDescent="0.15">
      <c r="Q3769" s="2"/>
    </row>
    <row r="3770" spans="17:17" x14ac:dyDescent="0.15">
      <c r="Q3770" s="2"/>
    </row>
    <row r="3771" spans="17:17" x14ac:dyDescent="0.15">
      <c r="Q3771" s="2"/>
    </row>
    <row r="3772" spans="17:17" x14ac:dyDescent="0.15">
      <c r="Q3772" s="2"/>
    </row>
    <row r="3773" spans="17:17" x14ac:dyDescent="0.15">
      <c r="Q3773" s="2"/>
    </row>
    <row r="3774" spans="17:17" x14ac:dyDescent="0.15">
      <c r="Q3774" s="2"/>
    </row>
    <row r="3775" spans="17:17" x14ac:dyDescent="0.15">
      <c r="Q3775" s="2"/>
    </row>
    <row r="3776" spans="17:17" x14ac:dyDescent="0.15">
      <c r="Q3776" s="2"/>
    </row>
    <row r="3777" spans="17:17" x14ac:dyDescent="0.15">
      <c r="Q3777" s="2"/>
    </row>
    <row r="3778" spans="17:17" x14ac:dyDescent="0.15">
      <c r="Q3778" s="2"/>
    </row>
    <row r="3779" spans="17:17" x14ac:dyDescent="0.15">
      <c r="Q3779" s="2"/>
    </row>
    <row r="3780" spans="17:17" x14ac:dyDescent="0.15">
      <c r="Q3780" s="2"/>
    </row>
    <row r="3781" spans="17:17" x14ac:dyDescent="0.15">
      <c r="Q3781" s="2"/>
    </row>
    <row r="3782" spans="17:17" x14ac:dyDescent="0.15">
      <c r="Q3782" s="2"/>
    </row>
    <row r="3783" spans="17:17" x14ac:dyDescent="0.15">
      <c r="Q3783" s="2"/>
    </row>
    <row r="3784" spans="17:17" x14ac:dyDescent="0.15">
      <c r="Q3784" s="2"/>
    </row>
    <row r="3785" spans="17:17" x14ac:dyDescent="0.15">
      <c r="Q3785" s="2"/>
    </row>
    <row r="3786" spans="17:17" x14ac:dyDescent="0.15">
      <c r="Q3786" s="2"/>
    </row>
    <row r="3787" spans="17:17" x14ac:dyDescent="0.15">
      <c r="Q3787" s="2"/>
    </row>
    <row r="3788" spans="17:17" x14ac:dyDescent="0.15">
      <c r="Q3788" s="2"/>
    </row>
    <row r="3789" spans="17:17" x14ac:dyDescent="0.15">
      <c r="Q3789" s="2"/>
    </row>
    <row r="3790" spans="17:17" x14ac:dyDescent="0.15">
      <c r="Q3790" s="2"/>
    </row>
    <row r="3791" spans="17:17" x14ac:dyDescent="0.15">
      <c r="Q3791" s="2"/>
    </row>
    <row r="3792" spans="17:17" x14ac:dyDescent="0.15">
      <c r="Q3792" s="2"/>
    </row>
    <row r="3793" spans="17:17" x14ac:dyDescent="0.15">
      <c r="Q3793" s="2"/>
    </row>
    <row r="3794" spans="17:17" x14ac:dyDescent="0.15">
      <c r="Q3794" s="2"/>
    </row>
    <row r="3795" spans="17:17" x14ac:dyDescent="0.15">
      <c r="Q3795" s="2"/>
    </row>
    <row r="3796" spans="17:17" x14ac:dyDescent="0.15">
      <c r="Q3796" s="2"/>
    </row>
    <row r="3797" spans="17:17" x14ac:dyDescent="0.15">
      <c r="Q3797" s="2"/>
    </row>
    <row r="3798" spans="17:17" x14ac:dyDescent="0.15">
      <c r="Q3798" s="2"/>
    </row>
    <row r="3799" spans="17:17" x14ac:dyDescent="0.15">
      <c r="Q3799" s="2"/>
    </row>
    <row r="3800" spans="17:17" x14ac:dyDescent="0.15">
      <c r="Q3800" s="2"/>
    </row>
    <row r="3801" spans="17:17" x14ac:dyDescent="0.15">
      <c r="Q3801" s="2"/>
    </row>
    <row r="3802" spans="17:17" x14ac:dyDescent="0.15">
      <c r="Q3802" s="2"/>
    </row>
    <row r="3803" spans="17:17" x14ac:dyDescent="0.15">
      <c r="Q3803" s="2"/>
    </row>
    <row r="3804" spans="17:17" x14ac:dyDescent="0.15">
      <c r="Q3804" s="2"/>
    </row>
    <row r="3805" spans="17:17" x14ac:dyDescent="0.15">
      <c r="Q3805" s="2"/>
    </row>
    <row r="3806" spans="17:17" x14ac:dyDescent="0.15">
      <c r="Q3806" s="2"/>
    </row>
    <row r="3807" spans="17:17" x14ac:dyDescent="0.15">
      <c r="Q3807" s="2"/>
    </row>
    <row r="3808" spans="17:17" x14ac:dyDescent="0.15">
      <c r="Q3808" s="2"/>
    </row>
    <row r="3809" spans="17:17" x14ac:dyDescent="0.15">
      <c r="Q3809" s="2"/>
    </row>
    <row r="3810" spans="17:17" x14ac:dyDescent="0.15">
      <c r="Q3810" s="2"/>
    </row>
    <row r="3811" spans="17:17" x14ac:dyDescent="0.15">
      <c r="Q3811" s="2"/>
    </row>
    <row r="3812" spans="17:17" x14ac:dyDescent="0.15">
      <c r="Q3812" s="2"/>
    </row>
    <row r="3813" spans="17:17" x14ac:dyDescent="0.15">
      <c r="Q3813" s="2"/>
    </row>
    <row r="3814" spans="17:17" x14ac:dyDescent="0.15">
      <c r="Q3814" s="2"/>
    </row>
    <row r="3815" spans="17:17" x14ac:dyDescent="0.15">
      <c r="Q3815" s="2"/>
    </row>
    <row r="3816" spans="17:17" x14ac:dyDescent="0.15">
      <c r="Q3816" s="2"/>
    </row>
    <row r="3817" spans="17:17" x14ac:dyDescent="0.15">
      <c r="Q3817" s="2"/>
    </row>
    <row r="3818" spans="17:17" x14ac:dyDescent="0.15">
      <c r="Q3818" s="2"/>
    </row>
    <row r="3819" spans="17:17" x14ac:dyDescent="0.15">
      <c r="Q3819" s="2"/>
    </row>
    <row r="3820" spans="17:17" x14ac:dyDescent="0.15">
      <c r="Q3820" s="2"/>
    </row>
    <row r="3821" spans="17:17" x14ac:dyDescent="0.15">
      <c r="Q3821" s="2"/>
    </row>
    <row r="3822" spans="17:17" x14ac:dyDescent="0.15">
      <c r="Q3822" s="2"/>
    </row>
    <row r="3823" spans="17:17" x14ac:dyDescent="0.15">
      <c r="Q3823" s="2"/>
    </row>
    <row r="3824" spans="17:17" x14ac:dyDescent="0.15">
      <c r="Q3824" s="2"/>
    </row>
    <row r="3825" spans="17:17" x14ac:dyDescent="0.15">
      <c r="Q3825" s="2"/>
    </row>
    <row r="3826" spans="17:17" x14ac:dyDescent="0.15">
      <c r="Q3826" s="2"/>
    </row>
    <row r="3827" spans="17:17" x14ac:dyDescent="0.15">
      <c r="Q3827" s="2"/>
    </row>
    <row r="3828" spans="17:17" x14ac:dyDescent="0.15">
      <c r="Q3828" s="2"/>
    </row>
    <row r="3829" spans="17:17" x14ac:dyDescent="0.15">
      <c r="Q3829" s="2"/>
    </row>
    <row r="3830" spans="17:17" x14ac:dyDescent="0.15">
      <c r="Q3830" s="2"/>
    </row>
    <row r="3831" spans="17:17" x14ac:dyDescent="0.15">
      <c r="Q3831" s="2"/>
    </row>
    <row r="3832" spans="17:17" x14ac:dyDescent="0.15">
      <c r="Q3832" s="2"/>
    </row>
    <row r="3833" spans="17:17" x14ac:dyDescent="0.15">
      <c r="Q3833" s="2"/>
    </row>
    <row r="3834" spans="17:17" x14ac:dyDescent="0.15">
      <c r="Q3834" s="2"/>
    </row>
    <row r="3835" spans="17:17" x14ac:dyDescent="0.15">
      <c r="Q3835" s="2"/>
    </row>
    <row r="3836" spans="17:17" x14ac:dyDescent="0.15">
      <c r="Q3836" s="2"/>
    </row>
    <row r="3837" spans="17:17" x14ac:dyDescent="0.15">
      <c r="Q3837" s="2"/>
    </row>
    <row r="3838" spans="17:17" x14ac:dyDescent="0.15">
      <c r="Q3838" s="2"/>
    </row>
    <row r="3839" spans="17:17" x14ac:dyDescent="0.15">
      <c r="Q3839" s="2"/>
    </row>
    <row r="3840" spans="17:17" x14ac:dyDescent="0.15">
      <c r="Q3840" s="2"/>
    </row>
    <row r="3841" spans="17:17" x14ac:dyDescent="0.15">
      <c r="Q3841" s="2"/>
    </row>
    <row r="3842" spans="17:17" x14ac:dyDescent="0.15">
      <c r="Q3842" s="2"/>
    </row>
    <row r="3843" spans="17:17" x14ac:dyDescent="0.15">
      <c r="Q3843" s="2"/>
    </row>
    <row r="3844" spans="17:17" x14ac:dyDescent="0.15">
      <c r="Q3844" s="2"/>
    </row>
    <row r="3845" spans="17:17" x14ac:dyDescent="0.15">
      <c r="Q3845" s="2"/>
    </row>
    <row r="3846" spans="17:17" x14ac:dyDescent="0.15">
      <c r="Q3846" s="2"/>
    </row>
    <row r="3847" spans="17:17" x14ac:dyDescent="0.15">
      <c r="Q3847" s="2"/>
    </row>
    <row r="3848" spans="17:17" x14ac:dyDescent="0.15">
      <c r="Q3848" s="2"/>
    </row>
    <row r="3849" spans="17:17" x14ac:dyDescent="0.15">
      <c r="Q3849" s="2"/>
    </row>
    <row r="3850" spans="17:17" x14ac:dyDescent="0.15">
      <c r="Q3850" s="2"/>
    </row>
    <row r="3851" spans="17:17" x14ac:dyDescent="0.15">
      <c r="Q3851" s="2"/>
    </row>
    <row r="3852" spans="17:17" x14ac:dyDescent="0.15">
      <c r="Q3852" s="2"/>
    </row>
    <row r="3853" spans="17:17" x14ac:dyDescent="0.15">
      <c r="Q3853" s="2"/>
    </row>
    <row r="3854" spans="17:17" x14ac:dyDescent="0.15">
      <c r="Q3854" s="2"/>
    </row>
    <row r="3855" spans="17:17" x14ac:dyDescent="0.15">
      <c r="Q3855" s="2"/>
    </row>
    <row r="3856" spans="17:17" x14ac:dyDescent="0.15">
      <c r="Q3856" s="2"/>
    </row>
    <row r="3857" spans="17:17" x14ac:dyDescent="0.15">
      <c r="Q3857" s="2"/>
    </row>
    <row r="3858" spans="17:17" x14ac:dyDescent="0.15">
      <c r="Q3858" s="2"/>
    </row>
    <row r="3859" spans="17:17" x14ac:dyDescent="0.15">
      <c r="Q3859" s="2"/>
    </row>
    <row r="3860" spans="17:17" x14ac:dyDescent="0.15">
      <c r="Q3860" s="2"/>
    </row>
    <row r="3861" spans="17:17" x14ac:dyDescent="0.15">
      <c r="Q3861" s="2"/>
    </row>
    <row r="3862" spans="17:17" x14ac:dyDescent="0.15">
      <c r="Q3862" s="2"/>
    </row>
    <row r="3863" spans="17:17" x14ac:dyDescent="0.15">
      <c r="Q3863" s="2"/>
    </row>
    <row r="3864" spans="17:17" x14ac:dyDescent="0.15">
      <c r="Q3864" s="2"/>
    </row>
    <row r="3865" spans="17:17" x14ac:dyDescent="0.15">
      <c r="Q3865" s="2"/>
    </row>
    <row r="3866" spans="17:17" x14ac:dyDescent="0.15">
      <c r="Q3866" s="2"/>
    </row>
    <row r="3867" spans="17:17" x14ac:dyDescent="0.15">
      <c r="Q3867" s="2"/>
    </row>
    <row r="3868" spans="17:17" x14ac:dyDescent="0.15">
      <c r="Q3868" s="2"/>
    </row>
    <row r="3869" spans="17:17" x14ac:dyDescent="0.15">
      <c r="Q3869" s="2"/>
    </row>
    <row r="3870" spans="17:17" x14ac:dyDescent="0.15">
      <c r="Q3870" s="2"/>
    </row>
    <row r="3871" spans="17:17" x14ac:dyDescent="0.15">
      <c r="Q3871" s="2"/>
    </row>
    <row r="3872" spans="17:17" x14ac:dyDescent="0.15">
      <c r="Q3872" s="2"/>
    </row>
    <row r="3873" spans="17:17" x14ac:dyDescent="0.15">
      <c r="Q3873" s="2"/>
    </row>
    <row r="3874" spans="17:17" x14ac:dyDescent="0.15">
      <c r="Q3874" s="2"/>
    </row>
    <row r="3875" spans="17:17" x14ac:dyDescent="0.15">
      <c r="Q3875" s="2"/>
    </row>
    <row r="3876" spans="17:17" x14ac:dyDescent="0.15">
      <c r="Q3876" s="2"/>
    </row>
    <row r="3877" spans="17:17" x14ac:dyDescent="0.15">
      <c r="Q3877" s="2"/>
    </row>
    <row r="3878" spans="17:17" x14ac:dyDescent="0.15">
      <c r="Q3878" s="2"/>
    </row>
    <row r="3879" spans="17:17" x14ac:dyDescent="0.15">
      <c r="Q3879" s="2"/>
    </row>
    <row r="3880" spans="17:17" x14ac:dyDescent="0.15">
      <c r="Q3880" s="2"/>
    </row>
    <row r="3881" spans="17:17" x14ac:dyDescent="0.15">
      <c r="Q3881" s="2"/>
    </row>
    <row r="3882" spans="17:17" x14ac:dyDescent="0.15">
      <c r="Q3882" s="2"/>
    </row>
    <row r="3883" spans="17:17" x14ac:dyDescent="0.15">
      <c r="Q3883" s="2"/>
    </row>
    <row r="3884" spans="17:17" x14ac:dyDescent="0.15">
      <c r="Q3884" s="2"/>
    </row>
    <row r="3885" spans="17:17" x14ac:dyDescent="0.15">
      <c r="Q3885" s="2"/>
    </row>
    <row r="3886" spans="17:17" x14ac:dyDescent="0.15">
      <c r="Q3886" s="2"/>
    </row>
    <row r="3887" spans="17:17" x14ac:dyDescent="0.15">
      <c r="Q3887" s="2"/>
    </row>
    <row r="3888" spans="17:17" x14ac:dyDescent="0.15">
      <c r="Q3888" s="2"/>
    </row>
    <row r="3889" spans="17:17" x14ac:dyDescent="0.15">
      <c r="Q3889" s="2"/>
    </row>
    <row r="3890" spans="17:17" x14ac:dyDescent="0.15">
      <c r="Q3890" s="2"/>
    </row>
    <row r="3891" spans="17:17" x14ac:dyDescent="0.15">
      <c r="Q3891" s="2"/>
    </row>
    <row r="3892" spans="17:17" x14ac:dyDescent="0.15">
      <c r="Q3892" s="2"/>
    </row>
    <row r="3893" spans="17:17" x14ac:dyDescent="0.15">
      <c r="Q3893" s="2"/>
    </row>
    <row r="3894" spans="17:17" x14ac:dyDescent="0.15">
      <c r="Q3894" s="2"/>
    </row>
    <row r="3895" spans="17:17" x14ac:dyDescent="0.15">
      <c r="Q3895" s="2"/>
    </row>
    <row r="3896" spans="17:17" x14ac:dyDescent="0.15">
      <c r="Q3896" s="2"/>
    </row>
    <row r="3897" spans="17:17" x14ac:dyDescent="0.15">
      <c r="Q3897" s="2"/>
    </row>
    <row r="3898" spans="17:17" x14ac:dyDescent="0.15">
      <c r="Q3898" s="2"/>
    </row>
    <row r="3899" spans="17:17" x14ac:dyDescent="0.15">
      <c r="Q3899" s="2"/>
    </row>
    <row r="3900" spans="17:17" x14ac:dyDescent="0.15">
      <c r="Q3900" s="2"/>
    </row>
    <row r="3901" spans="17:17" x14ac:dyDescent="0.15">
      <c r="Q3901" s="2"/>
    </row>
    <row r="3902" spans="17:17" x14ac:dyDescent="0.15">
      <c r="Q3902" s="2"/>
    </row>
    <row r="3903" spans="17:17" x14ac:dyDescent="0.15">
      <c r="Q3903" s="2"/>
    </row>
    <row r="3904" spans="17:17" x14ac:dyDescent="0.15">
      <c r="Q3904" s="2"/>
    </row>
    <row r="3905" spans="17:17" x14ac:dyDescent="0.15">
      <c r="Q3905" s="2"/>
    </row>
    <row r="3906" spans="17:17" x14ac:dyDescent="0.15">
      <c r="Q3906" s="2"/>
    </row>
    <row r="3907" spans="17:17" x14ac:dyDescent="0.15">
      <c r="Q3907" s="2"/>
    </row>
    <row r="3908" spans="17:17" x14ac:dyDescent="0.15">
      <c r="Q3908" s="2"/>
    </row>
    <row r="3909" spans="17:17" x14ac:dyDescent="0.15">
      <c r="Q3909" s="2"/>
    </row>
    <row r="3910" spans="17:17" x14ac:dyDescent="0.15">
      <c r="Q3910" s="2"/>
    </row>
    <row r="3911" spans="17:17" x14ac:dyDescent="0.15">
      <c r="Q3911" s="2"/>
    </row>
    <row r="3912" spans="17:17" x14ac:dyDescent="0.15">
      <c r="Q3912" s="2"/>
    </row>
    <row r="3913" spans="17:17" x14ac:dyDescent="0.15">
      <c r="Q3913" s="2"/>
    </row>
    <row r="3914" spans="17:17" x14ac:dyDescent="0.15">
      <c r="Q3914" s="2"/>
    </row>
    <row r="3915" spans="17:17" x14ac:dyDescent="0.15">
      <c r="Q3915" s="2"/>
    </row>
    <row r="3916" spans="17:17" x14ac:dyDescent="0.15">
      <c r="Q3916" s="2"/>
    </row>
    <row r="3917" spans="17:17" x14ac:dyDescent="0.15">
      <c r="Q3917" s="2"/>
    </row>
    <row r="3918" spans="17:17" x14ac:dyDescent="0.15">
      <c r="Q3918" s="2"/>
    </row>
    <row r="3919" spans="17:17" x14ac:dyDescent="0.15">
      <c r="Q3919" s="2"/>
    </row>
    <row r="3920" spans="17:17" x14ac:dyDescent="0.15">
      <c r="Q3920" s="2"/>
    </row>
    <row r="3921" spans="17:17" x14ac:dyDescent="0.15">
      <c r="Q3921" s="2"/>
    </row>
    <row r="3922" spans="17:17" x14ac:dyDescent="0.15">
      <c r="Q3922" s="2"/>
    </row>
    <row r="3923" spans="17:17" x14ac:dyDescent="0.15">
      <c r="Q3923" s="2"/>
    </row>
    <row r="3924" spans="17:17" x14ac:dyDescent="0.15">
      <c r="Q3924" s="2"/>
    </row>
    <row r="3925" spans="17:17" x14ac:dyDescent="0.15">
      <c r="Q3925" s="2"/>
    </row>
    <row r="3926" spans="17:17" x14ac:dyDescent="0.15">
      <c r="Q3926" s="2"/>
    </row>
    <row r="3927" spans="17:17" x14ac:dyDescent="0.15">
      <c r="Q3927" s="2"/>
    </row>
    <row r="3928" spans="17:17" x14ac:dyDescent="0.15">
      <c r="Q3928" s="2"/>
    </row>
    <row r="3929" spans="17:17" x14ac:dyDescent="0.15">
      <c r="Q3929" s="2"/>
    </row>
    <row r="3930" spans="17:17" x14ac:dyDescent="0.15">
      <c r="Q3930" s="2"/>
    </row>
    <row r="3931" spans="17:17" x14ac:dyDescent="0.15">
      <c r="Q3931" s="2"/>
    </row>
    <row r="3932" spans="17:17" x14ac:dyDescent="0.15">
      <c r="Q3932" s="2"/>
    </row>
    <row r="3933" spans="17:17" x14ac:dyDescent="0.15">
      <c r="Q3933" s="2"/>
    </row>
    <row r="3934" spans="17:17" x14ac:dyDescent="0.15">
      <c r="Q3934" s="2"/>
    </row>
    <row r="3935" spans="17:17" x14ac:dyDescent="0.15">
      <c r="Q3935" s="2"/>
    </row>
    <row r="3936" spans="17:17" x14ac:dyDescent="0.15">
      <c r="Q3936" s="2"/>
    </row>
    <row r="3937" spans="17:17" x14ac:dyDescent="0.15">
      <c r="Q3937" s="2"/>
    </row>
    <row r="3938" spans="17:17" x14ac:dyDescent="0.15">
      <c r="Q3938" s="2"/>
    </row>
    <row r="3939" spans="17:17" x14ac:dyDescent="0.15">
      <c r="Q3939" s="2"/>
    </row>
    <row r="3940" spans="17:17" x14ac:dyDescent="0.15">
      <c r="Q3940" s="2"/>
    </row>
    <row r="3941" spans="17:17" x14ac:dyDescent="0.15">
      <c r="Q3941" s="2"/>
    </row>
    <row r="3942" spans="17:17" x14ac:dyDescent="0.15">
      <c r="Q3942" s="2"/>
    </row>
    <row r="3943" spans="17:17" x14ac:dyDescent="0.15">
      <c r="Q3943" s="2"/>
    </row>
    <row r="3944" spans="17:17" x14ac:dyDescent="0.15">
      <c r="Q3944" s="2"/>
    </row>
    <row r="3945" spans="17:17" x14ac:dyDescent="0.15">
      <c r="Q3945" s="2"/>
    </row>
    <row r="3946" spans="17:17" x14ac:dyDescent="0.15">
      <c r="Q3946" s="2"/>
    </row>
    <row r="3947" spans="17:17" x14ac:dyDescent="0.15">
      <c r="Q3947" s="2"/>
    </row>
    <row r="3948" spans="17:17" x14ac:dyDescent="0.15">
      <c r="Q3948" s="2"/>
    </row>
    <row r="3949" spans="17:17" x14ac:dyDescent="0.15">
      <c r="Q3949" s="2"/>
    </row>
    <row r="3950" spans="17:17" x14ac:dyDescent="0.15">
      <c r="Q3950" s="2"/>
    </row>
    <row r="3951" spans="17:17" x14ac:dyDescent="0.15">
      <c r="Q3951" s="2"/>
    </row>
    <row r="3952" spans="17:17" x14ac:dyDescent="0.15">
      <c r="Q3952" s="2"/>
    </row>
    <row r="3953" spans="17:17" x14ac:dyDescent="0.15">
      <c r="Q3953" s="2"/>
    </row>
    <row r="3954" spans="17:17" x14ac:dyDescent="0.15">
      <c r="Q3954" s="2"/>
    </row>
    <row r="3955" spans="17:17" x14ac:dyDescent="0.15">
      <c r="Q3955" s="2"/>
    </row>
    <row r="3956" spans="17:17" x14ac:dyDescent="0.15">
      <c r="Q3956" s="2"/>
    </row>
    <row r="3957" spans="17:17" x14ac:dyDescent="0.15">
      <c r="Q3957" s="2"/>
    </row>
    <row r="3958" spans="17:17" x14ac:dyDescent="0.15">
      <c r="Q3958" s="2"/>
    </row>
    <row r="3959" spans="17:17" x14ac:dyDescent="0.15">
      <c r="Q3959" s="2"/>
    </row>
    <row r="3960" spans="17:17" x14ac:dyDescent="0.15">
      <c r="Q3960" s="2"/>
    </row>
    <row r="3961" spans="17:17" x14ac:dyDescent="0.15">
      <c r="Q3961" s="2"/>
    </row>
    <row r="3962" spans="17:17" x14ac:dyDescent="0.15">
      <c r="Q3962" s="2"/>
    </row>
    <row r="3963" spans="17:17" x14ac:dyDescent="0.15">
      <c r="Q3963" s="2"/>
    </row>
    <row r="3964" spans="17:17" x14ac:dyDescent="0.15">
      <c r="Q3964" s="2"/>
    </row>
    <row r="3965" spans="17:17" x14ac:dyDescent="0.15">
      <c r="Q3965" s="2"/>
    </row>
    <row r="3966" spans="17:17" x14ac:dyDescent="0.15">
      <c r="Q3966" s="2"/>
    </row>
    <row r="3967" spans="17:17" x14ac:dyDescent="0.15">
      <c r="Q3967" s="2"/>
    </row>
    <row r="3968" spans="17:17" x14ac:dyDescent="0.15">
      <c r="Q3968" s="2"/>
    </row>
    <row r="3969" spans="17:17" x14ac:dyDescent="0.15">
      <c r="Q3969" s="2"/>
    </row>
    <row r="3970" spans="17:17" x14ac:dyDescent="0.15">
      <c r="Q3970" s="2"/>
    </row>
    <row r="3971" spans="17:17" x14ac:dyDescent="0.15">
      <c r="Q3971" s="2"/>
    </row>
    <row r="3972" spans="17:17" x14ac:dyDescent="0.15">
      <c r="Q3972" s="2"/>
    </row>
    <row r="3973" spans="17:17" x14ac:dyDescent="0.15">
      <c r="Q3973" s="2"/>
    </row>
    <row r="3974" spans="17:17" x14ac:dyDescent="0.15">
      <c r="Q3974" s="2"/>
    </row>
    <row r="3975" spans="17:17" x14ac:dyDescent="0.15">
      <c r="Q3975" s="2"/>
    </row>
    <row r="3976" spans="17:17" x14ac:dyDescent="0.15">
      <c r="Q3976" s="2"/>
    </row>
    <row r="3977" spans="17:17" x14ac:dyDescent="0.15">
      <c r="Q3977" s="2"/>
    </row>
    <row r="3978" spans="17:17" x14ac:dyDescent="0.15">
      <c r="Q3978" s="2"/>
    </row>
    <row r="3979" spans="17:17" x14ac:dyDescent="0.15">
      <c r="Q3979" s="2"/>
    </row>
    <row r="3980" spans="17:17" x14ac:dyDescent="0.15">
      <c r="Q3980" s="2"/>
    </row>
    <row r="3981" spans="17:17" x14ac:dyDescent="0.15">
      <c r="Q3981" s="2"/>
    </row>
    <row r="3982" spans="17:17" x14ac:dyDescent="0.15">
      <c r="Q3982" s="2"/>
    </row>
    <row r="3983" spans="17:17" x14ac:dyDescent="0.15">
      <c r="Q3983" s="2"/>
    </row>
    <row r="3984" spans="17:17" x14ac:dyDescent="0.15">
      <c r="Q3984" s="2"/>
    </row>
    <row r="3985" spans="17:17" x14ac:dyDescent="0.15">
      <c r="Q3985" s="2"/>
    </row>
    <row r="3986" spans="17:17" x14ac:dyDescent="0.15">
      <c r="Q3986" s="2"/>
    </row>
    <row r="3987" spans="17:17" x14ac:dyDescent="0.15">
      <c r="Q3987" s="2"/>
    </row>
    <row r="3988" spans="17:17" x14ac:dyDescent="0.15">
      <c r="Q3988" s="2"/>
    </row>
    <row r="3989" spans="17:17" x14ac:dyDescent="0.15">
      <c r="Q3989" s="2"/>
    </row>
    <row r="3990" spans="17:17" x14ac:dyDescent="0.15">
      <c r="Q3990" s="2"/>
    </row>
    <row r="3991" spans="17:17" x14ac:dyDescent="0.15">
      <c r="Q3991" s="2"/>
    </row>
    <row r="3992" spans="17:17" x14ac:dyDescent="0.15">
      <c r="Q3992" s="2"/>
    </row>
    <row r="3993" spans="17:17" x14ac:dyDescent="0.15">
      <c r="Q3993" s="2"/>
    </row>
    <row r="3994" spans="17:17" x14ac:dyDescent="0.15">
      <c r="Q3994" s="2"/>
    </row>
    <row r="3995" spans="17:17" x14ac:dyDescent="0.15">
      <c r="Q3995" s="2"/>
    </row>
    <row r="3996" spans="17:17" x14ac:dyDescent="0.15">
      <c r="Q3996" s="2"/>
    </row>
    <row r="3997" spans="17:17" x14ac:dyDescent="0.15">
      <c r="Q3997" s="2"/>
    </row>
    <row r="3998" spans="17:17" x14ac:dyDescent="0.15">
      <c r="Q3998" s="2"/>
    </row>
    <row r="3999" spans="17:17" x14ac:dyDescent="0.15">
      <c r="Q3999" s="2"/>
    </row>
    <row r="4000" spans="17:17" x14ac:dyDescent="0.15">
      <c r="Q4000" s="2"/>
    </row>
    <row r="4001" spans="17:17" x14ac:dyDescent="0.15">
      <c r="Q4001" s="2"/>
    </row>
    <row r="4002" spans="17:17" x14ac:dyDescent="0.15">
      <c r="Q4002" s="2"/>
    </row>
    <row r="4003" spans="17:17" x14ac:dyDescent="0.15">
      <c r="Q4003" s="2"/>
    </row>
    <row r="4004" spans="17:17" x14ac:dyDescent="0.15">
      <c r="Q4004" s="2"/>
    </row>
    <row r="4005" spans="17:17" x14ac:dyDescent="0.15">
      <c r="Q4005" s="2"/>
    </row>
    <row r="4006" spans="17:17" x14ac:dyDescent="0.15">
      <c r="Q4006" s="2"/>
    </row>
    <row r="4007" spans="17:17" x14ac:dyDescent="0.15">
      <c r="Q4007" s="2"/>
    </row>
    <row r="4008" spans="17:17" x14ac:dyDescent="0.15">
      <c r="Q4008" s="2"/>
    </row>
    <row r="4009" spans="17:17" x14ac:dyDescent="0.15">
      <c r="Q4009" s="2"/>
    </row>
    <row r="4010" spans="17:17" x14ac:dyDescent="0.15">
      <c r="Q4010" s="2"/>
    </row>
    <row r="4011" spans="17:17" x14ac:dyDescent="0.15">
      <c r="Q4011" s="2"/>
    </row>
    <row r="4012" spans="17:17" x14ac:dyDescent="0.15">
      <c r="Q4012" s="2"/>
    </row>
    <row r="4013" spans="17:17" x14ac:dyDescent="0.15">
      <c r="Q4013" s="2"/>
    </row>
    <row r="4014" spans="17:17" x14ac:dyDescent="0.15">
      <c r="Q4014" s="2"/>
    </row>
    <row r="4015" spans="17:17" x14ac:dyDescent="0.15">
      <c r="Q4015" s="2"/>
    </row>
    <row r="4016" spans="17:17" x14ac:dyDescent="0.15">
      <c r="Q4016" s="2"/>
    </row>
    <row r="4017" spans="17:17" x14ac:dyDescent="0.15">
      <c r="Q4017" s="2"/>
    </row>
    <row r="4018" spans="17:17" x14ac:dyDescent="0.15">
      <c r="Q4018" s="2"/>
    </row>
    <row r="4019" spans="17:17" x14ac:dyDescent="0.15">
      <c r="Q4019" s="2"/>
    </row>
    <row r="4020" spans="17:17" x14ac:dyDescent="0.15">
      <c r="Q4020" s="2"/>
    </row>
    <row r="4021" spans="17:17" x14ac:dyDescent="0.15">
      <c r="Q4021" s="2"/>
    </row>
    <row r="4022" spans="17:17" x14ac:dyDescent="0.15">
      <c r="Q4022" s="2"/>
    </row>
    <row r="4023" spans="17:17" x14ac:dyDescent="0.15">
      <c r="Q4023" s="2"/>
    </row>
    <row r="4024" spans="17:17" x14ac:dyDescent="0.15">
      <c r="Q4024" s="2"/>
    </row>
    <row r="4025" spans="17:17" x14ac:dyDescent="0.15">
      <c r="Q4025" s="2"/>
    </row>
    <row r="4026" spans="17:17" x14ac:dyDescent="0.15">
      <c r="Q4026" s="2"/>
    </row>
    <row r="4027" spans="17:17" x14ac:dyDescent="0.15">
      <c r="Q4027" s="2"/>
    </row>
    <row r="4028" spans="17:17" x14ac:dyDescent="0.15">
      <c r="Q4028" s="2"/>
    </row>
    <row r="4029" spans="17:17" x14ac:dyDescent="0.15">
      <c r="Q4029" s="2"/>
    </row>
    <row r="4030" spans="17:17" x14ac:dyDescent="0.15">
      <c r="Q4030" s="2"/>
    </row>
    <row r="4031" spans="17:17" x14ac:dyDescent="0.15">
      <c r="Q4031" s="2"/>
    </row>
    <row r="4032" spans="17:17" x14ac:dyDescent="0.15">
      <c r="Q4032" s="2"/>
    </row>
    <row r="4033" spans="17:17" x14ac:dyDescent="0.15">
      <c r="Q4033" s="2"/>
    </row>
    <row r="4034" spans="17:17" x14ac:dyDescent="0.15">
      <c r="Q4034" s="2"/>
    </row>
    <row r="4035" spans="17:17" x14ac:dyDescent="0.15">
      <c r="Q4035" s="2"/>
    </row>
    <row r="4036" spans="17:17" x14ac:dyDescent="0.15">
      <c r="Q4036" s="2"/>
    </row>
    <row r="4037" spans="17:17" x14ac:dyDescent="0.15">
      <c r="Q4037" s="2"/>
    </row>
    <row r="4038" spans="17:17" x14ac:dyDescent="0.15">
      <c r="Q4038" s="2"/>
    </row>
    <row r="4039" spans="17:17" x14ac:dyDescent="0.15">
      <c r="Q4039" s="2"/>
    </row>
    <row r="4040" spans="17:17" x14ac:dyDescent="0.15">
      <c r="Q4040" s="2"/>
    </row>
    <row r="4041" spans="17:17" x14ac:dyDescent="0.15">
      <c r="Q4041" s="2"/>
    </row>
    <row r="4042" spans="17:17" x14ac:dyDescent="0.15">
      <c r="Q4042" s="2"/>
    </row>
    <row r="4043" spans="17:17" x14ac:dyDescent="0.15">
      <c r="Q4043" s="2"/>
    </row>
    <row r="4044" spans="17:17" x14ac:dyDescent="0.15">
      <c r="Q4044" s="2"/>
    </row>
    <row r="4045" spans="17:17" x14ac:dyDescent="0.15">
      <c r="Q4045" s="2"/>
    </row>
    <row r="4046" spans="17:17" x14ac:dyDescent="0.15">
      <c r="Q4046" s="2"/>
    </row>
    <row r="4047" spans="17:17" x14ac:dyDescent="0.15">
      <c r="Q4047" s="2"/>
    </row>
    <row r="4048" spans="17:17" x14ac:dyDescent="0.15">
      <c r="Q4048" s="2"/>
    </row>
    <row r="4049" spans="17:17" x14ac:dyDescent="0.15">
      <c r="Q4049" s="2"/>
    </row>
    <row r="4050" spans="17:17" x14ac:dyDescent="0.15">
      <c r="Q4050" s="2"/>
    </row>
    <row r="4051" spans="17:17" x14ac:dyDescent="0.15">
      <c r="Q4051" s="2"/>
    </row>
    <row r="4052" spans="17:17" x14ac:dyDescent="0.15">
      <c r="Q4052" s="2"/>
    </row>
    <row r="4053" spans="17:17" x14ac:dyDescent="0.15">
      <c r="Q4053" s="2"/>
    </row>
    <row r="4054" spans="17:17" x14ac:dyDescent="0.15">
      <c r="Q4054" s="2"/>
    </row>
    <row r="4055" spans="17:17" x14ac:dyDescent="0.15">
      <c r="Q4055" s="2"/>
    </row>
    <row r="4056" spans="17:17" x14ac:dyDescent="0.15">
      <c r="Q4056" s="2"/>
    </row>
    <row r="4057" spans="17:17" x14ac:dyDescent="0.15">
      <c r="Q4057" s="2"/>
    </row>
    <row r="4058" spans="17:17" x14ac:dyDescent="0.15">
      <c r="Q4058" s="2"/>
    </row>
    <row r="4059" spans="17:17" x14ac:dyDescent="0.15">
      <c r="Q4059" s="2"/>
    </row>
    <row r="4060" spans="17:17" x14ac:dyDescent="0.15">
      <c r="Q4060" s="2"/>
    </row>
    <row r="4061" spans="17:17" x14ac:dyDescent="0.15">
      <c r="Q4061" s="2"/>
    </row>
    <row r="4062" spans="17:17" x14ac:dyDescent="0.15">
      <c r="Q4062" s="2"/>
    </row>
    <row r="4063" spans="17:17" x14ac:dyDescent="0.15">
      <c r="Q4063" s="2"/>
    </row>
    <row r="4064" spans="17:17" x14ac:dyDescent="0.15">
      <c r="Q4064" s="2"/>
    </row>
    <row r="4065" spans="17:17" x14ac:dyDescent="0.15">
      <c r="Q4065" s="2"/>
    </row>
    <row r="4066" spans="17:17" x14ac:dyDescent="0.15">
      <c r="Q4066" s="2"/>
    </row>
    <row r="4067" spans="17:17" x14ac:dyDescent="0.15">
      <c r="Q4067" s="2"/>
    </row>
    <row r="4068" spans="17:17" x14ac:dyDescent="0.15">
      <c r="Q4068" s="2"/>
    </row>
    <row r="4069" spans="17:17" x14ac:dyDescent="0.15">
      <c r="Q4069" s="2"/>
    </row>
    <row r="4070" spans="17:17" x14ac:dyDescent="0.15">
      <c r="Q4070" s="2"/>
    </row>
    <row r="4071" spans="17:17" x14ac:dyDescent="0.15">
      <c r="Q4071" s="2"/>
    </row>
    <row r="4072" spans="17:17" x14ac:dyDescent="0.15">
      <c r="Q4072" s="2"/>
    </row>
    <row r="4073" spans="17:17" x14ac:dyDescent="0.15">
      <c r="Q4073" s="2"/>
    </row>
    <row r="4074" spans="17:17" x14ac:dyDescent="0.15">
      <c r="Q4074" s="2"/>
    </row>
    <row r="4075" spans="17:17" x14ac:dyDescent="0.15">
      <c r="Q4075" s="2"/>
    </row>
    <row r="4076" spans="17:17" x14ac:dyDescent="0.15">
      <c r="Q4076" s="2"/>
    </row>
    <row r="4077" spans="17:17" x14ac:dyDescent="0.15">
      <c r="Q4077" s="2"/>
    </row>
    <row r="4078" spans="17:17" x14ac:dyDescent="0.15">
      <c r="Q4078" s="2"/>
    </row>
    <row r="4079" spans="17:17" x14ac:dyDescent="0.15">
      <c r="Q4079" s="2"/>
    </row>
    <row r="4080" spans="17:17" x14ac:dyDescent="0.15">
      <c r="Q4080" s="2"/>
    </row>
    <row r="4081" spans="17:17" x14ac:dyDescent="0.15">
      <c r="Q4081" s="2"/>
    </row>
    <row r="4082" spans="17:17" x14ac:dyDescent="0.15">
      <c r="Q4082" s="2"/>
    </row>
    <row r="4083" spans="17:17" x14ac:dyDescent="0.15">
      <c r="Q4083" s="2"/>
    </row>
    <row r="4084" spans="17:17" x14ac:dyDescent="0.15">
      <c r="Q4084" s="2"/>
    </row>
    <row r="4085" spans="17:17" x14ac:dyDescent="0.15">
      <c r="Q4085" s="2"/>
    </row>
    <row r="4086" spans="17:17" x14ac:dyDescent="0.15">
      <c r="Q4086" s="2"/>
    </row>
    <row r="4087" spans="17:17" x14ac:dyDescent="0.15">
      <c r="Q4087" s="2"/>
    </row>
    <row r="4088" spans="17:17" x14ac:dyDescent="0.15">
      <c r="Q4088" s="2"/>
    </row>
    <row r="4089" spans="17:17" x14ac:dyDescent="0.15">
      <c r="Q4089" s="2"/>
    </row>
    <row r="4090" spans="17:17" x14ac:dyDescent="0.15">
      <c r="Q4090" s="2"/>
    </row>
    <row r="4091" spans="17:17" x14ac:dyDescent="0.15">
      <c r="Q4091" s="2"/>
    </row>
    <row r="4092" spans="17:17" x14ac:dyDescent="0.15">
      <c r="Q4092" s="2"/>
    </row>
    <row r="4093" spans="17:17" x14ac:dyDescent="0.15">
      <c r="Q4093" s="2"/>
    </row>
    <row r="4094" spans="17:17" x14ac:dyDescent="0.15">
      <c r="Q4094" s="2"/>
    </row>
    <row r="4095" spans="17:17" x14ac:dyDescent="0.15">
      <c r="Q4095" s="2"/>
    </row>
    <row r="4096" spans="17:17" x14ac:dyDescent="0.15">
      <c r="Q4096" s="2"/>
    </row>
    <row r="4097" spans="17:17" x14ac:dyDescent="0.15">
      <c r="Q4097" s="2"/>
    </row>
    <row r="4098" spans="17:17" x14ac:dyDescent="0.15">
      <c r="Q4098" s="2"/>
    </row>
    <row r="4099" spans="17:17" x14ac:dyDescent="0.15">
      <c r="Q4099" s="2"/>
    </row>
    <row r="4100" spans="17:17" x14ac:dyDescent="0.15">
      <c r="Q4100" s="2"/>
    </row>
    <row r="4101" spans="17:17" x14ac:dyDescent="0.15">
      <c r="Q4101" s="2"/>
    </row>
    <row r="4102" spans="17:17" x14ac:dyDescent="0.15">
      <c r="Q4102" s="2"/>
    </row>
    <row r="4103" spans="17:17" x14ac:dyDescent="0.15">
      <c r="Q4103" s="2"/>
    </row>
    <row r="4104" spans="17:17" x14ac:dyDescent="0.15">
      <c r="Q4104" s="2"/>
    </row>
    <row r="4105" spans="17:17" x14ac:dyDescent="0.15">
      <c r="Q4105" s="2"/>
    </row>
    <row r="4106" spans="17:17" x14ac:dyDescent="0.15">
      <c r="Q4106" s="2"/>
    </row>
    <row r="4107" spans="17:17" x14ac:dyDescent="0.15">
      <c r="Q4107" s="2"/>
    </row>
    <row r="4108" spans="17:17" x14ac:dyDescent="0.15">
      <c r="Q4108" s="2"/>
    </row>
    <row r="4109" spans="17:17" x14ac:dyDescent="0.15">
      <c r="Q4109" s="2"/>
    </row>
    <row r="4110" spans="17:17" x14ac:dyDescent="0.15">
      <c r="Q4110" s="2"/>
    </row>
    <row r="4111" spans="17:17" x14ac:dyDescent="0.15">
      <c r="Q4111" s="2"/>
    </row>
    <row r="4112" spans="17:17" x14ac:dyDescent="0.15">
      <c r="Q4112" s="2"/>
    </row>
    <row r="4113" spans="17:17" x14ac:dyDescent="0.15">
      <c r="Q4113" s="2"/>
    </row>
    <row r="4114" spans="17:17" x14ac:dyDescent="0.15">
      <c r="Q4114" s="2"/>
    </row>
    <row r="4115" spans="17:17" x14ac:dyDescent="0.15">
      <c r="Q4115" s="2"/>
    </row>
    <row r="4116" spans="17:17" x14ac:dyDescent="0.15">
      <c r="Q4116" s="2"/>
    </row>
    <row r="4117" spans="17:17" x14ac:dyDescent="0.15">
      <c r="Q4117" s="2"/>
    </row>
    <row r="4118" spans="17:17" x14ac:dyDescent="0.15">
      <c r="Q4118" s="2"/>
    </row>
    <row r="4119" spans="17:17" x14ac:dyDescent="0.15">
      <c r="Q4119" s="2"/>
    </row>
    <row r="4120" spans="17:17" x14ac:dyDescent="0.15">
      <c r="Q4120" s="2"/>
    </row>
    <row r="4121" spans="17:17" x14ac:dyDescent="0.15">
      <c r="Q4121" s="2"/>
    </row>
    <row r="4122" spans="17:17" x14ac:dyDescent="0.15">
      <c r="Q4122" s="2"/>
    </row>
    <row r="4123" spans="17:17" x14ac:dyDescent="0.15">
      <c r="Q4123" s="2"/>
    </row>
    <row r="4124" spans="17:17" x14ac:dyDescent="0.15">
      <c r="Q4124" s="2"/>
    </row>
    <row r="4125" spans="17:17" x14ac:dyDescent="0.15">
      <c r="Q4125" s="2"/>
    </row>
    <row r="4126" spans="17:17" x14ac:dyDescent="0.15">
      <c r="Q4126" s="2"/>
    </row>
    <row r="4127" spans="17:17" x14ac:dyDescent="0.15">
      <c r="Q4127" s="2"/>
    </row>
    <row r="4128" spans="17:17" x14ac:dyDescent="0.15">
      <c r="Q4128" s="2"/>
    </row>
    <row r="4129" spans="17:17" x14ac:dyDescent="0.15">
      <c r="Q4129" s="2"/>
    </row>
    <row r="4130" spans="17:17" x14ac:dyDescent="0.15">
      <c r="Q4130" s="2"/>
    </row>
    <row r="4131" spans="17:17" x14ac:dyDescent="0.15">
      <c r="Q4131" s="2"/>
    </row>
    <row r="4132" spans="17:17" x14ac:dyDescent="0.15">
      <c r="Q4132" s="2"/>
    </row>
    <row r="4133" spans="17:17" x14ac:dyDescent="0.15">
      <c r="Q4133" s="2"/>
    </row>
    <row r="4134" spans="17:17" x14ac:dyDescent="0.15">
      <c r="Q4134" s="2"/>
    </row>
    <row r="4135" spans="17:17" x14ac:dyDescent="0.15">
      <c r="Q4135" s="2"/>
    </row>
    <row r="4136" spans="17:17" x14ac:dyDescent="0.15">
      <c r="Q4136" s="2"/>
    </row>
    <row r="4137" spans="17:17" x14ac:dyDescent="0.15">
      <c r="Q4137" s="2"/>
    </row>
    <row r="4138" spans="17:17" x14ac:dyDescent="0.15">
      <c r="Q4138" s="2"/>
    </row>
    <row r="4139" spans="17:17" x14ac:dyDescent="0.15">
      <c r="Q4139" s="2"/>
    </row>
    <row r="4140" spans="17:17" x14ac:dyDescent="0.15">
      <c r="Q4140" s="2"/>
    </row>
    <row r="4141" spans="17:17" x14ac:dyDescent="0.15">
      <c r="Q4141" s="2"/>
    </row>
    <row r="4142" spans="17:17" x14ac:dyDescent="0.15">
      <c r="Q4142" s="2"/>
    </row>
    <row r="4143" spans="17:17" x14ac:dyDescent="0.15">
      <c r="Q4143" s="2"/>
    </row>
    <row r="4144" spans="17:17" x14ac:dyDescent="0.15">
      <c r="Q4144" s="2"/>
    </row>
    <row r="4145" spans="17:17" x14ac:dyDescent="0.15">
      <c r="Q4145" s="2"/>
    </row>
    <row r="4146" spans="17:17" x14ac:dyDescent="0.15">
      <c r="Q4146" s="2"/>
    </row>
    <row r="4147" spans="17:17" x14ac:dyDescent="0.15">
      <c r="Q4147" s="2"/>
    </row>
    <row r="4148" spans="17:17" x14ac:dyDescent="0.15">
      <c r="Q4148" s="2"/>
    </row>
    <row r="4149" spans="17:17" x14ac:dyDescent="0.15">
      <c r="Q4149" s="2"/>
    </row>
    <row r="4150" spans="17:17" x14ac:dyDescent="0.15">
      <c r="Q4150" s="2"/>
    </row>
    <row r="4151" spans="17:17" x14ac:dyDescent="0.15">
      <c r="Q4151" s="2"/>
    </row>
    <row r="4152" spans="17:17" x14ac:dyDescent="0.15">
      <c r="Q4152" s="2"/>
    </row>
    <row r="4153" spans="17:17" x14ac:dyDescent="0.15">
      <c r="Q4153" s="2"/>
    </row>
    <row r="4154" spans="17:17" x14ac:dyDescent="0.15">
      <c r="Q4154" s="2"/>
    </row>
    <row r="4155" spans="17:17" x14ac:dyDescent="0.15">
      <c r="Q4155" s="2"/>
    </row>
    <row r="4156" spans="17:17" x14ac:dyDescent="0.15">
      <c r="Q4156" s="2"/>
    </row>
    <row r="4157" spans="17:17" x14ac:dyDescent="0.15">
      <c r="Q4157" s="2"/>
    </row>
    <row r="4158" spans="17:17" x14ac:dyDescent="0.15">
      <c r="Q4158" s="2"/>
    </row>
    <row r="4159" spans="17:17" x14ac:dyDescent="0.15">
      <c r="Q4159" s="2"/>
    </row>
    <row r="4160" spans="17:17" x14ac:dyDescent="0.15">
      <c r="Q4160" s="2"/>
    </row>
    <row r="4161" spans="17:17" x14ac:dyDescent="0.15">
      <c r="Q4161" s="2"/>
    </row>
    <row r="4162" spans="17:17" x14ac:dyDescent="0.15">
      <c r="Q4162" s="2"/>
    </row>
    <row r="4163" spans="17:17" x14ac:dyDescent="0.15">
      <c r="Q4163" s="2"/>
    </row>
    <row r="4164" spans="17:17" x14ac:dyDescent="0.15">
      <c r="Q4164" s="2"/>
    </row>
    <row r="4165" spans="17:17" x14ac:dyDescent="0.15">
      <c r="Q4165" s="2"/>
    </row>
    <row r="4166" spans="17:17" x14ac:dyDescent="0.15">
      <c r="Q4166" s="2"/>
    </row>
    <row r="4167" spans="17:17" x14ac:dyDescent="0.15">
      <c r="Q4167" s="2"/>
    </row>
    <row r="4168" spans="17:17" x14ac:dyDescent="0.15">
      <c r="Q4168" s="2"/>
    </row>
    <row r="4169" spans="17:17" x14ac:dyDescent="0.15">
      <c r="Q4169" s="2"/>
    </row>
    <row r="4170" spans="17:17" x14ac:dyDescent="0.15">
      <c r="Q4170" s="2"/>
    </row>
    <row r="4171" spans="17:17" x14ac:dyDescent="0.15">
      <c r="Q4171" s="2"/>
    </row>
    <row r="4172" spans="17:17" x14ac:dyDescent="0.15">
      <c r="Q4172" s="2"/>
    </row>
    <row r="4173" spans="17:17" x14ac:dyDescent="0.15">
      <c r="Q4173" s="2"/>
    </row>
    <row r="4174" spans="17:17" x14ac:dyDescent="0.15">
      <c r="Q4174" s="2"/>
    </row>
    <row r="4175" spans="17:17" x14ac:dyDescent="0.15">
      <c r="Q4175" s="2"/>
    </row>
    <row r="4176" spans="17:17" x14ac:dyDescent="0.15">
      <c r="Q4176" s="2"/>
    </row>
    <row r="4177" spans="17:17" x14ac:dyDescent="0.15">
      <c r="Q4177" s="2"/>
    </row>
    <row r="4178" spans="17:17" x14ac:dyDescent="0.15">
      <c r="Q4178" s="2"/>
    </row>
    <row r="4179" spans="17:17" x14ac:dyDescent="0.15">
      <c r="Q4179" s="2"/>
    </row>
    <row r="4180" spans="17:17" x14ac:dyDescent="0.15">
      <c r="Q4180" s="2"/>
    </row>
    <row r="4181" spans="17:17" x14ac:dyDescent="0.15">
      <c r="Q4181" s="2"/>
    </row>
    <row r="4182" spans="17:17" x14ac:dyDescent="0.15">
      <c r="Q4182" s="2"/>
    </row>
    <row r="4183" spans="17:17" x14ac:dyDescent="0.15">
      <c r="Q4183" s="2"/>
    </row>
    <row r="4184" spans="17:17" x14ac:dyDescent="0.15">
      <c r="Q4184" s="2"/>
    </row>
    <row r="4185" spans="17:17" x14ac:dyDescent="0.15">
      <c r="Q4185" s="2"/>
    </row>
    <row r="4186" spans="17:17" x14ac:dyDescent="0.15">
      <c r="Q4186" s="2"/>
    </row>
    <row r="4187" spans="17:17" x14ac:dyDescent="0.15">
      <c r="Q4187" s="2"/>
    </row>
    <row r="4188" spans="17:17" x14ac:dyDescent="0.15">
      <c r="Q4188" s="2"/>
    </row>
    <row r="4189" spans="17:17" x14ac:dyDescent="0.15">
      <c r="Q4189" s="2"/>
    </row>
    <row r="4190" spans="17:17" x14ac:dyDescent="0.15">
      <c r="Q4190" s="2"/>
    </row>
    <row r="4191" spans="17:17" x14ac:dyDescent="0.15">
      <c r="Q4191" s="2"/>
    </row>
    <row r="4192" spans="17:17" x14ac:dyDescent="0.15">
      <c r="Q4192" s="2"/>
    </row>
    <row r="4193" spans="17:17" x14ac:dyDescent="0.15">
      <c r="Q4193" s="2"/>
    </row>
    <row r="4194" spans="17:17" x14ac:dyDescent="0.15">
      <c r="Q4194" s="2"/>
    </row>
    <row r="4195" spans="17:17" x14ac:dyDescent="0.15">
      <c r="Q4195" s="2"/>
    </row>
    <row r="4196" spans="17:17" x14ac:dyDescent="0.15">
      <c r="Q4196" s="2"/>
    </row>
    <row r="4197" spans="17:17" x14ac:dyDescent="0.15">
      <c r="Q4197" s="2"/>
    </row>
    <row r="4198" spans="17:17" x14ac:dyDescent="0.15">
      <c r="Q4198" s="2"/>
    </row>
    <row r="4199" spans="17:17" x14ac:dyDescent="0.15">
      <c r="Q4199" s="2"/>
    </row>
    <row r="4200" spans="17:17" x14ac:dyDescent="0.15">
      <c r="Q4200" s="2"/>
    </row>
    <row r="4201" spans="17:17" x14ac:dyDescent="0.15">
      <c r="Q4201" s="2"/>
    </row>
    <row r="4202" spans="17:17" x14ac:dyDescent="0.15">
      <c r="Q4202" s="2"/>
    </row>
    <row r="4203" spans="17:17" x14ac:dyDescent="0.15">
      <c r="Q4203" s="2"/>
    </row>
    <row r="4204" spans="17:17" x14ac:dyDescent="0.15">
      <c r="Q4204" s="2"/>
    </row>
    <row r="4205" spans="17:17" x14ac:dyDescent="0.15">
      <c r="Q4205" s="2"/>
    </row>
    <row r="4206" spans="17:17" x14ac:dyDescent="0.15">
      <c r="Q4206" s="2"/>
    </row>
    <row r="4207" spans="17:17" x14ac:dyDescent="0.15">
      <c r="Q4207" s="2"/>
    </row>
    <row r="4208" spans="17:17" x14ac:dyDescent="0.15">
      <c r="Q4208" s="2"/>
    </row>
    <row r="4209" spans="17:17" x14ac:dyDescent="0.15">
      <c r="Q4209" s="2"/>
    </row>
    <row r="4210" spans="17:17" x14ac:dyDescent="0.15">
      <c r="Q4210" s="2"/>
    </row>
    <row r="4211" spans="17:17" x14ac:dyDescent="0.15">
      <c r="Q4211" s="2"/>
    </row>
    <row r="4212" spans="17:17" x14ac:dyDescent="0.15">
      <c r="Q4212" s="2"/>
    </row>
    <row r="4213" spans="17:17" x14ac:dyDescent="0.15">
      <c r="Q4213" s="2"/>
    </row>
    <row r="4214" spans="17:17" x14ac:dyDescent="0.15">
      <c r="Q4214" s="2"/>
    </row>
    <row r="4215" spans="17:17" x14ac:dyDescent="0.15">
      <c r="Q4215" s="2"/>
    </row>
    <row r="4216" spans="17:17" x14ac:dyDescent="0.15">
      <c r="Q4216" s="2"/>
    </row>
    <row r="4217" spans="17:17" x14ac:dyDescent="0.15">
      <c r="Q4217" s="2"/>
    </row>
    <row r="4218" spans="17:17" x14ac:dyDescent="0.15">
      <c r="Q4218" s="2"/>
    </row>
    <row r="4219" spans="17:17" x14ac:dyDescent="0.15">
      <c r="Q4219" s="2"/>
    </row>
    <row r="4220" spans="17:17" x14ac:dyDescent="0.15">
      <c r="Q4220" s="2"/>
    </row>
    <row r="4221" spans="17:17" x14ac:dyDescent="0.15">
      <c r="Q4221" s="2"/>
    </row>
    <row r="4222" spans="17:17" x14ac:dyDescent="0.15">
      <c r="Q4222" s="2"/>
    </row>
    <row r="4223" spans="17:17" x14ac:dyDescent="0.15">
      <c r="Q4223" s="2"/>
    </row>
    <row r="4224" spans="17:17" x14ac:dyDescent="0.15">
      <c r="Q4224" s="2"/>
    </row>
    <row r="4225" spans="17:17" x14ac:dyDescent="0.15">
      <c r="Q4225" s="2"/>
    </row>
    <row r="4226" spans="17:17" x14ac:dyDescent="0.15">
      <c r="Q4226" s="2"/>
    </row>
    <row r="4227" spans="17:17" x14ac:dyDescent="0.15">
      <c r="Q4227" s="2"/>
    </row>
    <row r="4228" spans="17:17" x14ac:dyDescent="0.15">
      <c r="Q4228" s="2"/>
    </row>
    <row r="4229" spans="17:17" x14ac:dyDescent="0.15">
      <c r="Q4229" s="2"/>
    </row>
    <row r="4230" spans="17:17" x14ac:dyDescent="0.15">
      <c r="Q4230" s="2"/>
    </row>
    <row r="4231" spans="17:17" x14ac:dyDescent="0.15">
      <c r="Q4231" s="2"/>
    </row>
    <row r="4232" spans="17:17" x14ac:dyDescent="0.15">
      <c r="Q4232" s="2"/>
    </row>
    <row r="4233" spans="17:17" x14ac:dyDescent="0.15">
      <c r="Q4233" s="2"/>
    </row>
    <row r="4234" spans="17:17" x14ac:dyDescent="0.15">
      <c r="Q4234" s="2"/>
    </row>
    <row r="4235" spans="17:17" x14ac:dyDescent="0.15">
      <c r="Q4235" s="2"/>
    </row>
    <row r="4236" spans="17:17" x14ac:dyDescent="0.15">
      <c r="Q4236" s="2"/>
    </row>
    <row r="4237" spans="17:17" x14ac:dyDescent="0.15">
      <c r="Q4237" s="2"/>
    </row>
    <row r="4238" spans="17:17" x14ac:dyDescent="0.15">
      <c r="Q4238" s="2"/>
    </row>
    <row r="4239" spans="17:17" x14ac:dyDescent="0.15">
      <c r="Q4239" s="2"/>
    </row>
    <row r="4240" spans="17:17" x14ac:dyDescent="0.15">
      <c r="Q4240" s="2"/>
    </row>
    <row r="4241" spans="17:17" x14ac:dyDescent="0.15">
      <c r="Q4241" s="2"/>
    </row>
    <row r="4242" spans="17:17" x14ac:dyDescent="0.15">
      <c r="Q4242" s="2"/>
    </row>
    <row r="4243" spans="17:17" x14ac:dyDescent="0.15">
      <c r="Q4243" s="2"/>
    </row>
    <row r="4244" spans="17:17" x14ac:dyDescent="0.15">
      <c r="Q4244" s="2"/>
    </row>
    <row r="4245" spans="17:17" x14ac:dyDescent="0.15">
      <c r="Q4245" s="2"/>
    </row>
    <row r="4246" spans="17:17" x14ac:dyDescent="0.15">
      <c r="Q4246" s="2"/>
    </row>
    <row r="4247" spans="17:17" x14ac:dyDescent="0.15">
      <c r="Q4247" s="2"/>
    </row>
    <row r="4248" spans="17:17" x14ac:dyDescent="0.15">
      <c r="Q4248" s="2"/>
    </row>
    <row r="4249" spans="17:17" x14ac:dyDescent="0.15">
      <c r="Q4249" s="2"/>
    </row>
    <row r="4250" spans="17:17" x14ac:dyDescent="0.15">
      <c r="Q4250" s="2"/>
    </row>
    <row r="4251" spans="17:17" x14ac:dyDescent="0.15">
      <c r="Q4251" s="2"/>
    </row>
    <row r="4252" spans="17:17" x14ac:dyDescent="0.15">
      <c r="Q4252" s="2"/>
    </row>
    <row r="4253" spans="17:17" x14ac:dyDescent="0.15">
      <c r="Q4253" s="2"/>
    </row>
    <row r="4254" spans="17:17" x14ac:dyDescent="0.15">
      <c r="Q4254" s="2"/>
    </row>
    <row r="4255" spans="17:17" x14ac:dyDescent="0.15">
      <c r="Q4255" s="2"/>
    </row>
    <row r="4256" spans="17:17" x14ac:dyDescent="0.15">
      <c r="Q4256" s="2"/>
    </row>
    <row r="4257" spans="17:17" x14ac:dyDescent="0.15">
      <c r="Q4257" s="2"/>
    </row>
    <row r="4258" spans="17:17" x14ac:dyDescent="0.15">
      <c r="Q4258" s="2"/>
    </row>
    <row r="4259" spans="17:17" x14ac:dyDescent="0.15">
      <c r="Q4259" s="2"/>
    </row>
    <row r="4260" spans="17:17" x14ac:dyDescent="0.15">
      <c r="Q4260" s="2"/>
    </row>
    <row r="4261" spans="17:17" x14ac:dyDescent="0.15">
      <c r="Q4261" s="2"/>
    </row>
    <row r="4262" spans="17:17" x14ac:dyDescent="0.15">
      <c r="Q4262" s="2"/>
    </row>
    <row r="4263" spans="17:17" x14ac:dyDescent="0.15">
      <c r="Q4263" s="2"/>
    </row>
    <row r="4264" spans="17:17" x14ac:dyDescent="0.15">
      <c r="Q4264" s="2"/>
    </row>
    <row r="4265" spans="17:17" x14ac:dyDescent="0.15">
      <c r="Q4265" s="2"/>
    </row>
    <row r="4266" spans="17:17" x14ac:dyDescent="0.15">
      <c r="Q4266" s="2"/>
    </row>
    <row r="4267" spans="17:17" x14ac:dyDescent="0.15">
      <c r="Q4267" s="2"/>
    </row>
    <row r="4268" spans="17:17" x14ac:dyDescent="0.15">
      <c r="Q4268" s="2"/>
    </row>
    <row r="4269" spans="17:17" x14ac:dyDescent="0.15">
      <c r="Q4269" s="2"/>
    </row>
    <row r="4270" spans="17:17" x14ac:dyDescent="0.15">
      <c r="Q4270" s="2"/>
    </row>
    <row r="4271" spans="17:17" x14ac:dyDescent="0.15">
      <c r="Q4271" s="2"/>
    </row>
    <row r="4272" spans="17:17" x14ac:dyDescent="0.15">
      <c r="Q4272" s="2"/>
    </row>
    <row r="4273" spans="17:17" x14ac:dyDescent="0.15">
      <c r="Q4273" s="2"/>
    </row>
    <row r="4274" spans="17:17" x14ac:dyDescent="0.15">
      <c r="Q4274" s="2"/>
    </row>
    <row r="4275" spans="17:17" x14ac:dyDescent="0.15">
      <c r="Q4275" s="2"/>
    </row>
    <row r="4276" spans="17:17" x14ac:dyDescent="0.15">
      <c r="Q4276" s="2"/>
    </row>
    <row r="4277" spans="17:17" x14ac:dyDescent="0.15">
      <c r="Q4277" s="2"/>
    </row>
    <row r="4278" spans="17:17" x14ac:dyDescent="0.15">
      <c r="Q4278" s="2"/>
    </row>
    <row r="4279" spans="17:17" x14ac:dyDescent="0.15">
      <c r="Q4279" s="2"/>
    </row>
    <row r="4280" spans="17:17" x14ac:dyDescent="0.15">
      <c r="Q4280" s="2"/>
    </row>
    <row r="4281" spans="17:17" x14ac:dyDescent="0.15">
      <c r="Q4281" s="2"/>
    </row>
    <row r="4282" spans="17:17" x14ac:dyDescent="0.15">
      <c r="Q4282" s="2"/>
    </row>
    <row r="4283" spans="17:17" x14ac:dyDescent="0.15">
      <c r="Q4283" s="2"/>
    </row>
    <row r="4284" spans="17:17" x14ac:dyDescent="0.15">
      <c r="Q4284" s="2"/>
    </row>
    <row r="4285" spans="17:17" x14ac:dyDescent="0.15">
      <c r="Q4285" s="2"/>
    </row>
    <row r="4286" spans="17:17" x14ac:dyDescent="0.15">
      <c r="Q4286" s="2"/>
    </row>
    <row r="4287" spans="17:17" x14ac:dyDescent="0.15">
      <c r="Q4287" s="2"/>
    </row>
    <row r="4288" spans="17:17" x14ac:dyDescent="0.15">
      <c r="Q4288" s="2"/>
    </row>
    <row r="4289" spans="17:17" x14ac:dyDescent="0.15">
      <c r="Q4289" s="2"/>
    </row>
    <row r="4290" spans="17:17" x14ac:dyDescent="0.15">
      <c r="Q4290" s="2"/>
    </row>
    <row r="4291" spans="17:17" x14ac:dyDescent="0.15">
      <c r="Q4291" s="2"/>
    </row>
    <row r="4292" spans="17:17" x14ac:dyDescent="0.15">
      <c r="Q4292" s="2"/>
    </row>
    <row r="4293" spans="17:17" x14ac:dyDescent="0.15">
      <c r="Q4293" s="2"/>
    </row>
    <row r="4294" spans="17:17" x14ac:dyDescent="0.15">
      <c r="Q4294" s="2"/>
    </row>
    <row r="4295" spans="17:17" x14ac:dyDescent="0.15">
      <c r="Q4295" s="2"/>
    </row>
    <row r="4296" spans="17:17" x14ac:dyDescent="0.15">
      <c r="Q4296" s="2"/>
    </row>
    <row r="4297" spans="17:17" x14ac:dyDescent="0.15">
      <c r="Q4297" s="2"/>
    </row>
    <row r="4298" spans="17:17" x14ac:dyDescent="0.15">
      <c r="Q4298" s="2"/>
    </row>
    <row r="4299" spans="17:17" x14ac:dyDescent="0.15">
      <c r="Q4299" s="2"/>
    </row>
    <row r="4300" spans="17:17" x14ac:dyDescent="0.15">
      <c r="Q4300" s="2"/>
    </row>
    <row r="4301" spans="17:17" x14ac:dyDescent="0.15">
      <c r="Q4301" s="2"/>
    </row>
    <row r="4302" spans="17:17" x14ac:dyDescent="0.15">
      <c r="Q4302" s="2"/>
    </row>
    <row r="4303" spans="17:17" x14ac:dyDescent="0.15">
      <c r="Q4303" s="2"/>
    </row>
    <row r="4304" spans="17:17" x14ac:dyDescent="0.15">
      <c r="Q4304" s="2"/>
    </row>
    <row r="4305" spans="17:17" x14ac:dyDescent="0.15">
      <c r="Q4305" s="2"/>
    </row>
    <row r="4306" spans="17:17" x14ac:dyDescent="0.15">
      <c r="Q4306" s="2"/>
    </row>
    <row r="4307" spans="17:17" x14ac:dyDescent="0.15">
      <c r="Q4307" s="2"/>
    </row>
    <row r="4308" spans="17:17" x14ac:dyDescent="0.15">
      <c r="Q4308" s="2"/>
    </row>
    <row r="4309" spans="17:17" x14ac:dyDescent="0.15">
      <c r="Q4309" s="2"/>
    </row>
    <row r="4310" spans="17:17" x14ac:dyDescent="0.15">
      <c r="Q4310" s="2"/>
    </row>
    <row r="4311" spans="17:17" x14ac:dyDescent="0.15">
      <c r="Q4311" s="2"/>
    </row>
    <row r="4312" spans="17:17" x14ac:dyDescent="0.15">
      <c r="Q4312" s="2"/>
    </row>
    <row r="4313" spans="17:17" x14ac:dyDescent="0.15">
      <c r="Q4313" s="2"/>
    </row>
    <row r="4314" spans="17:17" x14ac:dyDescent="0.15">
      <c r="Q4314" s="2"/>
    </row>
    <row r="4315" spans="17:17" x14ac:dyDescent="0.15">
      <c r="Q4315" s="2"/>
    </row>
    <row r="4316" spans="17:17" x14ac:dyDescent="0.15">
      <c r="Q4316" s="2"/>
    </row>
    <row r="4317" spans="17:17" x14ac:dyDescent="0.15">
      <c r="Q4317" s="2"/>
    </row>
    <row r="4318" spans="17:17" x14ac:dyDescent="0.15">
      <c r="Q4318" s="2"/>
    </row>
    <row r="4319" spans="17:17" x14ac:dyDescent="0.15">
      <c r="Q4319" s="2"/>
    </row>
    <row r="4320" spans="17:17" x14ac:dyDescent="0.15">
      <c r="Q4320" s="2"/>
    </row>
    <row r="4321" spans="17:17" x14ac:dyDescent="0.15">
      <c r="Q4321" s="2"/>
    </row>
    <row r="4322" spans="17:17" x14ac:dyDescent="0.15">
      <c r="Q4322" s="2"/>
    </row>
    <row r="4323" spans="17:17" x14ac:dyDescent="0.15">
      <c r="Q4323" s="2"/>
    </row>
    <row r="4324" spans="17:17" x14ac:dyDescent="0.15">
      <c r="Q4324" s="2"/>
    </row>
    <row r="4325" spans="17:17" x14ac:dyDescent="0.15">
      <c r="Q4325" s="2"/>
    </row>
    <row r="4326" spans="17:17" x14ac:dyDescent="0.15">
      <c r="Q4326" s="2"/>
    </row>
    <row r="4327" spans="17:17" x14ac:dyDescent="0.15">
      <c r="Q4327" s="2"/>
    </row>
    <row r="4328" spans="17:17" x14ac:dyDescent="0.15">
      <c r="Q4328" s="2"/>
    </row>
    <row r="4329" spans="17:17" x14ac:dyDescent="0.15">
      <c r="Q4329" s="2"/>
    </row>
    <row r="4330" spans="17:17" x14ac:dyDescent="0.15">
      <c r="Q4330" s="2"/>
    </row>
    <row r="4331" spans="17:17" x14ac:dyDescent="0.15">
      <c r="Q4331" s="2"/>
    </row>
    <row r="4332" spans="17:17" x14ac:dyDescent="0.15">
      <c r="Q4332" s="2"/>
    </row>
    <row r="4333" spans="17:17" x14ac:dyDescent="0.15">
      <c r="Q4333" s="2"/>
    </row>
    <row r="4334" spans="17:17" x14ac:dyDescent="0.15">
      <c r="Q4334" s="2"/>
    </row>
    <row r="4335" spans="17:17" x14ac:dyDescent="0.15">
      <c r="Q4335" s="2"/>
    </row>
    <row r="4336" spans="17:17" x14ac:dyDescent="0.15">
      <c r="Q4336" s="2"/>
    </row>
    <row r="4337" spans="17:17" x14ac:dyDescent="0.15">
      <c r="Q4337" s="2"/>
    </row>
    <row r="4338" spans="17:17" x14ac:dyDescent="0.15">
      <c r="Q4338" s="2"/>
    </row>
    <row r="4339" spans="17:17" x14ac:dyDescent="0.15">
      <c r="Q4339" s="2"/>
    </row>
    <row r="4340" spans="17:17" x14ac:dyDescent="0.15">
      <c r="Q4340" s="2"/>
    </row>
    <row r="4341" spans="17:17" x14ac:dyDescent="0.15">
      <c r="Q4341" s="2"/>
    </row>
    <row r="4342" spans="17:17" x14ac:dyDescent="0.15">
      <c r="Q4342" s="2"/>
    </row>
    <row r="4343" spans="17:17" x14ac:dyDescent="0.15">
      <c r="Q4343" s="2"/>
    </row>
    <row r="4344" spans="17:17" x14ac:dyDescent="0.15">
      <c r="Q4344" s="2"/>
    </row>
    <row r="4345" spans="17:17" x14ac:dyDescent="0.15">
      <c r="Q4345" s="2"/>
    </row>
    <row r="4346" spans="17:17" x14ac:dyDescent="0.15">
      <c r="Q4346" s="2"/>
    </row>
    <row r="4347" spans="17:17" x14ac:dyDescent="0.15">
      <c r="Q4347" s="2"/>
    </row>
    <row r="4348" spans="17:17" x14ac:dyDescent="0.15">
      <c r="Q4348" s="2"/>
    </row>
    <row r="4349" spans="17:17" x14ac:dyDescent="0.15">
      <c r="Q4349" s="2"/>
    </row>
    <row r="4350" spans="17:17" x14ac:dyDescent="0.15">
      <c r="Q4350" s="2"/>
    </row>
    <row r="4351" spans="17:17" x14ac:dyDescent="0.15">
      <c r="Q4351" s="2"/>
    </row>
    <row r="4352" spans="17:17" x14ac:dyDescent="0.15">
      <c r="Q4352" s="2"/>
    </row>
    <row r="4353" spans="17:17" x14ac:dyDescent="0.15">
      <c r="Q4353" s="2"/>
    </row>
    <row r="4354" spans="17:17" x14ac:dyDescent="0.15">
      <c r="Q4354" s="2"/>
    </row>
    <row r="4355" spans="17:17" x14ac:dyDescent="0.15">
      <c r="Q4355" s="2"/>
    </row>
    <row r="4356" spans="17:17" x14ac:dyDescent="0.15">
      <c r="Q4356" s="2"/>
    </row>
    <row r="4357" spans="17:17" x14ac:dyDescent="0.15">
      <c r="Q4357" s="2"/>
    </row>
    <row r="4358" spans="17:17" x14ac:dyDescent="0.15">
      <c r="Q4358" s="2"/>
    </row>
    <row r="4359" spans="17:17" x14ac:dyDescent="0.15">
      <c r="Q4359" s="2"/>
    </row>
    <row r="4360" spans="17:17" x14ac:dyDescent="0.15">
      <c r="Q4360" s="2"/>
    </row>
    <row r="4361" spans="17:17" x14ac:dyDescent="0.15">
      <c r="Q4361" s="2"/>
    </row>
    <row r="4362" spans="17:17" x14ac:dyDescent="0.15">
      <c r="Q4362" s="2"/>
    </row>
    <row r="4363" spans="17:17" x14ac:dyDescent="0.15">
      <c r="Q4363" s="2"/>
    </row>
    <row r="4364" spans="17:17" x14ac:dyDescent="0.15">
      <c r="Q4364" s="2"/>
    </row>
    <row r="4365" spans="17:17" x14ac:dyDescent="0.15">
      <c r="Q4365" s="2"/>
    </row>
    <row r="4366" spans="17:17" x14ac:dyDescent="0.15">
      <c r="Q4366" s="2"/>
    </row>
    <row r="4367" spans="17:17" x14ac:dyDescent="0.15">
      <c r="Q4367" s="2"/>
    </row>
    <row r="4368" spans="17:17" x14ac:dyDescent="0.15">
      <c r="Q4368" s="2"/>
    </row>
    <row r="4369" spans="17:17" x14ac:dyDescent="0.15">
      <c r="Q4369" s="2"/>
    </row>
    <row r="4370" spans="17:17" x14ac:dyDescent="0.15">
      <c r="Q4370" s="2"/>
    </row>
    <row r="4371" spans="17:17" x14ac:dyDescent="0.15">
      <c r="Q4371" s="2"/>
    </row>
    <row r="4372" spans="17:17" x14ac:dyDescent="0.15">
      <c r="Q4372" s="2"/>
    </row>
    <row r="4373" spans="17:17" x14ac:dyDescent="0.15">
      <c r="Q4373" s="2"/>
    </row>
    <row r="4374" spans="17:17" x14ac:dyDescent="0.15">
      <c r="Q4374" s="2"/>
    </row>
    <row r="4375" spans="17:17" x14ac:dyDescent="0.15">
      <c r="Q4375" s="2"/>
    </row>
    <row r="4376" spans="17:17" x14ac:dyDescent="0.15">
      <c r="Q4376" s="2"/>
    </row>
    <row r="4377" spans="17:17" x14ac:dyDescent="0.15">
      <c r="Q4377" s="2"/>
    </row>
    <row r="4378" spans="17:17" x14ac:dyDescent="0.15">
      <c r="Q4378" s="2"/>
    </row>
    <row r="4379" spans="17:17" x14ac:dyDescent="0.15">
      <c r="Q4379" s="2"/>
    </row>
    <row r="4380" spans="17:17" x14ac:dyDescent="0.15">
      <c r="Q4380" s="2"/>
    </row>
    <row r="4381" spans="17:17" x14ac:dyDescent="0.15">
      <c r="Q4381" s="2"/>
    </row>
    <row r="4382" spans="17:17" x14ac:dyDescent="0.15">
      <c r="Q4382" s="2"/>
    </row>
    <row r="4383" spans="17:17" x14ac:dyDescent="0.15">
      <c r="Q4383" s="2"/>
    </row>
    <row r="4384" spans="17:17" x14ac:dyDescent="0.15">
      <c r="Q4384" s="2"/>
    </row>
    <row r="4385" spans="17:17" x14ac:dyDescent="0.15">
      <c r="Q4385" s="2"/>
    </row>
    <row r="4386" spans="17:17" x14ac:dyDescent="0.15">
      <c r="Q4386" s="2"/>
    </row>
    <row r="4387" spans="17:17" x14ac:dyDescent="0.15">
      <c r="Q4387" s="2"/>
    </row>
    <row r="4388" spans="17:17" x14ac:dyDescent="0.15">
      <c r="Q4388" s="2"/>
    </row>
    <row r="4389" spans="17:17" x14ac:dyDescent="0.15">
      <c r="Q4389" s="2"/>
    </row>
    <row r="4390" spans="17:17" x14ac:dyDescent="0.15">
      <c r="Q4390" s="2"/>
    </row>
    <row r="4391" spans="17:17" x14ac:dyDescent="0.15">
      <c r="Q4391" s="2"/>
    </row>
    <row r="4392" spans="17:17" x14ac:dyDescent="0.15">
      <c r="Q4392" s="2"/>
    </row>
    <row r="4393" spans="17:17" x14ac:dyDescent="0.15">
      <c r="Q4393" s="2"/>
    </row>
    <row r="4394" spans="17:17" x14ac:dyDescent="0.15">
      <c r="Q4394" s="2"/>
    </row>
    <row r="4395" spans="17:17" x14ac:dyDescent="0.15">
      <c r="Q4395" s="2"/>
    </row>
    <row r="4396" spans="17:17" x14ac:dyDescent="0.15">
      <c r="Q4396" s="2"/>
    </row>
    <row r="4397" spans="17:17" x14ac:dyDescent="0.15">
      <c r="Q4397" s="2"/>
    </row>
    <row r="4398" spans="17:17" x14ac:dyDescent="0.15">
      <c r="Q4398" s="2"/>
    </row>
    <row r="4399" spans="17:17" x14ac:dyDescent="0.15">
      <c r="Q4399" s="2"/>
    </row>
    <row r="4400" spans="17:17" x14ac:dyDescent="0.15">
      <c r="Q4400" s="2"/>
    </row>
    <row r="4401" spans="17:17" x14ac:dyDescent="0.15">
      <c r="Q4401" s="2"/>
    </row>
    <row r="4402" spans="17:17" x14ac:dyDescent="0.15">
      <c r="Q4402" s="2"/>
    </row>
    <row r="4403" spans="17:17" x14ac:dyDescent="0.15">
      <c r="Q4403" s="2"/>
    </row>
    <row r="4404" spans="17:17" x14ac:dyDescent="0.15">
      <c r="Q4404" s="2"/>
    </row>
    <row r="4405" spans="17:17" x14ac:dyDescent="0.15">
      <c r="Q4405" s="2"/>
    </row>
    <row r="4406" spans="17:17" x14ac:dyDescent="0.15">
      <c r="Q4406" s="2"/>
    </row>
    <row r="4407" spans="17:17" x14ac:dyDescent="0.15">
      <c r="Q4407" s="2"/>
    </row>
    <row r="4408" spans="17:17" x14ac:dyDescent="0.15">
      <c r="Q4408" s="2"/>
    </row>
    <row r="4409" spans="17:17" x14ac:dyDescent="0.15">
      <c r="Q4409" s="2"/>
    </row>
    <row r="4410" spans="17:17" x14ac:dyDescent="0.15">
      <c r="Q4410" s="2"/>
    </row>
    <row r="4411" spans="17:17" x14ac:dyDescent="0.15">
      <c r="Q4411" s="2"/>
    </row>
    <row r="4412" spans="17:17" x14ac:dyDescent="0.15">
      <c r="Q4412" s="2"/>
    </row>
    <row r="4413" spans="17:17" x14ac:dyDescent="0.15">
      <c r="Q4413" s="2"/>
    </row>
    <row r="4414" spans="17:17" x14ac:dyDescent="0.15">
      <c r="Q4414" s="2"/>
    </row>
    <row r="4415" spans="17:17" x14ac:dyDescent="0.15">
      <c r="Q4415" s="2"/>
    </row>
    <row r="4416" spans="17:17" x14ac:dyDescent="0.15">
      <c r="Q4416" s="2"/>
    </row>
    <row r="4417" spans="17:17" x14ac:dyDescent="0.15">
      <c r="Q4417" s="2"/>
    </row>
    <row r="4418" spans="17:17" x14ac:dyDescent="0.15">
      <c r="Q4418" s="2"/>
    </row>
    <row r="4419" spans="17:17" x14ac:dyDescent="0.15">
      <c r="Q4419" s="2"/>
    </row>
    <row r="4420" spans="17:17" x14ac:dyDescent="0.15">
      <c r="Q4420" s="2"/>
    </row>
    <row r="4421" spans="17:17" x14ac:dyDescent="0.15">
      <c r="Q4421" s="2"/>
    </row>
    <row r="4422" spans="17:17" x14ac:dyDescent="0.15">
      <c r="Q4422" s="2"/>
    </row>
    <row r="4423" spans="17:17" x14ac:dyDescent="0.15">
      <c r="Q4423" s="2"/>
    </row>
    <row r="4424" spans="17:17" x14ac:dyDescent="0.15">
      <c r="Q4424" s="2"/>
    </row>
    <row r="4425" spans="17:17" x14ac:dyDescent="0.15">
      <c r="Q4425" s="2"/>
    </row>
    <row r="4426" spans="17:17" x14ac:dyDescent="0.15">
      <c r="Q4426" s="2"/>
    </row>
    <row r="4427" spans="17:17" x14ac:dyDescent="0.15">
      <c r="Q4427" s="2"/>
    </row>
    <row r="4428" spans="17:17" x14ac:dyDescent="0.15">
      <c r="Q4428" s="2"/>
    </row>
    <row r="4429" spans="17:17" x14ac:dyDescent="0.15">
      <c r="Q4429" s="2"/>
    </row>
    <row r="4430" spans="17:17" x14ac:dyDescent="0.15">
      <c r="Q4430" s="2"/>
    </row>
    <row r="4431" spans="17:17" x14ac:dyDescent="0.15">
      <c r="Q4431" s="2"/>
    </row>
    <row r="4432" spans="17:17" x14ac:dyDescent="0.15">
      <c r="Q4432" s="2"/>
    </row>
    <row r="4433" spans="17:17" x14ac:dyDescent="0.15">
      <c r="Q4433" s="2"/>
    </row>
    <row r="4434" spans="17:17" x14ac:dyDescent="0.15">
      <c r="Q4434" s="2"/>
    </row>
    <row r="4435" spans="17:17" x14ac:dyDescent="0.15">
      <c r="Q4435" s="2"/>
    </row>
    <row r="4436" spans="17:17" x14ac:dyDescent="0.15">
      <c r="Q4436" s="2"/>
    </row>
    <row r="4437" spans="17:17" x14ac:dyDescent="0.15">
      <c r="Q4437" s="2"/>
    </row>
    <row r="4438" spans="17:17" x14ac:dyDescent="0.15">
      <c r="Q4438" s="2"/>
    </row>
    <row r="4439" spans="17:17" x14ac:dyDescent="0.15">
      <c r="Q4439" s="2"/>
    </row>
    <row r="4440" spans="17:17" x14ac:dyDescent="0.15">
      <c r="Q4440" s="2"/>
    </row>
    <row r="4441" spans="17:17" x14ac:dyDescent="0.15">
      <c r="Q4441" s="2"/>
    </row>
    <row r="4442" spans="17:17" x14ac:dyDescent="0.15">
      <c r="Q4442" s="2"/>
    </row>
    <row r="4443" spans="17:17" x14ac:dyDescent="0.15">
      <c r="Q4443" s="2"/>
    </row>
    <row r="4444" spans="17:17" x14ac:dyDescent="0.15">
      <c r="Q4444" s="2"/>
    </row>
    <row r="4445" spans="17:17" x14ac:dyDescent="0.15">
      <c r="Q4445" s="2"/>
    </row>
    <row r="4446" spans="17:17" x14ac:dyDescent="0.15">
      <c r="Q4446" s="2"/>
    </row>
    <row r="4447" spans="17:17" x14ac:dyDescent="0.15">
      <c r="Q4447" s="2"/>
    </row>
    <row r="4448" spans="17:17" x14ac:dyDescent="0.15">
      <c r="Q4448" s="2"/>
    </row>
    <row r="4449" spans="17:17" x14ac:dyDescent="0.15">
      <c r="Q4449" s="2"/>
    </row>
    <row r="4450" spans="17:17" x14ac:dyDescent="0.15">
      <c r="Q4450" s="2"/>
    </row>
    <row r="4451" spans="17:17" x14ac:dyDescent="0.15">
      <c r="Q4451" s="2"/>
    </row>
    <row r="4452" spans="17:17" x14ac:dyDescent="0.15">
      <c r="Q4452" s="2"/>
    </row>
    <row r="4453" spans="17:17" x14ac:dyDescent="0.15">
      <c r="Q4453" s="2"/>
    </row>
    <row r="4454" spans="17:17" x14ac:dyDescent="0.15">
      <c r="Q4454" s="2"/>
    </row>
    <row r="4455" spans="17:17" x14ac:dyDescent="0.15">
      <c r="Q4455" s="2"/>
    </row>
    <row r="4456" spans="17:17" x14ac:dyDescent="0.15">
      <c r="Q4456" s="2"/>
    </row>
    <row r="4457" spans="17:17" x14ac:dyDescent="0.15">
      <c r="Q4457" s="2"/>
    </row>
    <row r="4458" spans="17:17" x14ac:dyDescent="0.15">
      <c r="Q4458" s="2"/>
    </row>
    <row r="4459" spans="17:17" x14ac:dyDescent="0.15">
      <c r="Q4459" s="2"/>
    </row>
    <row r="4460" spans="17:17" x14ac:dyDescent="0.15">
      <c r="Q4460" s="2"/>
    </row>
    <row r="4461" spans="17:17" x14ac:dyDescent="0.15">
      <c r="Q4461" s="2"/>
    </row>
    <row r="4462" spans="17:17" x14ac:dyDescent="0.15">
      <c r="Q4462" s="2"/>
    </row>
    <row r="4463" spans="17:17" x14ac:dyDescent="0.15">
      <c r="Q4463" s="2"/>
    </row>
    <row r="4464" spans="17:17" x14ac:dyDescent="0.15">
      <c r="Q4464" s="2"/>
    </row>
    <row r="4465" spans="17:17" x14ac:dyDescent="0.15">
      <c r="Q4465" s="2"/>
    </row>
    <row r="4466" spans="17:17" x14ac:dyDescent="0.15">
      <c r="Q4466" s="2"/>
    </row>
    <row r="4467" spans="17:17" x14ac:dyDescent="0.15">
      <c r="Q4467" s="2"/>
    </row>
    <row r="4468" spans="17:17" x14ac:dyDescent="0.15">
      <c r="Q4468" s="2"/>
    </row>
    <row r="4469" spans="17:17" x14ac:dyDescent="0.15">
      <c r="Q4469" s="2"/>
    </row>
    <row r="4470" spans="17:17" x14ac:dyDescent="0.15">
      <c r="Q4470" s="2"/>
    </row>
    <row r="4471" spans="17:17" x14ac:dyDescent="0.15">
      <c r="Q4471" s="2"/>
    </row>
    <row r="4472" spans="17:17" x14ac:dyDescent="0.15">
      <c r="Q4472" s="2"/>
    </row>
    <row r="4473" spans="17:17" x14ac:dyDescent="0.15">
      <c r="Q4473" s="2"/>
    </row>
    <row r="4474" spans="17:17" x14ac:dyDescent="0.15">
      <c r="Q4474" s="2"/>
    </row>
    <row r="4475" spans="17:17" x14ac:dyDescent="0.15">
      <c r="Q4475" s="2"/>
    </row>
    <row r="4476" spans="17:17" x14ac:dyDescent="0.15">
      <c r="Q4476" s="2"/>
    </row>
    <row r="4477" spans="17:17" x14ac:dyDescent="0.15">
      <c r="Q4477" s="2"/>
    </row>
    <row r="4478" spans="17:17" x14ac:dyDescent="0.15">
      <c r="Q4478" s="2"/>
    </row>
    <row r="4479" spans="17:17" x14ac:dyDescent="0.15">
      <c r="Q4479" s="2"/>
    </row>
    <row r="4480" spans="17:17" x14ac:dyDescent="0.15">
      <c r="Q4480" s="2"/>
    </row>
    <row r="4481" spans="17:17" x14ac:dyDescent="0.15">
      <c r="Q4481" s="2"/>
    </row>
    <row r="4482" spans="17:17" x14ac:dyDescent="0.15">
      <c r="Q4482" s="2"/>
    </row>
    <row r="4483" spans="17:17" x14ac:dyDescent="0.15">
      <c r="Q4483" s="2"/>
    </row>
    <row r="4484" spans="17:17" x14ac:dyDescent="0.15">
      <c r="Q4484" s="2"/>
    </row>
    <row r="4485" spans="17:17" x14ac:dyDescent="0.15">
      <c r="Q4485" s="2"/>
    </row>
    <row r="4486" spans="17:17" x14ac:dyDescent="0.15">
      <c r="Q4486" s="2"/>
    </row>
    <row r="4487" spans="17:17" x14ac:dyDescent="0.15">
      <c r="Q4487" s="2"/>
    </row>
    <row r="4488" spans="17:17" x14ac:dyDescent="0.15">
      <c r="Q4488" s="2"/>
    </row>
    <row r="4489" spans="17:17" x14ac:dyDescent="0.15">
      <c r="Q4489" s="2"/>
    </row>
    <row r="4490" spans="17:17" x14ac:dyDescent="0.15">
      <c r="Q4490" s="2"/>
    </row>
    <row r="4491" spans="17:17" x14ac:dyDescent="0.15">
      <c r="Q4491" s="2"/>
    </row>
    <row r="4492" spans="17:17" x14ac:dyDescent="0.15">
      <c r="Q4492" s="2"/>
    </row>
    <row r="4493" spans="17:17" x14ac:dyDescent="0.15">
      <c r="Q4493" s="2"/>
    </row>
    <row r="4494" spans="17:17" x14ac:dyDescent="0.15">
      <c r="Q4494" s="2"/>
    </row>
    <row r="4495" spans="17:17" x14ac:dyDescent="0.15">
      <c r="Q4495" s="2"/>
    </row>
    <row r="4496" spans="17:17" x14ac:dyDescent="0.15">
      <c r="Q4496" s="2"/>
    </row>
    <row r="4497" spans="17:17" x14ac:dyDescent="0.15">
      <c r="Q4497" s="2"/>
    </row>
    <row r="4498" spans="17:17" x14ac:dyDescent="0.15">
      <c r="Q4498" s="2"/>
    </row>
    <row r="4499" spans="17:17" x14ac:dyDescent="0.15">
      <c r="Q4499" s="2"/>
    </row>
    <row r="4500" spans="17:17" x14ac:dyDescent="0.15">
      <c r="Q4500" s="2"/>
    </row>
    <row r="4501" spans="17:17" x14ac:dyDescent="0.15">
      <c r="Q4501" s="2"/>
    </row>
    <row r="4502" spans="17:17" x14ac:dyDescent="0.15">
      <c r="Q4502" s="2"/>
    </row>
    <row r="4503" spans="17:17" x14ac:dyDescent="0.15">
      <c r="Q4503" s="2"/>
    </row>
    <row r="4504" spans="17:17" x14ac:dyDescent="0.15">
      <c r="Q4504" s="2"/>
    </row>
    <row r="4505" spans="17:17" x14ac:dyDescent="0.15">
      <c r="Q4505" s="2"/>
    </row>
    <row r="4506" spans="17:17" x14ac:dyDescent="0.15">
      <c r="Q4506" s="2"/>
    </row>
    <row r="4507" spans="17:17" x14ac:dyDescent="0.15">
      <c r="Q4507" s="2"/>
    </row>
    <row r="4508" spans="17:17" x14ac:dyDescent="0.15">
      <c r="Q4508" s="2"/>
    </row>
    <row r="4509" spans="17:17" x14ac:dyDescent="0.15">
      <c r="Q4509" s="2"/>
    </row>
    <row r="4510" spans="17:17" x14ac:dyDescent="0.15">
      <c r="Q4510" s="2"/>
    </row>
    <row r="4511" spans="17:17" x14ac:dyDescent="0.15">
      <c r="Q4511" s="2"/>
    </row>
    <row r="4512" spans="17:17" x14ac:dyDescent="0.15">
      <c r="Q4512" s="2"/>
    </row>
    <row r="4513" spans="17:17" x14ac:dyDescent="0.15">
      <c r="Q4513" s="2"/>
    </row>
    <row r="4514" spans="17:17" x14ac:dyDescent="0.15">
      <c r="Q4514" s="2"/>
    </row>
    <row r="4515" spans="17:17" x14ac:dyDescent="0.15">
      <c r="Q4515" s="2"/>
    </row>
    <row r="4516" spans="17:17" x14ac:dyDescent="0.15">
      <c r="Q4516" s="2"/>
    </row>
    <row r="4517" spans="17:17" x14ac:dyDescent="0.15">
      <c r="Q4517" s="2"/>
    </row>
    <row r="4518" spans="17:17" x14ac:dyDescent="0.15">
      <c r="Q4518" s="2"/>
    </row>
    <row r="4519" spans="17:17" x14ac:dyDescent="0.15">
      <c r="Q4519" s="2"/>
    </row>
    <row r="4520" spans="17:17" x14ac:dyDescent="0.15">
      <c r="Q4520" s="2"/>
    </row>
    <row r="4521" spans="17:17" x14ac:dyDescent="0.15">
      <c r="Q4521" s="2"/>
    </row>
    <row r="4522" spans="17:17" x14ac:dyDescent="0.15">
      <c r="Q4522" s="2"/>
    </row>
    <row r="4523" spans="17:17" x14ac:dyDescent="0.15">
      <c r="Q4523" s="2"/>
    </row>
    <row r="4524" spans="17:17" x14ac:dyDescent="0.15">
      <c r="Q4524" s="2"/>
    </row>
    <row r="4525" spans="17:17" x14ac:dyDescent="0.15">
      <c r="Q4525" s="2"/>
    </row>
    <row r="4526" spans="17:17" x14ac:dyDescent="0.15">
      <c r="Q4526" s="2"/>
    </row>
    <row r="4527" spans="17:17" x14ac:dyDescent="0.15">
      <c r="Q4527" s="2"/>
    </row>
    <row r="4528" spans="17:17" x14ac:dyDescent="0.15">
      <c r="Q4528" s="2"/>
    </row>
    <row r="4529" spans="17:17" x14ac:dyDescent="0.15">
      <c r="Q4529" s="2"/>
    </row>
    <row r="4530" spans="17:17" x14ac:dyDescent="0.15">
      <c r="Q4530" s="2"/>
    </row>
    <row r="4531" spans="17:17" x14ac:dyDescent="0.15">
      <c r="Q4531" s="2"/>
    </row>
    <row r="4532" spans="17:17" x14ac:dyDescent="0.15">
      <c r="Q4532" s="2"/>
    </row>
    <row r="4533" spans="17:17" x14ac:dyDescent="0.15">
      <c r="Q4533" s="2"/>
    </row>
    <row r="4534" spans="17:17" x14ac:dyDescent="0.15">
      <c r="Q4534" s="2"/>
    </row>
    <row r="4535" spans="17:17" x14ac:dyDescent="0.15">
      <c r="Q4535" s="2"/>
    </row>
    <row r="4536" spans="17:17" x14ac:dyDescent="0.15">
      <c r="Q4536" s="2"/>
    </row>
    <row r="4537" spans="17:17" x14ac:dyDescent="0.15">
      <c r="Q4537" s="2"/>
    </row>
    <row r="4538" spans="17:17" x14ac:dyDescent="0.15">
      <c r="Q4538" s="2"/>
    </row>
    <row r="4539" spans="17:17" x14ac:dyDescent="0.15">
      <c r="Q4539" s="2"/>
    </row>
    <row r="4540" spans="17:17" x14ac:dyDescent="0.15">
      <c r="Q4540" s="2"/>
    </row>
    <row r="4541" spans="17:17" x14ac:dyDescent="0.15">
      <c r="Q4541" s="2"/>
    </row>
    <row r="4542" spans="17:17" x14ac:dyDescent="0.15">
      <c r="Q4542" s="2"/>
    </row>
    <row r="4543" spans="17:17" x14ac:dyDescent="0.15">
      <c r="Q4543" s="2"/>
    </row>
    <row r="4544" spans="17:17" x14ac:dyDescent="0.15">
      <c r="Q4544" s="2"/>
    </row>
    <row r="4545" spans="17:17" x14ac:dyDescent="0.15">
      <c r="Q4545" s="2"/>
    </row>
    <row r="4546" spans="17:17" x14ac:dyDescent="0.15">
      <c r="Q4546" s="2"/>
    </row>
    <row r="4547" spans="17:17" x14ac:dyDescent="0.15">
      <c r="Q4547" s="2"/>
    </row>
    <row r="4548" spans="17:17" x14ac:dyDescent="0.15">
      <c r="Q4548" s="2"/>
    </row>
    <row r="4549" spans="17:17" x14ac:dyDescent="0.15">
      <c r="Q4549" s="2"/>
    </row>
    <row r="4550" spans="17:17" x14ac:dyDescent="0.15">
      <c r="Q4550" s="2"/>
    </row>
    <row r="4551" spans="17:17" x14ac:dyDescent="0.15">
      <c r="Q4551" s="2"/>
    </row>
    <row r="4552" spans="17:17" x14ac:dyDescent="0.15">
      <c r="Q4552" s="2"/>
    </row>
    <row r="4553" spans="17:17" x14ac:dyDescent="0.15">
      <c r="Q4553" s="2"/>
    </row>
    <row r="4554" spans="17:17" x14ac:dyDescent="0.15">
      <c r="Q4554" s="2"/>
    </row>
    <row r="4555" spans="17:17" x14ac:dyDescent="0.15">
      <c r="Q4555" s="2"/>
    </row>
    <row r="4556" spans="17:17" x14ac:dyDescent="0.15">
      <c r="Q4556" s="2"/>
    </row>
    <row r="4557" spans="17:17" x14ac:dyDescent="0.15">
      <c r="Q4557" s="2"/>
    </row>
    <row r="4558" spans="17:17" x14ac:dyDescent="0.15">
      <c r="Q4558" s="2"/>
    </row>
    <row r="4559" spans="17:17" x14ac:dyDescent="0.15">
      <c r="Q4559" s="2"/>
    </row>
    <row r="4560" spans="17:17" x14ac:dyDescent="0.15">
      <c r="Q4560" s="2"/>
    </row>
    <row r="4561" spans="17:17" x14ac:dyDescent="0.15">
      <c r="Q4561" s="2"/>
    </row>
    <row r="4562" spans="17:17" x14ac:dyDescent="0.15">
      <c r="Q4562" s="2"/>
    </row>
    <row r="4563" spans="17:17" x14ac:dyDescent="0.15">
      <c r="Q4563" s="2"/>
    </row>
    <row r="4564" spans="17:17" x14ac:dyDescent="0.15">
      <c r="Q4564" s="2"/>
    </row>
    <row r="4565" spans="17:17" x14ac:dyDescent="0.15">
      <c r="Q4565" s="2"/>
    </row>
    <row r="4566" spans="17:17" x14ac:dyDescent="0.15">
      <c r="Q4566" s="2"/>
    </row>
    <row r="4567" spans="17:17" x14ac:dyDescent="0.15">
      <c r="Q4567" s="2"/>
    </row>
    <row r="4568" spans="17:17" x14ac:dyDescent="0.15">
      <c r="Q4568" s="2"/>
    </row>
    <row r="4569" spans="17:17" x14ac:dyDescent="0.15">
      <c r="Q4569" s="2"/>
    </row>
    <row r="4570" spans="17:17" x14ac:dyDescent="0.15">
      <c r="Q4570" s="2"/>
    </row>
    <row r="4571" spans="17:17" x14ac:dyDescent="0.15">
      <c r="Q4571" s="2"/>
    </row>
    <row r="4572" spans="17:17" x14ac:dyDescent="0.15">
      <c r="Q4572" s="2"/>
    </row>
    <row r="4573" spans="17:17" x14ac:dyDescent="0.15">
      <c r="Q4573" s="2"/>
    </row>
    <row r="4574" spans="17:17" x14ac:dyDescent="0.15">
      <c r="Q4574" s="2"/>
    </row>
    <row r="4575" spans="17:17" x14ac:dyDescent="0.15">
      <c r="Q4575" s="2"/>
    </row>
    <row r="4576" spans="17:17" x14ac:dyDescent="0.15">
      <c r="Q4576" s="2"/>
    </row>
    <row r="4577" spans="17:17" x14ac:dyDescent="0.15">
      <c r="Q4577" s="2"/>
    </row>
    <row r="4578" spans="17:17" x14ac:dyDescent="0.15">
      <c r="Q4578" s="2"/>
    </row>
    <row r="4579" spans="17:17" x14ac:dyDescent="0.15">
      <c r="Q4579" s="2"/>
    </row>
    <row r="4580" spans="17:17" x14ac:dyDescent="0.15">
      <c r="Q4580" s="2"/>
    </row>
    <row r="4581" spans="17:17" x14ac:dyDescent="0.15">
      <c r="Q4581" s="2"/>
    </row>
    <row r="4582" spans="17:17" x14ac:dyDescent="0.15">
      <c r="Q4582" s="2"/>
    </row>
    <row r="4583" spans="17:17" x14ac:dyDescent="0.15">
      <c r="Q4583" s="2"/>
    </row>
    <row r="4584" spans="17:17" x14ac:dyDescent="0.15">
      <c r="Q4584" s="2"/>
    </row>
    <row r="4585" spans="17:17" x14ac:dyDescent="0.15">
      <c r="Q4585" s="2"/>
    </row>
    <row r="4586" spans="17:17" x14ac:dyDescent="0.15">
      <c r="Q4586" s="2"/>
    </row>
    <row r="4587" spans="17:17" x14ac:dyDescent="0.15">
      <c r="Q4587" s="2"/>
    </row>
    <row r="4588" spans="17:17" x14ac:dyDescent="0.15">
      <c r="Q4588" s="2"/>
    </row>
    <row r="4589" spans="17:17" x14ac:dyDescent="0.15">
      <c r="Q4589" s="2"/>
    </row>
    <row r="4590" spans="17:17" x14ac:dyDescent="0.15">
      <c r="Q4590" s="2"/>
    </row>
    <row r="4591" spans="17:17" x14ac:dyDescent="0.15">
      <c r="Q4591" s="2"/>
    </row>
    <row r="4592" spans="17:17" x14ac:dyDescent="0.15">
      <c r="Q4592" s="2"/>
    </row>
    <row r="4593" spans="17:17" x14ac:dyDescent="0.15">
      <c r="Q4593" s="2"/>
    </row>
    <row r="4594" spans="17:17" x14ac:dyDescent="0.15">
      <c r="Q4594" s="2"/>
    </row>
    <row r="4595" spans="17:17" x14ac:dyDescent="0.15">
      <c r="Q4595" s="2"/>
    </row>
    <row r="4596" spans="17:17" x14ac:dyDescent="0.15">
      <c r="Q4596" s="2"/>
    </row>
    <row r="4597" spans="17:17" x14ac:dyDescent="0.15">
      <c r="Q4597" s="2"/>
    </row>
    <row r="4598" spans="17:17" x14ac:dyDescent="0.15">
      <c r="Q4598" s="2"/>
    </row>
    <row r="4599" spans="17:17" x14ac:dyDescent="0.15">
      <c r="Q4599" s="2"/>
    </row>
    <row r="4600" spans="17:17" x14ac:dyDescent="0.15">
      <c r="Q4600" s="2"/>
    </row>
    <row r="4601" spans="17:17" x14ac:dyDescent="0.15">
      <c r="Q4601" s="2"/>
    </row>
    <row r="4602" spans="17:17" x14ac:dyDescent="0.15">
      <c r="Q4602" s="2"/>
    </row>
    <row r="4603" spans="17:17" x14ac:dyDescent="0.15">
      <c r="Q4603" s="2"/>
    </row>
    <row r="4604" spans="17:17" x14ac:dyDescent="0.15">
      <c r="Q4604" s="2"/>
    </row>
    <row r="4605" spans="17:17" x14ac:dyDescent="0.15">
      <c r="Q4605" s="2"/>
    </row>
    <row r="4606" spans="17:17" x14ac:dyDescent="0.15">
      <c r="Q4606" s="2"/>
    </row>
    <row r="4607" spans="17:17" x14ac:dyDescent="0.15">
      <c r="Q4607" s="2"/>
    </row>
    <row r="4608" spans="17:17" x14ac:dyDescent="0.15">
      <c r="Q4608" s="2"/>
    </row>
    <row r="4609" spans="17:17" x14ac:dyDescent="0.15">
      <c r="Q4609" s="2"/>
    </row>
    <row r="4610" spans="17:17" x14ac:dyDescent="0.15">
      <c r="Q4610" s="2"/>
    </row>
    <row r="4611" spans="17:17" x14ac:dyDescent="0.15">
      <c r="Q4611" s="2"/>
    </row>
    <row r="4612" spans="17:17" x14ac:dyDescent="0.15">
      <c r="Q4612" s="2"/>
    </row>
    <row r="4613" spans="17:17" x14ac:dyDescent="0.15">
      <c r="Q4613" s="2"/>
    </row>
    <row r="4614" spans="17:17" x14ac:dyDescent="0.15">
      <c r="Q4614" s="2"/>
    </row>
    <row r="4615" spans="17:17" x14ac:dyDescent="0.15">
      <c r="Q4615" s="2"/>
    </row>
    <row r="4616" spans="17:17" x14ac:dyDescent="0.15">
      <c r="Q4616" s="2"/>
    </row>
    <row r="4617" spans="17:17" x14ac:dyDescent="0.15">
      <c r="Q4617" s="2"/>
    </row>
    <row r="4618" spans="17:17" x14ac:dyDescent="0.15">
      <c r="Q4618" s="2"/>
    </row>
    <row r="4619" spans="17:17" x14ac:dyDescent="0.15">
      <c r="Q4619" s="2"/>
    </row>
    <row r="4620" spans="17:17" x14ac:dyDescent="0.15">
      <c r="Q4620" s="2"/>
    </row>
    <row r="4621" spans="17:17" x14ac:dyDescent="0.15">
      <c r="Q4621" s="2"/>
    </row>
    <row r="4622" spans="17:17" x14ac:dyDescent="0.15">
      <c r="Q4622" s="2"/>
    </row>
    <row r="4623" spans="17:17" x14ac:dyDescent="0.15">
      <c r="Q4623" s="2"/>
    </row>
    <row r="4624" spans="17:17" x14ac:dyDescent="0.15">
      <c r="Q4624" s="2"/>
    </row>
    <row r="4625" spans="17:17" x14ac:dyDescent="0.15">
      <c r="Q4625" s="2"/>
    </row>
    <row r="4626" spans="17:17" x14ac:dyDescent="0.15">
      <c r="Q4626" s="2"/>
    </row>
    <row r="4627" spans="17:17" x14ac:dyDescent="0.15">
      <c r="Q4627" s="2"/>
    </row>
    <row r="4628" spans="17:17" x14ac:dyDescent="0.15">
      <c r="Q4628" s="2"/>
    </row>
    <row r="4629" spans="17:17" x14ac:dyDescent="0.15">
      <c r="Q4629" s="2"/>
    </row>
    <row r="4630" spans="17:17" x14ac:dyDescent="0.15">
      <c r="Q4630" s="2"/>
    </row>
    <row r="4631" spans="17:17" x14ac:dyDescent="0.15">
      <c r="Q4631" s="2"/>
    </row>
    <row r="4632" spans="17:17" x14ac:dyDescent="0.15">
      <c r="Q4632" s="2"/>
    </row>
    <row r="4633" spans="17:17" x14ac:dyDescent="0.15">
      <c r="Q4633" s="2"/>
    </row>
    <row r="4634" spans="17:17" x14ac:dyDescent="0.15">
      <c r="Q4634" s="2"/>
    </row>
    <row r="4635" spans="17:17" x14ac:dyDescent="0.15">
      <c r="Q4635" s="2"/>
    </row>
    <row r="4636" spans="17:17" x14ac:dyDescent="0.15">
      <c r="Q4636" s="2"/>
    </row>
    <row r="4637" spans="17:17" x14ac:dyDescent="0.15">
      <c r="Q4637" s="2"/>
    </row>
    <row r="4638" spans="17:17" x14ac:dyDescent="0.15">
      <c r="Q4638" s="2"/>
    </row>
    <row r="4639" spans="17:17" x14ac:dyDescent="0.15">
      <c r="Q4639" s="2"/>
    </row>
    <row r="4640" spans="17:17" x14ac:dyDescent="0.15">
      <c r="Q4640" s="2"/>
    </row>
    <row r="4641" spans="17:17" x14ac:dyDescent="0.15">
      <c r="Q4641" s="2"/>
    </row>
    <row r="4642" spans="17:17" x14ac:dyDescent="0.15">
      <c r="Q4642" s="2"/>
    </row>
    <row r="4643" spans="17:17" x14ac:dyDescent="0.15">
      <c r="Q4643" s="2"/>
    </row>
    <row r="4644" spans="17:17" x14ac:dyDescent="0.15">
      <c r="Q4644" s="2"/>
    </row>
    <row r="4645" spans="17:17" x14ac:dyDescent="0.15">
      <c r="Q4645" s="2"/>
    </row>
    <row r="4646" spans="17:17" x14ac:dyDescent="0.15">
      <c r="Q4646" s="2"/>
    </row>
    <row r="4647" spans="17:17" x14ac:dyDescent="0.15">
      <c r="Q4647" s="2"/>
    </row>
    <row r="4648" spans="17:17" x14ac:dyDescent="0.15">
      <c r="Q4648" s="2"/>
    </row>
    <row r="4649" spans="17:17" x14ac:dyDescent="0.15">
      <c r="Q4649" s="2"/>
    </row>
    <row r="4650" spans="17:17" x14ac:dyDescent="0.15">
      <c r="Q4650" s="2"/>
    </row>
    <row r="4651" spans="17:17" x14ac:dyDescent="0.15">
      <c r="Q4651" s="2"/>
    </row>
    <row r="4652" spans="17:17" x14ac:dyDescent="0.15">
      <c r="Q4652" s="2"/>
    </row>
    <row r="4653" spans="17:17" x14ac:dyDescent="0.15">
      <c r="Q4653" s="2"/>
    </row>
    <row r="4654" spans="17:17" x14ac:dyDescent="0.15">
      <c r="Q4654" s="2"/>
    </row>
    <row r="4655" spans="17:17" x14ac:dyDescent="0.15">
      <c r="Q4655" s="2"/>
    </row>
    <row r="4656" spans="17:17" x14ac:dyDescent="0.15">
      <c r="Q4656" s="2"/>
    </row>
    <row r="4657" spans="17:17" x14ac:dyDescent="0.15">
      <c r="Q4657" s="2"/>
    </row>
    <row r="4658" spans="17:17" x14ac:dyDescent="0.15">
      <c r="Q4658" s="2"/>
    </row>
    <row r="4659" spans="17:17" x14ac:dyDescent="0.15">
      <c r="Q4659" s="2"/>
    </row>
    <row r="4660" spans="17:17" x14ac:dyDescent="0.15">
      <c r="Q4660" s="2"/>
    </row>
    <row r="4661" spans="17:17" x14ac:dyDescent="0.15">
      <c r="Q4661" s="2"/>
    </row>
    <row r="4662" spans="17:17" x14ac:dyDescent="0.15">
      <c r="Q4662" s="2"/>
    </row>
    <row r="4663" spans="17:17" x14ac:dyDescent="0.15">
      <c r="Q4663" s="2"/>
    </row>
    <row r="4664" spans="17:17" x14ac:dyDescent="0.15">
      <c r="Q4664" s="2"/>
    </row>
    <row r="4665" spans="17:17" x14ac:dyDescent="0.15">
      <c r="Q4665" s="2"/>
    </row>
    <row r="4666" spans="17:17" x14ac:dyDescent="0.15">
      <c r="Q4666" s="2"/>
    </row>
    <row r="4667" spans="17:17" x14ac:dyDescent="0.15">
      <c r="Q4667" s="2"/>
    </row>
    <row r="4668" spans="17:17" x14ac:dyDescent="0.15">
      <c r="Q4668" s="2"/>
    </row>
    <row r="4669" spans="17:17" x14ac:dyDescent="0.15">
      <c r="Q4669" s="2"/>
    </row>
    <row r="4670" spans="17:17" x14ac:dyDescent="0.15">
      <c r="Q4670" s="2"/>
    </row>
    <row r="4671" spans="17:17" x14ac:dyDescent="0.15">
      <c r="Q4671" s="2"/>
    </row>
    <row r="4672" spans="17:17" x14ac:dyDescent="0.15">
      <c r="Q4672" s="2"/>
    </row>
    <row r="4673" spans="17:17" x14ac:dyDescent="0.15">
      <c r="Q4673" s="2"/>
    </row>
    <row r="4674" spans="17:17" x14ac:dyDescent="0.15">
      <c r="Q4674" s="2"/>
    </row>
    <row r="4675" spans="17:17" x14ac:dyDescent="0.15">
      <c r="Q4675" s="2"/>
    </row>
    <row r="4676" spans="17:17" x14ac:dyDescent="0.15">
      <c r="Q4676" s="2"/>
    </row>
    <row r="4677" spans="17:17" x14ac:dyDescent="0.15">
      <c r="Q4677" s="2"/>
    </row>
    <row r="4678" spans="17:17" x14ac:dyDescent="0.15">
      <c r="Q4678" s="2"/>
    </row>
    <row r="4679" spans="17:17" x14ac:dyDescent="0.15">
      <c r="Q4679" s="2"/>
    </row>
    <row r="4680" spans="17:17" x14ac:dyDescent="0.15">
      <c r="Q4680" s="2"/>
    </row>
    <row r="4681" spans="17:17" x14ac:dyDescent="0.15">
      <c r="Q4681" s="2"/>
    </row>
    <row r="4682" spans="17:17" x14ac:dyDescent="0.15">
      <c r="Q4682" s="2"/>
    </row>
    <row r="4683" spans="17:17" x14ac:dyDescent="0.15">
      <c r="Q4683" s="2"/>
    </row>
    <row r="4684" spans="17:17" x14ac:dyDescent="0.15">
      <c r="Q4684" s="2"/>
    </row>
    <row r="4685" spans="17:17" x14ac:dyDescent="0.15">
      <c r="Q4685" s="2"/>
    </row>
    <row r="4686" spans="17:17" x14ac:dyDescent="0.15">
      <c r="Q4686" s="2"/>
    </row>
    <row r="4687" spans="17:17" x14ac:dyDescent="0.15">
      <c r="Q4687" s="2"/>
    </row>
    <row r="4688" spans="17:17" x14ac:dyDescent="0.15">
      <c r="Q4688" s="2"/>
    </row>
    <row r="4689" spans="17:17" x14ac:dyDescent="0.15">
      <c r="Q4689" s="2"/>
    </row>
    <row r="4690" spans="17:17" x14ac:dyDescent="0.15">
      <c r="Q4690" s="2"/>
    </row>
    <row r="4691" spans="17:17" x14ac:dyDescent="0.15">
      <c r="Q4691" s="2"/>
    </row>
    <row r="4692" spans="17:17" x14ac:dyDescent="0.15">
      <c r="Q4692" s="2"/>
    </row>
    <row r="4693" spans="17:17" x14ac:dyDescent="0.15">
      <c r="Q4693" s="2"/>
    </row>
    <row r="4694" spans="17:17" x14ac:dyDescent="0.15">
      <c r="Q4694" s="2"/>
    </row>
    <row r="4695" spans="17:17" x14ac:dyDescent="0.15">
      <c r="Q4695" s="2"/>
    </row>
    <row r="4696" spans="17:17" x14ac:dyDescent="0.15">
      <c r="Q4696" s="2"/>
    </row>
    <row r="4697" spans="17:17" x14ac:dyDescent="0.15">
      <c r="Q4697" s="2"/>
    </row>
    <row r="4698" spans="17:17" x14ac:dyDescent="0.15">
      <c r="Q4698" s="2"/>
    </row>
    <row r="4699" spans="17:17" x14ac:dyDescent="0.15">
      <c r="Q4699" s="2"/>
    </row>
    <row r="4700" spans="17:17" x14ac:dyDescent="0.15">
      <c r="Q4700" s="2"/>
    </row>
    <row r="4701" spans="17:17" x14ac:dyDescent="0.15">
      <c r="Q4701" s="2"/>
    </row>
    <row r="4702" spans="17:17" x14ac:dyDescent="0.15">
      <c r="Q4702" s="2"/>
    </row>
    <row r="4703" spans="17:17" x14ac:dyDescent="0.15">
      <c r="Q4703" s="2"/>
    </row>
    <row r="4704" spans="17:17" x14ac:dyDescent="0.15">
      <c r="Q4704" s="2"/>
    </row>
    <row r="4705" spans="17:17" x14ac:dyDescent="0.15">
      <c r="Q4705" s="2"/>
    </row>
    <row r="4706" spans="17:17" x14ac:dyDescent="0.15">
      <c r="Q4706" s="2"/>
    </row>
    <row r="4707" spans="17:17" x14ac:dyDescent="0.15">
      <c r="Q4707" s="2"/>
    </row>
    <row r="4708" spans="17:17" x14ac:dyDescent="0.15">
      <c r="Q4708" s="2"/>
    </row>
    <row r="4709" spans="17:17" x14ac:dyDescent="0.15">
      <c r="Q4709" s="2"/>
    </row>
    <row r="4710" spans="17:17" x14ac:dyDescent="0.15">
      <c r="Q4710" s="2"/>
    </row>
    <row r="4711" spans="17:17" x14ac:dyDescent="0.15">
      <c r="Q4711" s="2"/>
    </row>
    <row r="4712" spans="17:17" x14ac:dyDescent="0.15">
      <c r="Q4712" s="2"/>
    </row>
    <row r="4713" spans="17:17" x14ac:dyDescent="0.15">
      <c r="Q4713" s="2"/>
    </row>
    <row r="4714" spans="17:17" x14ac:dyDescent="0.15">
      <c r="Q4714" s="2"/>
    </row>
    <row r="4715" spans="17:17" x14ac:dyDescent="0.15">
      <c r="Q4715" s="2"/>
    </row>
    <row r="4716" spans="17:17" x14ac:dyDescent="0.15">
      <c r="Q4716" s="2"/>
    </row>
    <row r="4717" spans="17:17" x14ac:dyDescent="0.15">
      <c r="Q4717" s="2"/>
    </row>
    <row r="4718" spans="17:17" x14ac:dyDescent="0.15">
      <c r="Q4718" s="2"/>
    </row>
    <row r="4719" spans="17:17" x14ac:dyDescent="0.15">
      <c r="Q4719" s="2"/>
    </row>
    <row r="4720" spans="17:17" x14ac:dyDescent="0.15">
      <c r="Q4720" s="2"/>
    </row>
    <row r="4721" spans="17:17" x14ac:dyDescent="0.15">
      <c r="Q4721" s="2"/>
    </row>
    <row r="4722" spans="17:17" x14ac:dyDescent="0.15">
      <c r="Q4722" s="2"/>
    </row>
    <row r="4723" spans="17:17" x14ac:dyDescent="0.15">
      <c r="Q4723" s="2"/>
    </row>
    <row r="4724" spans="17:17" x14ac:dyDescent="0.15">
      <c r="Q4724" s="2"/>
    </row>
    <row r="4725" spans="17:17" x14ac:dyDescent="0.15">
      <c r="Q4725" s="2"/>
    </row>
    <row r="4726" spans="17:17" x14ac:dyDescent="0.15">
      <c r="Q4726" s="2"/>
    </row>
    <row r="4727" spans="17:17" x14ac:dyDescent="0.15">
      <c r="Q4727" s="2"/>
    </row>
    <row r="4728" spans="17:17" x14ac:dyDescent="0.15">
      <c r="Q4728" s="2"/>
    </row>
    <row r="4729" spans="17:17" x14ac:dyDescent="0.15">
      <c r="Q4729" s="2"/>
    </row>
    <row r="4730" spans="17:17" x14ac:dyDescent="0.15">
      <c r="Q4730" s="2"/>
    </row>
    <row r="4731" spans="17:17" x14ac:dyDescent="0.15">
      <c r="Q4731" s="2"/>
    </row>
    <row r="4732" spans="17:17" x14ac:dyDescent="0.15">
      <c r="Q4732" s="2"/>
    </row>
    <row r="4733" spans="17:17" x14ac:dyDescent="0.15">
      <c r="Q4733" s="2"/>
    </row>
    <row r="4734" spans="17:17" x14ac:dyDescent="0.15">
      <c r="Q4734" s="2"/>
    </row>
    <row r="4735" spans="17:17" x14ac:dyDescent="0.15">
      <c r="Q4735" s="2"/>
    </row>
    <row r="4736" spans="17:17" x14ac:dyDescent="0.15">
      <c r="Q4736" s="2"/>
    </row>
    <row r="4737" spans="17:17" x14ac:dyDescent="0.15">
      <c r="Q4737" s="2"/>
    </row>
    <row r="4738" spans="17:17" x14ac:dyDescent="0.15">
      <c r="Q4738" s="2"/>
    </row>
    <row r="4739" spans="17:17" x14ac:dyDescent="0.15">
      <c r="Q4739" s="2"/>
    </row>
    <row r="4740" spans="17:17" x14ac:dyDescent="0.15">
      <c r="Q4740" s="2"/>
    </row>
    <row r="4741" spans="17:17" x14ac:dyDescent="0.15">
      <c r="Q4741" s="2"/>
    </row>
    <row r="4742" spans="17:17" x14ac:dyDescent="0.15">
      <c r="Q4742" s="2"/>
    </row>
    <row r="4743" spans="17:17" x14ac:dyDescent="0.15">
      <c r="Q4743" s="2"/>
    </row>
    <row r="4744" spans="17:17" x14ac:dyDescent="0.15">
      <c r="Q4744" s="2"/>
    </row>
    <row r="4745" spans="17:17" x14ac:dyDescent="0.15">
      <c r="Q4745" s="2"/>
    </row>
    <row r="4746" spans="17:17" x14ac:dyDescent="0.15">
      <c r="Q4746" s="2"/>
    </row>
    <row r="4747" spans="17:17" x14ac:dyDescent="0.15">
      <c r="Q4747" s="2"/>
    </row>
    <row r="4748" spans="17:17" x14ac:dyDescent="0.15">
      <c r="Q4748" s="2"/>
    </row>
    <row r="4749" spans="17:17" x14ac:dyDescent="0.15">
      <c r="Q4749" s="2"/>
    </row>
    <row r="4750" spans="17:17" x14ac:dyDescent="0.15">
      <c r="Q4750" s="2"/>
    </row>
    <row r="4751" spans="17:17" x14ac:dyDescent="0.15">
      <c r="Q4751" s="2"/>
    </row>
    <row r="4752" spans="17:17" x14ac:dyDescent="0.15">
      <c r="Q4752" s="2"/>
    </row>
    <row r="4753" spans="17:17" x14ac:dyDescent="0.15">
      <c r="Q4753" s="2"/>
    </row>
    <row r="4754" spans="17:17" x14ac:dyDescent="0.15">
      <c r="Q4754" s="2"/>
    </row>
    <row r="4755" spans="17:17" x14ac:dyDescent="0.15">
      <c r="Q4755" s="2"/>
    </row>
    <row r="4756" spans="17:17" x14ac:dyDescent="0.15">
      <c r="Q4756" s="2"/>
    </row>
    <row r="4757" spans="17:17" x14ac:dyDescent="0.15">
      <c r="Q4757" s="2"/>
    </row>
    <row r="4758" spans="17:17" x14ac:dyDescent="0.15">
      <c r="Q4758" s="2"/>
    </row>
    <row r="4759" spans="17:17" x14ac:dyDescent="0.15">
      <c r="Q4759" s="2"/>
    </row>
    <row r="4760" spans="17:17" x14ac:dyDescent="0.15">
      <c r="Q4760" s="2"/>
    </row>
    <row r="4761" spans="17:17" x14ac:dyDescent="0.15">
      <c r="Q4761" s="2"/>
    </row>
    <row r="4762" spans="17:17" x14ac:dyDescent="0.15">
      <c r="Q4762" s="2"/>
    </row>
    <row r="4763" spans="17:17" x14ac:dyDescent="0.15">
      <c r="Q4763" s="2"/>
    </row>
    <row r="4764" spans="17:17" x14ac:dyDescent="0.15">
      <c r="Q4764" s="2"/>
    </row>
    <row r="4765" spans="17:17" x14ac:dyDescent="0.15">
      <c r="Q4765" s="2"/>
    </row>
    <row r="4766" spans="17:17" x14ac:dyDescent="0.15">
      <c r="Q4766" s="2"/>
    </row>
    <row r="4767" spans="17:17" x14ac:dyDescent="0.15">
      <c r="Q4767" s="2"/>
    </row>
    <row r="4768" spans="17:17" x14ac:dyDescent="0.15">
      <c r="Q4768" s="2"/>
    </row>
    <row r="4769" spans="17:17" x14ac:dyDescent="0.15">
      <c r="Q4769" s="2"/>
    </row>
    <row r="4770" spans="17:17" x14ac:dyDescent="0.15">
      <c r="Q4770" s="2"/>
    </row>
    <row r="4771" spans="17:17" x14ac:dyDescent="0.15">
      <c r="Q4771" s="2"/>
    </row>
    <row r="4772" spans="17:17" x14ac:dyDescent="0.15">
      <c r="Q4772" s="2"/>
    </row>
    <row r="4773" spans="17:17" x14ac:dyDescent="0.15">
      <c r="Q4773" s="2"/>
    </row>
    <row r="4774" spans="17:17" x14ac:dyDescent="0.15">
      <c r="Q4774" s="2"/>
    </row>
    <row r="4775" spans="17:17" x14ac:dyDescent="0.15">
      <c r="Q4775" s="2"/>
    </row>
    <row r="4776" spans="17:17" x14ac:dyDescent="0.15">
      <c r="Q4776" s="2"/>
    </row>
    <row r="4777" spans="17:17" x14ac:dyDescent="0.15">
      <c r="Q4777" s="2"/>
    </row>
    <row r="4778" spans="17:17" x14ac:dyDescent="0.15">
      <c r="Q4778" s="2"/>
    </row>
    <row r="4779" spans="17:17" x14ac:dyDescent="0.15">
      <c r="Q4779" s="2"/>
    </row>
    <row r="4780" spans="17:17" x14ac:dyDescent="0.15">
      <c r="Q4780" s="2"/>
    </row>
    <row r="4781" spans="17:17" x14ac:dyDescent="0.15">
      <c r="Q4781" s="2"/>
    </row>
    <row r="4782" spans="17:17" x14ac:dyDescent="0.15">
      <c r="Q4782" s="2"/>
    </row>
    <row r="4783" spans="17:17" x14ac:dyDescent="0.15">
      <c r="Q4783" s="2"/>
    </row>
    <row r="4784" spans="17:17" x14ac:dyDescent="0.15">
      <c r="Q4784" s="2"/>
    </row>
    <row r="4785" spans="17:17" x14ac:dyDescent="0.15">
      <c r="Q4785" s="2"/>
    </row>
    <row r="4786" spans="17:17" x14ac:dyDescent="0.15">
      <c r="Q4786" s="2"/>
    </row>
    <row r="4787" spans="17:17" x14ac:dyDescent="0.15">
      <c r="Q4787" s="2"/>
    </row>
    <row r="4788" spans="17:17" x14ac:dyDescent="0.15">
      <c r="Q4788" s="2"/>
    </row>
    <row r="4789" spans="17:17" x14ac:dyDescent="0.15">
      <c r="Q4789" s="2"/>
    </row>
    <row r="4790" spans="17:17" x14ac:dyDescent="0.15">
      <c r="Q4790" s="2"/>
    </row>
    <row r="4791" spans="17:17" x14ac:dyDescent="0.15">
      <c r="Q4791" s="2"/>
    </row>
    <row r="4792" spans="17:17" x14ac:dyDescent="0.15">
      <c r="Q4792" s="2"/>
    </row>
    <row r="4793" spans="17:17" x14ac:dyDescent="0.15">
      <c r="Q4793" s="2"/>
    </row>
    <row r="4794" spans="17:17" x14ac:dyDescent="0.15">
      <c r="Q4794" s="2"/>
    </row>
    <row r="4795" spans="17:17" x14ac:dyDescent="0.15">
      <c r="Q4795" s="2"/>
    </row>
    <row r="4796" spans="17:17" x14ac:dyDescent="0.15">
      <c r="Q4796" s="2"/>
    </row>
    <row r="4797" spans="17:17" x14ac:dyDescent="0.15">
      <c r="Q4797" s="2"/>
    </row>
    <row r="4798" spans="17:17" x14ac:dyDescent="0.15">
      <c r="Q4798" s="2"/>
    </row>
    <row r="4799" spans="17:17" x14ac:dyDescent="0.15">
      <c r="Q4799" s="2"/>
    </row>
    <row r="4800" spans="17:17" x14ac:dyDescent="0.15">
      <c r="Q4800" s="2"/>
    </row>
    <row r="4801" spans="17:17" x14ac:dyDescent="0.15">
      <c r="Q4801" s="2"/>
    </row>
    <row r="4802" spans="17:17" x14ac:dyDescent="0.15">
      <c r="Q4802" s="2"/>
    </row>
    <row r="4803" spans="17:17" x14ac:dyDescent="0.15">
      <c r="Q4803" s="2"/>
    </row>
    <row r="4804" spans="17:17" x14ac:dyDescent="0.15">
      <c r="Q4804" s="2"/>
    </row>
    <row r="4805" spans="17:17" x14ac:dyDescent="0.15">
      <c r="Q4805" s="2"/>
    </row>
    <row r="4806" spans="17:17" x14ac:dyDescent="0.15">
      <c r="Q4806" s="2"/>
    </row>
    <row r="4807" spans="17:17" x14ac:dyDescent="0.15">
      <c r="Q4807" s="2"/>
    </row>
    <row r="4808" spans="17:17" x14ac:dyDescent="0.15">
      <c r="Q4808" s="2"/>
    </row>
    <row r="4809" spans="17:17" x14ac:dyDescent="0.15">
      <c r="Q4809" s="2"/>
    </row>
    <row r="4810" spans="17:17" x14ac:dyDescent="0.15">
      <c r="Q4810" s="2"/>
    </row>
    <row r="4811" spans="17:17" x14ac:dyDescent="0.15">
      <c r="Q4811" s="2"/>
    </row>
    <row r="4812" spans="17:17" x14ac:dyDescent="0.15">
      <c r="Q4812" s="2"/>
    </row>
    <row r="4813" spans="17:17" x14ac:dyDescent="0.15">
      <c r="Q4813" s="2"/>
    </row>
    <row r="4814" spans="17:17" x14ac:dyDescent="0.15">
      <c r="Q4814" s="2"/>
    </row>
    <row r="4815" spans="17:17" x14ac:dyDescent="0.15">
      <c r="Q4815" s="2"/>
    </row>
    <row r="4816" spans="17:17" x14ac:dyDescent="0.15">
      <c r="Q4816" s="2"/>
    </row>
    <row r="4817" spans="17:17" x14ac:dyDescent="0.15">
      <c r="Q4817" s="2"/>
    </row>
    <row r="4818" spans="17:17" x14ac:dyDescent="0.15">
      <c r="Q4818" s="2"/>
    </row>
    <row r="4819" spans="17:17" x14ac:dyDescent="0.15">
      <c r="Q4819" s="2"/>
    </row>
    <row r="4820" spans="17:17" x14ac:dyDescent="0.15">
      <c r="Q4820" s="2"/>
    </row>
    <row r="4821" spans="17:17" x14ac:dyDescent="0.15">
      <c r="Q4821" s="2"/>
    </row>
    <row r="4822" spans="17:17" x14ac:dyDescent="0.15">
      <c r="Q4822" s="2"/>
    </row>
    <row r="4823" spans="17:17" x14ac:dyDescent="0.15">
      <c r="Q4823" s="2"/>
    </row>
    <row r="4824" spans="17:17" x14ac:dyDescent="0.15">
      <c r="Q4824" s="2"/>
    </row>
    <row r="4825" spans="17:17" x14ac:dyDescent="0.15">
      <c r="Q4825" s="2"/>
    </row>
    <row r="4826" spans="17:17" x14ac:dyDescent="0.15">
      <c r="Q4826" s="2"/>
    </row>
    <row r="4827" spans="17:17" x14ac:dyDescent="0.15">
      <c r="Q4827" s="2"/>
    </row>
    <row r="4828" spans="17:17" x14ac:dyDescent="0.15">
      <c r="Q4828" s="2"/>
    </row>
    <row r="4829" spans="17:17" x14ac:dyDescent="0.15">
      <c r="Q4829" s="2"/>
    </row>
    <row r="4830" spans="17:17" x14ac:dyDescent="0.15">
      <c r="Q4830" s="2"/>
    </row>
    <row r="4831" spans="17:17" x14ac:dyDescent="0.15">
      <c r="Q4831" s="2"/>
    </row>
    <row r="4832" spans="17:17" x14ac:dyDescent="0.15">
      <c r="Q4832" s="2"/>
    </row>
    <row r="4833" spans="17:17" x14ac:dyDescent="0.15">
      <c r="Q4833" s="2"/>
    </row>
    <row r="4834" spans="17:17" x14ac:dyDescent="0.15">
      <c r="Q4834" s="2"/>
    </row>
    <row r="4835" spans="17:17" x14ac:dyDescent="0.15">
      <c r="Q4835" s="2"/>
    </row>
    <row r="4836" spans="17:17" x14ac:dyDescent="0.15">
      <c r="Q4836" s="2"/>
    </row>
    <row r="4837" spans="17:17" x14ac:dyDescent="0.15">
      <c r="Q4837" s="2"/>
    </row>
    <row r="4838" spans="17:17" x14ac:dyDescent="0.15">
      <c r="Q4838" s="2"/>
    </row>
    <row r="4839" spans="17:17" x14ac:dyDescent="0.15">
      <c r="Q4839" s="2"/>
    </row>
    <row r="4840" spans="17:17" x14ac:dyDescent="0.15">
      <c r="Q4840" s="2"/>
    </row>
    <row r="4841" spans="17:17" x14ac:dyDescent="0.15">
      <c r="Q4841" s="2"/>
    </row>
    <row r="4842" spans="17:17" x14ac:dyDescent="0.15">
      <c r="Q4842" s="2"/>
    </row>
    <row r="4843" spans="17:17" x14ac:dyDescent="0.15">
      <c r="Q4843" s="2"/>
    </row>
    <row r="4844" spans="17:17" x14ac:dyDescent="0.15">
      <c r="Q4844" s="2"/>
    </row>
    <row r="4845" spans="17:17" x14ac:dyDescent="0.15">
      <c r="Q4845" s="2"/>
    </row>
    <row r="4846" spans="17:17" x14ac:dyDescent="0.15">
      <c r="Q4846" s="2"/>
    </row>
    <row r="4847" spans="17:17" x14ac:dyDescent="0.15">
      <c r="Q4847" s="2"/>
    </row>
    <row r="4848" spans="17:17" x14ac:dyDescent="0.15">
      <c r="Q4848" s="2"/>
    </row>
    <row r="4849" spans="17:17" x14ac:dyDescent="0.15">
      <c r="Q4849" s="2"/>
    </row>
    <row r="4850" spans="17:17" x14ac:dyDescent="0.15">
      <c r="Q4850" s="2"/>
    </row>
    <row r="4851" spans="17:17" x14ac:dyDescent="0.15">
      <c r="Q4851" s="2"/>
    </row>
    <row r="4852" spans="17:17" x14ac:dyDescent="0.15">
      <c r="Q4852" s="2"/>
    </row>
    <row r="4853" spans="17:17" x14ac:dyDescent="0.15">
      <c r="Q4853" s="2"/>
    </row>
    <row r="4854" spans="17:17" x14ac:dyDescent="0.15">
      <c r="Q4854" s="2"/>
    </row>
    <row r="4855" spans="17:17" x14ac:dyDescent="0.15">
      <c r="Q4855" s="2"/>
    </row>
    <row r="4856" spans="17:17" x14ac:dyDescent="0.15">
      <c r="Q4856" s="2"/>
    </row>
    <row r="4857" spans="17:17" x14ac:dyDescent="0.15">
      <c r="Q4857" s="2"/>
    </row>
    <row r="4858" spans="17:17" x14ac:dyDescent="0.15">
      <c r="Q4858" s="2"/>
    </row>
    <row r="4859" spans="17:17" x14ac:dyDescent="0.15">
      <c r="Q4859" s="2"/>
    </row>
    <row r="4860" spans="17:17" x14ac:dyDescent="0.15">
      <c r="Q4860" s="2"/>
    </row>
    <row r="4861" spans="17:17" x14ac:dyDescent="0.15">
      <c r="Q4861" s="2"/>
    </row>
    <row r="4862" spans="17:17" x14ac:dyDescent="0.15">
      <c r="Q4862" s="2"/>
    </row>
    <row r="4863" spans="17:17" x14ac:dyDescent="0.15">
      <c r="Q4863" s="2"/>
    </row>
    <row r="4864" spans="17:17" x14ac:dyDescent="0.15">
      <c r="Q4864" s="2"/>
    </row>
    <row r="4865" spans="17:17" x14ac:dyDescent="0.15">
      <c r="Q4865" s="2"/>
    </row>
    <row r="4866" spans="17:17" x14ac:dyDescent="0.15">
      <c r="Q4866" s="2"/>
    </row>
    <row r="4867" spans="17:17" x14ac:dyDescent="0.15">
      <c r="Q4867" s="2"/>
    </row>
    <row r="4868" spans="17:17" x14ac:dyDescent="0.15">
      <c r="Q4868" s="2"/>
    </row>
    <row r="4869" spans="17:17" x14ac:dyDescent="0.15">
      <c r="Q4869" s="2"/>
    </row>
    <row r="4870" spans="17:17" x14ac:dyDescent="0.15">
      <c r="Q4870" s="2"/>
    </row>
    <row r="4871" spans="17:17" x14ac:dyDescent="0.15">
      <c r="Q4871" s="2"/>
    </row>
    <row r="4872" spans="17:17" x14ac:dyDescent="0.15">
      <c r="Q4872" s="2"/>
    </row>
    <row r="4873" spans="17:17" x14ac:dyDescent="0.15">
      <c r="Q4873" s="2"/>
    </row>
    <row r="4874" spans="17:17" x14ac:dyDescent="0.15">
      <c r="Q4874" s="2"/>
    </row>
    <row r="4875" spans="17:17" x14ac:dyDescent="0.15">
      <c r="Q4875" s="2"/>
    </row>
    <row r="4876" spans="17:17" x14ac:dyDescent="0.15">
      <c r="Q4876" s="2"/>
    </row>
    <row r="4877" spans="17:17" x14ac:dyDescent="0.15">
      <c r="Q4877" s="2"/>
    </row>
    <row r="4878" spans="17:17" x14ac:dyDescent="0.15">
      <c r="Q4878" s="2"/>
    </row>
    <row r="4879" spans="17:17" x14ac:dyDescent="0.15">
      <c r="Q4879" s="2"/>
    </row>
    <row r="4880" spans="17:17" x14ac:dyDescent="0.15">
      <c r="Q4880" s="2"/>
    </row>
    <row r="4881" spans="17:17" x14ac:dyDescent="0.15">
      <c r="Q4881" s="2"/>
    </row>
    <row r="4882" spans="17:17" x14ac:dyDescent="0.15">
      <c r="Q4882" s="2"/>
    </row>
    <row r="4883" spans="17:17" x14ac:dyDescent="0.15">
      <c r="Q4883" s="2"/>
    </row>
    <row r="4884" spans="17:17" x14ac:dyDescent="0.15">
      <c r="Q4884" s="2"/>
    </row>
    <row r="4885" spans="17:17" x14ac:dyDescent="0.15">
      <c r="Q4885" s="2"/>
    </row>
    <row r="4886" spans="17:17" x14ac:dyDescent="0.15">
      <c r="Q4886" s="2"/>
    </row>
    <row r="4887" spans="17:17" x14ac:dyDescent="0.15">
      <c r="Q4887" s="2"/>
    </row>
    <row r="4888" spans="17:17" x14ac:dyDescent="0.15">
      <c r="Q4888" s="2"/>
    </row>
    <row r="4889" spans="17:17" x14ac:dyDescent="0.15">
      <c r="Q4889" s="2"/>
    </row>
    <row r="4890" spans="17:17" x14ac:dyDescent="0.15">
      <c r="Q4890" s="2"/>
    </row>
    <row r="4891" spans="17:17" x14ac:dyDescent="0.15">
      <c r="Q4891" s="2"/>
    </row>
    <row r="4892" spans="17:17" x14ac:dyDescent="0.15">
      <c r="Q4892" s="2"/>
    </row>
    <row r="4893" spans="17:17" x14ac:dyDescent="0.15">
      <c r="Q4893" s="2"/>
    </row>
    <row r="4894" spans="17:17" x14ac:dyDescent="0.15">
      <c r="Q4894" s="2"/>
    </row>
    <row r="4895" spans="17:17" x14ac:dyDescent="0.15">
      <c r="Q4895" s="2"/>
    </row>
    <row r="4896" spans="17:17" x14ac:dyDescent="0.15">
      <c r="Q4896" s="2"/>
    </row>
    <row r="4897" spans="17:17" x14ac:dyDescent="0.15">
      <c r="Q4897" s="2"/>
    </row>
    <row r="4898" spans="17:17" x14ac:dyDescent="0.15">
      <c r="Q4898" s="2"/>
    </row>
    <row r="4899" spans="17:17" x14ac:dyDescent="0.15">
      <c r="Q4899" s="2"/>
    </row>
    <row r="4900" spans="17:17" x14ac:dyDescent="0.15">
      <c r="Q4900" s="2"/>
    </row>
    <row r="4901" spans="17:17" x14ac:dyDescent="0.15">
      <c r="Q4901" s="2"/>
    </row>
    <row r="4902" spans="17:17" x14ac:dyDescent="0.15">
      <c r="Q4902" s="2"/>
    </row>
    <row r="4903" spans="17:17" x14ac:dyDescent="0.15">
      <c r="Q4903" s="2"/>
    </row>
    <row r="4904" spans="17:17" x14ac:dyDescent="0.15">
      <c r="Q4904" s="2"/>
    </row>
    <row r="4905" spans="17:17" x14ac:dyDescent="0.15">
      <c r="Q4905" s="2"/>
    </row>
    <row r="4906" spans="17:17" x14ac:dyDescent="0.15">
      <c r="Q4906" s="2"/>
    </row>
    <row r="4907" spans="17:17" x14ac:dyDescent="0.15">
      <c r="Q4907" s="2"/>
    </row>
    <row r="4908" spans="17:17" x14ac:dyDescent="0.15">
      <c r="Q4908" s="2"/>
    </row>
    <row r="4909" spans="17:17" x14ac:dyDescent="0.15">
      <c r="Q4909" s="2"/>
    </row>
    <row r="4910" spans="17:17" x14ac:dyDescent="0.15">
      <c r="Q4910" s="2"/>
    </row>
    <row r="4911" spans="17:17" x14ac:dyDescent="0.15">
      <c r="Q4911" s="2"/>
    </row>
    <row r="4912" spans="17:17" x14ac:dyDescent="0.15">
      <c r="Q4912" s="2"/>
    </row>
    <row r="4913" spans="17:17" x14ac:dyDescent="0.15">
      <c r="Q4913" s="2"/>
    </row>
    <row r="4914" spans="17:17" x14ac:dyDescent="0.15">
      <c r="Q4914" s="2"/>
    </row>
    <row r="4915" spans="17:17" x14ac:dyDescent="0.15">
      <c r="Q4915" s="2"/>
    </row>
    <row r="4916" spans="17:17" x14ac:dyDescent="0.15">
      <c r="Q4916" s="2"/>
    </row>
    <row r="4917" spans="17:17" x14ac:dyDescent="0.15">
      <c r="Q4917" s="2"/>
    </row>
    <row r="4918" spans="17:17" x14ac:dyDescent="0.15">
      <c r="Q4918" s="2"/>
    </row>
    <row r="4919" spans="17:17" x14ac:dyDescent="0.15">
      <c r="Q4919" s="2"/>
    </row>
    <row r="4920" spans="17:17" x14ac:dyDescent="0.15">
      <c r="Q4920" s="2"/>
    </row>
    <row r="4921" spans="17:17" x14ac:dyDescent="0.15">
      <c r="Q4921" s="2"/>
    </row>
    <row r="4922" spans="17:17" x14ac:dyDescent="0.15">
      <c r="Q4922" s="2"/>
    </row>
    <row r="4923" spans="17:17" x14ac:dyDescent="0.15">
      <c r="Q4923" s="2"/>
    </row>
    <row r="4924" spans="17:17" x14ac:dyDescent="0.15">
      <c r="Q4924" s="2"/>
    </row>
    <row r="4925" spans="17:17" x14ac:dyDescent="0.15">
      <c r="Q4925" s="2"/>
    </row>
    <row r="4926" spans="17:17" x14ac:dyDescent="0.15">
      <c r="Q4926" s="2"/>
    </row>
    <row r="4927" spans="17:17" x14ac:dyDescent="0.15">
      <c r="Q4927" s="2"/>
    </row>
    <row r="4928" spans="17:17" x14ac:dyDescent="0.15">
      <c r="Q4928" s="2"/>
    </row>
    <row r="4929" spans="17:17" x14ac:dyDescent="0.15">
      <c r="Q4929" s="2"/>
    </row>
    <row r="4930" spans="17:17" x14ac:dyDescent="0.15">
      <c r="Q4930" s="2"/>
    </row>
    <row r="4931" spans="17:17" x14ac:dyDescent="0.15">
      <c r="Q4931" s="2"/>
    </row>
    <row r="4932" spans="17:17" x14ac:dyDescent="0.15">
      <c r="Q4932" s="2"/>
    </row>
    <row r="4933" spans="17:17" x14ac:dyDescent="0.15">
      <c r="Q4933" s="2"/>
    </row>
    <row r="4934" spans="17:17" x14ac:dyDescent="0.15">
      <c r="Q4934" s="2"/>
    </row>
    <row r="4935" spans="17:17" x14ac:dyDescent="0.15">
      <c r="Q4935" s="2"/>
    </row>
    <row r="4936" spans="17:17" x14ac:dyDescent="0.15">
      <c r="Q4936" s="2"/>
    </row>
    <row r="4937" spans="17:17" x14ac:dyDescent="0.15">
      <c r="Q4937" s="2"/>
    </row>
    <row r="4938" spans="17:17" x14ac:dyDescent="0.15">
      <c r="Q4938" s="2"/>
    </row>
    <row r="4939" spans="17:17" x14ac:dyDescent="0.15">
      <c r="Q4939" s="2"/>
    </row>
    <row r="4940" spans="17:17" x14ac:dyDescent="0.15">
      <c r="Q4940" s="2"/>
    </row>
    <row r="4941" spans="17:17" x14ac:dyDescent="0.15">
      <c r="Q4941" s="2"/>
    </row>
    <row r="4942" spans="17:17" x14ac:dyDescent="0.15">
      <c r="Q4942" s="2"/>
    </row>
    <row r="4943" spans="17:17" x14ac:dyDescent="0.15">
      <c r="Q4943" s="2"/>
    </row>
    <row r="4944" spans="17:17" x14ac:dyDescent="0.15">
      <c r="Q4944" s="2"/>
    </row>
    <row r="4945" spans="17:17" x14ac:dyDescent="0.15">
      <c r="Q4945" s="2"/>
    </row>
    <row r="4946" spans="17:17" x14ac:dyDescent="0.15">
      <c r="Q4946" s="2"/>
    </row>
    <row r="4947" spans="17:17" x14ac:dyDescent="0.15">
      <c r="Q4947" s="2"/>
    </row>
    <row r="4948" spans="17:17" x14ac:dyDescent="0.15">
      <c r="Q4948" s="2"/>
    </row>
    <row r="4949" spans="17:17" x14ac:dyDescent="0.15">
      <c r="Q4949" s="2"/>
    </row>
    <row r="4950" spans="17:17" x14ac:dyDescent="0.15">
      <c r="Q4950" s="2"/>
    </row>
    <row r="4951" spans="17:17" x14ac:dyDescent="0.15">
      <c r="Q4951" s="2"/>
    </row>
    <row r="4952" spans="17:17" x14ac:dyDescent="0.15">
      <c r="Q4952" s="2"/>
    </row>
    <row r="4953" spans="17:17" x14ac:dyDescent="0.15">
      <c r="Q4953" s="2"/>
    </row>
    <row r="4954" spans="17:17" x14ac:dyDescent="0.15">
      <c r="Q4954" s="2"/>
    </row>
    <row r="4955" spans="17:17" x14ac:dyDescent="0.15">
      <c r="Q4955" s="2"/>
    </row>
    <row r="4956" spans="17:17" x14ac:dyDescent="0.15">
      <c r="Q4956" s="2"/>
    </row>
    <row r="4957" spans="17:17" x14ac:dyDescent="0.15">
      <c r="Q4957" s="2"/>
    </row>
    <row r="4958" spans="17:17" x14ac:dyDescent="0.15">
      <c r="Q4958" s="2"/>
    </row>
    <row r="4959" spans="17:17" x14ac:dyDescent="0.15">
      <c r="Q4959" s="2"/>
    </row>
    <row r="4960" spans="17:17" x14ac:dyDescent="0.15">
      <c r="Q4960" s="2"/>
    </row>
    <row r="4961" spans="17:17" x14ac:dyDescent="0.15">
      <c r="Q4961" s="2"/>
    </row>
    <row r="4962" spans="17:17" x14ac:dyDescent="0.15">
      <c r="Q4962" s="2"/>
    </row>
    <row r="4963" spans="17:17" x14ac:dyDescent="0.15">
      <c r="Q4963" s="2"/>
    </row>
    <row r="4964" spans="17:17" x14ac:dyDescent="0.15">
      <c r="Q4964" s="2"/>
    </row>
    <row r="4965" spans="17:17" x14ac:dyDescent="0.15">
      <c r="Q4965" s="2"/>
    </row>
    <row r="4966" spans="17:17" x14ac:dyDescent="0.15">
      <c r="Q4966" s="2"/>
    </row>
    <row r="4967" spans="17:17" x14ac:dyDescent="0.15">
      <c r="Q4967" s="2"/>
    </row>
    <row r="4968" spans="17:17" x14ac:dyDescent="0.15">
      <c r="Q4968" s="2"/>
    </row>
    <row r="4969" spans="17:17" x14ac:dyDescent="0.15">
      <c r="Q4969" s="2"/>
    </row>
    <row r="4970" spans="17:17" x14ac:dyDescent="0.15">
      <c r="Q4970" s="2"/>
    </row>
    <row r="4971" spans="17:17" x14ac:dyDescent="0.15">
      <c r="Q4971" s="2"/>
    </row>
    <row r="4972" spans="17:17" x14ac:dyDescent="0.15">
      <c r="Q4972" s="2"/>
    </row>
    <row r="4973" spans="17:17" x14ac:dyDescent="0.15">
      <c r="Q4973" s="2"/>
    </row>
    <row r="4974" spans="17:17" x14ac:dyDescent="0.15">
      <c r="Q4974" s="2"/>
    </row>
    <row r="4975" spans="17:17" x14ac:dyDescent="0.15">
      <c r="Q4975" s="2"/>
    </row>
    <row r="4976" spans="17:17" x14ac:dyDescent="0.15">
      <c r="Q4976" s="2"/>
    </row>
    <row r="4977" spans="17:17" x14ac:dyDescent="0.15">
      <c r="Q4977" s="2"/>
    </row>
    <row r="4978" spans="17:17" x14ac:dyDescent="0.15">
      <c r="Q4978" s="2"/>
    </row>
    <row r="4979" spans="17:17" x14ac:dyDescent="0.15">
      <c r="Q4979" s="2"/>
    </row>
    <row r="4980" spans="17:17" x14ac:dyDescent="0.15">
      <c r="Q4980" s="2"/>
    </row>
    <row r="4981" spans="17:17" x14ac:dyDescent="0.15">
      <c r="Q4981" s="2"/>
    </row>
    <row r="4982" spans="17:17" x14ac:dyDescent="0.15">
      <c r="Q4982" s="2"/>
    </row>
    <row r="4983" spans="17:17" x14ac:dyDescent="0.15">
      <c r="Q4983" s="2"/>
    </row>
    <row r="4984" spans="17:17" x14ac:dyDescent="0.15">
      <c r="Q4984" s="2"/>
    </row>
    <row r="4985" spans="17:17" x14ac:dyDescent="0.15">
      <c r="Q4985" s="2"/>
    </row>
    <row r="4986" spans="17:17" x14ac:dyDescent="0.15">
      <c r="Q4986" s="2"/>
    </row>
    <row r="4987" spans="17:17" x14ac:dyDescent="0.15">
      <c r="Q4987" s="2"/>
    </row>
    <row r="4988" spans="17:17" x14ac:dyDescent="0.15">
      <c r="Q4988" s="2"/>
    </row>
    <row r="4989" spans="17:17" x14ac:dyDescent="0.15">
      <c r="Q4989" s="2"/>
    </row>
    <row r="4990" spans="17:17" x14ac:dyDescent="0.15">
      <c r="Q4990" s="2"/>
    </row>
    <row r="4991" spans="17:17" x14ac:dyDescent="0.15">
      <c r="Q4991" s="2"/>
    </row>
    <row r="4992" spans="17:17" x14ac:dyDescent="0.15">
      <c r="Q4992" s="2"/>
    </row>
    <row r="4993" spans="17:17" x14ac:dyDescent="0.15">
      <c r="Q4993" s="2"/>
    </row>
    <row r="4994" spans="17:17" x14ac:dyDescent="0.15">
      <c r="Q4994" s="2"/>
    </row>
    <row r="4995" spans="17:17" x14ac:dyDescent="0.15">
      <c r="Q4995" s="2"/>
    </row>
    <row r="4996" spans="17:17" x14ac:dyDescent="0.15">
      <c r="Q4996" s="2"/>
    </row>
    <row r="4997" spans="17:17" x14ac:dyDescent="0.15">
      <c r="Q4997" s="2"/>
    </row>
    <row r="4998" spans="17:17" x14ac:dyDescent="0.15">
      <c r="Q4998" s="2"/>
    </row>
    <row r="4999" spans="17:17" x14ac:dyDescent="0.15">
      <c r="Q4999" s="2"/>
    </row>
    <row r="5000" spans="17:17" x14ac:dyDescent="0.15">
      <c r="Q5000" s="2"/>
    </row>
    <row r="5001" spans="17:17" x14ac:dyDescent="0.15">
      <c r="Q5001" s="2"/>
    </row>
    <row r="5002" spans="17:17" x14ac:dyDescent="0.15">
      <c r="Q5002" s="2"/>
    </row>
    <row r="5003" spans="17:17" x14ac:dyDescent="0.15">
      <c r="Q5003" s="2"/>
    </row>
    <row r="5004" spans="17:17" x14ac:dyDescent="0.15">
      <c r="Q5004" s="2"/>
    </row>
    <row r="5005" spans="17:17" x14ac:dyDescent="0.15">
      <c r="Q5005" s="2"/>
    </row>
    <row r="5006" spans="17:17" x14ac:dyDescent="0.15">
      <c r="Q5006" s="2"/>
    </row>
    <row r="5007" spans="17:17" x14ac:dyDescent="0.15">
      <c r="Q5007" s="2"/>
    </row>
    <row r="5008" spans="17:17" x14ac:dyDescent="0.15">
      <c r="Q5008" s="2"/>
    </row>
    <row r="5009" spans="17:17" x14ac:dyDescent="0.15">
      <c r="Q5009" s="2"/>
    </row>
    <row r="5010" spans="17:17" x14ac:dyDescent="0.15">
      <c r="Q5010" s="2"/>
    </row>
    <row r="5011" spans="17:17" x14ac:dyDescent="0.15">
      <c r="Q5011" s="2"/>
    </row>
    <row r="5012" spans="17:17" x14ac:dyDescent="0.15">
      <c r="Q5012" s="2"/>
    </row>
    <row r="5013" spans="17:17" x14ac:dyDescent="0.15">
      <c r="Q5013" s="2"/>
    </row>
    <row r="5014" spans="17:17" x14ac:dyDescent="0.15">
      <c r="Q5014" s="2"/>
    </row>
    <row r="5015" spans="17:17" x14ac:dyDescent="0.15">
      <c r="Q5015" s="2"/>
    </row>
    <row r="5016" spans="17:17" x14ac:dyDescent="0.15">
      <c r="Q5016" s="2"/>
    </row>
    <row r="5017" spans="17:17" x14ac:dyDescent="0.15">
      <c r="Q5017" s="2"/>
    </row>
    <row r="5018" spans="17:17" x14ac:dyDescent="0.15">
      <c r="Q5018" s="2"/>
    </row>
    <row r="5019" spans="17:17" x14ac:dyDescent="0.15">
      <c r="Q5019" s="2"/>
    </row>
    <row r="5020" spans="17:17" x14ac:dyDescent="0.15">
      <c r="Q5020" s="2"/>
    </row>
    <row r="5021" spans="17:17" x14ac:dyDescent="0.15">
      <c r="Q5021" s="2"/>
    </row>
    <row r="5022" spans="17:17" x14ac:dyDescent="0.15">
      <c r="Q5022" s="2"/>
    </row>
    <row r="5023" spans="17:17" x14ac:dyDescent="0.15">
      <c r="Q5023" s="2"/>
    </row>
    <row r="5024" spans="17:17" x14ac:dyDescent="0.15">
      <c r="Q5024" s="2"/>
    </row>
    <row r="5025" spans="17:17" x14ac:dyDescent="0.15">
      <c r="Q5025" s="2"/>
    </row>
    <row r="5026" spans="17:17" x14ac:dyDescent="0.15">
      <c r="Q5026" s="2"/>
    </row>
    <row r="5027" spans="17:17" x14ac:dyDescent="0.15">
      <c r="Q5027" s="2"/>
    </row>
    <row r="5028" spans="17:17" x14ac:dyDescent="0.15">
      <c r="Q5028" s="2"/>
    </row>
    <row r="5029" spans="17:17" x14ac:dyDescent="0.15">
      <c r="Q5029" s="2"/>
    </row>
    <row r="5030" spans="17:17" x14ac:dyDescent="0.15">
      <c r="Q5030" s="2"/>
    </row>
    <row r="5031" spans="17:17" x14ac:dyDescent="0.15">
      <c r="Q5031" s="2"/>
    </row>
    <row r="5032" spans="17:17" x14ac:dyDescent="0.15">
      <c r="Q5032" s="2"/>
    </row>
    <row r="5033" spans="17:17" x14ac:dyDescent="0.15">
      <c r="Q5033" s="2"/>
    </row>
  </sheetData>
  <mergeCells count="7">
    <mergeCell ref="A1:AG1"/>
    <mergeCell ref="A2:B2"/>
    <mergeCell ref="C2:M2"/>
    <mergeCell ref="N2:P2"/>
    <mergeCell ref="Q2:S2"/>
    <mergeCell ref="T2:V2"/>
    <mergeCell ref="W2:Y2"/>
  </mergeCells>
  <phoneticPr fontId="16" type="noConversion"/>
  <pageMargins left="0.7" right="0.7" top="0.75" bottom="0.75" header="0.3" footer="0.3"/>
  <pageSetup paperSize="9" orientation="portrait"/>
  <ignoredErrors>
    <ignoredError sqref="C376:L382 C375" formula="1" formulaRange="1"/>
    <ignoredError sqref="C383:L386 D375:L375" formulaRange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381"/>
  <sheetViews>
    <sheetView workbookViewId="0">
      <pane xSplit="2" ySplit="4" topLeftCell="L5" activePane="bottomRight" state="frozen"/>
      <selection pane="topRight"/>
      <selection pane="bottomLeft"/>
      <selection pane="bottomRight" activeCell="Z5" sqref="Z5"/>
    </sheetView>
  </sheetViews>
  <sheetFormatPr defaultColWidth="9" defaultRowHeight="14.25" x14ac:dyDescent="0.15"/>
  <cols>
    <col min="1" max="1" width="9.625" style="2" customWidth="1"/>
    <col min="2" max="2" width="6" style="2" customWidth="1"/>
    <col min="3" max="3" width="10.375" style="2" customWidth="1"/>
    <col min="4" max="4" width="8.75" style="2" customWidth="1"/>
    <col min="5" max="5" width="10.5" style="2" customWidth="1"/>
    <col min="6" max="6" width="9.5" style="2" customWidth="1"/>
    <col min="7" max="7" width="8.625" style="2" customWidth="1"/>
    <col min="8" max="8" width="9" style="2" hidden="1" customWidth="1"/>
    <col min="9" max="9" width="8.75" style="2" hidden="1" customWidth="1"/>
    <col min="10" max="10" width="11.25" style="2" customWidth="1"/>
    <col min="11" max="13" width="9" style="2"/>
    <col min="14" max="14" width="8.875" style="2" customWidth="1"/>
    <col min="15" max="15" width="9" style="2"/>
    <col min="16" max="16" width="10.625" style="2" customWidth="1"/>
    <col min="17" max="17" width="10" style="3" customWidth="1"/>
    <col min="18" max="18" width="10.125" style="2" customWidth="1"/>
    <col min="19" max="25" width="10.625" style="2" customWidth="1"/>
    <col min="26" max="26" width="7.875" style="2" customWidth="1"/>
    <col min="27" max="27" width="9.25" style="2" customWidth="1"/>
    <col min="28" max="28" width="9.75" style="2" customWidth="1"/>
    <col min="29" max="29" width="8.125" style="2" customWidth="1"/>
    <col min="30" max="30" width="9" style="2"/>
    <col min="31" max="31" width="9.375" style="2" customWidth="1"/>
    <col min="32" max="32" width="9" style="2"/>
    <col min="33" max="33" width="9.5" style="2" customWidth="1"/>
    <col min="34" max="16384" width="9" style="2"/>
  </cols>
  <sheetData>
    <row r="1" spans="1:33" ht="15" customHeight="1" x14ac:dyDescent="0.15">
      <c r="A1" s="4" t="s">
        <v>60</v>
      </c>
      <c r="B1" s="4"/>
      <c r="C1" s="5"/>
      <c r="D1" s="5"/>
      <c r="E1" s="5"/>
      <c r="F1" s="482"/>
      <c r="G1" s="482"/>
      <c r="H1" s="6"/>
      <c r="I1" s="31"/>
      <c r="N1" s="64"/>
      <c r="O1" s="4"/>
      <c r="P1" s="64"/>
      <c r="Q1" s="4"/>
      <c r="R1" s="4"/>
      <c r="S1" s="64"/>
      <c r="T1" s="64"/>
      <c r="U1" s="64"/>
      <c r="V1" s="64"/>
      <c r="W1" s="64"/>
      <c r="X1" s="64"/>
      <c r="Y1" s="64"/>
      <c r="Z1" s="31"/>
      <c r="AA1" s="31"/>
      <c r="AB1" s="31"/>
      <c r="AC1" s="31"/>
    </row>
    <row r="2" spans="1:33" ht="15" customHeight="1" x14ac:dyDescent="0.15">
      <c r="A2" s="479"/>
      <c r="B2" s="479"/>
      <c r="C2" s="480" t="s">
        <v>1</v>
      </c>
      <c r="D2" s="479"/>
      <c r="E2" s="479"/>
      <c r="F2" s="479"/>
      <c r="G2" s="479"/>
      <c r="H2" s="479"/>
      <c r="I2" s="479"/>
      <c r="J2" s="479"/>
      <c r="K2" s="479"/>
      <c r="L2" s="479"/>
      <c r="M2" s="479"/>
      <c r="N2" s="479" t="s">
        <v>2</v>
      </c>
      <c r="O2" s="479"/>
      <c r="P2" s="479"/>
      <c r="Q2" s="479" t="s">
        <v>3</v>
      </c>
      <c r="R2" s="479"/>
      <c r="S2" s="479"/>
      <c r="T2" s="479" t="s">
        <v>4</v>
      </c>
      <c r="U2" s="479"/>
      <c r="V2" s="479"/>
      <c r="W2" s="479" t="s">
        <v>5</v>
      </c>
      <c r="X2" s="479"/>
      <c r="Y2" s="479"/>
      <c r="Z2" s="31"/>
      <c r="AA2" s="31"/>
      <c r="AB2" s="31"/>
      <c r="AC2" s="31"/>
    </row>
    <row r="3" spans="1:33" ht="24.75" customHeight="1" x14ac:dyDescent="0.15">
      <c r="A3" s="8" t="s">
        <v>6</v>
      </c>
      <c r="B3" s="8" t="s">
        <v>7</v>
      </c>
      <c r="C3" s="65" t="s">
        <v>8</v>
      </c>
      <c r="D3" s="65" t="s">
        <v>9</v>
      </c>
      <c r="E3" s="65" t="s">
        <v>10</v>
      </c>
      <c r="F3" s="10" t="s">
        <v>11</v>
      </c>
      <c r="G3" s="7" t="s">
        <v>12</v>
      </c>
      <c r="H3" s="11" t="s">
        <v>13</v>
      </c>
      <c r="I3" s="11" t="s">
        <v>14</v>
      </c>
      <c r="J3" s="7" t="s">
        <v>15</v>
      </c>
      <c r="K3" s="7" t="s">
        <v>16</v>
      </c>
      <c r="L3" s="7" t="s">
        <v>17</v>
      </c>
      <c r="M3" s="65" t="s">
        <v>18</v>
      </c>
      <c r="N3" s="65" t="s">
        <v>8</v>
      </c>
      <c r="O3" s="65" t="s">
        <v>9</v>
      </c>
      <c r="P3" s="65" t="s">
        <v>10</v>
      </c>
      <c r="Q3" s="65" t="s">
        <v>8</v>
      </c>
      <c r="R3" s="65" t="s">
        <v>9</v>
      </c>
      <c r="S3" s="65" t="s">
        <v>10</v>
      </c>
      <c r="T3" s="65" t="s">
        <v>8</v>
      </c>
      <c r="U3" s="65" t="s">
        <v>9</v>
      </c>
      <c r="V3" s="65" t="s">
        <v>10</v>
      </c>
      <c r="W3" s="65" t="s">
        <v>8</v>
      </c>
      <c r="X3" s="65" t="s">
        <v>9</v>
      </c>
      <c r="Y3" s="65" t="s">
        <v>10</v>
      </c>
      <c r="Z3" s="47" t="s">
        <v>19</v>
      </c>
      <c r="AA3" s="47" t="s">
        <v>20</v>
      </c>
      <c r="AB3" s="103" t="s">
        <v>21</v>
      </c>
      <c r="AC3" s="103" t="s">
        <v>22</v>
      </c>
      <c r="AD3" s="48" t="s">
        <v>23</v>
      </c>
      <c r="AE3" s="48" t="s">
        <v>24</v>
      </c>
      <c r="AF3" s="48" t="s">
        <v>25</v>
      </c>
      <c r="AG3" s="48" t="s">
        <v>26</v>
      </c>
    </row>
    <row r="4" spans="1:33" ht="15" customHeight="1" x14ac:dyDescent="0.15">
      <c r="A4" s="8"/>
      <c r="B4" s="8"/>
      <c r="C4" s="7" t="s">
        <v>29</v>
      </c>
      <c r="D4" s="7" t="s">
        <v>29</v>
      </c>
      <c r="E4" s="7" t="s">
        <v>29</v>
      </c>
      <c r="F4" s="12" t="s">
        <v>30</v>
      </c>
      <c r="G4" s="8" t="s">
        <v>30</v>
      </c>
      <c r="H4" s="8" t="s">
        <v>30</v>
      </c>
      <c r="I4" s="8" t="s">
        <v>30</v>
      </c>
      <c r="J4" s="8" t="s">
        <v>29</v>
      </c>
      <c r="K4" s="8" t="s">
        <v>29</v>
      </c>
      <c r="L4" s="8" t="s">
        <v>29</v>
      </c>
      <c r="M4" s="8"/>
      <c r="N4" s="7" t="s">
        <v>29</v>
      </c>
      <c r="O4" s="7" t="s">
        <v>29</v>
      </c>
      <c r="P4" s="7" t="s">
        <v>29</v>
      </c>
      <c r="Q4" s="7" t="s">
        <v>29</v>
      </c>
      <c r="R4" s="7" t="s">
        <v>29</v>
      </c>
      <c r="S4" s="7" t="s">
        <v>29</v>
      </c>
      <c r="T4" s="7" t="s">
        <v>31</v>
      </c>
      <c r="U4" s="7" t="s">
        <v>31</v>
      </c>
      <c r="V4" s="7" t="s">
        <v>31</v>
      </c>
      <c r="W4" s="7" t="s">
        <v>31</v>
      </c>
      <c r="X4" s="7" t="s">
        <v>31</v>
      </c>
      <c r="Y4" s="7" t="s">
        <v>31</v>
      </c>
      <c r="Z4" s="7" t="s">
        <v>32</v>
      </c>
      <c r="AA4" s="7" t="s">
        <v>32</v>
      </c>
      <c r="AB4" s="104" t="s">
        <v>30</v>
      </c>
      <c r="AC4" s="104" t="s">
        <v>33</v>
      </c>
      <c r="AD4" s="7" t="s">
        <v>29</v>
      </c>
      <c r="AE4" s="7" t="s">
        <v>29</v>
      </c>
      <c r="AF4" s="7" t="s">
        <v>29</v>
      </c>
      <c r="AG4" s="7" t="s">
        <v>29</v>
      </c>
    </row>
    <row r="5" spans="1:33" ht="15" customHeight="1" x14ac:dyDescent="0.15">
      <c r="A5" s="13">
        <v>42370</v>
      </c>
      <c r="B5" s="20" t="s">
        <v>38</v>
      </c>
      <c r="C5" s="8">
        <v>46480</v>
      </c>
      <c r="D5" s="37">
        <v>20101</v>
      </c>
      <c r="E5" s="37">
        <v>68870</v>
      </c>
      <c r="F5" s="8">
        <v>3230</v>
      </c>
      <c r="G5" s="37">
        <v>2594</v>
      </c>
      <c r="H5" s="24"/>
      <c r="I5" s="36"/>
      <c r="J5" s="8">
        <f t="shared" ref="J5:J64" si="0">E5-D5</f>
        <v>48769</v>
      </c>
      <c r="K5" s="37">
        <f>J5-C5-M5-L5</f>
        <v>1496</v>
      </c>
      <c r="L5" s="37">
        <v>793</v>
      </c>
      <c r="M5" s="37"/>
      <c r="N5" s="74">
        <f>C5</f>
        <v>46480</v>
      </c>
      <c r="O5" s="75">
        <f>D5</f>
        <v>20101</v>
      </c>
      <c r="P5" s="75">
        <f>E5</f>
        <v>68870</v>
      </c>
      <c r="Q5" s="76">
        <f>N5</f>
        <v>46480</v>
      </c>
      <c r="R5" s="76">
        <f>O5</f>
        <v>20101</v>
      </c>
      <c r="S5" s="76">
        <f>P5</f>
        <v>68870</v>
      </c>
      <c r="T5" s="80">
        <f>N5/'2015'!M5-1</f>
        <v>-4.1609963297455588E-2</v>
      </c>
      <c r="U5" s="80">
        <f>O5/'2015'!N5-1</f>
        <v>5.9732180514550759E-2</v>
      </c>
      <c r="V5" s="80">
        <f>P5/'2015'!O5-1</f>
        <v>6.2975788658512499E-3</v>
      </c>
      <c r="W5" s="81">
        <f>Q5/'2015'!P5-1</f>
        <v>-4.1609963297455588E-2</v>
      </c>
      <c r="X5" s="81">
        <f>R5/'2015'!Q5-1</f>
        <v>5.9732180514550759E-2</v>
      </c>
      <c r="Y5" s="81">
        <f>S5/'2015'!R5-1</f>
        <v>6.2975788658512499E-3</v>
      </c>
      <c r="Z5" s="50">
        <f>Z$11/7</f>
        <v>0.35000000000000003</v>
      </c>
      <c r="AA5" s="97">
        <f>Q5/10000-Z5</f>
        <v>4.298</v>
      </c>
      <c r="AB5" s="105">
        <f>4230.1</f>
        <v>4230.1000000000004</v>
      </c>
      <c r="AC5" s="105"/>
      <c r="AD5" s="8">
        <f>S5-R5</f>
        <v>48769</v>
      </c>
      <c r="AE5" s="37">
        <f>K5</f>
        <v>1496</v>
      </c>
      <c r="AF5" s="37">
        <f>L5</f>
        <v>793</v>
      </c>
      <c r="AG5" s="37">
        <f>AD5-Q5-AE5-AF5</f>
        <v>0</v>
      </c>
    </row>
    <row r="6" spans="1:33" ht="15" customHeight="1" x14ac:dyDescent="0.15">
      <c r="A6" s="13">
        <v>42371</v>
      </c>
      <c r="B6" s="20" t="s">
        <v>39</v>
      </c>
      <c r="C6" s="8">
        <v>53694</v>
      </c>
      <c r="D6" s="37">
        <v>20182</v>
      </c>
      <c r="E6" s="37">
        <v>76193</v>
      </c>
      <c r="F6" s="8">
        <v>3857</v>
      </c>
      <c r="G6" s="37">
        <v>2306</v>
      </c>
      <c r="H6" s="24"/>
      <c r="I6" s="36"/>
      <c r="J6" s="8">
        <f t="shared" si="0"/>
        <v>56011</v>
      </c>
      <c r="K6" s="37">
        <f t="shared" ref="K6:K69" si="1">J6-C6-M6-L6</f>
        <v>1524</v>
      </c>
      <c r="L6" s="37">
        <v>793</v>
      </c>
      <c r="M6" s="37"/>
      <c r="N6" s="74">
        <f t="shared" ref="N6:N35" si="2">N5+C6</f>
        <v>100174</v>
      </c>
      <c r="O6" s="75">
        <f t="shared" ref="O6:O35" si="3">O5+D6</f>
        <v>40283</v>
      </c>
      <c r="P6" s="75">
        <f t="shared" ref="P6:P35" si="4">P5+E6</f>
        <v>145063</v>
      </c>
      <c r="Q6" s="76">
        <f t="shared" ref="Q6:S35" si="5">N6</f>
        <v>100174</v>
      </c>
      <c r="R6" s="76">
        <f t="shared" si="5"/>
        <v>40283</v>
      </c>
      <c r="S6" s="76">
        <f t="shared" si="5"/>
        <v>145063</v>
      </c>
      <c r="T6" s="80">
        <f>N6/'2015'!M6-1</f>
        <v>-6.9585570189289125E-2</v>
      </c>
      <c r="U6" s="80">
        <f>O6/'2015'!N6-1</f>
        <v>5.111679365410704E-2</v>
      </c>
      <c r="V6" s="80">
        <f>P6/'2015'!O6-1</f>
        <v>-1.8757271571200551E-2</v>
      </c>
      <c r="W6" s="81">
        <f>Q6/'2015'!P6-1</f>
        <v>-6.9585570189289125E-2</v>
      </c>
      <c r="X6" s="81">
        <f>R6/'2015'!Q6-1</f>
        <v>5.111679365410704E-2</v>
      </c>
      <c r="Y6" s="81">
        <f>S6/'2015'!R6-1</f>
        <v>-1.8757271571200551E-2</v>
      </c>
      <c r="Z6" s="50">
        <f>Z$11*2/7</f>
        <v>0.70000000000000007</v>
      </c>
      <c r="AA6" s="97">
        <f t="shared" ref="AA6:AA69" si="6">Q6/10000-Z6</f>
        <v>9.317400000000001</v>
      </c>
      <c r="AB6" s="105"/>
      <c r="AC6" s="105"/>
      <c r="AD6" s="8">
        <f t="shared" ref="AD6:AD69" si="7">S6-R6</f>
        <v>104780</v>
      </c>
      <c r="AE6" s="37">
        <f>AE5+K6</f>
        <v>3020</v>
      </c>
      <c r="AF6" s="37">
        <f>AF5+L6</f>
        <v>1586</v>
      </c>
      <c r="AG6" s="37">
        <f t="shared" ref="AG6:AG69" si="8">AD6-Q6-AE6-AF6</f>
        <v>0</v>
      </c>
    </row>
    <row r="7" spans="1:33" ht="15" customHeight="1" x14ac:dyDescent="0.15">
      <c r="A7" s="13">
        <v>42372</v>
      </c>
      <c r="B7" s="20" t="s">
        <v>1</v>
      </c>
      <c r="C7" s="8">
        <v>58586</v>
      </c>
      <c r="D7" s="37">
        <v>20609</v>
      </c>
      <c r="E7" s="37">
        <v>81629</v>
      </c>
      <c r="F7" s="8">
        <v>4185</v>
      </c>
      <c r="G7" s="37">
        <v>2615</v>
      </c>
      <c r="H7" s="24"/>
      <c r="I7" s="36"/>
      <c r="J7" s="8">
        <f t="shared" si="0"/>
        <v>61020</v>
      </c>
      <c r="K7" s="37">
        <f t="shared" si="1"/>
        <v>1641</v>
      </c>
      <c r="L7" s="37">
        <v>793</v>
      </c>
      <c r="M7" s="37"/>
      <c r="N7" s="74">
        <f t="shared" si="2"/>
        <v>158760</v>
      </c>
      <c r="O7" s="75">
        <f t="shared" si="3"/>
        <v>60892</v>
      </c>
      <c r="P7" s="75">
        <f t="shared" si="4"/>
        <v>226692</v>
      </c>
      <c r="Q7" s="76">
        <f t="shared" si="5"/>
        <v>158760</v>
      </c>
      <c r="R7" s="76">
        <f t="shared" si="5"/>
        <v>60892</v>
      </c>
      <c r="S7" s="76">
        <f t="shared" si="5"/>
        <v>226692</v>
      </c>
      <c r="T7" s="80">
        <f>N7/'2015'!M7-1</f>
        <v>-8.992937723562322E-2</v>
      </c>
      <c r="U7" s="80">
        <f>O7/'2015'!N7-1</f>
        <v>5.2566074916596151E-2</v>
      </c>
      <c r="V7" s="80">
        <f>P7/'2015'!O7-1</f>
        <v>-3.748710306087355E-2</v>
      </c>
      <c r="W7" s="81">
        <f>Q7/'2015'!P7-1</f>
        <v>-8.992937723562322E-2</v>
      </c>
      <c r="X7" s="81">
        <f>R7/'2015'!Q7-1</f>
        <v>5.2566074916596151E-2</v>
      </c>
      <c r="Y7" s="81">
        <f>S7/'2015'!R7-1</f>
        <v>-3.748710306087355E-2</v>
      </c>
      <c r="Z7" s="50">
        <f>Z$11*3/7</f>
        <v>1.05</v>
      </c>
      <c r="AA7" s="97">
        <f t="shared" si="6"/>
        <v>14.825999999999999</v>
      </c>
      <c r="AB7" s="105"/>
      <c r="AC7" s="105"/>
      <c r="AD7" s="8">
        <f t="shared" si="7"/>
        <v>165800</v>
      </c>
      <c r="AE7" s="37">
        <f t="shared" ref="AE7:AF70" si="9">AE6+K7</f>
        <v>4661</v>
      </c>
      <c r="AF7" s="37">
        <f t="shared" si="9"/>
        <v>2379</v>
      </c>
      <c r="AG7" s="37">
        <f t="shared" si="8"/>
        <v>0</v>
      </c>
    </row>
    <row r="8" spans="1:33" ht="15" customHeight="1" x14ac:dyDescent="0.15">
      <c r="A8" s="102">
        <v>42373</v>
      </c>
      <c r="B8" s="20" t="s">
        <v>34</v>
      </c>
      <c r="C8" s="8">
        <v>60406</v>
      </c>
      <c r="D8" s="37">
        <v>21839</v>
      </c>
      <c r="E8" s="37">
        <v>85141</v>
      </c>
      <c r="F8" s="8">
        <v>4410</v>
      </c>
      <c r="G8" s="37">
        <v>2670</v>
      </c>
      <c r="H8" s="24"/>
      <c r="I8" s="36"/>
      <c r="J8" s="8">
        <f t="shared" si="0"/>
        <v>63302</v>
      </c>
      <c r="K8" s="37">
        <f t="shared" si="1"/>
        <v>2103</v>
      </c>
      <c r="L8" s="37">
        <v>793</v>
      </c>
      <c r="M8" s="37"/>
      <c r="N8" s="74">
        <f t="shared" si="2"/>
        <v>219166</v>
      </c>
      <c r="O8" s="75">
        <f t="shared" si="3"/>
        <v>82731</v>
      </c>
      <c r="P8" s="75">
        <f t="shared" si="4"/>
        <v>311833</v>
      </c>
      <c r="Q8" s="76">
        <f t="shared" si="5"/>
        <v>219166</v>
      </c>
      <c r="R8" s="76">
        <f t="shared" si="5"/>
        <v>82731</v>
      </c>
      <c r="S8" s="76">
        <f t="shared" si="5"/>
        <v>311833</v>
      </c>
      <c r="T8" s="80">
        <f>N8/'2015'!M8-1</f>
        <v>-8.7279905382219192E-2</v>
      </c>
      <c r="U8" s="80">
        <f>O8/'2015'!N8-1</f>
        <v>4.3371336326489374E-2</v>
      </c>
      <c r="V8" s="80">
        <f>P8/'2015'!O8-1</f>
        <v>-3.8267831643746475E-2</v>
      </c>
      <c r="W8" s="81">
        <f>Q8/'2015'!P8-1</f>
        <v>-8.7279905382219192E-2</v>
      </c>
      <c r="X8" s="81">
        <f>R8/'2015'!Q8-1</f>
        <v>4.3371336326489374E-2</v>
      </c>
      <c r="Y8" s="81">
        <f>S8/'2015'!R8-1</f>
        <v>-3.8267831643746475E-2</v>
      </c>
      <c r="Z8" s="50">
        <f>Z$11*4/7</f>
        <v>1.4000000000000001</v>
      </c>
      <c r="AA8" s="97">
        <f t="shared" si="6"/>
        <v>20.5166</v>
      </c>
      <c r="AB8" s="105"/>
      <c r="AC8" s="105"/>
      <c r="AD8" s="8">
        <f t="shared" si="7"/>
        <v>229102</v>
      </c>
      <c r="AE8" s="37">
        <f t="shared" si="9"/>
        <v>6764</v>
      </c>
      <c r="AF8" s="37">
        <f t="shared" si="9"/>
        <v>3172</v>
      </c>
      <c r="AG8" s="37">
        <f t="shared" si="8"/>
        <v>0</v>
      </c>
    </row>
    <row r="9" spans="1:33" ht="15" customHeight="1" x14ac:dyDescent="0.15">
      <c r="A9" s="102">
        <v>42374</v>
      </c>
      <c r="B9" s="14" t="s">
        <v>35</v>
      </c>
      <c r="C9" s="32">
        <v>61236</v>
      </c>
      <c r="D9" s="33">
        <v>24145</v>
      </c>
      <c r="E9" s="33">
        <v>88087</v>
      </c>
      <c r="F9" s="32">
        <v>4510</v>
      </c>
      <c r="G9" s="33">
        <v>2802</v>
      </c>
      <c r="H9" s="19"/>
      <c r="I9" s="19"/>
      <c r="J9" s="32">
        <f t="shared" si="0"/>
        <v>63942</v>
      </c>
      <c r="K9" s="33">
        <f t="shared" si="1"/>
        <v>1913</v>
      </c>
      <c r="L9" s="33">
        <v>793</v>
      </c>
      <c r="M9" s="33"/>
      <c r="N9" s="77">
        <f t="shared" si="2"/>
        <v>280402</v>
      </c>
      <c r="O9" s="78">
        <f t="shared" si="3"/>
        <v>106876</v>
      </c>
      <c r="P9" s="78">
        <f t="shared" si="4"/>
        <v>399920</v>
      </c>
      <c r="Q9" s="77">
        <f t="shared" si="5"/>
        <v>280402</v>
      </c>
      <c r="R9" s="77">
        <f t="shared" si="5"/>
        <v>106876</v>
      </c>
      <c r="S9" s="77">
        <f t="shared" si="5"/>
        <v>399920</v>
      </c>
      <c r="T9" s="82">
        <f>N9/'2015'!M9-1</f>
        <v>-9.0448479658498893E-2</v>
      </c>
      <c r="U9" s="82">
        <f>O9/'2015'!N9-1</f>
        <v>7.1084252828638173E-2</v>
      </c>
      <c r="V9" s="82">
        <f>P9/'2015'!O9-1</f>
        <v>-3.4116982171063071E-2</v>
      </c>
      <c r="W9" s="82">
        <f>Q9/'2015'!P9-1</f>
        <v>-9.0448479658498893E-2</v>
      </c>
      <c r="X9" s="82">
        <f>R9/'2015'!Q9-1</f>
        <v>7.1084252828638173E-2</v>
      </c>
      <c r="Y9" s="82">
        <f>S9/'2015'!R9-1</f>
        <v>-3.4116982171063071E-2</v>
      </c>
      <c r="Z9" s="49">
        <f>Z$11*5/7</f>
        <v>1.75</v>
      </c>
      <c r="AA9" s="49">
        <f t="shared" si="6"/>
        <v>26.290199999999999</v>
      </c>
      <c r="AB9" s="33">
        <v>4230</v>
      </c>
      <c r="AC9" s="33">
        <f>AA9*10000/AB9</f>
        <v>62.151773049645392</v>
      </c>
      <c r="AD9" s="32">
        <f t="shared" si="7"/>
        <v>293044</v>
      </c>
      <c r="AE9" s="33">
        <f t="shared" si="9"/>
        <v>8677</v>
      </c>
      <c r="AF9" s="33">
        <f t="shared" si="9"/>
        <v>3965</v>
      </c>
      <c r="AG9" s="33">
        <f t="shared" si="8"/>
        <v>0</v>
      </c>
    </row>
    <row r="10" spans="1:33" ht="15" customHeight="1" x14ac:dyDescent="0.15">
      <c r="A10" s="102">
        <v>42375</v>
      </c>
      <c r="B10" s="20" t="s">
        <v>36</v>
      </c>
      <c r="C10" s="8">
        <v>62233</v>
      </c>
      <c r="D10" s="37">
        <v>23686</v>
      </c>
      <c r="E10" s="37">
        <v>89344</v>
      </c>
      <c r="F10" s="8">
        <v>4605</v>
      </c>
      <c r="G10" s="37">
        <v>2825</v>
      </c>
      <c r="H10" s="24"/>
      <c r="I10" s="36"/>
      <c r="J10" s="8">
        <f t="shared" si="0"/>
        <v>65658</v>
      </c>
      <c r="K10" s="37">
        <f t="shared" si="1"/>
        <v>2632</v>
      </c>
      <c r="L10" s="37">
        <v>793</v>
      </c>
      <c r="M10" s="37"/>
      <c r="N10" s="74">
        <f t="shared" si="2"/>
        <v>342635</v>
      </c>
      <c r="O10" s="75">
        <f t="shared" si="3"/>
        <v>130562</v>
      </c>
      <c r="P10" s="75">
        <f t="shared" si="4"/>
        <v>489264</v>
      </c>
      <c r="Q10" s="76">
        <f t="shared" si="5"/>
        <v>342635</v>
      </c>
      <c r="R10" s="76">
        <f t="shared" si="5"/>
        <v>130562</v>
      </c>
      <c r="S10" s="76">
        <f t="shared" si="5"/>
        <v>489264</v>
      </c>
      <c r="T10" s="80">
        <f>N10/'2015'!M10-1</f>
        <v>-9.3812317180896332E-2</v>
      </c>
      <c r="U10" s="80">
        <f>O10/'2015'!N10-1</f>
        <v>7.5815130066495762E-2</v>
      </c>
      <c r="V10" s="80">
        <f>P10/'2015'!O10-1</f>
        <v>-3.4174536496004548E-2</v>
      </c>
      <c r="W10" s="81">
        <f>Q10/'2015'!P10-1</f>
        <v>-9.3812317180896332E-2</v>
      </c>
      <c r="X10" s="81">
        <f>R10/'2015'!Q10-1</f>
        <v>7.5815130066495762E-2</v>
      </c>
      <c r="Y10" s="81">
        <f>S10/'2015'!R10-1</f>
        <v>-3.4174536496004548E-2</v>
      </c>
      <c r="Z10" s="50">
        <f>Z$11*6/7</f>
        <v>2.1</v>
      </c>
      <c r="AA10" s="97">
        <f t="shared" si="6"/>
        <v>32.163499999999999</v>
      </c>
      <c r="AB10" s="105"/>
      <c r="AC10" s="105"/>
      <c r="AD10" s="8">
        <f t="shared" si="7"/>
        <v>358702</v>
      </c>
      <c r="AE10" s="37">
        <f t="shared" si="9"/>
        <v>11309</v>
      </c>
      <c r="AF10" s="37">
        <f t="shared" si="9"/>
        <v>4758</v>
      </c>
      <c r="AG10" s="37">
        <f t="shared" si="8"/>
        <v>0</v>
      </c>
    </row>
    <row r="11" spans="1:33" ht="15" customHeight="1" x14ac:dyDescent="0.15">
      <c r="A11" s="102">
        <v>42376</v>
      </c>
      <c r="B11" s="20" t="s">
        <v>37</v>
      </c>
      <c r="C11" s="70">
        <v>65061</v>
      </c>
      <c r="D11" s="71">
        <v>23410</v>
      </c>
      <c r="E11" s="71">
        <v>91245</v>
      </c>
      <c r="F11" s="70">
        <v>4673</v>
      </c>
      <c r="G11" s="71">
        <v>2882</v>
      </c>
      <c r="H11" s="24"/>
      <c r="I11" s="24"/>
      <c r="J11" s="70">
        <f t="shared" si="0"/>
        <v>67835</v>
      </c>
      <c r="K11" s="71">
        <f t="shared" si="1"/>
        <v>1981</v>
      </c>
      <c r="L11" s="71">
        <v>793</v>
      </c>
      <c r="M11" s="71"/>
      <c r="N11" s="74">
        <f t="shared" si="2"/>
        <v>407696</v>
      </c>
      <c r="O11" s="75">
        <f t="shared" si="3"/>
        <v>153972</v>
      </c>
      <c r="P11" s="75">
        <f t="shared" si="4"/>
        <v>580509</v>
      </c>
      <c r="Q11" s="76">
        <f t="shared" si="5"/>
        <v>407696</v>
      </c>
      <c r="R11" s="76">
        <f t="shared" si="5"/>
        <v>153972</v>
      </c>
      <c r="S11" s="76">
        <f t="shared" si="5"/>
        <v>580509</v>
      </c>
      <c r="T11" s="80">
        <f>N11/'2015'!M11-1</f>
        <v>-9.4787371749184612E-2</v>
      </c>
      <c r="U11" s="80">
        <f>O11/'2015'!N11-1</f>
        <v>7.1750751754092956E-2</v>
      </c>
      <c r="V11" s="80">
        <f>P11/'2015'!O11-1</f>
        <v>-3.5771412435947503E-2</v>
      </c>
      <c r="W11" s="81">
        <f>Q11/'2015'!P11-1</f>
        <v>-9.4787371749184612E-2</v>
      </c>
      <c r="X11" s="81">
        <f>R11/'2015'!Q11-1</f>
        <v>7.1750751754092956E-2</v>
      </c>
      <c r="Y11" s="81">
        <f>S11/'2015'!R11-1</f>
        <v>-3.5771412435947503E-2</v>
      </c>
      <c r="Z11" s="97">
        <v>2.4500000000000002</v>
      </c>
      <c r="AA11" s="97">
        <f t="shared" si="6"/>
        <v>38.319599999999994</v>
      </c>
      <c r="AB11" s="106">
        <v>4230</v>
      </c>
      <c r="AC11" s="105">
        <f>AA11*10000/AB11</f>
        <v>90.590070921985799</v>
      </c>
      <c r="AD11" s="70">
        <f t="shared" si="7"/>
        <v>426537</v>
      </c>
      <c r="AE11" s="71">
        <f t="shared" si="9"/>
        <v>13290</v>
      </c>
      <c r="AF11" s="71">
        <f t="shared" si="9"/>
        <v>5551</v>
      </c>
      <c r="AG11" s="71">
        <f t="shared" si="8"/>
        <v>0</v>
      </c>
    </row>
    <row r="12" spans="1:33" ht="15" customHeight="1" x14ac:dyDescent="0.15">
      <c r="A12" s="102">
        <v>42377</v>
      </c>
      <c r="B12" s="20" t="s">
        <v>38</v>
      </c>
      <c r="C12" s="8">
        <v>65590</v>
      </c>
      <c r="D12" s="37">
        <v>25135</v>
      </c>
      <c r="E12" s="37">
        <v>93720</v>
      </c>
      <c r="F12" s="8">
        <v>4802</v>
      </c>
      <c r="G12" s="37">
        <v>2932</v>
      </c>
      <c r="H12" s="24"/>
      <c r="I12" s="36"/>
      <c r="J12" s="8">
        <f t="shared" si="0"/>
        <v>68585</v>
      </c>
      <c r="K12" s="37">
        <f t="shared" si="1"/>
        <v>2202</v>
      </c>
      <c r="L12" s="37">
        <v>793</v>
      </c>
      <c r="M12" s="37"/>
      <c r="N12" s="74">
        <f t="shared" si="2"/>
        <v>473286</v>
      </c>
      <c r="O12" s="75">
        <f t="shared" si="3"/>
        <v>179107</v>
      </c>
      <c r="P12" s="75">
        <f t="shared" si="4"/>
        <v>674229</v>
      </c>
      <c r="Q12" s="76">
        <f t="shared" si="5"/>
        <v>473286</v>
      </c>
      <c r="R12" s="76">
        <f t="shared" si="5"/>
        <v>179107</v>
      </c>
      <c r="S12" s="76">
        <f t="shared" si="5"/>
        <v>674229</v>
      </c>
      <c r="T12" s="80">
        <f>N12/'2015'!M12-1</f>
        <v>-9.5297625874526948E-2</v>
      </c>
      <c r="U12" s="80">
        <f>O12/'2015'!N12-1</f>
        <v>8.121144071377695E-2</v>
      </c>
      <c r="V12" s="80">
        <f>P12/'2015'!O12-1</f>
        <v>-3.3657153667989048E-2</v>
      </c>
      <c r="W12" s="81">
        <f>Q12/'2015'!P12-1</f>
        <v>-9.5297625874526948E-2</v>
      </c>
      <c r="X12" s="81">
        <f>R12/'2015'!Q12-1</f>
        <v>8.121144071377695E-2</v>
      </c>
      <c r="Y12" s="81">
        <f>S12/'2015'!R12-1</f>
        <v>-3.3657153667989048E-2</v>
      </c>
      <c r="Z12" s="50">
        <f>(Z$14-Z$11)/3+Z$11</f>
        <v>3.3451333333333335</v>
      </c>
      <c r="AA12" s="97">
        <f t="shared" si="6"/>
        <v>43.983466666666665</v>
      </c>
      <c r="AB12" s="105"/>
      <c r="AC12" s="105"/>
      <c r="AD12" s="8">
        <f t="shared" si="7"/>
        <v>495122</v>
      </c>
      <c r="AE12" s="37">
        <f t="shared" si="9"/>
        <v>15492</v>
      </c>
      <c r="AF12" s="37">
        <f t="shared" si="9"/>
        <v>6344</v>
      </c>
      <c r="AG12" s="37">
        <f t="shared" si="8"/>
        <v>0</v>
      </c>
    </row>
    <row r="13" spans="1:33" ht="15" customHeight="1" x14ac:dyDescent="0.15">
      <c r="A13" s="102">
        <v>42378</v>
      </c>
      <c r="B13" s="20" t="s">
        <v>39</v>
      </c>
      <c r="C13" s="8">
        <v>62016</v>
      </c>
      <c r="D13" s="37">
        <v>27482</v>
      </c>
      <c r="E13" s="37">
        <v>91817</v>
      </c>
      <c r="F13" s="8">
        <v>4623</v>
      </c>
      <c r="G13" s="37">
        <v>2988</v>
      </c>
      <c r="H13" s="24"/>
      <c r="I13" s="36"/>
      <c r="J13" s="8">
        <f t="shared" si="0"/>
        <v>64335</v>
      </c>
      <c r="K13" s="37">
        <f t="shared" si="1"/>
        <v>1526</v>
      </c>
      <c r="L13" s="37">
        <v>793</v>
      </c>
      <c r="M13" s="37"/>
      <c r="N13" s="74">
        <f t="shared" si="2"/>
        <v>535302</v>
      </c>
      <c r="O13" s="75">
        <f t="shared" si="3"/>
        <v>206589</v>
      </c>
      <c r="P13" s="75">
        <f t="shared" si="4"/>
        <v>766046</v>
      </c>
      <c r="Q13" s="76">
        <f t="shared" si="5"/>
        <v>535302</v>
      </c>
      <c r="R13" s="76">
        <f t="shared" si="5"/>
        <v>206589</v>
      </c>
      <c r="S13" s="76">
        <f t="shared" si="5"/>
        <v>766046</v>
      </c>
      <c r="T13" s="80">
        <f>N13/'2015'!M13-1</f>
        <v>-0.10191159742704425</v>
      </c>
      <c r="U13" s="80">
        <f>O13/'2015'!N13-1</f>
        <v>0.10545156836934533</v>
      </c>
      <c r="V13" s="80">
        <f>P13/'2015'!O13-1</f>
        <v>-3.4226179219711717E-2</v>
      </c>
      <c r="W13" s="81">
        <f>Q13/'2015'!P13-1</f>
        <v>-0.10191159742704425</v>
      </c>
      <c r="X13" s="81">
        <f>R13/'2015'!Q13-1</f>
        <v>0.10545156836934533</v>
      </c>
      <c r="Y13" s="81">
        <f>S13/'2015'!R13-1</f>
        <v>-3.4226179219711717E-2</v>
      </c>
      <c r="Z13" s="50">
        <f>(Z$14-Z$11)*2/3+Z$11</f>
        <v>4.2402666666666669</v>
      </c>
      <c r="AA13" s="97">
        <f t="shared" si="6"/>
        <v>49.289933333333337</v>
      </c>
      <c r="AB13" s="105"/>
      <c r="AC13" s="105"/>
      <c r="AD13" s="8">
        <f t="shared" si="7"/>
        <v>559457</v>
      </c>
      <c r="AE13" s="37">
        <f t="shared" si="9"/>
        <v>17018</v>
      </c>
      <c r="AF13" s="37">
        <f t="shared" si="9"/>
        <v>7137</v>
      </c>
      <c r="AG13" s="37">
        <f t="shared" si="8"/>
        <v>0</v>
      </c>
    </row>
    <row r="14" spans="1:33" ht="15" customHeight="1" x14ac:dyDescent="0.15">
      <c r="A14" s="102">
        <v>42379</v>
      </c>
      <c r="B14" s="20" t="s">
        <v>1</v>
      </c>
      <c r="C14" s="8">
        <v>59097</v>
      </c>
      <c r="D14" s="37">
        <v>27084</v>
      </c>
      <c r="E14" s="37">
        <v>87814</v>
      </c>
      <c r="F14" s="8">
        <v>4443</v>
      </c>
      <c r="G14" s="37">
        <v>2882</v>
      </c>
      <c r="H14" s="24"/>
      <c r="I14" s="36"/>
      <c r="J14" s="8">
        <f t="shared" si="0"/>
        <v>60730</v>
      </c>
      <c r="K14" s="37">
        <f t="shared" si="1"/>
        <v>840</v>
      </c>
      <c r="L14" s="37">
        <v>793</v>
      </c>
      <c r="M14" s="37"/>
      <c r="N14" s="74">
        <f t="shared" si="2"/>
        <v>594399</v>
      </c>
      <c r="O14" s="75">
        <f t="shared" si="3"/>
        <v>233673</v>
      </c>
      <c r="P14" s="75">
        <f t="shared" si="4"/>
        <v>853860</v>
      </c>
      <c r="Q14" s="76">
        <f t="shared" si="5"/>
        <v>594399</v>
      </c>
      <c r="R14" s="76">
        <f t="shared" si="5"/>
        <v>233673</v>
      </c>
      <c r="S14" s="76">
        <f t="shared" si="5"/>
        <v>853860</v>
      </c>
      <c r="T14" s="80">
        <f>N14/'2015'!M14-1</f>
        <v>-0.10932246057576467</v>
      </c>
      <c r="U14" s="80">
        <f>O14/'2015'!N14-1</f>
        <v>0.12509930618081677</v>
      </c>
      <c r="V14" s="80">
        <f>P14/'2015'!O14-1</f>
        <v>-3.7014480985248288E-2</v>
      </c>
      <c r="W14" s="81">
        <f>Q14/'2015'!P14-1</f>
        <v>-0.10932246057576467</v>
      </c>
      <c r="X14" s="81">
        <f>R14/'2015'!Q14-1</f>
        <v>0.12509930618081677</v>
      </c>
      <c r="Y14" s="81">
        <f>S14/'2015'!R14-1</f>
        <v>-3.7014480985248288E-2</v>
      </c>
      <c r="Z14" s="50">
        <v>5.1353999999999997</v>
      </c>
      <c r="AA14" s="97">
        <f t="shared" si="6"/>
        <v>54.304500000000004</v>
      </c>
      <c r="AB14" s="105">
        <v>4230</v>
      </c>
      <c r="AC14" s="105">
        <f>AA14*10000/AB14</f>
        <v>128.37943262411346</v>
      </c>
      <c r="AD14" s="8">
        <f t="shared" si="7"/>
        <v>620187</v>
      </c>
      <c r="AE14" s="37">
        <v>17932</v>
      </c>
      <c r="AF14" s="37">
        <v>7856</v>
      </c>
      <c r="AG14" s="37">
        <f t="shared" si="8"/>
        <v>0</v>
      </c>
    </row>
    <row r="15" spans="1:33" ht="15" customHeight="1" x14ac:dyDescent="0.15">
      <c r="A15" s="102">
        <v>42380</v>
      </c>
      <c r="B15" s="20" t="s">
        <v>34</v>
      </c>
      <c r="C15" s="8">
        <v>62142</v>
      </c>
      <c r="D15" s="37">
        <v>27542</v>
      </c>
      <c r="E15" s="37">
        <v>91950</v>
      </c>
      <c r="F15" s="8">
        <v>4802</v>
      </c>
      <c r="G15" s="37">
        <v>2932</v>
      </c>
      <c r="H15" s="24"/>
      <c r="I15" s="36"/>
      <c r="J15" s="8">
        <f t="shared" si="0"/>
        <v>64408</v>
      </c>
      <c r="K15" s="37">
        <f t="shared" si="1"/>
        <v>1410.1999999999998</v>
      </c>
      <c r="L15" s="37">
        <v>793</v>
      </c>
      <c r="M15" s="37">
        <f>(AG$24-AG$14)/10</f>
        <v>62.8</v>
      </c>
      <c r="N15" s="74">
        <f t="shared" si="2"/>
        <v>656541</v>
      </c>
      <c r="O15" s="75">
        <f t="shared" si="3"/>
        <v>261215</v>
      </c>
      <c r="P15" s="75">
        <f t="shared" si="4"/>
        <v>945810</v>
      </c>
      <c r="Q15" s="76">
        <f t="shared" si="5"/>
        <v>656541</v>
      </c>
      <c r="R15" s="76">
        <f t="shared" si="5"/>
        <v>261215</v>
      </c>
      <c r="S15" s="76">
        <f t="shared" si="5"/>
        <v>945810</v>
      </c>
      <c r="T15" s="80">
        <f>N15/'2015'!M15-1</f>
        <v>-0.1048335967080658</v>
      </c>
      <c r="U15" s="80">
        <f>O15/'2015'!N15-1</f>
        <v>0.14275277359745209</v>
      </c>
      <c r="V15" s="80">
        <f>P15/'2015'!O15-1</f>
        <v>-2.9655817694590025E-2</v>
      </c>
      <c r="W15" s="81">
        <f>Q15/'2015'!P15-1</f>
        <v>-0.1048335967080658</v>
      </c>
      <c r="X15" s="81">
        <f>R15/'2015'!Q15-1</f>
        <v>0.14275277359745209</v>
      </c>
      <c r="Y15" s="81">
        <f>S15/'2015'!R15-1</f>
        <v>-2.9655817694590025E-2</v>
      </c>
      <c r="Z15" s="50">
        <f>(Z$18-Z$14)*1/4+Z$14</f>
        <v>5.6365499999999997</v>
      </c>
      <c r="AA15" s="97">
        <f t="shared" si="6"/>
        <v>60.01755</v>
      </c>
      <c r="AB15" s="105"/>
      <c r="AC15" s="105"/>
      <c r="AD15" s="8">
        <f t="shared" si="7"/>
        <v>684595</v>
      </c>
      <c r="AE15" s="37">
        <f t="shared" si="9"/>
        <v>19342.2</v>
      </c>
      <c r="AF15" s="37">
        <f t="shared" si="9"/>
        <v>8649</v>
      </c>
      <c r="AG15" s="37">
        <f t="shared" si="8"/>
        <v>62.799999999999272</v>
      </c>
    </row>
    <row r="16" spans="1:33" ht="15" customHeight="1" x14ac:dyDescent="0.15">
      <c r="A16" s="102">
        <v>42381</v>
      </c>
      <c r="B16" s="14" t="s">
        <v>35</v>
      </c>
      <c r="C16" s="32">
        <v>64272</v>
      </c>
      <c r="D16" s="33">
        <v>27794</v>
      </c>
      <c r="E16" s="33">
        <v>94798</v>
      </c>
      <c r="F16" s="32">
        <v>4623</v>
      </c>
      <c r="G16" s="33">
        <v>2988</v>
      </c>
      <c r="H16" s="19"/>
      <c r="I16" s="19"/>
      <c r="J16" s="32">
        <f t="shared" si="0"/>
        <v>67004</v>
      </c>
      <c r="K16" s="33">
        <f t="shared" si="1"/>
        <v>1876.1999999999998</v>
      </c>
      <c r="L16" s="33">
        <v>793</v>
      </c>
      <c r="M16" s="33">
        <f t="shared" ref="M16:M24" si="10">(AG$24-AG$14)/10</f>
        <v>62.8</v>
      </c>
      <c r="N16" s="77">
        <f t="shared" si="2"/>
        <v>720813</v>
      </c>
      <c r="O16" s="78">
        <f t="shared" si="3"/>
        <v>289009</v>
      </c>
      <c r="P16" s="78">
        <f t="shared" si="4"/>
        <v>1040608</v>
      </c>
      <c r="Q16" s="77">
        <f t="shared" si="5"/>
        <v>720813</v>
      </c>
      <c r="R16" s="77">
        <f t="shared" si="5"/>
        <v>289009</v>
      </c>
      <c r="S16" s="77">
        <f t="shared" si="5"/>
        <v>1040608</v>
      </c>
      <c r="T16" s="82">
        <f>N16/'2015'!M16-1</f>
        <v>-0.10463462472470619</v>
      </c>
      <c r="U16" s="82">
        <f>O16/'2015'!N16-1</f>
        <v>0.15781904132363844</v>
      </c>
      <c r="V16" s="82">
        <f>P16/'2015'!O16-1</f>
        <v>-2.6108441233312019E-2</v>
      </c>
      <c r="W16" s="82">
        <f>Q16/'2015'!P16-1</f>
        <v>-0.10463462472470619</v>
      </c>
      <c r="X16" s="82">
        <f>R16/'2015'!Q16-1</f>
        <v>0.15781904132363844</v>
      </c>
      <c r="Y16" s="82">
        <f>S16/'2015'!R16-1</f>
        <v>-2.6108441233312019E-2</v>
      </c>
      <c r="Z16" s="49">
        <f>(Z$18-Z$14)*2/4+Z$14</f>
        <v>6.1376999999999997</v>
      </c>
      <c r="AA16" s="49">
        <f t="shared" si="6"/>
        <v>65.943600000000004</v>
      </c>
      <c r="AB16" s="33">
        <v>4230</v>
      </c>
      <c r="AC16" s="33">
        <f>AA16*10000/AB16</f>
        <v>155.89503546099291</v>
      </c>
      <c r="AD16" s="32">
        <f t="shared" si="7"/>
        <v>751599</v>
      </c>
      <c r="AE16" s="33">
        <f t="shared" si="9"/>
        <v>21218.400000000001</v>
      </c>
      <c r="AF16" s="33">
        <f t="shared" si="9"/>
        <v>9442</v>
      </c>
      <c r="AG16" s="33">
        <f t="shared" si="8"/>
        <v>125.59999999999854</v>
      </c>
    </row>
    <row r="17" spans="1:33" ht="15" customHeight="1" x14ac:dyDescent="0.15">
      <c r="A17" s="102">
        <v>42382</v>
      </c>
      <c r="B17" s="20" t="s">
        <v>36</v>
      </c>
      <c r="C17" s="8">
        <v>65277</v>
      </c>
      <c r="D17" s="37">
        <v>27873</v>
      </c>
      <c r="E17" s="37">
        <v>95962</v>
      </c>
      <c r="F17" s="8">
        <v>4443</v>
      </c>
      <c r="G17" s="37">
        <v>2882</v>
      </c>
      <c r="H17" s="24"/>
      <c r="I17" s="36"/>
      <c r="J17" s="8">
        <f t="shared" si="0"/>
        <v>68089</v>
      </c>
      <c r="K17" s="37">
        <f t="shared" si="1"/>
        <v>1956.1999999999998</v>
      </c>
      <c r="L17" s="37">
        <v>793</v>
      </c>
      <c r="M17" s="37">
        <f t="shared" si="10"/>
        <v>62.8</v>
      </c>
      <c r="N17" s="74">
        <f t="shared" si="2"/>
        <v>786090</v>
      </c>
      <c r="O17" s="75">
        <f t="shared" si="3"/>
        <v>316882</v>
      </c>
      <c r="P17" s="75">
        <f t="shared" si="4"/>
        <v>1136570</v>
      </c>
      <c r="Q17" s="76">
        <f t="shared" si="5"/>
        <v>786090</v>
      </c>
      <c r="R17" s="76">
        <f t="shared" si="5"/>
        <v>316882</v>
      </c>
      <c r="S17" s="76">
        <f t="shared" si="5"/>
        <v>1136570</v>
      </c>
      <c r="T17" s="80">
        <f>N17/'2015'!M17-1</f>
        <v>-0.10473615517952195</v>
      </c>
      <c r="U17" s="80">
        <f>O17/'2015'!N17-1</f>
        <v>0.17106070348936053</v>
      </c>
      <c r="V17" s="80">
        <f>P17/'2015'!O17-1</f>
        <v>-2.3363084624909436E-2</v>
      </c>
      <c r="W17" s="81">
        <f>Q17/'2015'!P17-1</f>
        <v>-0.10473615517952195</v>
      </c>
      <c r="X17" s="81">
        <f>R17/'2015'!Q17-1</f>
        <v>0.17106070348936053</v>
      </c>
      <c r="Y17" s="81">
        <f>S17/'2015'!R17-1</f>
        <v>-2.3363084624909436E-2</v>
      </c>
      <c r="Z17" s="50">
        <f>(Z$18-Z$14)*3/4+Z$14</f>
        <v>6.6388499999999997</v>
      </c>
      <c r="AA17" s="97">
        <f t="shared" si="6"/>
        <v>71.97014999999999</v>
      </c>
      <c r="AB17" s="105"/>
      <c r="AC17" s="105"/>
      <c r="AD17" s="8">
        <f t="shared" si="7"/>
        <v>819688</v>
      </c>
      <c r="AE17" s="37">
        <f t="shared" si="9"/>
        <v>23174.600000000002</v>
      </c>
      <c r="AF17" s="37">
        <f t="shared" si="9"/>
        <v>10235</v>
      </c>
      <c r="AG17" s="37">
        <f t="shared" si="8"/>
        <v>188.39999999999782</v>
      </c>
    </row>
    <row r="18" spans="1:33" ht="15" customHeight="1" x14ac:dyDescent="0.15">
      <c r="A18" s="102">
        <v>42383</v>
      </c>
      <c r="B18" s="20" t="s">
        <v>37</v>
      </c>
      <c r="C18" s="70">
        <v>64501</v>
      </c>
      <c r="D18" s="71">
        <v>28628</v>
      </c>
      <c r="E18" s="71">
        <v>95527</v>
      </c>
      <c r="F18" s="70">
        <v>4878</v>
      </c>
      <c r="G18" s="71">
        <v>2908</v>
      </c>
      <c r="H18" s="24"/>
      <c r="I18" s="24"/>
      <c r="J18" s="70">
        <f t="shared" si="0"/>
        <v>66899</v>
      </c>
      <c r="K18" s="71">
        <f t="shared" si="1"/>
        <v>1542.1999999999998</v>
      </c>
      <c r="L18" s="71">
        <v>793</v>
      </c>
      <c r="M18" s="71">
        <f t="shared" si="10"/>
        <v>62.8</v>
      </c>
      <c r="N18" s="74">
        <f t="shared" si="2"/>
        <v>850591</v>
      </c>
      <c r="O18" s="75">
        <f t="shared" si="3"/>
        <v>345510</v>
      </c>
      <c r="P18" s="75">
        <f t="shared" si="4"/>
        <v>1232097</v>
      </c>
      <c r="Q18" s="76">
        <f t="shared" si="5"/>
        <v>850591</v>
      </c>
      <c r="R18" s="76">
        <f t="shared" si="5"/>
        <v>345510</v>
      </c>
      <c r="S18" s="76">
        <f t="shared" si="5"/>
        <v>1232097</v>
      </c>
      <c r="T18" s="80">
        <f>N18/'2015'!M18-1</f>
        <v>-0.1034840752381494</v>
      </c>
      <c r="U18" s="80">
        <f>O18/'2015'!N18-1</f>
        <v>0.18279974804184707</v>
      </c>
      <c r="V18" s="80">
        <f>P18/'2015'!O18-1</f>
        <v>-1.9770125550241935E-2</v>
      </c>
      <c r="W18" s="81">
        <f>Q18/'2015'!P18-1</f>
        <v>-0.1034840752381494</v>
      </c>
      <c r="X18" s="81">
        <f>R18/'2015'!Q18-1</f>
        <v>0.18279974804184707</v>
      </c>
      <c r="Y18" s="81">
        <f>S18/'2015'!R18-1</f>
        <v>-1.9770125550241935E-2</v>
      </c>
      <c r="Z18" s="97">
        <v>7.14</v>
      </c>
      <c r="AA18" s="97">
        <f t="shared" si="6"/>
        <v>77.9191</v>
      </c>
      <c r="AB18" s="106">
        <v>4230</v>
      </c>
      <c r="AC18" s="105">
        <f>AA18*10000/AB18</f>
        <v>184.20591016548462</v>
      </c>
      <c r="AD18" s="70">
        <f t="shared" si="7"/>
        <v>886587</v>
      </c>
      <c r="AE18" s="71">
        <f t="shared" si="9"/>
        <v>24716.800000000003</v>
      </c>
      <c r="AF18" s="71">
        <f t="shared" si="9"/>
        <v>11028</v>
      </c>
      <c r="AG18" s="71">
        <f t="shared" si="8"/>
        <v>251.19999999999709</v>
      </c>
    </row>
    <row r="19" spans="1:33" ht="15" customHeight="1" x14ac:dyDescent="0.15">
      <c r="A19" s="102">
        <v>42384</v>
      </c>
      <c r="B19" s="20" t="s">
        <v>38</v>
      </c>
      <c r="C19" s="8">
        <v>62226</v>
      </c>
      <c r="D19" s="37">
        <v>28592</v>
      </c>
      <c r="E19" s="37">
        <v>92992</v>
      </c>
      <c r="F19" s="8">
        <v>4752</v>
      </c>
      <c r="G19" s="37">
        <v>2963</v>
      </c>
      <c r="H19" s="24"/>
      <c r="I19" s="36"/>
      <c r="J19" s="8">
        <f t="shared" si="0"/>
        <v>64400</v>
      </c>
      <c r="K19" s="37">
        <f t="shared" si="1"/>
        <v>1318.1999999999998</v>
      </c>
      <c r="L19" s="37">
        <v>793</v>
      </c>
      <c r="M19" s="37">
        <f t="shared" si="10"/>
        <v>62.8</v>
      </c>
      <c r="N19" s="74">
        <f t="shared" si="2"/>
        <v>912817</v>
      </c>
      <c r="O19" s="75">
        <f t="shared" si="3"/>
        <v>374102</v>
      </c>
      <c r="P19" s="75">
        <f t="shared" si="4"/>
        <v>1325089</v>
      </c>
      <c r="Q19" s="76">
        <f t="shared" si="5"/>
        <v>912817</v>
      </c>
      <c r="R19" s="76">
        <f t="shared" si="5"/>
        <v>374102</v>
      </c>
      <c r="S19" s="76">
        <f t="shared" si="5"/>
        <v>1325089</v>
      </c>
      <c r="T19" s="80">
        <f>N19/'2015'!M19-1</f>
        <v>-0.10549705333011916</v>
      </c>
      <c r="U19" s="80">
        <f>O19/'2015'!N19-1</f>
        <v>0.19280558106315682</v>
      </c>
      <c r="V19" s="80">
        <f>P19/'2015'!O19-1</f>
        <v>-1.9266964246725471E-2</v>
      </c>
      <c r="W19" s="81">
        <f>Q19/'2015'!P19-1</f>
        <v>-0.10549705333011916</v>
      </c>
      <c r="X19" s="81">
        <f>R19/'2015'!Q19-1</f>
        <v>0.19280558106315682</v>
      </c>
      <c r="Y19" s="81">
        <f>S19/'2015'!R19-1</f>
        <v>-1.9266964246725471E-2</v>
      </c>
      <c r="Z19" s="50">
        <f>(Z$25-Z$18)*1/7+Z$18</f>
        <v>7.984285714285714</v>
      </c>
      <c r="AA19" s="97">
        <f t="shared" si="6"/>
        <v>83.297414285714282</v>
      </c>
      <c r="AB19" s="105"/>
      <c r="AC19" s="105"/>
      <c r="AD19" s="8">
        <f t="shared" si="7"/>
        <v>950987</v>
      </c>
      <c r="AE19" s="37">
        <f t="shared" si="9"/>
        <v>26035.000000000004</v>
      </c>
      <c r="AF19" s="37">
        <f t="shared" si="9"/>
        <v>11821</v>
      </c>
      <c r="AG19" s="37">
        <f t="shared" si="8"/>
        <v>313.99999999999636</v>
      </c>
    </row>
    <row r="20" spans="1:33" ht="15" customHeight="1" x14ac:dyDescent="0.15">
      <c r="A20" s="102">
        <v>42385</v>
      </c>
      <c r="B20" s="20" t="s">
        <v>39</v>
      </c>
      <c r="C20" s="8">
        <v>63087</v>
      </c>
      <c r="D20" s="37">
        <v>24384</v>
      </c>
      <c r="E20" s="37">
        <v>89604</v>
      </c>
      <c r="F20" s="8">
        <v>4522</v>
      </c>
      <c r="G20" s="37">
        <v>2918</v>
      </c>
      <c r="H20" s="24"/>
      <c r="I20" s="36"/>
      <c r="J20" s="8">
        <f t="shared" si="0"/>
        <v>65220</v>
      </c>
      <c r="K20" s="37">
        <f t="shared" si="1"/>
        <v>1277.1999999999998</v>
      </c>
      <c r="L20" s="37">
        <v>793</v>
      </c>
      <c r="M20" s="37">
        <f t="shared" si="10"/>
        <v>62.8</v>
      </c>
      <c r="N20" s="74">
        <f t="shared" si="2"/>
        <v>975904</v>
      </c>
      <c r="O20" s="75">
        <f t="shared" si="3"/>
        <v>398486</v>
      </c>
      <c r="P20" s="75">
        <f t="shared" si="4"/>
        <v>1414693</v>
      </c>
      <c r="Q20" s="76">
        <f t="shared" si="5"/>
        <v>975904</v>
      </c>
      <c r="R20" s="76">
        <f t="shared" si="5"/>
        <v>398486</v>
      </c>
      <c r="S20" s="76">
        <f t="shared" si="5"/>
        <v>1414693</v>
      </c>
      <c r="T20" s="80">
        <f>N20/'2015'!M20-1</f>
        <v>-0.1046095126247798</v>
      </c>
      <c r="U20" s="80">
        <f>O20/'2015'!N20-1</f>
        <v>0.18599494632328639</v>
      </c>
      <c r="V20" s="80">
        <f>P20/'2015'!O20-1</f>
        <v>-2.015117188338722E-2</v>
      </c>
      <c r="W20" s="81">
        <f>Q20/'2015'!P20-1</f>
        <v>-0.1046095126247798</v>
      </c>
      <c r="X20" s="81">
        <f>R20/'2015'!Q20-1</f>
        <v>0.18599494632328639</v>
      </c>
      <c r="Y20" s="81">
        <f>S20/'2015'!R20-1</f>
        <v>-2.015117188338722E-2</v>
      </c>
      <c r="Z20" s="50">
        <f>(Z$25-Z$18)*2/7+Z$18</f>
        <v>8.8285714285714292</v>
      </c>
      <c r="AA20" s="97">
        <f t="shared" si="6"/>
        <v>88.761828571428566</v>
      </c>
      <c r="AB20" s="105"/>
      <c r="AC20" s="105"/>
      <c r="AD20" s="8">
        <f t="shared" si="7"/>
        <v>1016207</v>
      </c>
      <c r="AE20" s="37">
        <f t="shared" si="9"/>
        <v>27312.200000000004</v>
      </c>
      <c r="AF20" s="37">
        <f t="shared" si="9"/>
        <v>12614</v>
      </c>
      <c r="AG20" s="37">
        <f t="shared" si="8"/>
        <v>376.79999999999563</v>
      </c>
    </row>
    <row r="21" spans="1:33" ht="15" customHeight="1" x14ac:dyDescent="0.15">
      <c r="A21" s="102">
        <v>42386</v>
      </c>
      <c r="B21" s="20" t="s">
        <v>1</v>
      </c>
      <c r="C21" s="8">
        <v>58708</v>
      </c>
      <c r="D21" s="37">
        <v>23571</v>
      </c>
      <c r="E21" s="37">
        <v>85074</v>
      </c>
      <c r="F21" s="8">
        <v>4278</v>
      </c>
      <c r="G21" s="37">
        <v>2760</v>
      </c>
      <c r="H21" s="24"/>
      <c r="I21" s="36"/>
      <c r="J21" s="8">
        <f t="shared" si="0"/>
        <v>61503</v>
      </c>
      <c r="K21" s="37">
        <f t="shared" si="1"/>
        <v>1939.1999999999998</v>
      </c>
      <c r="L21" s="37">
        <v>793</v>
      </c>
      <c r="M21" s="37">
        <f t="shared" si="10"/>
        <v>62.8</v>
      </c>
      <c r="N21" s="74">
        <f t="shared" si="2"/>
        <v>1034612</v>
      </c>
      <c r="O21" s="75">
        <f t="shared" si="3"/>
        <v>422057</v>
      </c>
      <c r="P21" s="75">
        <f t="shared" si="4"/>
        <v>1499767</v>
      </c>
      <c r="Q21" s="76">
        <f t="shared" si="5"/>
        <v>1034612</v>
      </c>
      <c r="R21" s="76">
        <f t="shared" si="5"/>
        <v>422057</v>
      </c>
      <c r="S21" s="76">
        <f t="shared" si="5"/>
        <v>1499767</v>
      </c>
      <c r="T21" s="80">
        <f>N21/'2015'!M21-1</f>
        <v>-0.10749758890846128</v>
      </c>
      <c r="U21" s="80">
        <f>O21/'2015'!N21-1</f>
        <v>0.1781633741168458</v>
      </c>
      <c r="V21" s="80">
        <f>P21/'2015'!O21-1</f>
        <v>-2.3741733062542347E-2</v>
      </c>
      <c r="W21" s="81">
        <f>Q21/'2015'!P21-1</f>
        <v>-0.10749758890846128</v>
      </c>
      <c r="X21" s="81">
        <f>R21/'2015'!Q21-1</f>
        <v>0.1781633741168458</v>
      </c>
      <c r="Y21" s="81">
        <f>S21/'2015'!R21-1</f>
        <v>-2.3741733062542347E-2</v>
      </c>
      <c r="Z21" s="50">
        <f>(Z$25-Z$18)*3/7+Z$18</f>
        <v>9.6728571428571435</v>
      </c>
      <c r="AA21" s="97">
        <f t="shared" si="6"/>
        <v>93.788342857142865</v>
      </c>
      <c r="AB21" s="105"/>
      <c r="AC21" s="105"/>
      <c r="AD21" s="8">
        <f t="shared" si="7"/>
        <v>1077710</v>
      </c>
      <c r="AE21" s="37">
        <f t="shared" si="9"/>
        <v>29251.400000000005</v>
      </c>
      <c r="AF21" s="37">
        <f t="shared" si="9"/>
        <v>13407</v>
      </c>
      <c r="AG21" s="37">
        <f t="shared" si="8"/>
        <v>439.59999999999491</v>
      </c>
    </row>
    <row r="22" spans="1:33" ht="15" customHeight="1" x14ac:dyDescent="0.15">
      <c r="A22" s="102">
        <v>42387</v>
      </c>
      <c r="B22" s="20" t="s">
        <v>34</v>
      </c>
      <c r="C22" s="8">
        <v>63740</v>
      </c>
      <c r="D22" s="37">
        <v>24288</v>
      </c>
      <c r="E22" s="37">
        <v>90192</v>
      </c>
      <c r="F22" s="8">
        <v>4657</v>
      </c>
      <c r="G22" s="37">
        <v>2659</v>
      </c>
      <c r="H22" s="24"/>
      <c r="I22" s="36"/>
      <c r="J22" s="8">
        <f t="shared" si="0"/>
        <v>65904</v>
      </c>
      <c r="K22" s="37">
        <f t="shared" si="1"/>
        <v>1308.1999999999998</v>
      </c>
      <c r="L22" s="37">
        <v>793</v>
      </c>
      <c r="M22" s="37">
        <f t="shared" si="10"/>
        <v>62.8</v>
      </c>
      <c r="N22" s="74">
        <f t="shared" si="2"/>
        <v>1098352</v>
      </c>
      <c r="O22" s="75">
        <f t="shared" si="3"/>
        <v>446345</v>
      </c>
      <c r="P22" s="75">
        <f t="shared" si="4"/>
        <v>1589959</v>
      </c>
      <c r="Q22" s="76">
        <f t="shared" si="5"/>
        <v>1098352</v>
      </c>
      <c r="R22" s="76">
        <f t="shared" si="5"/>
        <v>446345</v>
      </c>
      <c r="S22" s="76">
        <f t="shared" si="5"/>
        <v>1589959</v>
      </c>
      <c r="T22" s="80">
        <f>N22/'2015'!M22-1</f>
        <v>-0.10333488444237626</v>
      </c>
      <c r="U22" s="80">
        <f>O22/'2015'!N22-1</f>
        <v>0.17653338534898366</v>
      </c>
      <c r="V22" s="80">
        <f>P22/'2015'!O22-1</f>
        <v>-2.0956384021596164E-2</v>
      </c>
      <c r="W22" s="81">
        <f>Q22/'2015'!P22-1</f>
        <v>-0.10333488444237626</v>
      </c>
      <c r="X22" s="81">
        <f>R22/'2015'!Q22-1</f>
        <v>0.17653338534898366</v>
      </c>
      <c r="Y22" s="81">
        <f>S22/'2015'!R22-1</f>
        <v>-2.0956384021596164E-2</v>
      </c>
      <c r="Z22" s="50">
        <f>(Z$25-Z$18)*4/7+Z$18</f>
        <v>10.517142857142858</v>
      </c>
      <c r="AA22" s="97">
        <f t="shared" si="6"/>
        <v>99.318057142857143</v>
      </c>
      <c r="AB22" s="105"/>
      <c r="AC22" s="105"/>
      <c r="AD22" s="8">
        <f t="shared" si="7"/>
        <v>1143614</v>
      </c>
      <c r="AE22" s="37">
        <f t="shared" si="9"/>
        <v>30559.600000000006</v>
      </c>
      <c r="AF22" s="37">
        <f t="shared" si="9"/>
        <v>14200</v>
      </c>
      <c r="AG22" s="37">
        <f t="shared" si="8"/>
        <v>502.39999999999418</v>
      </c>
    </row>
    <row r="23" spans="1:33" ht="15" customHeight="1" x14ac:dyDescent="0.15">
      <c r="A23" s="102">
        <v>42388</v>
      </c>
      <c r="B23" s="14" t="s">
        <v>35</v>
      </c>
      <c r="C23" s="32">
        <v>66037</v>
      </c>
      <c r="D23" s="33">
        <v>24464</v>
      </c>
      <c r="E23" s="33">
        <v>92724</v>
      </c>
      <c r="F23" s="32">
        <v>4730</v>
      </c>
      <c r="G23" s="33">
        <v>2851</v>
      </c>
      <c r="H23" s="19"/>
      <c r="I23" s="19"/>
      <c r="J23" s="32">
        <f t="shared" si="0"/>
        <v>68260</v>
      </c>
      <c r="K23" s="33">
        <f t="shared" si="1"/>
        <v>1367.1999999999998</v>
      </c>
      <c r="L23" s="33">
        <v>793</v>
      </c>
      <c r="M23" s="33">
        <f t="shared" si="10"/>
        <v>62.8</v>
      </c>
      <c r="N23" s="77">
        <f t="shared" si="2"/>
        <v>1164389</v>
      </c>
      <c r="O23" s="78">
        <f t="shared" si="3"/>
        <v>470809</v>
      </c>
      <c r="P23" s="78">
        <f t="shared" si="4"/>
        <v>1682683</v>
      </c>
      <c r="Q23" s="77">
        <f t="shared" si="5"/>
        <v>1164389</v>
      </c>
      <c r="R23" s="77">
        <f t="shared" si="5"/>
        <v>470809</v>
      </c>
      <c r="S23" s="77">
        <f t="shared" si="5"/>
        <v>1682683</v>
      </c>
      <c r="T23" s="82">
        <f>N23/'2015'!M23-1</f>
        <v>-9.9719877559509618E-2</v>
      </c>
      <c r="U23" s="82">
        <f>O23/'2015'!N23-1</f>
        <v>0.17520973897762704</v>
      </c>
      <c r="V23" s="82">
        <f>P23/'2015'!O23-1</f>
        <v>-1.8622850390816792E-2</v>
      </c>
      <c r="W23" s="82">
        <f>Q23/'2015'!P23-1</f>
        <v>-9.9719877559509618E-2</v>
      </c>
      <c r="X23" s="82">
        <f>R23/'2015'!Q23-1</f>
        <v>0.17520973897762704</v>
      </c>
      <c r="Y23" s="82">
        <f>S23/'2015'!R23-1</f>
        <v>-1.8622850390816792E-2</v>
      </c>
      <c r="Z23" s="49">
        <f>(Z$25-Z$18)*5/7+Z$18</f>
        <v>11.361428571428572</v>
      </c>
      <c r="AA23" s="49">
        <f t="shared" si="6"/>
        <v>105.07747142857143</v>
      </c>
      <c r="AB23" s="33">
        <v>4230</v>
      </c>
      <c r="AC23" s="33">
        <f>AA23*10000/AB23</f>
        <v>248.41009793988519</v>
      </c>
      <c r="AD23" s="32">
        <f t="shared" si="7"/>
        <v>1211874</v>
      </c>
      <c r="AE23" s="33">
        <f t="shared" si="9"/>
        <v>31926.800000000007</v>
      </c>
      <c r="AF23" s="33">
        <f t="shared" si="9"/>
        <v>14993</v>
      </c>
      <c r="AG23" s="33">
        <f t="shared" si="8"/>
        <v>565.19999999999345</v>
      </c>
    </row>
    <row r="24" spans="1:33" ht="15" customHeight="1" x14ac:dyDescent="0.15">
      <c r="A24" s="102">
        <v>42389</v>
      </c>
      <c r="B24" s="20" t="s">
        <v>36</v>
      </c>
      <c r="C24" s="8">
        <v>66462</v>
      </c>
      <c r="D24" s="37">
        <v>24733</v>
      </c>
      <c r="E24" s="37">
        <v>95077</v>
      </c>
      <c r="F24" s="8">
        <v>4789</v>
      </c>
      <c r="G24" s="37">
        <v>2928</v>
      </c>
      <c r="H24" s="24"/>
      <c r="I24" s="36"/>
      <c r="J24" s="8">
        <f t="shared" si="0"/>
        <v>70344</v>
      </c>
      <c r="K24" s="37">
        <f t="shared" si="1"/>
        <v>3026.2</v>
      </c>
      <c r="L24" s="37">
        <v>793</v>
      </c>
      <c r="M24" s="37">
        <f t="shared" si="10"/>
        <v>62.8</v>
      </c>
      <c r="N24" s="74">
        <f t="shared" si="2"/>
        <v>1230851</v>
      </c>
      <c r="O24" s="75">
        <f t="shared" si="3"/>
        <v>495542</v>
      </c>
      <c r="P24" s="75">
        <f t="shared" si="4"/>
        <v>1777760</v>
      </c>
      <c r="Q24" s="76">
        <f t="shared" si="5"/>
        <v>1230851</v>
      </c>
      <c r="R24" s="76">
        <f t="shared" si="5"/>
        <v>495542</v>
      </c>
      <c r="S24" s="76">
        <f t="shared" si="5"/>
        <v>1777760</v>
      </c>
      <c r="T24" s="80">
        <f>N24/'2015'!M24-1</f>
        <v>-9.6471923375067492E-2</v>
      </c>
      <c r="U24" s="80">
        <f>O24/'2015'!N24-1</f>
        <v>0.17265843153959004</v>
      </c>
      <c r="V24" s="80">
        <f>P24/'2015'!O24-1</f>
        <v>-1.5868903569811299E-2</v>
      </c>
      <c r="W24" s="81">
        <f>Q24/'2015'!P24-1</f>
        <v>-9.6471923375067492E-2</v>
      </c>
      <c r="X24" s="81">
        <f>R24/'2015'!Q24-1</f>
        <v>0.17265843153959004</v>
      </c>
      <c r="Y24" s="81">
        <f>S24/'2015'!R24-1</f>
        <v>-1.5868903569811299E-2</v>
      </c>
      <c r="Z24" s="50">
        <v>12.351900000000001</v>
      </c>
      <c r="AA24" s="97">
        <f t="shared" si="6"/>
        <v>110.7332</v>
      </c>
      <c r="AB24" s="105">
        <v>4230</v>
      </c>
      <c r="AC24" s="105">
        <f>AA24*10000/AB24</f>
        <v>261.78061465721038</v>
      </c>
      <c r="AD24" s="8">
        <f t="shared" si="7"/>
        <v>1282218</v>
      </c>
      <c r="AE24" s="37">
        <v>34970</v>
      </c>
      <c r="AF24" s="37">
        <v>15769</v>
      </c>
      <c r="AG24" s="37">
        <f t="shared" si="8"/>
        <v>628</v>
      </c>
    </row>
    <row r="25" spans="1:33" ht="15" customHeight="1" x14ac:dyDescent="0.15">
      <c r="A25" s="102">
        <v>42390</v>
      </c>
      <c r="B25" s="20" t="s">
        <v>37</v>
      </c>
      <c r="C25" s="70">
        <v>68431</v>
      </c>
      <c r="D25" s="71">
        <v>25214</v>
      </c>
      <c r="E25" s="71">
        <v>95829</v>
      </c>
      <c r="F25" s="70">
        <v>4900</v>
      </c>
      <c r="G25" s="71">
        <v>2915</v>
      </c>
      <c r="H25" s="24"/>
      <c r="I25" s="24"/>
      <c r="J25" s="70">
        <f t="shared" si="0"/>
        <v>70615</v>
      </c>
      <c r="K25" s="71">
        <f t="shared" si="1"/>
        <v>1391</v>
      </c>
      <c r="L25" s="71">
        <v>793</v>
      </c>
      <c r="M25" s="71">
        <v>0</v>
      </c>
      <c r="N25" s="74">
        <f t="shared" si="2"/>
        <v>1299282</v>
      </c>
      <c r="O25" s="75">
        <f t="shared" si="3"/>
        <v>520756</v>
      </c>
      <c r="P25" s="75">
        <f t="shared" si="4"/>
        <v>1873589</v>
      </c>
      <c r="Q25" s="76">
        <f t="shared" si="5"/>
        <v>1299282</v>
      </c>
      <c r="R25" s="76">
        <f t="shared" si="5"/>
        <v>520756</v>
      </c>
      <c r="S25" s="76">
        <f t="shared" si="5"/>
        <v>1873589</v>
      </c>
      <c r="T25" s="80">
        <f>N25/'2015'!M25-1</f>
        <v>-9.0293458466101373E-2</v>
      </c>
      <c r="U25" s="80">
        <f>O25/'2015'!N25-1</f>
        <v>0.17067490344712866</v>
      </c>
      <c r="V25" s="80">
        <f>P25/'2015'!O25-1</f>
        <v>-1.1664286720321382E-2</v>
      </c>
      <c r="W25" s="81">
        <f>Q25/'2015'!P25-1</f>
        <v>-9.0293458466101373E-2</v>
      </c>
      <c r="X25" s="81">
        <f>R25/'2015'!Q25-1</f>
        <v>0.17067490344712866</v>
      </c>
      <c r="Y25" s="81">
        <f>S25/'2015'!R25-1</f>
        <v>-1.1664286720321382E-2</v>
      </c>
      <c r="Z25" s="97">
        <v>13.05</v>
      </c>
      <c r="AA25" s="97">
        <f t="shared" si="6"/>
        <v>116.87820000000001</v>
      </c>
      <c r="AB25" s="106">
        <v>4230</v>
      </c>
      <c r="AC25" s="105">
        <f>AA25*10000/AB25</f>
        <v>276.30780141843974</v>
      </c>
      <c r="AD25" s="70">
        <f t="shared" si="7"/>
        <v>1352833</v>
      </c>
      <c r="AE25" s="71">
        <f t="shared" si="9"/>
        <v>36361</v>
      </c>
      <c r="AF25" s="71">
        <f t="shared" si="9"/>
        <v>16562</v>
      </c>
      <c r="AG25" s="71">
        <f t="shared" si="8"/>
        <v>628</v>
      </c>
    </row>
    <row r="26" spans="1:33" ht="15" customHeight="1" x14ac:dyDescent="0.15">
      <c r="A26" s="102">
        <v>42391</v>
      </c>
      <c r="B26" s="20" t="s">
        <v>38</v>
      </c>
      <c r="C26" s="8">
        <v>65052</v>
      </c>
      <c r="D26" s="37">
        <v>26028</v>
      </c>
      <c r="E26" s="37">
        <v>93677</v>
      </c>
      <c r="F26" s="8">
        <v>4847</v>
      </c>
      <c r="G26" s="37">
        <v>2835</v>
      </c>
      <c r="H26" s="24"/>
      <c r="I26" s="36"/>
      <c r="J26" s="8">
        <f t="shared" si="0"/>
        <v>67649</v>
      </c>
      <c r="K26" s="37">
        <f t="shared" si="1"/>
        <v>1804</v>
      </c>
      <c r="L26" s="37">
        <v>793</v>
      </c>
      <c r="M26" s="37">
        <v>0</v>
      </c>
      <c r="N26" s="74">
        <f t="shared" si="2"/>
        <v>1364334</v>
      </c>
      <c r="O26" s="75">
        <f t="shared" si="3"/>
        <v>546784</v>
      </c>
      <c r="P26" s="75">
        <f t="shared" si="4"/>
        <v>1967266</v>
      </c>
      <c r="Q26" s="76">
        <f t="shared" si="5"/>
        <v>1364334</v>
      </c>
      <c r="R26" s="76">
        <f t="shared" si="5"/>
        <v>546784</v>
      </c>
      <c r="S26" s="76">
        <f t="shared" si="5"/>
        <v>1967266</v>
      </c>
      <c r="T26" s="80">
        <f>N26/'2015'!M26-1</f>
        <v>-8.759242218346408E-2</v>
      </c>
      <c r="U26" s="80">
        <f>O26/'2015'!N26-1</f>
        <v>0.16890385334829783</v>
      </c>
      <c r="V26" s="80">
        <f>P26/'2015'!O26-1</f>
        <v>-9.7097739554152795E-3</v>
      </c>
      <c r="W26" s="81">
        <f>Q26/'2015'!P26-1</f>
        <v>-8.759242218346408E-2</v>
      </c>
      <c r="X26" s="81">
        <f>R26/'2015'!Q26-1</f>
        <v>0.16890385334829783</v>
      </c>
      <c r="Y26" s="81">
        <f>S26/'2015'!R26-1</f>
        <v>-9.7097739554152795E-3</v>
      </c>
      <c r="Z26" s="50">
        <f>Z$25+0.64*1</f>
        <v>13.690000000000001</v>
      </c>
      <c r="AA26" s="97">
        <f t="shared" si="6"/>
        <v>122.74340000000001</v>
      </c>
      <c r="AB26" s="105"/>
      <c r="AC26" s="105"/>
      <c r="AD26" s="8">
        <f t="shared" si="7"/>
        <v>1420482</v>
      </c>
      <c r="AE26" s="37">
        <f t="shared" si="9"/>
        <v>38165</v>
      </c>
      <c r="AF26" s="37">
        <f t="shared" si="9"/>
        <v>17355</v>
      </c>
      <c r="AG26" s="37">
        <f t="shared" si="8"/>
        <v>628</v>
      </c>
    </row>
    <row r="27" spans="1:33" ht="15" customHeight="1" x14ac:dyDescent="0.15">
      <c r="A27" s="102">
        <v>42392</v>
      </c>
      <c r="B27" s="20" t="s">
        <v>39</v>
      </c>
      <c r="C27" s="8">
        <v>61732</v>
      </c>
      <c r="D27" s="37">
        <v>26142</v>
      </c>
      <c r="E27" s="37">
        <v>90044</v>
      </c>
      <c r="F27" s="8">
        <v>4608</v>
      </c>
      <c r="G27" s="37">
        <v>2708</v>
      </c>
      <c r="H27" s="24"/>
      <c r="I27" s="36"/>
      <c r="J27" s="8">
        <f t="shared" si="0"/>
        <v>63902</v>
      </c>
      <c r="K27" s="37">
        <f t="shared" si="1"/>
        <v>1377</v>
      </c>
      <c r="L27" s="37">
        <v>793</v>
      </c>
      <c r="M27" s="37">
        <v>0</v>
      </c>
      <c r="N27" s="74">
        <f t="shared" si="2"/>
        <v>1426066</v>
      </c>
      <c r="O27" s="75">
        <f t="shared" si="3"/>
        <v>572926</v>
      </c>
      <c r="P27" s="75">
        <f t="shared" si="4"/>
        <v>2057310</v>
      </c>
      <c r="Q27" s="76">
        <f t="shared" si="5"/>
        <v>1426066</v>
      </c>
      <c r="R27" s="76">
        <f t="shared" si="5"/>
        <v>572926</v>
      </c>
      <c r="S27" s="76">
        <f t="shared" si="5"/>
        <v>2057310</v>
      </c>
      <c r="T27" s="80">
        <f>N27/'2015'!M27-1</f>
        <v>-8.8959091301111903E-2</v>
      </c>
      <c r="U27" s="80">
        <f>O27/'2015'!N27-1</f>
        <v>0.17264698357468156</v>
      </c>
      <c r="V27" s="80">
        <f>P27/'2015'!O27-1</f>
        <v>-1.0147228637413352E-2</v>
      </c>
      <c r="W27" s="81">
        <f>Q27/'2015'!P27-1</f>
        <v>-8.8959091301111903E-2</v>
      </c>
      <c r="X27" s="81">
        <f>R27/'2015'!Q27-1</f>
        <v>0.17264698357468156</v>
      </c>
      <c r="Y27" s="81">
        <f>S27/'2015'!R27-1</f>
        <v>-1.0147228637413352E-2</v>
      </c>
      <c r="Z27" s="50">
        <f>Z$25+0.64*2</f>
        <v>14.33</v>
      </c>
      <c r="AA27" s="97">
        <f t="shared" si="6"/>
        <v>128.27659999999997</v>
      </c>
      <c r="AB27" s="105"/>
      <c r="AC27" s="105"/>
      <c r="AD27" s="8">
        <f t="shared" si="7"/>
        <v>1484384</v>
      </c>
      <c r="AE27" s="37">
        <f t="shared" si="9"/>
        <v>39542</v>
      </c>
      <c r="AF27" s="37">
        <f t="shared" si="9"/>
        <v>18148</v>
      </c>
      <c r="AG27" s="37">
        <f t="shared" si="8"/>
        <v>628</v>
      </c>
    </row>
    <row r="28" spans="1:33" ht="15" customHeight="1" x14ac:dyDescent="0.15">
      <c r="A28" s="102">
        <v>42393</v>
      </c>
      <c r="B28" s="20" t="s">
        <v>1</v>
      </c>
      <c r="C28" s="8">
        <v>60154</v>
      </c>
      <c r="D28" s="37">
        <v>24950</v>
      </c>
      <c r="E28" s="37">
        <v>87494</v>
      </c>
      <c r="F28" s="8">
        <v>4364</v>
      </c>
      <c r="G28" s="37">
        <v>2709</v>
      </c>
      <c r="H28" s="24"/>
      <c r="I28" s="36"/>
      <c r="J28" s="8">
        <f t="shared" si="0"/>
        <v>62544</v>
      </c>
      <c r="K28" s="37">
        <f t="shared" si="1"/>
        <v>1597</v>
      </c>
      <c r="L28" s="37">
        <v>793</v>
      </c>
      <c r="M28" s="37">
        <v>0</v>
      </c>
      <c r="N28" s="74">
        <f t="shared" si="2"/>
        <v>1486220</v>
      </c>
      <c r="O28" s="75">
        <f t="shared" si="3"/>
        <v>597876</v>
      </c>
      <c r="P28" s="75">
        <f t="shared" si="4"/>
        <v>2144804</v>
      </c>
      <c r="Q28" s="76">
        <f t="shared" si="5"/>
        <v>1486220</v>
      </c>
      <c r="R28" s="76">
        <f t="shared" si="5"/>
        <v>597876</v>
      </c>
      <c r="S28" s="76">
        <f t="shared" si="5"/>
        <v>2144804</v>
      </c>
      <c r="T28" s="80">
        <f>N28/'2015'!M28-1</f>
        <v>-8.8971505457086542E-2</v>
      </c>
      <c r="U28" s="80">
        <f>O28/'2015'!N28-1</f>
        <v>0.17489756816506996</v>
      </c>
      <c r="V28" s="80">
        <f>P28/'2015'!O28-1</f>
        <v>-9.6033387498435374E-3</v>
      </c>
      <c r="W28" s="81">
        <f>Q28/'2015'!P28-1</f>
        <v>-8.8971505457086542E-2</v>
      </c>
      <c r="X28" s="81">
        <f>R28/'2015'!Q28-1</f>
        <v>0.17489756816506996</v>
      </c>
      <c r="Y28" s="81">
        <f>S28/'2015'!R28-1</f>
        <v>-9.6033387498435374E-3</v>
      </c>
      <c r="Z28" s="50">
        <f>Z$25+0.64*3</f>
        <v>14.97</v>
      </c>
      <c r="AA28" s="97">
        <f t="shared" si="6"/>
        <v>133.65200000000002</v>
      </c>
      <c r="AB28" s="105"/>
      <c r="AC28" s="105"/>
      <c r="AD28" s="8">
        <f t="shared" si="7"/>
        <v>1546928</v>
      </c>
      <c r="AE28" s="37">
        <f t="shared" si="9"/>
        <v>41139</v>
      </c>
      <c r="AF28" s="37">
        <f t="shared" si="9"/>
        <v>18941</v>
      </c>
      <c r="AG28" s="37">
        <f t="shared" si="8"/>
        <v>628</v>
      </c>
    </row>
    <row r="29" spans="1:33" ht="15" customHeight="1" x14ac:dyDescent="0.15">
      <c r="A29" s="102">
        <v>42394</v>
      </c>
      <c r="B29" s="20" t="s">
        <v>34</v>
      </c>
      <c r="C29" s="8">
        <v>60387</v>
      </c>
      <c r="D29" s="37">
        <v>24445</v>
      </c>
      <c r="E29" s="37">
        <v>87171</v>
      </c>
      <c r="F29" s="8">
        <v>4330</v>
      </c>
      <c r="G29" s="37">
        <v>2673</v>
      </c>
      <c r="H29" s="24"/>
      <c r="I29" s="36"/>
      <c r="J29" s="8">
        <f t="shared" si="0"/>
        <v>62726</v>
      </c>
      <c r="K29" s="37">
        <f t="shared" si="1"/>
        <v>1546</v>
      </c>
      <c r="L29" s="37">
        <v>793</v>
      </c>
      <c r="M29" s="37">
        <v>0</v>
      </c>
      <c r="N29" s="74">
        <f t="shared" si="2"/>
        <v>1546607</v>
      </c>
      <c r="O29" s="75">
        <f t="shared" si="3"/>
        <v>622321</v>
      </c>
      <c r="P29" s="75">
        <f t="shared" si="4"/>
        <v>2231975</v>
      </c>
      <c r="Q29" s="76">
        <f t="shared" si="5"/>
        <v>1546607</v>
      </c>
      <c r="R29" s="76">
        <f t="shared" si="5"/>
        <v>622321</v>
      </c>
      <c r="S29" s="76">
        <f t="shared" si="5"/>
        <v>2231975</v>
      </c>
      <c r="T29" s="80">
        <f>N29/'2015'!M29-1</f>
        <v>-8.6774348784959487E-2</v>
      </c>
      <c r="U29" s="80">
        <f>O29/'2015'!N29-1</f>
        <v>0.17679950834397018</v>
      </c>
      <c r="V29" s="80">
        <f>P29/'2015'!O29-1</f>
        <v>-7.4102634572572601E-3</v>
      </c>
      <c r="W29" s="81">
        <f>Q29/'2015'!P29-1</f>
        <v>-8.6774348784959487E-2</v>
      </c>
      <c r="X29" s="81">
        <f>R29/'2015'!Q29-1</f>
        <v>0.17679950834397018</v>
      </c>
      <c r="Y29" s="81">
        <f>S29/'2015'!R29-1</f>
        <v>-7.4102634572572601E-3</v>
      </c>
      <c r="Z29" s="50">
        <f>Z$25+0.64*4</f>
        <v>15.610000000000001</v>
      </c>
      <c r="AA29" s="97">
        <f t="shared" si="6"/>
        <v>139.05069999999998</v>
      </c>
      <c r="AB29" s="105"/>
      <c r="AC29" s="105"/>
      <c r="AD29" s="8">
        <f t="shared" si="7"/>
        <v>1609654</v>
      </c>
      <c r="AE29" s="37">
        <f t="shared" si="9"/>
        <v>42685</v>
      </c>
      <c r="AF29" s="37">
        <f t="shared" si="9"/>
        <v>19734</v>
      </c>
      <c r="AG29" s="37">
        <f t="shared" si="8"/>
        <v>628</v>
      </c>
    </row>
    <row r="30" spans="1:33" ht="15" customHeight="1" x14ac:dyDescent="0.15">
      <c r="A30" s="102">
        <v>42395</v>
      </c>
      <c r="B30" s="14" t="s">
        <v>35</v>
      </c>
      <c r="C30" s="32">
        <v>55899</v>
      </c>
      <c r="D30" s="33">
        <v>26268</v>
      </c>
      <c r="E30" s="33">
        <v>83737</v>
      </c>
      <c r="F30" s="32">
        <v>4135</v>
      </c>
      <c r="G30" s="33">
        <v>2673</v>
      </c>
      <c r="H30" s="19"/>
      <c r="I30" s="19"/>
      <c r="J30" s="32">
        <f t="shared" si="0"/>
        <v>57469</v>
      </c>
      <c r="K30" s="33">
        <f t="shared" si="1"/>
        <v>777</v>
      </c>
      <c r="L30" s="33">
        <v>793</v>
      </c>
      <c r="M30" s="33">
        <v>0</v>
      </c>
      <c r="N30" s="77">
        <f t="shared" si="2"/>
        <v>1602506</v>
      </c>
      <c r="O30" s="78">
        <f t="shared" si="3"/>
        <v>648589</v>
      </c>
      <c r="P30" s="78">
        <f t="shared" si="4"/>
        <v>2315712</v>
      </c>
      <c r="Q30" s="77">
        <f t="shared" si="5"/>
        <v>1602506</v>
      </c>
      <c r="R30" s="77">
        <f t="shared" si="5"/>
        <v>648589</v>
      </c>
      <c r="S30" s="77">
        <f t="shared" si="5"/>
        <v>2315712</v>
      </c>
      <c r="T30" s="82">
        <f>N30/'2015'!M30-1</f>
        <v>-8.8638593238605234E-2</v>
      </c>
      <c r="U30" s="82">
        <f>O30/'2015'!N30-1</f>
        <v>0.1797353462780229</v>
      </c>
      <c r="V30" s="82">
        <f>P30/'2015'!O30-1</f>
        <v>-8.3916089905019531E-3</v>
      </c>
      <c r="W30" s="82">
        <f>Q30/'2015'!P30-1</f>
        <v>-8.8638593238605234E-2</v>
      </c>
      <c r="X30" s="82">
        <f>R30/'2015'!Q30-1</f>
        <v>0.1797353462780229</v>
      </c>
      <c r="Y30" s="82">
        <f>S30/'2015'!R30-1</f>
        <v>-8.3916089905019531E-3</v>
      </c>
      <c r="Z30" s="49">
        <f>Z$25+0.64*5</f>
        <v>16.25</v>
      </c>
      <c r="AA30" s="49">
        <f t="shared" si="6"/>
        <v>144.00059999999999</v>
      </c>
      <c r="AB30" s="33">
        <v>4230</v>
      </c>
      <c r="AC30" s="33">
        <f>AA30*10000/AB30</f>
        <v>340.42695035460991</v>
      </c>
      <c r="AD30" s="32">
        <f t="shared" si="7"/>
        <v>1667123</v>
      </c>
      <c r="AE30" s="33">
        <f t="shared" si="9"/>
        <v>43462</v>
      </c>
      <c r="AF30" s="33">
        <f t="shared" si="9"/>
        <v>20527</v>
      </c>
      <c r="AG30" s="33">
        <f t="shared" si="8"/>
        <v>628</v>
      </c>
    </row>
    <row r="31" spans="1:33" ht="15" customHeight="1" x14ac:dyDescent="0.15">
      <c r="A31" s="102">
        <v>42396</v>
      </c>
      <c r="B31" s="20" t="s">
        <v>36</v>
      </c>
      <c r="C31" s="8">
        <v>53846</v>
      </c>
      <c r="D31" s="37">
        <v>26116</v>
      </c>
      <c r="E31" s="37">
        <v>81411</v>
      </c>
      <c r="F31" s="8">
        <v>4136</v>
      </c>
      <c r="G31" s="37">
        <v>2478</v>
      </c>
      <c r="H31" s="24"/>
      <c r="I31" s="36"/>
      <c r="J31" s="8">
        <f t="shared" si="0"/>
        <v>55295</v>
      </c>
      <c r="K31" s="37">
        <f t="shared" si="1"/>
        <v>656</v>
      </c>
      <c r="L31" s="37">
        <v>793</v>
      </c>
      <c r="M31" s="37">
        <v>0</v>
      </c>
      <c r="N31" s="74">
        <f t="shared" si="2"/>
        <v>1656352</v>
      </c>
      <c r="O31" s="75">
        <f t="shared" si="3"/>
        <v>674705</v>
      </c>
      <c r="P31" s="75">
        <f t="shared" si="4"/>
        <v>2397123</v>
      </c>
      <c r="Q31" s="76">
        <f t="shared" si="5"/>
        <v>1656352</v>
      </c>
      <c r="R31" s="76">
        <f t="shared" si="5"/>
        <v>674705</v>
      </c>
      <c r="S31" s="76">
        <f t="shared" si="5"/>
        <v>2397123</v>
      </c>
      <c r="T31" s="80">
        <f>N31/'2015'!M31-1</f>
        <v>-9.3088183358748133E-2</v>
      </c>
      <c r="U31" s="80">
        <f>O31/'2015'!N31-1</f>
        <v>0.18229289876024013</v>
      </c>
      <c r="V31" s="80">
        <f>P31/'2015'!O31-1</f>
        <v>-1.153072509593478E-2</v>
      </c>
      <c r="W31" s="81">
        <f>Q31/'2015'!P31-1</f>
        <v>-9.3088183358748133E-2</v>
      </c>
      <c r="X31" s="81">
        <f>R31/'2015'!Q31-1</f>
        <v>0.18229289876024013</v>
      </c>
      <c r="Y31" s="81">
        <f>S31/'2015'!R31-1</f>
        <v>-1.153072509593478E-2</v>
      </c>
      <c r="Z31" s="50">
        <f>Z$25+0.64*6</f>
        <v>16.89</v>
      </c>
      <c r="AA31" s="97">
        <f t="shared" si="6"/>
        <v>148.74520000000001</v>
      </c>
      <c r="AB31" s="105"/>
      <c r="AC31" s="105"/>
      <c r="AD31" s="8">
        <f t="shared" si="7"/>
        <v>1722418</v>
      </c>
      <c r="AE31" s="37">
        <f t="shared" si="9"/>
        <v>44118</v>
      </c>
      <c r="AF31" s="37">
        <f t="shared" si="9"/>
        <v>21320</v>
      </c>
      <c r="AG31" s="37">
        <f t="shared" si="8"/>
        <v>628</v>
      </c>
    </row>
    <row r="32" spans="1:33" ht="15" customHeight="1" x14ac:dyDescent="0.15">
      <c r="A32" s="102">
        <v>42397</v>
      </c>
      <c r="B32" s="20" t="s">
        <v>37</v>
      </c>
      <c r="C32" s="70">
        <v>48747</v>
      </c>
      <c r="D32" s="71">
        <v>24435</v>
      </c>
      <c r="E32" s="71">
        <v>75400</v>
      </c>
      <c r="F32" s="70">
        <v>3835</v>
      </c>
      <c r="G32" s="71">
        <v>2094</v>
      </c>
      <c r="H32" s="24"/>
      <c r="I32" s="24"/>
      <c r="J32" s="70">
        <f t="shared" si="0"/>
        <v>50965</v>
      </c>
      <c r="K32" s="71">
        <f t="shared" si="1"/>
        <v>1425</v>
      </c>
      <c r="L32" s="71">
        <v>793</v>
      </c>
      <c r="M32" s="71">
        <v>0</v>
      </c>
      <c r="N32" s="74">
        <f t="shared" si="2"/>
        <v>1705099</v>
      </c>
      <c r="O32" s="75">
        <f t="shared" si="3"/>
        <v>699140</v>
      </c>
      <c r="P32" s="75">
        <f t="shared" si="4"/>
        <v>2472523</v>
      </c>
      <c r="Q32" s="76">
        <f t="shared" si="5"/>
        <v>1705099</v>
      </c>
      <c r="R32" s="76">
        <f t="shared" si="5"/>
        <v>699140</v>
      </c>
      <c r="S32" s="76">
        <f t="shared" si="5"/>
        <v>2472523</v>
      </c>
      <c r="T32" s="80">
        <f>N32/'2015'!M32-1</f>
        <v>-0.10175923804105325</v>
      </c>
      <c r="U32" s="80">
        <f>O32/'2015'!N32-1</f>
        <v>0.18242780432117045</v>
      </c>
      <c r="V32" s="80">
        <f>P32/'2015'!O32-1</f>
        <v>-1.8250250348820662E-2</v>
      </c>
      <c r="W32" s="81">
        <f>Q32/'2015'!P32-1</f>
        <v>-0.10175923804105325</v>
      </c>
      <c r="X32" s="81">
        <f>R32/'2015'!Q32-1</f>
        <v>0.18242780432117045</v>
      </c>
      <c r="Y32" s="81">
        <f>S32/'2015'!R32-1</f>
        <v>-1.8250250348820662E-2</v>
      </c>
      <c r="Z32" s="97">
        <f>Z$25+0.64*7</f>
        <v>17.53</v>
      </c>
      <c r="AA32" s="97">
        <f t="shared" si="6"/>
        <v>152.97989999999999</v>
      </c>
      <c r="AB32" s="106">
        <v>4230</v>
      </c>
      <c r="AC32" s="105">
        <f>AA32*10000/AB32</f>
        <v>361.65460992907794</v>
      </c>
      <c r="AD32" s="70">
        <f t="shared" si="7"/>
        <v>1773383</v>
      </c>
      <c r="AE32" s="71">
        <f t="shared" si="9"/>
        <v>45543</v>
      </c>
      <c r="AF32" s="71">
        <f t="shared" si="9"/>
        <v>22113</v>
      </c>
      <c r="AG32" s="71">
        <f t="shared" si="8"/>
        <v>628</v>
      </c>
    </row>
    <row r="33" spans="1:33" ht="15" customHeight="1" x14ac:dyDescent="0.15">
      <c r="A33" s="102">
        <v>42398</v>
      </c>
      <c r="B33" s="20" t="s">
        <v>38</v>
      </c>
      <c r="C33" s="8">
        <v>41685</v>
      </c>
      <c r="D33" s="37">
        <v>23892</v>
      </c>
      <c r="E33" s="37">
        <v>68398</v>
      </c>
      <c r="F33" s="8">
        <v>3494</v>
      </c>
      <c r="G33" s="37">
        <v>2085</v>
      </c>
      <c r="H33" s="24"/>
      <c r="I33" s="36"/>
      <c r="J33" s="8">
        <f t="shared" si="0"/>
        <v>44506</v>
      </c>
      <c r="K33" s="37">
        <f t="shared" si="1"/>
        <v>2028</v>
      </c>
      <c r="L33" s="37">
        <v>793</v>
      </c>
      <c r="M33" s="37">
        <v>0</v>
      </c>
      <c r="N33" s="74">
        <f t="shared" si="2"/>
        <v>1746784</v>
      </c>
      <c r="O33" s="75">
        <f t="shared" si="3"/>
        <v>723032</v>
      </c>
      <c r="P33" s="75">
        <f t="shared" si="4"/>
        <v>2540921</v>
      </c>
      <c r="Q33" s="76">
        <f t="shared" si="5"/>
        <v>1746784</v>
      </c>
      <c r="R33" s="76">
        <f t="shared" si="5"/>
        <v>723032</v>
      </c>
      <c r="S33" s="76">
        <f t="shared" si="5"/>
        <v>2540921</v>
      </c>
      <c r="T33" s="80">
        <f>N33/'2015'!M33-1</f>
        <v>-0.1128865730689439</v>
      </c>
      <c r="U33" s="80">
        <f>O33/'2015'!N33-1</f>
        <v>0.18012323009752307</v>
      </c>
      <c r="V33" s="80">
        <f>P33/'2015'!O33-1</f>
        <v>-2.7058270338407353E-2</v>
      </c>
      <c r="W33" s="81">
        <f>Q33/'2015'!P33-1</f>
        <v>-0.1128865730689439</v>
      </c>
      <c r="X33" s="81">
        <f>R33/'2015'!Q33-1</f>
        <v>0.18012323009752307</v>
      </c>
      <c r="Y33" s="81">
        <f>S33/'2015'!R33-1</f>
        <v>-2.7058270338407353E-2</v>
      </c>
      <c r="Z33" s="50">
        <f>Z$25+0.64*8</f>
        <v>18.170000000000002</v>
      </c>
      <c r="AA33" s="97">
        <f t="shared" si="6"/>
        <v>156.50839999999999</v>
      </c>
      <c r="AB33" s="105"/>
      <c r="AC33" s="105"/>
      <c r="AD33" s="8">
        <f t="shared" si="7"/>
        <v>1817889</v>
      </c>
      <c r="AE33" s="37">
        <f t="shared" si="9"/>
        <v>47571</v>
      </c>
      <c r="AF33" s="37">
        <f t="shared" si="9"/>
        <v>22906</v>
      </c>
      <c r="AG33" s="37">
        <f t="shared" si="8"/>
        <v>628</v>
      </c>
    </row>
    <row r="34" spans="1:33" ht="15" customHeight="1" x14ac:dyDescent="0.15">
      <c r="A34" s="102">
        <v>42399</v>
      </c>
      <c r="B34" s="20" t="s">
        <v>39</v>
      </c>
      <c r="C34" s="8">
        <v>36460</v>
      </c>
      <c r="D34" s="37">
        <v>23558</v>
      </c>
      <c r="E34" s="37">
        <v>62671</v>
      </c>
      <c r="F34" s="8">
        <v>3146</v>
      </c>
      <c r="G34" s="37">
        <v>1893</v>
      </c>
      <c r="H34" s="24"/>
      <c r="I34" s="36"/>
      <c r="J34" s="8">
        <f t="shared" si="0"/>
        <v>39113</v>
      </c>
      <c r="K34" s="37">
        <f t="shared" si="1"/>
        <v>1860</v>
      </c>
      <c r="L34" s="37">
        <v>793</v>
      </c>
      <c r="M34" s="37">
        <v>0</v>
      </c>
      <c r="N34" s="74">
        <f t="shared" si="2"/>
        <v>1783244</v>
      </c>
      <c r="O34" s="75">
        <f t="shared" si="3"/>
        <v>746590</v>
      </c>
      <c r="P34" s="75">
        <f t="shared" si="4"/>
        <v>2603592</v>
      </c>
      <c r="Q34" s="76">
        <f t="shared" si="5"/>
        <v>1783244</v>
      </c>
      <c r="R34" s="76">
        <f t="shared" si="5"/>
        <v>746590</v>
      </c>
      <c r="S34" s="76">
        <f t="shared" si="5"/>
        <v>2603592</v>
      </c>
      <c r="T34" s="80">
        <f>N34/'2015'!M34-1</f>
        <v>-0.12594561900364576</v>
      </c>
      <c r="U34" s="80">
        <f>O34/'2015'!N34-1</f>
        <v>0.17732120357711123</v>
      </c>
      <c r="V34" s="80">
        <f>P34/'2015'!O34-1</f>
        <v>-3.749478746151591E-2</v>
      </c>
      <c r="W34" s="81">
        <f>Q34/'2015'!P34-1</f>
        <v>-0.12594561900364576</v>
      </c>
      <c r="X34" s="81">
        <f>R34/'2015'!Q34-1</f>
        <v>0.17732120357711123</v>
      </c>
      <c r="Y34" s="81">
        <f>S34/'2015'!R34-1</f>
        <v>-3.749478746151591E-2</v>
      </c>
      <c r="Z34" s="50">
        <f>Z$25+0.64*9</f>
        <v>18.810000000000002</v>
      </c>
      <c r="AA34" s="97">
        <f t="shared" si="6"/>
        <v>159.51439999999999</v>
      </c>
      <c r="AB34" s="105"/>
      <c r="AC34" s="105"/>
      <c r="AD34" s="8">
        <f t="shared" si="7"/>
        <v>1857002</v>
      </c>
      <c r="AE34" s="37">
        <f t="shared" si="9"/>
        <v>49431</v>
      </c>
      <c r="AF34" s="37">
        <f t="shared" si="9"/>
        <v>23699</v>
      </c>
      <c r="AG34" s="37">
        <f t="shared" si="8"/>
        <v>628</v>
      </c>
    </row>
    <row r="35" spans="1:33" s="1" customFormat="1" ht="15" customHeight="1" x14ac:dyDescent="0.15">
      <c r="A35" s="25">
        <v>42400</v>
      </c>
      <c r="B35" s="25" t="s">
        <v>1</v>
      </c>
      <c r="C35" s="42">
        <v>33747</v>
      </c>
      <c r="D35" s="43">
        <v>23267</v>
      </c>
      <c r="E35" s="43">
        <v>59231</v>
      </c>
      <c r="F35" s="42">
        <v>2952</v>
      </c>
      <c r="G35" s="43">
        <v>1819</v>
      </c>
      <c r="H35" s="30"/>
      <c r="I35" s="30"/>
      <c r="J35" s="42">
        <f t="shared" si="0"/>
        <v>35964</v>
      </c>
      <c r="K35" s="43">
        <f t="shared" si="1"/>
        <v>1424</v>
      </c>
      <c r="L35" s="43">
        <v>793</v>
      </c>
      <c r="M35" s="43">
        <v>0</v>
      </c>
      <c r="N35" s="87">
        <f t="shared" si="2"/>
        <v>1816991</v>
      </c>
      <c r="O35" s="88">
        <f t="shared" si="3"/>
        <v>769857</v>
      </c>
      <c r="P35" s="88">
        <f t="shared" si="4"/>
        <v>2662823</v>
      </c>
      <c r="Q35" s="87">
        <f t="shared" si="5"/>
        <v>1816991</v>
      </c>
      <c r="R35" s="87">
        <f t="shared" si="5"/>
        <v>769857</v>
      </c>
      <c r="S35" s="87">
        <f t="shared" si="5"/>
        <v>2662823</v>
      </c>
      <c r="T35" s="89">
        <f>N35/'2015'!M35-1</f>
        <v>-0.13840907894668208</v>
      </c>
      <c r="U35" s="89">
        <f>O35/'2015'!N35-1</f>
        <v>0.1767645193094014</v>
      </c>
      <c r="V35" s="89">
        <f>P35/'2015'!O35-1</f>
        <v>-4.7163360262389209E-2</v>
      </c>
      <c r="W35" s="89">
        <f>Q35/'2015'!P35-1</f>
        <v>-0.13840907894668208</v>
      </c>
      <c r="X35" s="89">
        <f>R35/'2015'!Q35-1</f>
        <v>0.1767645193094014</v>
      </c>
      <c r="Y35" s="89">
        <f>S35/'2015'!R35-1</f>
        <v>-4.7163360262389209E-2</v>
      </c>
      <c r="Z35" s="52">
        <v>19.451499999999999</v>
      </c>
      <c r="AA35" s="52">
        <f t="shared" si="6"/>
        <v>162.24759999999998</v>
      </c>
      <c r="AB35" s="43">
        <v>4230.1000000000004</v>
      </c>
      <c r="AC35" s="43">
        <f>AA35*10000/AB35</f>
        <v>383.55499869979423</v>
      </c>
      <c r="AD35" s="42">
        <f t="shared" si="7"/>
        <v>1892966</v>
      </c>
      <c r="AE35" s="43">
        <v>50876</v>
      </c>
      <c r="AF35" s="43">
        <v>24472</v>
      </c>
      <c r="AG35" s="43">
        <f t="shared" si="8"/>
        <v>627</v>
      </c>
    </row>
    <row r="36" spans="1:33" ht="15" customHeight="1" x14ac:dyDescent="0.15">
      <c r="A36" s="102">
        <v>42401</v>
      </c>
      <c r="B36" s="20" t="s">
        <v>34</v>
      </c>
      <c r="C36" s="8">
        <v>36404</v>
      </c>
      <c r="D36" s="37">
        <v>21732</v>
      </c>
      <c r="E36" s="37">
        <v>61371</v>
      </c>
      <c r="F36" s="8">
        <v>3077</v>
      </c>
      <c r="G36" s="37">
        <v>1756</v>
      </c>
      <c r="H36" s="24"/>
      <c r="I36" s="36"/>
      <c r="J36" s="8">
        <f t="shared" si="0"/>
        <v>39639</v>
      </c>
      <c r="K36" s="37">
        <f t="shared" si="1"/>
        <v>2214.1</v>
      </c>
      <c r="L36" s="37">
        <v>792</v>
      </c>
      <c r="M36" s="37">
        <f>(AG$45-AG$35)/10</f>
        <v>228.9</v>
      </c>
      <c r="N36" s="74">
        <f>C36</f>
        <v>36404</v>
      </c>
      <c r="O36" s="75">
        <f>D36</f>
        <v>21732</v>
      </c>
      <c r="P36" s="75">
        <f>E36</f>
        <v>61371</v>
      </c>
      <c r="Q36" s="76">
        <f>N36+Q$35</f>
        <v>1853395</v>
      </c>
      <c r="R36" s="76">
        <f>O36+R$35</f>
        <v>791589</v>
      </c>
      <c r="S36" s="76">
        <f>P36+S$35</f>
        <v>2724194</v>
      </c>
      <c r="T36" s="80">
        <f>N36/'2015'!M36-1</f>
        <v>-0.44251148545176111</v>
      </c>
      <c r="U36" s="80">
        <f>O36/'2015'!N36-1</f>
        <v>9.7575757575757649E-2</v>
      </c>
      <c r="V36" s="80">
        <f>P36/'2015'!O36-1</f>
        <v>-0.28708006133543984</v>
      </c>
      <c r="W36" s="81">
        <f>Q36/'2015'!P36-1</f>
        <v>-0.14754258963958344</v>
      </c>
      <c r="X36" s="81">
        <f>R36/'2015'!Q36-1</f>
        <v>0.1744382543415206</v>
      </c>
      <c r="Y36" s="81">
        <f>S36/'2015'!R36-1</f>
        <v>-5.433276715366453E-2</v>
      </c>
      <c r="Z36" s="50">
        <f>Z$35+0.302*1</f>
        <v>19.753499999999999</v>
      </c>
      <c r="AA36" s="97">
        <f t="shared" si="6"/>
        <v>165.58599999999998</v>
      </c>
      <c r="AB36" s="105"/>
      <c r="AC36" s="105"/>
      <c r="AD36" s="8">
        <f t="shared" si="7"/>
        <v>1932605</v>
      </c>
      <c r="AE36" s="37">
        <f t="shared" si="9"/>
        <v>53090.1</v>
      </c>
      <c r="AF36" s="37">
        <f t="shared" si="9"/>
        <v>25264</v>
      </c>
      <c r="AG36" s="37">
        <f t="shared" si="8"/>
        <v>855.90000000000146</v>
      </c>
    </row>
    <row r="37" spans="1:33" ht="15" customHeight="1" x14ac:dyDescent="0.15">
      <c r="A37" s="102">
        <v>42402</v>
      </c>
      <c r="B37" s="14" t="s">
        <v>35</v>
      </c>
      <c r="C37" s="32">
        <v>30597</v>
      </c>
      <c r="D37" s="33">
        <v>23181</v>
      </c>
      <c r="E37" s="33">
        <v>56414</v>
      </c>
      <c r="F37" s="32">
        <v>2846</v>
      </c>
      <c r="G37" s="33">
        <v>1718</v>
      </c>
      <c r="H37" s="19"/>
      <c r="I37" s="19"/>
      <c r="J37" s="32">
        <f t="shared" si="0"/>
        <v>33233</v>
      </c>
      <c r="K37" s="33">
        <f t="shared" si="1"/>
        <v>1615.1</v>
      </c>
      <c r="L37" s="33">
        <v>792</v>
      </c>
      <c r="M37" s="33">
        <f t="shared" ref="M37:M45" si="11">(AG$45-AG$35)/10</f>
        <v>228.9</v>
      </c>
      <c r="N37" s="77">
        <f t="shared" ref="N37:N54" si="12">N36+C37</f>
        <v>67001</v>
      </c>
      <c r="O37" s="78">
        <f t="shared" ref="O37:O54" si="13">O36+D37</f>
        <v>44913</v>
      </c>
      <c r="P37" s="78">
        <f t="shared" ref="P37:P54" si="14">P36+E37</f>
        <v>117785</v>
      </c>
      <c r="Q37" s="77">
        <f t="shared" ref="Q37:S63" si="15">N37+Q$35</f>
        <v>1883992</v>
      </c>
      <c r="R37" s="77">
        <f t="shared" si="15"/>
        <v>814770</v>
      </c>
      <c r="S37" s="77">
        <f t="shared" si="15"/>
        <v>2780608</v>
      </c>
      <c r="T37" s="82">
        <f>N37/'2015'!M37-1</f>
        <v>-0.49164643399089525</v>
      </c>
      <c r="U37" s="82">
        <f>O37/'2015'!N37-1</f>
        <v>0.10623152709359607</v>
      </c>
      <c r="V37" s="82">
        <f>P37/'2015'!O37-1</f>
        <v>-0.32494469343542598</v>
      </c>
      <c r="W37" s="82">
        <f>Q37/'2015'!P37-1</f>
        <v>-0.15918701429343518</v>
      </c>
      <c r="X37" s="82">
        <f>R37/'2015'!Q37-1</f>
        <v>0.17264307765376397</v>
      </c>
      <c r="Y37" s="82">
        <f>S37/'2015'!R37-1</f>
        <v>-6.3487396387266304E-2</v>
      </c>
      <c r="Z37" s="49">
        <f>Z$35+0.302*2</f>
        <v>20.055499999999999</v>
      </c>
      <c r="AA37" s="49">
        <f t="shared" si="6"/>
        <v>168.34370000000001</v>
      </c>
      <c r="AB37" s="33">
        <v>4230.1000000000004</v>
      </c>
      <c r="AC37" s="33">
        <f>AA37*10000/AB37</f>
        <v>397.96624193281485</v>
      </c>
      <c r="AD37" s="32">
        <f t="shared" si="7"/>
        <v>1965838</v>
      </c>
      <c r="AE37" s="33">
        <f t="shared" si="9"/>
        <v>54705.2</v>
      </c>
      <c r="AF37" s="33">
        <f t="shared" si="9"/>
        <v>26056</v>
      </c>
      <c r="AG37" s="33">
        <f t="shared" si="8"/>
        <v>1084.8000000000029</v>
      </c>
    </row>
    <row r="38" spans="1:33" ht="15" customHeight="1" x14ac:dyDescent="0.15">
      <c r="A38" s="102">
        <v>42403</v>
      </c>
      <c r="B38" s="20" t="s">
        <v>36</v>
      </c>
      <c r="C38" s="8">
        <v>26002</v>
      </c>
      <c r="D38" s="37">
        <v>23481</v>
      </c>
      <c r="E38" s="37">
        <v>51473</v>
      </c>
      <c r="F38" s="8">
        <v>2613</v>
      </c>
      <c r="G38" s="37">
        <v>1621</v>
      </c>
      <c r="H38" s="24"/>
      <c r="I38" s="36"/>
      <c r="J38" s="8">
        <f t="shared" si="0"/>
        <v>27992</v>
      </c>
      <c r="K38" s="37">
        <f t="shared" si="1"/>
        <v>969.09999999999991</v>
      </c>
      <c r="L38" s="37">
        <v>792</v>
      </c>
      <c r="M38" s="37">
        <f t="shared" si="11"/>
        <v>228.9</v>
      </c>
      <c r="N38" s="74">
        <f t="shared" si="12"/>
        <v>93003</v>
      </c>
      <c r="O38" s="75">
        <f t="shared" si="13"/>
        <v>68394</v>
      </c>
      <c r="P38" s="75">
        <f t="shared" si="14"/>
        <v>169258</v>
      </c>
      <c r="Q38" s="76">
        <f t="shared" si="15"/>
        <v>1909994</v>
      </c>
      <c r="R38" s="76">
        <f t="shared" si="15"/>
        <v>838251</v>
      </c>
      <c r="S38" s="76">
        <f t="shared" si="15"/>
        <v>2832081</v>
      </c>
      <c r="T38" s="80">
        <f>N38/'2015'!M38-1</f>
        <v>-0.52452453987730063</v>
      </c>
      <c r="U38" s="80">
        <f>O38/'2015'!N38-1</f>
        <v>0.10885214007782107</v>
      </c>
      <c r="V38" s="80">
        <f>P38/'2015'!O38-1</f>
        <v>-0.35163605997226632</v>
      </c>
      <c r="W38" s="81">
        <f>Q38/'2015'!P38-1</f>
        <v>-0.17118185932698893</v>
      </c>
      <c r="X38" s="81">
        <f>R38/'2015'!Q38-1</f>
        <v>0.17091333226241279</v>
      </c>
      <c r="Y38" s="81">
        <f>S38/'2015'!R38-1</f>
        <v>-7.317517764452508E-2</v>
      </c>
      <c r="Z38" s="50">
        <f>Z$35+0.302*3</f>
        <v>20.357499999999998</v>
      </c>
      <c r="AA38" s="97">
        <f t="shared" si="6"/>
        <v>170.64190000000002</v>
      </c>
      <c r="AB38" s="105"/>
      <c r="AC38" s="105"/>
      <c r="AD38" s="8">
        <f t="shared" si="7"/>
        <v>1993830</v>
      </c>
      <c r="AE38" s="37">
        <f t="shared" si="9"/>
        <v>55674.299999999996</v>
      </c>
      <c r="AF38" s="37">
        <f t="shared" si="9"/>
        <v>26848</v>
      </c>
      <c r="AG38" s="37">
        <f t="shared" si="8"/>
        <v>1313.7000000000044</v>
      </c>
    </row>
    <row r="39" spans="1:33" ht="15" customHeight="1" x14ac:dyDescent="0.15">
      <c r="A39" s="102">
        <v>42404</v>
      </c>
      <c r="B39" s="20" t="s">
        <v>37</v>
      </c>
      <c r="C39" s="70">
        <v>25012</v>
      </c>
      <c r="D39" s="71">
        <v>22008</v>
      </c>
      <c r="E39" s="71">
        <v>49750</v>
      </c>
      <c r="F39" s="70">
        <v>2506</v>
      </c>
      <c r="G39" s="71">
        <v>1494</v>
      </c>
      <c r="H39" s="24"/>
      <c r="I39" s="24"/>
      <c r="J39" s="70">
        <f t="shared" si="0"/>
        <v>27742</v>
      </c>
      <c r="K39" s="71">
        <f t="shared" si="1"/>
        <v>1709.1</v>
      </c>
      <c r="L39" s="71">
        <v>792</v>
      </c>
      <c r="M39" s="71">
        <f t="shared" si="11"/>
        <v>228.9</v>
      </c>
      <c r="N39" s="74">
        <f t="shared" si="12"/>
        <v>118015</v>
      </c>
      <c r="O39" s="75">
        <f t="shared" si="13"/>
        <v>90402</v>
      </c>
      <c r="P39" s="75">
        <f t="shared" si="14"/>
        <v>219008</v>
      </c>
      <c r="Q39" s="76">
        <f t="shared" si="15"/>
        <v>1935006</v>
      </c>
      <c r="R39" s="76">
        <f t="shared" si="15"/>
        <v>860259</v>
      </c>
      <c r="S39" s="76">
        <f t="shared" si="15"/>
        <v>2881831</v>
      </c>
      <c r="T39" s="80">
        <f>N39/'2015'!M39-1</f>
        <v>-0.54044003115264805</v>
      </c>
      <c r="U39" s="80">
        <f>O39/'2015'!N39-1</f>
        <v>0.10854690374003684</v>
      </c>
      <c r="V39" s="80">
        <f>P39/'2015'!O39-1</f>
        <v>-0.36161554919461558</v>
      </c>
      <c r="W39" s="81">
        <f>Q39/'2015'!P39-1</f>
        <v>-0.18205048106695798</v>
      </c>
      <c r="X39" s="81">
        <f>R39/'2015'!Q39-1</f>
        <v>0.16920348209006941</v>
      </c>
      <c r="Y39" s="81">
        <f>S39/'2015'!R39-1</f>
        <v>-8.1544625302730434E-2</v>
      </c>
      <c r="Z39" s="97">
        <f>Z$35+0.302*4</f>
        <v>20.659499999999998</v>
      </c>
      <c r="AA39" s="97">
        <f t="shared" si="6"/>
        <v>172.84109999999998</v>
      </c>
      <c r="AB39" s="106">
        <v>4230.1000000000004</v>
      </c>
      <c r="AC39" s="105">
        <f>AA39*10000/AB39</f>
        <v>408.59814188789852</v>
      </c>
      <c r="AD39" s="70">
        <f t="shared" si="7"/>
        <v>2021572</v>
      </c>
      <c r="AE39" s="71">
        <f t="shared" si="9"/>
        <v>57383.399999999994</v>
      </c>
      <c r="AF39" s="71">
        <f t="shared" si="9"/>
        <v>27640</v>
      </c>
      <c r="AG39" s="71">
        <f t="shared" si="8"/>
        <v>1542.6000000000058</v>
      </c>
    </row>
    <row r="40" spans="1:33" ht="15" customHeight="1" x14ac:dyDescent="0.15">
      <c r="A40" s="102">
        <v>42405</v>
      </c>
      <c r="B40" s="20" t="s">
        <v>38</v>
      </c>
      <c r="C40" s="8">
        <v>21810</v>
      </c>
      <c r="D40" s="37">
        <v>19319</v>
      </c>
      <c r="E40" s="37">
        <v>43168</v>
      </c>
      <c r="F40" s="8">
        <v>2501</v>
      </c>
      <c r="G40" s="37">
        <v>1493</v>
      </c>
      <c r="H40" s="24"/>
      <c r="I40" s="36"/>
      <c r="J40" s="8">
        <f t="shared" si="0"/>
        <v>23849</v>
      </c>
      <c r="K40" s="37">
        <f t="shared" si="1"/>
        <v>1330.1</v>
      </c>
      <c r="L40" s="37">
        <v>480</v>
      </c>
      <c r="M40" s="37">
        <f t="shared" si="11"/>
        <v>228.9</v>
      </c>
      <c r="N40" s="74">
        <f t="shared" si="12"/>
        <v>139825</v>
      </c>
      <c r="O40" s="75">
        <f t="shared" si="13"/>
        <v>109721</v>
      </c>
      <c r="P40" s="75">
        <f t="shared" si="14"/>
        <v>262176</v>
      </c>
      <c r="Q40" s="76">
        <f t="shared" si="15"/>
        <v>1956816</v>
      </c>
      <c r="R40" s="76">
        <f t="shared" si="15"/>
        <v>879578</v>
      </c>
      <c r="S40" s="76">
        <f t="shared" si="15"/>
        <v>2924999</v>
      </c>
      <c r="T40" s="80">
        <f>N40/'2015'!M40-1</f>
        <v>-0.55681458003169571</v>
      </c>
      <c r="U40" s="80">
        <f>O40/'2015'!N40-1</f>
        <v>8.2594967932905883E-2</v>
      </c>
      <c r="V40" s="80">
        <f>P40/'2015'!O40-1</f>
        <v>-0.38002270147559591</v>
      </c>
      <c r="W40" s="81">
        <f>Q40/'2015'!P40-1</f>
        <v>-0.19285887231328103</v>
      </c>
      <c r="X40" s="81">
        <f>R40/'2015'!Q40-1</f>
        <v>0.16413280128116048</v>
      </c>
      <c r="Y40" s="81">
        <f>S40/'2015'!R40-1</f>
        <v>-9.0911379524582281E-2</v>
      </c>
      <c r="Z40" s="50">
        <f>Z$35+0.302*5</f>
        <v>20.961500000000001</v>
      </c>
      <c r="AA40" s="97">
        <f t="shared" si="6"/>
        <v>174.7201</v>
      </c>
      <c r="AB40" s="105"/>
      <c r="AC40" s="105"/>
      <c r="AD40" s="8">
        <f t="shared" si="7"/>
        <v>2045421</v>
      </c>
      <c r="AE40" s="37">
        <f t="shared" si="9"/>
        <v>58713.499999999993</v>
      </c>
      <c r="AF40" s="37">
        <f t="shared" si="9"/>
        <v>28120</v>
      </c>
      <c r="AG40" s="37">
        <f t="shared" si="8"/>
        <v>1771.5000000000073</v>
      </c>
    </row>
    <row r="41" spans="1:33" ht="15" customHeight="1" x14ac:dyDescent="0.15">
      <c r="A41" s="102">
        <v>42406</v>
      </c>
      <c r="B41" s="20" t="s">
        <v>39</v>
      </c>
      <c r="C41" s="8">
        <v>20220</v>
      </c>
      <c r="D41" s="37">
        <v>17091</v>
      </c>
      <c r="E41" s="37">
        <v>40529</v>
      </c>
      <c r="F41" s="8">
        <v>2400</v>
      </c>
      <c r="G41" s="37">
        <v>1300</v>
      </c>
      <c r="H41" s="24"/>
      <c r="I41" s="36"/>
      <c r="J41" s="8">
        <f t="shared" si="0"/>
        <v>23438</v>
      </c>
      <c r="K41" s="37">
        <f t="shared" si="1"/>
        <v>2509.1</v>
      </c>
      <c r="L41" s="37">
        <v>480</v>
      </c>
      <c r="M41" s="37">
        <f t="shared" si="11"/>
        <v>228.9</v>
      </c>
      <c r="N41" s="74">
        <f t="shared" si="12"/>
        <v>160045</v>
      </c>
      <c r="O41" s="75">
        <f t="shared" si="13"/>
        <v>126812</v>
      </c>
      <c r="P41" s="75">
        <f t="shared" si="14"/>
        <v>302705</v>
      </c>
      <c r="Q41" s="76">
        <f t="shared" si="15"/>
        <v>1977036</v>
      </c>
      <c r="R41" s="76">
        <f t="shared" si="15"/>
        <v>896669</v>
      </c>
      <c r="S41" s="76">
        <f t="shared" si="15"/>
        <v>2965528</v>
      </c>
      <c r="T41" s="80">
        <f>N41/'2015'!M41-1</f>
        <v>-0.57032592353951883</v>
      </c>
      <c r="U41" s="80">
        <f>O41/'2015'!N41-1</f>
        <v>5.1945250933222775E-2</v>
      </c>
      <c r="V41" s="80">
        <f>P41/'2015'!O41-1</f>
        <v>-0.39504976218074261</v>
      </c>
      <c r="W41" s="81">
        <f>Q41/'2015'!P41-1</f>
        <v>-0.20324467358411258</v>
      </c>
      <c r="X41" s="81">
        <f>R41/'2015'!Q41-1</f>
        <v>0.15734319438797573</v>
      </c>
      <c r="Y41" s="81">
        <f>S41/'2015'!R41-1</f>
        <v>-9.9993414278027326E-2</v>
      </c>
      <c r="Z41" s="50">
        <f>Z$35+0.302*6</f>
        <v>21.263500000000001</v>
      </c>
      <c r="AA41" s="97">
        <f t="shared" si="6"/>
        <v>176.4401</v>
      </c>
      <c r="AB41" s="105"/>
      <c r="AC41" s="105"/>
      <c r="AD41" s="8">
        <f t="shared" si="7"/>
        <v>2068859</v>
      </c>
      <c r="AE41" s="37">
        <f t="shared" si="9"/>
        <v>61222.599999999991</v>
      </c>
      <c r="AF41" s="37">
        <f t="shared" si="9"/>
        <v>28600</v>
      </c>
      <c r="AG41" s="37">
        <f t="shared" si="8"/>
        <v>2000.4000000000087</v>
      </c>
    </row>
    <row r="42" spans="1:33" ht="15" customHeight="1" x14ac:dyDescent="0.15">
      <c r="A42" s="13">
        <v>42407</v>
      </c>
      <c r="B42" s="20" t="s">
        <v>1</v>
      </c>
      <c r="C42" s="8">
        <v>23041</v>
      </c>
      <c r="D42" s="37">
        <f>8646+5096</f>
        <v>13742</v>
      </c>
      <c r="E42" s="37">
        <v>39820</v>
      </c>
      <c r="F42" s="8">
        <v>2297.4</v>
      </c>
      <c r="G42" s="37">
        <v>1238.4000000000001</v>
      </c>
      <c r="H42" s="24"/>
      <c r="I42" s="36"/>
      <c r="J42" s="8">
        <f t="shared" si="0"/>
        <v>26078</v>
      </c>
      <c r="K42" s="37">
        <f t="shared" si="1"/>
        <v>2328.1</v>
      </c>
      <c r="L42" s="37">
        <v>480</v>
      </c>
      <c r="M42" s="37">
        <f t="shared" si="11"/>
        <v>228.9</v>
      </c>
      <c r="N42" s="74">
        <f t="shared" si="12"/>
        <v>183086</v>
      </c>
      <c r="O42" s="75">
        <f t="shared" si="13"/>
        <v>140554</v>
      </c>
      <c r="P42" s="75">
        <f t="shared" si="14"/>
        <v>342525</v>
      </c>
      <c r="Q42" s="76">
        <f t="shared" si="15"/>
        <v>2000077</v>
      </c>
      <c r="R42" s="76">
        <f t="shared" si="15"/>
        <v>910411</v>
      </c>
      <c r="S42" s="76">
        <f t="shared" si="15"/>
        <v>3005348</v>
      </c>
      <c r="T42" s="80">
        <f>N42/'2015'!M42-1</f>
        <v>-0.57489087025169505</v>
      </c>
      <c r="U42" s="80">
        <f>O42/'2015'!N42-1</f>
        <v>1.3981070006348517E-2</v>
      </c>
      <c r="V42" s="80">
        <f>P42/'2015'!O42-1</f>
        <v>-0.40717054934404096</v>
      </c>
      <c r="W42" s="81">
        <f>Q42/'2015'!P42-1</f>
        <v>-0.21243137095850106</v>
      </c>
      <c r="X42" s="81">
        <f>R42/'2015'!Q42-1</f>
        <v>0.14830398912252418</v>
      </c>
      <c r="Y42" s="81">
        <f>S42/'2015'!R42-1</f>
        <v>-0.10884184500862437</v>
      </c>
      <c r="Z42" s="50">
        <f>Z$35+0.302*7</f>
        <v>21.5655</v>
      </c>
      <c r="AA42" s="97">
        <f t="shared" si="6"/>
        <v>178.44220000000001</v>
      </c>
      <c r="AB42" s="105"/>
      <c r="AC42" s="105"/>
      <c r="AD42" s="8">
        <f t="shared" si="7"/>
        <v>2094937</v>
      </c>
      <c r="AE42" s="37">
        <f t="shared" si="9"/>
        <v>63550.69999999999</v>
      </c>
      <c r="AF42" s="37">
        <f t="shared" si="9"/>
        <v>29080</v>
      </c>
      <c r="AG42" s="37">
        <f t="shared" si="8"/>
        <v>2229.3000000000102</v>
      </c>
    </row>
    <row r="43" spans="1:33" ht="15" customHeight="1" x14ac:dyDescent="0.15">
      <c r="A43" s="13">
        <v>42408</v>
      </c>
      <c r="B43" s="20" t="s">
        <v>34</v>
      </c>
      <c r="C43" s="8">
        <v>19395</v>
      </c>
      <c r="D43" s="37">
        <f>8272+4906</f>
        <v>13178</v>
      </c>
      <c r="E43" s="37">
        <v>35026</v>
      </c>
      <c r="F43" s="8">
        <v>1922.7</v>
      </c>
      <c r="G43" s="37">
        <v>1105.2</v>
      </c>
      <c r="H43" s="24"/>
      <c r="I43" s="36"/>
      <c r="J43" s="8">
        <f t="shared" si="0"/>
        <v>21848</v>
      </c>
      <c r="K43" s="37">
        <f t="shared" si="1"/>
        <v>1744.1</v>
      </c>
      <c r="L43" s="37">
        <v>480</v>
      </c>
      <c r="M43" s="37">
        <f t="shared" si="11"/>
        <v>228.9</v>
      </c>
      <c r="N43" s="74">
        <f t="shared" si="12"/>
        <v>202481</v>
      </c>
      <c r="O43" s="75">
        <f t="shared" si="13"/>
        <v>153732</v>
      </c>
      <c r="P43" s="75">
        <f t="shared" si="14"/>
        <v>377551</v>
      </c>
      <c r="Q43" s="76">
        <f t="shared" si="15"/>
        <v>2019472</v>
      </c>
      <c r="R43" s="76">
        <f t="shared" si="15"/>
        <v>923589</v>
      </c>
      <c r="S43" s="76">
        <f t="shared" si="15"/>
        <v>3040374</v>
      </c>
      <c r="T43" s="80">
        <f>N43/'2015'!M43-1</f>
        <v>-0.57379599225393618</v>
      </c>
      <c r="U43" s="80">
        <f>O43/'2015'!N43-1</f>
        <v>-3.2011887970985309E-2</v>
      </c>
      <c r="V43" s="80">
        <f>P43/'2015'!O43-1</f>
        <v>-0.41335809068025731</v>
      </c>
      <c r="W43" s="81">
        <f>Q43/'2015'!P43-1</f>
        <v>-0.2184581876105619</v>
      </c>
      <c r="X43" s="81">
        <f>R43/'2015'!Q43-1</f>
        <v>0.1359825148118583</v>
      </c>
      <c r="Y43" s="81">
        <f>S43/'2015'!R43-1</f>
        <v>-0.11570943808793366</v>
      </c>
      <c r="Z43" s="50">
        <f>Z$35+0.302*8</f>
        <v>21.8675</v>
      </c>
      <c r="AA43" s="97">
        <f t="shared" si="6"/>
        <v>180.0797</v>
      </c>
      <c r="AB43" s="105"/>
      <c r="AC43" s="105"/>
      <c r="AD43" s="8">
        <f t="shared" si="7"/>
        <v>2116785</v>
      </c>
      <c r="AE43" s="37">
        <f t="shared" si="9"/>
        <v>65294.799999999988</v>
      </c>
      <c r="AF43" s="37">
        <f t="shared" si="9"/>
        <v>29560</v>
      </c>
      <c r="AG43" s="37">
        <f t="shared" si="8"/>
        <v>2458.2000000000116</v>
      </c>
    </row>
    <row r="44" spans="1:33" ht="15" customHeight="1" x14ac:dyDescent="0.15">
      <c r="A44" s="13">
        <v>42409</v>
      </c>
      <c r="B44" s="14" t="s">
        <v>35</v>
      </c>
      <c r="C44" s="32">
        <v>17937</v>
      </c>
      <c r="D44" s="33">
        <f>8349+4896</f>
        <v>13245</v>
      </c>
      <c r="E44" s="33">
        <v>32268</v>
      </c>
      <c r="F44" s="32">
        <v>1742.2</v>
      </c>
      <c r="G44" s="33">
        <v>1077.0999999999999</v>
      </c>
      <c r="H44" s="19"/>
      <c r="I44" s="19"/>
      <c r="J44" s="32">
        <f t="shared" si="0"/>
        <v>19023</v>
      </c>
      <c r="K44" s="33">
        <f t="shared" si="1"/>
        <v>377.1</v>
      </c>
      <c r="L44" s="33">
        <v>480</v>
      </c>
      <c r="M44" s="33">
        <f t="shared" si="11"/>
        <v>228.9</v>
      </c>
      <c r="N44" s="77">
        <f t="shared" si="12"/>
        <v>220418</v>
      </c>
      <c r="O44" s="78">
        <f t="shared" si="13"/>
        <v>166977</v>
      </c>
      <c r="P44" s="78">
        <f t="shared" si="14"/>
        <v>409819</v>
      </c>
      <c r="Q44" s="77">
        <f t="shared" si="15"/>
        <v>2037409</v>
      </c>
      <c r="R44" s="77">
        <f t="shared" si="15"/>
        <v>936834</v>
      </c>
      <c r="S44" s="77">
        <f t="shared" si="15"/>
        <v>3072642</v>
      </c>
      <c r="T44" s="82">
        <f>N44/'2015'!M44-1</f>
        <v>-0.57520428615479502</v>
      </c>
      <c r="U44" s="82">
        <f>O44/'2015'!N44-1</f>
        <v>-7.3461845785057878E-2</v>
      </c>
      <c r="V44" s="82">
        <f>P44/'2015'!O44-1</f>
        <v>-0.42318010359193781</v>
      </c>
      <c r="W44" s="82">
        <f>Q44/'2015'!P44-1</f>
        <v>-0.22465911067186906</v>
      </c>
      <c r="X44" s="82">
        <f>R44/'2015'!Q44-1</f>
        <v>0.12272195064660818</v>
      </c>
      <c r="Y44" s="82">
        <f>S44/'2015'!R44-1</f>
        <v>-0.12338139748658172</v>
      </c>
      <c r="Z44" s="49">
        <f>Z$35+0.302*9</f>
        <v>22.169499999999999</v>
      </c>
      <c r="AA44" s="49">
        <f t="shared" si="6"/>
        <v>181.57140000000001</v>
      </c>
      <c r="AB44" s="33">
        <v>4230.1000000000004</v>
      </c>
      <c r="AC44" s="33">
        <f>AA44*10000/AB44</f>
        <v>429.23666107184226</v>
      </c>
      <c r="AD44" s="32">
        <f t="shared" si="7"/>
        <v>2135808</v>
      </c>
      <c r="AE44" s="33">
        <f t="shared" si="9"/>
        <v>65671.899999999994</v>
      </c>
      <c r="AF44" s="33">
        <f t="shared" si="9"/>
        <v>30040</v>
      </c>
      <c r="AG44" s="33">
        <f t="shared" si="8"/>
        <v>2687.1000000000058</v>
      </c>
    </row>
    <row r="45" spans="1:33" ht="15" customHeight="1" x14ac:dyDescent="0.15">
      <c r="A45" s="13">
        <v>42410</v>
      </c>
      <c r="B45" s="20" t="s">
        <v>36</v>
      </c>
      <c r="C45" s="8">
        <v>16970</v>
      </c>
      <c r="D45" s="37">
        <f>7282+4862</f>
        <v>12144</v>
      </c>
      <c r="E45" s="37">
        <v>30218</v>
      </c>
      <c r="F45" s="8">
        <v>1597.8</v>
      </c>
      <c r="G45" s="37">
        <v>1020</v>
      </c>
      <c r="H45" s="24"/>
      <c r="I45" s="36"/>
      <c r="J45" s="8">
        <f t="shared" si="0"/>
        <v>18074</v>
      </c>
      <c r="K45" s="37">
        <f t="shared" si="1"/>
        <v>395.1</v>
      </c>
      <c r="L45" s="37">
        <v>480</v>
      </c>
      <c r="M45" s="37">
        <f t="shared" si="11"/>
        <v>228.9</v>
      </c>
      <c r="N45" s="74">
        <f t="shared" si="12"/>
        <v>237388</v>
      </c>
      <c r="O45" s="75">
        <f t="shared" si="13"/>
        <v>179121</v>
      </c>
      <c r="P45" s="75">
        <f t="shared" si="14"/>
        <v>440037</v>
      </c>
      <c r="Q45" s="76">
        <f t="shared" si="15"/>
        <v>2054379</v>
      </c>
      <c r="R45" s="76">
        <f t="shared" si="15"/>
        <v>948978</v>
      </c>
      <c r="S45" s="76">
        <f t="shared" si="15"/>
        <v>3102860</v>
      </c>
      <c r="T45" s="80">
        <f>N45/'2015'!M45-1</f>
        <v>-0.57501521715779291</v>
      </c>
      <c r="U45" s="80">
        <f>O45/'2015'!N45-1</f>
        <v>-0.11113261477996783</v>
      </c>
      <c r="V45" s="80">
        <f>P45/'2015'!O45-1</f>
        <v>-0.43035806752278372</v>
      </c>
      <c r="W45" s="81">
        <f>Q45/'2015'!P45-1</f>
        <v>-0.22983670976761028</v>
      </c>
      <c r="X45" s="81">
        <f>R45/'2015'!Q45-1</f>
        <v>0.10896765455499446</v>
      </c>
      <c r="Y45" s="81">
        <f>S45/'2015'!R45-1</f>
        <v>-0.13014664264346432</v>
      </c>
      <c r="Z45" s="50">
        <v>22.470500000000001</v>
      </c>
      <c r="AA45" s="97">
        <f t="shared" si="6"/>
        <v>182.9674</v>
      </c>
      <c r="AB45" s="105">
        <v>4230.1000000000004</v>
      </c>
      <c r="AC45" s="105">
        <f>AA45*10000/AB45</f>
        <v>432.5368194605328</v>
      </c>
      <c r="AD45" s="8">
        <f t="shared" si="7"/>
        <v>2153882</v>
      </c>
      <c r="AE45" s="37">
        <v>66219</v>
      </c>
      <c r="AF45" s="37">
        <v>30368</v>
      </c>
      <c r="AG45" s="37">
        <f t="shared" si="8"/>
        <v>2916</v>
      </c>
    </row>
    <row r="46" spans="1:33" ht="15" customHeight="1" x14ac:dyDescent="0.15">
      <c r="A46" s="13">
        <v>42411</v>
      </c>
      <c r="B46" s="20" t="s">
        <v>37</v>
      </c>
      <c r="C46" s="70">
        <v>16326</v>
      </c>
      <c r="D46" s="71">
        <f>8162+4843</f>
        <v>13005</v>
      </c>
      <c r="E46" s="71">
        <v>30221</v>
      </c>
      <c r="F46" s="70">
        <v>1580</v>
      </c>
      <c r="G46" s="71">
        <v>1000.5</v>
      </c>
      <c r="H46" s="24"/>
      <c r="I46" s="24"/>
      <c r="J46" s="70">
        <f t="shared" si="0"/>
        <v>17216</v>
      </c>
      <c r="K46" s="71">
        <f t="shared" si="1"/>
        <v>316.72727272727275</v>
      </c>
      <c r="L46" s="71">
        <v>480</v>
      </c>
      <c r="M46" s="71">
        <f>(AG$56-AG$45)/11</f>
        <v>93.272727272727266</v>
      </c>
      <c r="N46" s="74">
        <f t="shared" si="12"/>
        <v>253714</v>
      </c>
      <c r="O46" s="75">
        <f t="shared" si="13"/>
        <v>192126</v>
      </c>
      <c r="P46" s="75">
        <f t="shared" si="14"/>
        <v>470258</v>
      </c>
      <c r="Q46" s="76">
        <f t="shared" si="15"/>
        <v>2070705</v>
      </c>
      <c r="R46" s="76">
        <f t="shared" si="15"/>
        <v>961983</v>
      </c>
      <c r="S46" s="76">
        <f t="shared" si="15"/>
        <v>3133081</v>
      </c>
      <c r="T46" s="80">
        <f>N46/'2015'!M46-1</f>
        <v>-0.57213734021383522</v>
      </c>
      <c r="U46" s="80">
        <f>O46/'2015'!N46-1</f>
        <v>-0.13579769337339642</v>
      </c>
      <c r="V46" s="80">
        <f>P46/'2015'!O46-1</f>
        <v>-0.43279538765860959</v>
      </c>
      <c r="W46" s="81">
        <f>Q46/'2015'!P46-1</f>
        <v>-0.23359990288168253</v>
      </c>
      <c r="X46" s="81">
        <f>R46/'2015'!Q46-1</f>
        <v>9.7488850936247484E-2</v>
      </c>
      <c r="Y46" s="81">
        <f>S46/'2015'!R46-1</f>
        <v>-0.13539339687231888</v>
      </c>
      <c r="Z46" s="97">
        <f>Z$45+0.245*1</f>
        <v>22.715500000000002</v>
      </c>
      <c r="AA46" s="97">
        <f t="shared" si="6"/>
        <v>184.35500000000002</v>
      </c>
      <c r="AB46" s="106">
        <v>4230.1000000000004</v>
      </c>
      <c r="AC46" s="105">
        <f>AA46*10000/AB46</f>
        <v>435.8171201626439</v>
      </c>
      <c r="AD46" s="70">
        <f t="shared" si="7"/>
        <v>2171098</v>
      </c>
      <c r="AE46" s="71">
        <f t="shared" si="9"/>
        <v>66535.727272727279</v>
      </c>
      <c r="AF46" s="71">
        <f t="shared" si="9"/>
        <v>30848</v>
      </c>
      <c r="AG46" s="71">
        <f t="shared" si="8"/>
        <v>3009.2727272727207</v>
      </c>
    </row>
    <row r="47" spans="1:33" ht="15" customHeight="1" x14ac:dyDescent="0.15">
      <c r="A47" s="13">
        <v>42412</v>
      </c>
      <c r="B47" s="20" t="s">
        <v>38</v>
      </c>
      <c r="C47" s="8">
        <v>15872</v>
      </c>
      <c r="D47" s="37">
        <f>8082+5325</f>
        <v>13407</v>
      </c>
      <c r="E47" s="37">
        <v>30242</v>
      </c>
      <c r="F47" s="8">
        <v>1569.5</v>
      </c>
      <c r="G47" s="37">
        <v>1010.3</v>
      </c>
      <c r="H47" s="24"/>
      <c r="I47" s="36"/>
      <c r="J47" s="8">
        <f t="shared" si="0"/>
        <v>16835</v>
      </c>
      <c r="K47" s="37">
        <f t="shared" si="1"/>
        <v>389.72727272727275</v>
      </c>
      <c r="L47" s="37">
        <v>480</v>
      </c>
      <c r="M47" s="37">
        <f t="shared" ref="M47:M56" si="16">(AG$56-AG$45)/11</f>
        <v>93.272727272727266</v>
      </c>
      <c r="N47" s="74">
        <f t="shared" si="12"/>
        <v>269586</v>
      </c>
      <c r="O47" s="75">
        <f t="shared" si="13"/>
        <v>205533</v>
      </c>
      <c r="P47" s="75">
        <f t="shared" si="14"/>
        <v>500500</v>
      </c>
      <c r="Q47" s="76">
        <f t="shared" si="15"/>
        <v>2086577</v>
      </c>
      <c r="R47" s="76">
        <f t="shared" si="15"/>
        <v>975390</v>
      </c>
      <c r="S47" s="76">
        <f t="shared" si="15"/>
        <v>3163323</v>
      </c>
      <c r="T47" s="80">
        <f>N47/'2015'!M47-1</f>
        <v>-0.56607970641256755</v>
      </c>
      <c r="U47" s="80">
        <f>O47/'2015'!N47-1</f>
        <v>-0.15528366404182214</v>
      </c>
      <c r="V47" s="80">
        <f>P47/'2015'!O47-1</f>
        <v>-0.43091372174466736</v>
      </c>
      <c r="W47" s="81">
        <f>Q47/'2015'!P47-1</f>
        <v>-0.23573059298011578</v>
      </c>
      <c r="X47" s="81">
        <f>R47/'2015'!Q47-1</f>
        <v>8.6747978621351196E-2</v>
      </c>
      <c r="Y47" s="81">
        <f>S47/'2015'!R47-1</f>
        <v>-0.13902262508957963</v>
      </c>
      <c r="Z47" s="50">
        <f>Z$45+0.245*2</f>
        <v>22.9605</v>
      </c>
      <c r="AA47" s="97">
        <f t="shared" si="6"/>
        <v>185.69720000000001</v>
      </c>
      <c r="AB47" s="105"/>
      <c r="AC47" s="105"/>
      <c r="AD47" s="8">
        <f t="shared" si="7"/>
        <v>2187933</v>
      </c>
      <c r="AE47" s="37">
        <f t="shared" si="9"/>
        <v>66925.454545454559</v>
      </c>
      <c r="AF47" s="37">
        <f t="shared" si="9"/>
        <v>31328</v>
      </c>
      <c r="AG47" s="37">
        <f t="shared" si="8"/>
        <v>3102.5454545454413</v>
      </c>
    </row>
    <row r="48" spans="1:33" ht="15" customHeight="1" x14ac:dyDescent="0.15">
      <c r="A48" s="13">
        <v>42413</v>
      </c>
      <c r="B48" s="20" t="s">
        <v>39</v>
      </c>
      <c r="C48" s="8">
        <v>15982</v>
      </c>
      <c r="D48" s="37">
        <f>7791+6072</f>
        <v>13863</v>
      </c>
      <c r="E48" s="37">
        <v>30591</v>
      </c>
      <c r="F48" s="8">
        <v>1561.2</v>
      </c>
      <c r="G48" s="37">
        <v>963.9</v>
      </c>
      <c r="H48" s="24"/>
      <c r="I48" s="36"/>
      <c r="J48" s="8">
        <f t="shared" si="0"/>
        <v>16728</v>
      </c>
      <c r="K48" s="37">
        <f t="shared" si="1"/>
        <v>172.72727272727275</v>
      </c>
      <c r="L48" s="37">
        <v>480</v>
      </c>
      <c r="M48" s="37">
        <f t="shared" si="16"/>
        <v>93.272727272727266</v>
      </c>
      <c r="N48" s="74">
        <f t="shared" si="12"/>
        <v>285568</v>
      </c>
      <c r="O48" s="75">
        <f t="shared" si="13"/>
        <v>219396</v>
      </c>
      <c r="P48" s="75">
        <f t="shared" si="14"/>
        <v>531091</v>
      </c>
      <c r="Q48" s="76">
        <f t="shared" si="15"/>
        <v>2102559</v>
      </c>
      <c r="R48" s="76">
        <f t="shared" si="15"/>
        <v>989253</v>
      </c>
      <c r="S48" s="76">
        <f t="shared" si="15"/>
        <v>3193914</v>
      </c>
      <c r="T48" s="80">
        <f>N48/'2015'!M48-1</f>
        <v>-0.55779367586484563</v>
      </c>
      <c r="U48" s="80">
        <f>O48/'2015'!N48-1</f>
        <v>-0.16837492798010734</v>
      </c>
      <c r="V48" s="80">
        <f>P48/'2015'!O48-1</f>
        <v>-0.4265790667040964</v>
      </c>
      <c r="W48" s="81">
        <f>Q48/'2015'!P48-1</f>
        <v>-0.23672621547712436</v>
      </c>
      <c r="X48" s="81">
        <f>R48/'2015'!Q48-1</f>
        <v>7.7581258149234555E-2</v>
      </c>
      <c r="Y48" s="81">
        <f>S48/'2015'!R48-1</f>
        <v>-0.14160718360291191</v>
      </c>
      <c r="Z48" s="50">
        <f>Z$45+0.245*3</f>
        <v>23.205500000000001</v>
      </c>
      <c r="AA48" s="97">
        <f t="shared" si="6"/>
        <v>187.0504</v>
      </c>
      <c r="AB48" s="105"/>
      <c r="AC48" s="105"/>
      <c r="AD48" s="8">
        <f t="shared" si="7"/>
        <v>2204661</v>
      </c>
      <c r="AE48" s="37">
        <f t="shared" si="9"/>
        <v>67098.181818181838</v>
      </c>
      <c r="AF48" s="37">
        <f t="shared" si="9"/>
        <v>31808</v>
      </c>
      <c r="AG48" s="37">
        <f t="shared" si="8"/>
        <v>3195.818181818162</v>
      </c>
    </row>
    <row r="49" spans="1:33" ht="15" customHeight="1" x14ac:dyDescent="0.15">
      <c r="A49" s="102">
        <v>42414</v>
      </c>
      <c r="B49" s="20" t="s">
        <v>1</v>
      </c>
      <c r="C49" s="8">
        <v>19554</v>
      </c>
      <c r="D49" s="37">
        <v>15582</v>
      </c>
      <c r="E49" s="37">
        <v>37094</v>
      </c>
      <c r="F49" s="8">
        <v>1961.4</v>
      </c>
      <c r="G49" s="37">
        <v>1015.3</v>
      </c>
      <c r="H49" s="24">
        <v>872.1</v>
      </c>
      <c r="I49" s="36">
        <v>424.4</v>
      </c>
      <c r="J49" s="8">
        <f t="shared" si="0"/>
        <v>21512</v>
      </c>
      <c r="K49" s="37">
        <f t="shared" si="1"/>
        <v>1384.7272727272727</v>
      </c>
      <c r="L49" s="37">
        <v>480</v>
      </c>
      <c r="M49" s="37">
        <f t="shared" si="16"/>
        <v>93.272727272727266</v>
      </c>
      <c r="N49" s="74">
        <f t="shared" si="12"/>
        <v>305122</v>
      </c>
      <c r="O49" s="75">
        <f t="shared" si="13"/>
        <v>234978</v>
      </c>
      <c r="P49" s="75">
        <f t="shared" si="14"/>
        <v>568185</v>
      </c>
      <c r="Q49" s="76">
        <f t="shared" si="15"/>
        <v>2122113</v>
      </c>
      <c r="R49" s="76">
        <f t="shared" si="15"/>
        <v>1004835</v>
      </c>
      <c r="S49" s="76">
        <f t="shared" si="15"/>
        <v>3231008</v>
      </c>
      <c r="T49" s="80">
        <f>N49/'2015'!M49-1</f>
        <v>-0.54376327043272821</v>
      </c>
      <c r="U49" s="80">
        <f>O49/'2015'!N49-1</f>
        <v>-0.15964036392767222</v>
      </c>
      <c r="V49" s="80">
        <f>P49/'2015'!O49-1</f>
        <v>-0.41196956070420621</v>
      </c>
      <c r="W49" s="81">
        <f>Q49/'2015'!P49-1</f>
        <v>-0.23600665164442436</v>
      </c>
      <c r="X49" s="81">
        <f>R49/'2015'!Q49-1</f>
        <v>7.6035171246189082E-2</v>
      </c>
      <c r="Y49" s="81">
        <f>S49/'2015'!R49-1</f>
        <v>-0.14088997303289286</v>
      </c>
      <c r="Z49" s="50">
        <f>Z$45+0.245*4</f>
        <v>23.450500000000002</v>
      </c>
      <c r="AA49" s="97">
        <f t="shared" si="6"/>
        <v>188.76079999999999</v>
      </c>
      <c r="AB49" s="105"/>
      <c r="AC49" s="105"/>
      <c r="AD49" s="8">
        <f t="shared" si="7"/>
        <v>2226173</v>
      </c>
      <c r="AE49" s="37">
        <f t="shared" si="9"/>
        <v>68482.909090909117</v>
      </c>
      <c r="AF49" s="37">
        <f t="shared" si="9"/>
        <v>32288</v>
      </c>
      <c r="AG49" s="37">
        <f t="shared" si="8"/>
        <v>3289.0909090908826</v>
      </c>
    </row>
    <row r="50" spans="1:33" ht="15" customHeight="1" x14ac:dyDescent="0.15">
      <c r="A50" s="102">
        <v>42415</v>
      </c>
      <c r="B50" s="20" t="s">
        <v>34</v>
      </c>
      <c r="C50" s="8">
        <v>21821</v>
      </c>
      <c r="D50" s="37">
        <v>19484</v>
      </c>
      <c r="E50" s="37">
        <v>42985</v>
      </c>
      <c r="F50" s="8">
        <v>2238</v>
      </c>
      <c r="G50" s="37">
        <v>1233</v>
      </c>
      <c r="H50" s="24"/>
      <c r="I50" s="36"/>
      <c r="J50" s="8">
        <f t="shared" si="0"/>
        <v>23501</v>
      </c>
      <c r="K50" s="37">
        <f t="shared" si="1"/>
        <v>1106.7272727272727</v>
      </c>
      <c r="L50" s="37">
        <v>480</v>
      </c>
      <c r="M50" s="37">
        <f t="shared" si="16"/>
        <v>93.272727272727266</v>
      </c>
      <c r="N50" s="74">
        <f t="shared" si="12"/>
        <v>326943</v>
      </c>
      <c r="O50" s="75">
        <f t="shared" si="13"/>
        <v>254462</v>
      </c>
      <c r="P50" s="75">
        <f t="shared" si="14"/>
        <v>611170</v>
      </c>
      <c r="Q50" s="76">
        <f t="shared" si="15"/>
        <v>2143934</v>
      </c>
      <c r="R50" s="76">
        <f t="shared" si="15"/>
        <v>1024319</v>
      </c>
      <c r="S50" s="76">
        <f t="shared" si="15"/>
        <v>3273993</v>
      </c>
      <c r="T50" s="80">
        <f>N50/'2015'!M50-1</f>
        <v>-0.52414407412420694</v>
      </c>
      <c r="U50" s="80">
        <f>O50/'2015'!N50-1</f>
        <v>-0.14732531799965154</v>
      </c>
      <c r="V50" s="80">
        <f>P50/'2015'!O50-1</f>
        <v>-0.39149949172978149</v>
      </c>
      <c r="W50" s="81">
        <f>Q50/'2015'!P50-1</f>
        <v>-0.23319797048722757</v>
      </c>
      <c r="X50" s="81">
        <f>R50/'2015'!Q50-1</f>
        <v>7.5239097962195745E-2</v>
      </c>
      <c r="Y50" s="81">
        <f>S50/'2015'!R50-1</f>
        <v>-0.13819928012900184</v>
      </c>
      <c r="Z50" s="50">
        <f>Z$45+0.245*5</f>
        <v>23.695500000000003</v>
      </c>
      <c r="AA50" s="97">
        <f t="shared" si="6"/>
        <v>190.6979</v>
      </c>
      <c r="AB50" s="105"/>
      <c r="AC50" s="105"/>
      <c r="AD50" s="8">
        <f t="shared" si="7"/>
        <v>2249674</v>
      </c>
      <c r="AE50" s="37">
        <f t="shared" si="9"/>
        <v>69589.636363636397</v>
      </c>
      <c r="AF50" s="37">
        <f t="shared" si="9"/>
        <v>32768</v>
      </c>
      <c r="AG50" s="37">
        <f t="shared" si="8"/>
        <v>3382.3636363636033</v>
      </c>
    </row>
    <row r="51" spans="1:33" ht="15" customHeight="1" x14ac:dyDescent="0.15">
      <c r="A51" s="102">
        <v>42416</v>
      </c>
      <c r="B51" s="14" t="s">
        <v>35</v>
      </c>
      <c r="C51" s="32">
        <v>24634</v>
      </c>
      <c r="D51" s="33">
        <v>21790</v>
      </c>
      <c r="E51" s="33">
        <v>47067</v>
      </c>
      <c r="F51" s="32">
        <v>2356</v>
      </c>
      <c r="G51" s="33">
        <v>1429</v>
      </c>
      <c r="H51" s="19"/>
      <c r="I51" s="19"/>
      <c r="J51" s="32">
        <f t="shared" si="0"/>
        <v>25277</v>
      </c>
      <c r="K51" s="33">
        <f t="shared" si="1"/>
        <v>69.727272727272748</v>
      </c>
      <c r="L51" s="33">
        <v>480</v>
      </c>
      <c r="M51" s="33">
        <f t="shared" si="16"/>
        <v>93.272727272727266</v>
      </c>
      <c r="N51" s="77">
        <f t="shared" si="12"/>
        <v>351577</v>
      </c>
      <c r="O51" s="78">
        <f t="shared" si="13"/>
        <v>276252</v>
      </c>
      <c r="P51" s="78">
        <f t="shared" si="14"/>
        <v>658237</v>
      </c>
      <c r="Q51" s="77">
        <f t="shared" si="15"/>
        <v>2168568</v>
      </c>
      <c r="R51" s="77">
        <f t="shared" si="15"/>
        <v>1046109</v>
      </c>
      <c r="S51" s="77">
        <f t="shared" si="15"/>
        <v>3321060</v>
      </c>
      <c r="T51" s="82">
        <f>N51/'2015'!M51-1</f>
        <v>-0.50032901422222609</v>
      </c>
      <c r="U51" s="82">
        <f>O51/'2015'!N51-1</f>
        <v>-0.12558834421658027</v>
      </c>
      <c r="V51" s="82">
        <f>P51/'2015'!O51-1</f>
        <v>-0.3666395003449513</v>
      </c>
      <c r="W51" s="82">
        <f>Q51/'2015'!P51-1</f>
        <v>-0.22895250339911599</v>
      </c>
      <c r="X51" s="82">
        <f>R51/'2015'!Q51-1</f>
        <v>7.8302808655209999E-2</v>
      </c>
      <c r="Y51" s="82">
        <f>S51/'2015'!R51-1</f>
        <v>-0.13376547769584213</v>
      </c>
      <c r="Z51" s="49">
        <f>Z$45+0.245*6</f>
        <v>23.9405</v>
      </c>
      <c r="AA51" s="49">
        <f t="shared" si="6"/>
        <v>192.91629999999998</v>
      </c>
      <c r="AB51" s="33">
        <v>4230.1000000000004</v>
      </c>
      <c r="AC51" s="33">
        <f>AA51*10000/AB51</f>
        <v>456.05612160469008</v>
      </c>
      <c r="AD51" s="32">
        <f t="shared" si="7"/>
        <v>2274951</v>
      </c>
      <c r="AE51" s="33">
        <f t="shared" si="9"/>
        <v>69659.363636363676</v>
      </c>
      <c r="AF51" s="33">
        <f t="shared" si="9"/>
        <v>33248</v>
      </c>
      <c r="AG51" s="33">
        <f t="shared" si="8"/>
        <v>3475.6363636363239</v>
      </c>
    </row>
    <row r="52" spans="1:33" ht="15" customHeight="1" x14ac:dyDescent="0.15">
      <c r="A52" s="102">
        <v>42417</v>
      </c>
      <c r="B52" s="20" t="s">
        <v>36</v>
      </c>
      <c r="C52" s="8">
        <v>27812</v>
      </c>
      <c r="D52" s="37">
        <v>20674</v>
      </c>
      <c r="E52" s="37">
        <v>50683</v>
      </c>
      <c r="F52" s="8">
        <v>2497</v>
      </c>
      <c r="G52" s="37">
        <v>1522</v>
      </c>
      <c r="H52" s="24"/>
      <c r="I52" s="36"/>
      <c r="J52" s="8">
        <f t="shared" si="0"/>
        <v>30009</v>
      </c>
      <c r="K52" s="37">
        <f t="shared" si="1"/>
        <v>1309.7272727272725</v>
      </c>
      <c r="L52" s="37">
        <v>794</v>
      </c>
      <c r="M52" s="37">
        <f t="shared" si="16"/>
        <v>93.272727272727266</v>
      </c>
      <c r="N52" s="74">
        <f t="shared" si="12"/>
        <v>379389</v>
      </c>
      <c r="O52" s="75">
        <f t="shared" si="13"/>
        <v>296926</v>
      </c>
      <c r="P52" s="75">
        <f t="shared" si="14"/>
        <v>708920</v>
      </c>
      <c r="Q52" s="76">
        <f t="shared" si="15"/>
        <v>2196380</v>
      </c>
      <c r="R52" s="76">
        <f t="shared" si="15"/>
        <v>1066783</v>
      </c>
      <c r="S52" s="76">
        <f t="shared" si="15"/>
        <v>3371743</v>
      </c>
      <c r="T52" s="80">
        <f>N52/'2015'!M52-1</f>
        <v>-0.4738972530649771</v>
      </c>
      <c r="U52" s="80">
        <f>O52/'2015'!N52-1</f>
        <v>-0.104122666216102</v>
      </c>
      <c r="V52" s="80">
        <f>P52/'2015'!O52-1</f>
        <v>-0.33949132297394746</v>
      </c>
      <c r="W52" s="81">
        <f>Q52/'2015'!P52-1</f>
        <v>-0.22389673534722487</v>
      </c>
      <c r="X52" s="81">
        <f>R52/'2015'!Q52-1</f>
        <v>8.2313110827260338E-2</v>
      </c>
      <c r="Y52" s="81">
        <f>S52/'2015'!R52-1</f>
        <v>-0.12828028287030679</v>
      </c>
      <c r="Z52" s="50">
        <f>Z$45+0.245*7</f>
        <v>24.185500000000001</v>
      </c>
      <c r="AA52" s="97">
        <f t="shared" si="6"/>
        <v>195.45250000000001</v>
      </c>
      <c r="AB52" s="105"/>
      <c r="AC52" s="105"/>
      <c r="AD52" s="8">
        <f t="shared" si="7"/>
        <v>2304960</v>
      </c>
      <c r="AE52" s="37">
        <f t="shared" si="9"/>
        <v>70969.090909090955</v>
      </c>
      <c r="AF52" s="37">
        <f t="shared" si="9"/>
        <v>34042</v>
      </c>
      <c r="AG52" s="37">
        <f t="shared" si="8"/>
        <v>3568.9090909090446</v>
      </c>
    </row>
    <row r="53" spans="1:33" ht="15" customHeight="1" x14ac:dyDescent="0.15">
      <c r="A53" s="102">
        <v>42418</v>
      </c>
      <c r="B53" s="20" t="s">
        <v>37</v>
      </c>
      <c r="C53" s="70">
        <v>30325</v>
      </c>
      <c r="D53" s="71">
        <v>20819</v>
      </c>
      <c r="E53" s="71">
        <v>52993</v>
      </c>
      <c r="F53" s="70">
        <v>2691</v>
      </c>
      <c r="G53" s="71">
        <v>1610</v>
      </c>
      <c r="H53" s="24"/>
      <c r="I53" s="24"/>
      <c r="J53" s="70">
        <f t="shared" si="0"/>
        <v>32174</v>
      </c>
      <c r="K53" s="71">
        <f t="shared" si="1"/>
        <v>964.72727272727275</v>
      </c>
      <c r="L53" s="71">
        <v>791</v>
      </c>
      <c r="M53" s="71">
        <f t="shared" si="16"/>
        <v>93.272727272727266</v>
      </c>
      <c r="N53" s="74">
        <f t="shared" si="12"/>
        <v>409714</v>
      </c>
      <c r="O53" s="75">
        <f t="shared" si="13"/>
        <v>317745</v>
      </c>
      <c r="P53" s="75">
        <f t="shared" si="14"/>
        <v>761913</v>
      </c>
      <c r="Q53" s="76">
        <f t="shared" si="15"/>
        <v>2226705</v>
      </c>
      <c r="R53" s="76">
        <f t="shared" si="15"/>
        <v>1087602</v>
      </c>
      <c r="S53" s="76">
        <f t="shared" si="15"/>
        <v>3424736</v>
      </c>
      <c r="T53" s="80">
        <f>N53/'2015'!M53-1</f>
        <v>-0.44734364419696937</v>
      </c>
      <c r="U53" s="80">
        <f>O53/'2015'!N53-1</f>
        <v>-7.6097070214819929E-2</v>
      </c>
      <c r="V53" s="80">
        <f>P53/'2015'!O53-1</f>
        <v>-0.3115289597478571</v>
      </c>
      <c r="W53" s="81">
        <f>Q53/'2015'!P53-1</f>
        <v>-0.21876386948014426</v>
      </c>
      <c r="X53" s="81">
        <f>R53/'2015'!Q53-1</f>
        <v>8.9638534420832583E-2</v>
      </c>
      <c r="Y53" s="81">
        <f>S53/'2015'!R53-1</f>
        <v>-0.12215540405623659</v>
      </c>
      <c r="Z53" s="97">
        <f>Z$45+0.245*8</f>
        <v>24.430500000000002</v>
      </c>
      <c r="AA53" s="97">
        <f t="shared" si="6"/>
        <v>198.24</v>
      </c>
      <c r="AB53" s="106">
        <v>4230.1000000000004</v>
      </c>
      <c r="AC53" s="105">
        <f>AA53*10000/AB53</f>
        <v>468.64140327651825</v>
      </c>
      <c r="AD53" s="70">
        <f t="shared" si="7"/>
        <v>2337134</v>
      </c>
      <c r="AE53" s="71">
        <f t="shared" si="9"/>
        <v>71933.818181818235</v>
      </c>
      <c r="AF53" s="71">
        <f t="shared" si="9"/>
        <v>34833</v>
      </c>
      <c r="AG53" s="71">
        <f t="shared" si="8"/>
        <v>3662.1818181817653</v>
      </c>
    </row>
    <row r="54" spans="1:33" ht="15" customHeight="1" x14ac:dyDescent="0.15">
      <c r="A54" s="102">
        <v>42419</v>
      </c>
      <c r="B54" s="20" t="s">
        <v>38</v>
      </c>
      <c r="C54" s="8">
        <v>34396</v>
      </c>
      <c r="D54" s="37">
        <v>21340</v>
      </c>
      <c r="E54" s="37">
        <v>58461</v>
      </c>
      <c r="F54" s="8">
        <v>3021</v>
      </c>
      <c r="G54" s="37">
        <v>1696</v>
      </c>
      <c r="H54" s="24"/>
      <c r="I54" s="36"/>
      <c r="J54" s="8">
        <f t="shared" si="0"/>
        <v>37121</v>
      </c>
      <c r="K54" s="37">
        <f t="shared" si="1"/>
        <v>1840.7272727272725</v>
      </c>
      <c r="L54" s="37">
        <v>791</v>
      </c>
      <c r="M54" s="37">
        <f t="shared" si="16"/>
        <v>93.272727272727266</v>
      </c>
      <c r="N54" s="74">
        <f t="shared" si="12"/>
        <v>444110</v>
      </c>
      <c r="O54" s="75">
        <f t="shared" si="13"/>
        <v>339085</v>
      </c>
      <c r="P54" s="75">
        <f t="shared" si="14"/>
        <v>820374</v>
      </c>
      <c r="Q54" s="76">
        <f t="shared" si="15"/>
        <v>2261101</v>
      </c>
      <c r="R54" s="76">
        <f t="shared" si="15"/>
        <v>1108942</v>
      </c>
      <c r="S54" s="76">
        <f t="shared" si="15"/>
        <v>3483197</v>
      </c>
      <c r="T54" s="80">
        <f>N54/'2015'!M54-1</f>
        <v>-0.41457325183328964</v>
      </c>
      <c r="U54" s="80">
        <f>O54/'2015'!N54-1</f>
        <v>-4.9761519103692975E-2</v>
      </c>
      <c r="V54" s="80">
        <f>P54/'2015'!O54-1</f>
        <v>-0.27877940711045468</v>
      </c>
      <c r="W54" s="81">
        <f>Q54/'2015'!P54-1</f>
        <v>-0.21146976029193498</v>
      </c>
      <c r="X54" s="81">
        <f>R54/'2015'!Q54-1</f>
        <v>9.6814521832102374E-2</v>
      </c>
      <c r="Y54" s="81">
        <f>S54/'2015'!R54-1</f>
        <v>-0.1141652554215844</v>
      </c>
      <c r="Z54" s="50">
        <f>Z$45+0.245*9</f>
        <v>24.6755</v>
      </c>
      <c r="AA54" s="97">
        <f t="shared" si="6"/>
        <v>201.43459999999999</v>
      </c>
      <c r="AB54" s="105"/>
      <c r="AC54" s="105"/>
      <c r="AD54" s="8">
        <f t="shared" si="7"/>
        <v>2374255</v>
      </c>
      <c r="AE54" s="37">
        <f t="shared" si="9"/>
        <v>73774.545454545514</v>
      </c>
      <c r="AF54" s="37">
        <f t="shared" si="9"/>
        <v>35624</v>
      </c>
      <c r="AG54" s="37">
        <f t="shared" si="8"/>
        <v>3755.4545454544859</v>
      </c>
    </row>
    <row r="55" spans="1:33" ht="15" customHeight="1" x14ac:dyDescent="0.15">
      <c r="A55" s="102">
        <v>42420</v>
      </c>
      <c r="B55" s="20" t="s">
        <v>39</v>
      </c>
      <c r="C55" s="8">
        <v>33876</v>
      </c>
      <c r="D55" s="37">
        <v>22539</v>
      </c>
      <c r="E55" s="37">
        <v>59065</v>
      </c>
      <c r="F55" s="8">
        <v>2993</v>
      </c>
      <c r="G55" s="37">
        <v>1991</v>
      </c>
      <c r="H55" s="24"/>
      <c r="I55" s="36"/>
      <c r="J55" s="8">
        <f t="shared" si="0"/>
        <v>36526</v>
      </c>
      <c r="K55" s="37">
        <f t="shared" si="1"/>
        <v>1765.7272727272725</v>
      </c>
      <c r="L55" s="37">
        <v>791</v>
      </c>
      <c r="M55" s="37">
        <f t="shared" si="16"/>
        <v>93.272727272727266</v>
      </c>
      <c r="N55" s="74">
        <f t="shared" ref="N55" si="17">N54+C55</f>
        <v>477986</v>
      </c>
      <c r="O55" s="75">
        <f t="shared" ref="O55" si="18">O54+D55</f>
        <v>361624</v>
      </c>
      <c r="P55" s="75">
        <f t="shared" ref="P55" si="19">P54+E55</f>
        <v>879439</v>
      </c>
      <c r="Q55" s="76">
        <f t="shared" si="15"/>
        <v>2294977</v>
      </c>
      <c r="R55" s="76">
        <f t="shared" si="15"/>
        <v>1131481</v>
      </c>
      <c r="S55" s="76">
        <f t="shared" si="15"/>
        <v>3542262</v>
      </c>
      <c r="T55" s="80">
        <f>N55/'2015'!M55-1</f>
        <v>-0.38456368407363817</v>
      </c>
      <c r="U55" s="80">
        <f>O55/'2015'!N55-1</f>
        <v>-1.9633145912065664E-2</v>
      </c>
      <c r="V55" s="80">
        <f>P55/'2015'!O55-1</f>
        <v>-0.2474499662847891</v>
      </c>
      <c r="W55" s="81">
        <f>Q55/'2015'!P55-1</f>
        <v>-0.20466318101181025</v>
      </c>
      <c r="X55" s="81">
        <f>R55/'2015'!Q55-1</f>
        <v>0.10595446499348538</v>
      </c>
      <c r="Y55" s="81">
        <f>S55/'2015'!R55-1</f>
        <v>-0.10622044242095918</v>
      </c>
      <c r="Z55" s="50">
        <v>24.92</v>
      </c>
      <c r="AA55" s="97">
        <f t="shared" si="6"/>
        <v>204.57769999999999</v>
      </c>
      <c r="AB55" s="105">
        <v>4230.1000000000004</v>
      </c>
      <c r="AC55" s="105">
        <f>AA55*10000/AB55</f>
        <v>483.62379139973046</v>
      </c>
      <c r="AD55" s="8">
        <f t="shared" si="7"/>
        <v>2410781</v>
      </c>
      <c r="AE55" s="37">
        <f t="shared" si="9"/>
        <v>75540.272727272793</v>
      </c>
      <c r="AF55" s="37">
        <f t="shared" si="9"/>
        <v>36415</v>
      </c>
      <c r="AG55" s="37">
        <f t="shared" si="8"/>
        <v>3848.7272727272066</v>
      </c>
    </row>
    <row r="56" spans="1:33" ht="15" customHeight="1" x14ac:dyDescent="0.15">
      <c r="A56" s="102">
        <v>42421</v>
      </c>
      <c r="B56" s="20" t="s">
        <v>1</v>
      </c>
      <c r="C56" s="8">
        <v>36027</v>
      </c>
      <c r="D56" s="37">
        <v>22529</v>
      </c>
      <c r="E56" s="37">
        <v>61228</v>
      </c>
      <c r="F56" s="8">
        <v>3039</v>
      </c>
      <c r="G56" s="37">
        <v>1938</v>
      </c>
      <c r="H56" s="24"/>
      <c r="I56" s="36"/>
      <c r="J56" s="8">
        <f t="shared" si="0"/>
        <v>38699</v>
      </c>
      <c r="K56" s="37">
        <f t="shared" si="1"/>
        <v>1787.7272727272725</v>
      </c>
      <c r="L56" s="37">
        <v>791</v>
      </c>
      <c r="M56" s="37">
        <f t="shared" si="16"/>
        <v>93.272727272727266</v>
      </c>
      <c r="N56" s="74">
        <f t="shared" ref="N56:P63" si="20">N55+C56</f>
        <v>514013</v>
      </c>
      <c r="O56" s="75">
        <f t="shared" si="20"/>
        <v>384153</v>
      </c>
      <c r="P56" s="75">
        <f t="shared" si="20"/>
        <v>940667</v>
      </c>
      <c r="Q56" s="76">
        <f t="shared" si="15"/>
        <v>2331004</v>
      </c>
      <c r="R56" s="76">
        <f t="shared" si="15"/>
        <v>1154010</v>
      </c>
      <c r="S56" s="76">
        <f t="shared" si="15"/>
        <v>3603490</v>
      </c>
      <c r="T56" s="80">
        <f>N56/'2015'!M56-1</f>
        <v>-0.35347936280336334</v>
      </c>
      <c r="U56" s="80">
        <f>O56/'2015'!N56-1</f>
        <v>7.6752171278529069E-3</v>
      </c>
      <c r="V56" s="80">
        <f>P56/'2015'!O56-1</f>
        <v>-0.21641186177643423</v>
      </c>
      <c r="W56" s="81">
        <f>Q56/'2015'!P56-1</f>
        <v>-0.1972916646578905</v>
      </c>
      <c r="X56" s="81">
        <f>R56/'2015'!Q56-1</f>
        <v>0.11450955244233874</v>
      </c>
      <c r="Y56" s="81">
        <f>S56/'2015'!R56-1</f>
        <v>-9.8019868398393273E-2</v>
      </c>
      <c r="Z56" s="50">
        <f>Z$55+0.35*1</f>
        <v>25.270000000000003</v>
      </c>
      <c r="AA56" s="97">
        <f t="shared" si="6"/>
        <v>207.8304</v>
      </c>
      <c r="AB56" s="105"/>
      <c r="AC56" s="105"/>
      <c r="AD56" s="8">
        <f t="shared" si="7"/>
        <v>2449480</v>
      </c>
      <c r="AE56" s="37">
        <v>77440</v>
      </c>
      <c r="AF56" s="37">
        <v>37094</v>
      </c>
      <c r="AG56" s="37">
        <f t="shared" si="8"/>
        <v>3942</v>
      </c>
    </row>
    <row r="57" spans="1:33" ht="15" customHeight="1" x14ac:dyDescent="0.15">
      <c r="A57" s="102">
        <v>42422</v>
      </c>
      <c r="B57" s="20" t="s">
        <v>34</v>
      </c>
      <c r="C57" s="8">
        <v>41119</v>
      </c>
      <c r="D57" s="37">
        <v>22182</v>
      </c>
      <c r="E57" s="37">
        <v>66539</v>
      </c>
      <c r="F57" s="8">
        <v>3541</v>
      </c>
      <c r="G57" s="37">
        <v>1939</v>
      </c>
      <c r="H57" s="24"/>
      <c r="I57" s="36"/>
      <c r="J57" s="8">
        <f t="shared" si="0"/>
        <v>44357</v>
      </c>
      <c r="K57" s="37">
        <f t="shared" si="1"/>
        <v>2250.75</v>
      </c>
      <c r="L57" s="37">
        <v>791</v>
      </c>
      <c r="M57" s="37">
        <f>(AG$64-AG$56)/8</f>
        <v>196.25</v>
      </c>
      <c r="N57" s="74">
        <f t="shared" si="20"/>
        <v>555132</v>
      </c>
      <c r="O57" s="75">
        <f t="shared" si="20"/>
        <v>406335</v>
      </c>
      <c r="P57" s="75">
        <f t="shared" si="20"/>
        <v>1007206</v>
      </c>
      <c r="Q57" s="76">
        <f t="shared" si="15"/>
        <v>2372123</v>
      </c>
      <c r="R57" s="76">
        <f t="shared" si="15"/>
        <v>1176192</v>
      </c>
      <c r="S57" s="76">
        <f t="shared" si="15"/>
        <v>3670029</v>
      </c>
      <c r="T57" s="80">
        <f>N57/'2015'!M57-1</f>
        <v>-0.31823658074396477</v>
      </c>
      <c r="U57" s="80">
        <f>O57/'2015'!N57-1</f>
        <v>3.0640067976309693E-2</v>
      </c>
      <c r="V57" s="80">
        <f>P57/'2015'!O57-1</f>
        <v>-0.18337937201988352</v>
      </c>
      <c r="W57" s="81">
        <f>Q57/'2015'!P57-1</f>
        <v>-0.18850119289612743</v>
      </c>
      <c r="X57" s="81">
        <f>R57/'2015'!Q57-1</f>
        <v>0.12181750550802595</v>
      </c>
      <c r="Y57" s="81">
        <f>S57/'2015'!R57-1</f>
        <v>-8.8872917395934947E-2</v>
      </c>
      <c r="Z57" s="50">
        <f>Z$55+0.35*2</f>
        <v>25.62</v>
      </c>
      <c r="AA57" s="97">
        <f t="shared" si="6"/>
        <v>211.59229999999999</v>
      </c>
      <c r="AB57" s="105"/>
      <c r="AC57" s="105"/>
      <c r="AD57" s="8">
        <f t="shared" si="7"/>
        <v>2493837</v>
      </c>
      <c r="AE57" s="37">
        <f t="shared" si="9"/>
        <v>79690.75</v>
      </c>
      <c r="AF57" s="37">
        <f t="shared" si="9"/>
        <v>37885</v>
      </c>
      <c r="AG57" s="37">
        <f t="shared" si="8"/>
        <v>4138.25</v>
      </c>
    </row>
    <row r="58" spans="1:33" ht="15" customHeight="1" x14ac:dyDescent="0.15">
      <c r="A58" s="102">
        <v>42423</v>
      </c>
      <c r="B58" s="14" t="s">
        <v>35</v>
      </c>
      <c r="C58" s="32">
        <v>42603</v>
      </c>
      <c r="D58" s="33">
        <v>26215</v>
      </c>
      <c r="E58" s="33">
        <v>71713</v>
      </c>
      <c r="F58" s="32">
        <v>3771</v>
      </c>
      <c r="G58" s="33">
        <v>2019</v>
      </c>
      <c r="H58" s="19"/>
      <c r="I58" s="19"/>
      <c r="J58" s="32">
        <f t="shared" si="0"/>
        <v>45498</v>
      </c>
      <c r="K58" s="33">
        <f t="shared" si="1"/>
        <v>1907.75</v>
      </c>
      <c r="L58" s="33">
        <v>791</v>
      </c>
      <c r="M58" s="33">
        <f t="shared" ref="M58:M64" si="21">(AG$64-AG$56)/8</f>
        <v>196.25</v>
      </c>
      <c r="N58" s="77">
        <f t="shared" si="20"/>
        <v>597735</v>
      </c>
      <c r="O58" s="78">
        <f t="shared" si="20"/>
        <v>432550</v>
      </c>
      <c r="P58" s="78">
        <f t="shared" si="20"/>
        <v>1078919</v>
      </c>
      <c r="Q58" s="77">
        <f t="shared" si="15"/>
        <v>2414726</v>
      </c>
      <c r="R58" s="77">
        <f t="shared" si="15"/>
        <v>1202407</v>
      </c>
      <c r="S58" s="77">
        <f t="shared" si="15"/>
        <v>3741742</v>
      </c>
      <c r="T58" s="82">
        <f>N58/'2015'!M58-1</f>
        <v>-0.28246370513710062</v>
      </c>
      <c r="U58" s="82">
        <f>O58/'2015'!N58-1</f>
        <v>5.6381024949690328E-2</v>
      </c>
      <c r="V58" s="82">
        <f>P58/'2015'!O58-1</f>
        <v>-0.14919467083032689</v>
      </c>
      <c r="W58" s="82">
        <f>Q58/'2015'!P58-1</f>
        <v>-0.17919982106905119</v>
      </c>
      <c r="X58" s="82">
        <f>R58/'2015'!Q58-1</f>
        <v>0.13042280612854062</v>
      </c>
      <c r="Y58" s="82">
        <f>S58/'2015'!R58-1</f>
        <v>-7.9010678010072999E-2</v>
      </c>
      <c r="Z58" s="49">
        <f>Z$55+0.35*3</f>
        <v>25.970000000000002</v>
      </c>
      <c r="AA58" s="49">
        <f t="shared" si="6"/>
        <v>215.5026</v>
      </c>
      <c r="AB58" s="33">
        <v>4230.1000000000004</v>
      </c>
      <c r="AC58" s="33"/>
      <c r="AD58" s="32">
        <f t="shared" si="7"/>
        <v>2539335</v>
      </c>
      <c r="AE58" s="33">
        <f t="shared" si="9"/>
        <v>81598.5</v>
      </c>
      <c r="AF58" s="33">
        <f t="shared" si="9"/>
        <v>38676</v>
      </c>
      <c r="AG58" s="33">
        <f t="shared" si="8"/>
        <v>4334.5</v>
      </c>
    </row>
    <row r="59" spans="1:33" ht="15" customHeight="1" x14ac:dyDescent="0.15">
      <c r="A59" s="102">
        <v>42424</v>
      </c>
      <c r="B59" s="20" t="s">
        <v>36</v>
      </c>
      <c r="C59" s="8">
        <v>44643</v>
      </c>
      <c r="D59" s="37">
        <v>26806</v>
      </c>
      <c r="E59" s="37">
        <v>74589</v>
      </c>
      <c r="F59" s="8">
        <v>3891</v>
      </c>
      <c r="G59" s="37">
        <v>2248</v>
      </c>
      <c r="H59" s="24"/>
      <c r="I59" s="36"/>
      <c r="J59" s="8">
        <f t="shared" si="0"/>
        <v>47783</v>
      </c>
      <c r="K59" s="37">
        <f t="shared" si="1"/>
        <v>2152.75</v>
      </c>
      <c r="L59" s="37">
        <v>791</v>
      </c>
      <c r="M59" s="37">
        <f t="shared" si="21"/>
        <v>196.25</v>
      </c>
      <c r="N59" s="74">
        <f t="shared" si="20"/>
        <v>642378</v>
      </c>
      <c r="O59" s="75">
        <f t="shared" si="20"/>
        <v>459356</v>
      </c>
      <c r="P59" s="75">
        <f t="shared" si="20"/>
        <v>1153508</v>
      </c>
      <c r="Q59" s="76">
        <f t="shared" si="15"/>
        <v>2459369</v>
      </c>
      <c r="R59" s="76">
        <f t="shared" si="15"/>
        <v>1229213</v>
      </c>
      <c r="S59" s="76">
        <f t="shared" si="15"/>
        <v>3816331</v>
      </c>
      <c r="T59" s="80">
        <f>N59/'2015'!M59-1</f>
        <v>-0.24494960477211958</v>
      </c>
      <c r="U59" s="80">
        <f>O59/'2015'!N59-1</f>
        <v>7.6112878514569049E-2</v>
      </c>
      <c r="V59" s="80">
        <f>P59/'2015'!O59-1</f>
        <v>-0.11528720945036974</v>
      </c>
      <c r="W59" s="81">
        <f>Q59/'2015'!P59-1</f>
        <v>-0.16903496151915054</v>
      </c>
      <c r="X59" s="81">
        <f>R59/'2015'!Q59-1</f>
        <v>0.13702211027665823</v>
      </c>
      <c r="Y59" s="81">
        <f>S59/'2015'!R59-1</f>
        <v>-6.8835308186096733E-2</v>
      </c>
      <c r="Z59" s="50">
        <f>Z$55+0.35*4</f>
        <v>26.32</v>
      </c>
      <c r="AA59" s="97">
        <f t="shared" si="6"/>
        <v>219.61690000000002</v>
      </c>
      <c r="AB59" s="105"/>
      <c r="AC59" s="105"/>
      <c r="AD59" s="8">
        <f t="shared" si="7"/>
        <v>2587118</v>
      </c>
      <c r="AE59" s="37">
        <f t="shared" si="9"/>
        <v>83751.25</v>
      </c>
      <c r="AF59" s="37">
        <f t="shared" si="9"/>
        <v>39467</v>
      </c>
      <c r="AG59" s="37">
        <f t="shared" si="8"/>
        <v>4530.75</v>
      </c>
    </row>
    <row r="60" spans="1:33" ht="15" customHeight="1" x14ac:dyDescent="0.15">
      <c r="A60" s="102">
        <v>42425</v>
      </c>
      <c r="B60" s="20" t="s">
        <v>37</v>
      </c>
      <c r="C60" s="70">
        <v>47130</v>
      </c>
      <c r="D60" s="71">
        <v>26449</v>
      </c>
      <c r="E60" s="71">
        <v>76810</v>
      </c>
      <c r="F60" s="70">
        <v>3948</v>
      </c>
      <c r="G60" s="71">
        <v>2365</v>
      </c>
      <c r="H60" s="24"/>
      <c r="I60" s="24"/>
      <c r="J60" s="70">
        <f t="shared" si="0"/>
        <v>50361</v>
      </c>
      <c r="K60" s="71">
        <f t="shared" si="1"/>
        <v>2243.75</v>
      </c>
      <c r="L60" s="71">
        <v>791</v>
      </c>
      <c r="M60" s="71">
        <f t="shared" si="21"/>
        <v>196.25</v>
      </c>
      <c r="N60" s="74">
        <f t="shared" si="20"/>
        <v>689508</v>
      </c>
      <c r="O60" s="75">
        <f t="shared" si="20"/>
        <v>485805</v>
      </c>
      <c r="P60" s="75">
        <f t="shared" si="20"/>
        <v>1230318</v>
      </c>
      <c r="Q60" s="76">
        <f t="shared" si="15"/>
        <v>2506499</v>
      </c>
      <c r="R60" s="76">
        <f t="shared" si="15"/>
        <v>1255662</v>
      </c>
      <c r="S60" s="76">
        <f t="shared" si="15"/>
        <v>3893141</v>
      </c>
      <c r="T60" s="80">
        <f>N60/'2015'!M60-1</f>
        <v>-0.20774800819014749</v>
      </c>
      <c r="U60" s="80">
        <f>O60/'2015'!N60-1</f>
        <v>9.1466072335282034E-2</v>
      </c>
      <c r="V60" s="80">
        <f>P60/'2015'!O60-1</f>
        <v>-8.339610074672732E-2</v>
      </c>
      <c r="W60" s="81">
        <f>Q60/'2015'!P60-1</f>
        <v>-0.1586651150160463</v>
      </c>
      <c r="X60" s="81">
        <f>R60/'2015'!Q60-1</f>
        <v>0.14222843622675696</v>
      </c>
      <c r="Y60" s="81">
        <f>S60/'2015'!R60-1</f>
        <v>-5.8919466922446984E-2</v>
      </c>
      <c r="Z60" s="97">
        <f>Z$55+0.35*5</f>
        <v>26.67</v>
      </c>
      <c r="AA60" s="97">
        <f t="shared" si="6"/>
        <v>223.97989999999999</v>
      </c>
      <c r="AB60" s="106">
        <v>4230.1000000000004</v>
      </c>
      <c r="AC60" s="105">
        <f>AA60*10000/AB60</f>
        <v>529.49079217985388</v>
      </c>
      <c r="AD60" s="70">
        <f t="shared" si="7"/>
        <v>2637479</v>
      </c>
      <c r="AE60" s="71">
        <f t="shared" si="9"/>
        <v>85995</v>
      </c>
      <c r="AF60" s="71">
        <f t="shared" si="9"/>
        <v>40258</v>
      </c>
      <c r="AG60" s="71">
        <f t="shared" si="8"/>
        <v>4727</v>
      </c>
    </row>
    <row r="61" spans="1:33" ht="15" customHeight="1" x14ac:dyDescent="0.15">
      <c r="A61" s="102">
        <v>42426</v>
      </c>
      <c r="B61" s="20" t="s">
        <v>38</v>
      </c>
      <c r="C61" s="8">
        <v>48752</v>
      </c>
      <c r="D61" s="37">
        <v>26388</v>
      </c>
      <c r="E61" s="37">
        <v>78271</v>
      </c>
      <c r="F61" s="8">
        <v>4068.8</v>
      </c>
      <c r="G61" s="37">
        <v>2430</v>
      </c>
      <c r="H61" s="24"/>
      <c r="I61" s="36"/>
      <c r="J61" s="8">
        <f t="shared" si="0"/>
        <v>51883</v>
      </c>
      <c r="K61" s="37">
        <f t="shared" si="1"/>
        <v>2143.75</v>
      </c>
      <c r="L61" s="37">
        <v>791</v>
      </c>
      <c r="M61" s="37">
        <f t="shared" si="21"/>
        <v>196.25</v>
      </c>
      <c r="N61" s="74">
        <f t="shared" si="20"/>
        <v>738260</v>
      </c>
      <c r="O61" s="75">
        <f t="shared" si="20"/>
        <v>512193</v>
      </c>
      <c r="P61" s="75">
        <f t="shared" si="20"/>
        <v>1308589</v>
      </c>
      <c r="Q61" s="76">
        <f t="shared" si="15"/>
        <v>2555251</v>
      </c>
      <c r="R61" s="76">
        <f t="shared" si="15"/>
        <v>1282050</v>
      </c>
      <c r="S61" s="76">
        <f t="shared" si="15"/>
        <v>3971412</v>
      </c>
      <c r="T61" s="80">
        <f>N61/'2015'!M61-1</f>
        <v>-0.17017457289719518</v>
      </c>
      <c r="U61" s="80">
        <f>O61/'2015'!N61-1</f>
        <v>9.8765855845612816E-2</v>
      </c>
      <c r="V61" s="80">
        <f>P61/'2015'!O61-1</f>
        <v>-5.40113048262022E-2</v>
      </c>
      <c r="W61" s="81">
        <f>Q61/'2015'!P61-1</f>
        <v>-0.14783380956573478</v>
      </c>
      <c r="X61" s="81">
        <f>R61/'2015'!Q61-1</f>
        <v>0.14431151193179392</v>
      </c>
      <c r="Y61" s="81">
        <f>S61/'2015'!R61-1</f>
        <v>-4.9430698934639916E-2</v>
      </c>
      <c r="Z61" s="50">
        <f>Z$55+0.35*6</f>
        <v>27.020000000000003</v>
      </c>
      <c r="AA61" s="97">
        <f t="shared" si="6"/>
        <v>228.5051</v>
      </c>
      <c r="AB61" s="105"/>
      <c r="AC61" s="105"/>
      <c r="AD61" s="8">
        <f t="shared" si="7"/>
        <v>2689362</v>
      </c>
      <c r="AE61" s="37">
        <f t="shared" si="9"/>
        <v>88138.75</v>
      </c>
      <c r="AF61" s="37">
        <f t="shared" si="9"/>
        <v>41049</v>
      </c>
      <c r="AG61" s="37">
        <f t="shared" si="8"/>
        <v>4923.25</v>
      </c>
    </row>
    <row r="62" spans="1:33" ht="15" customHeight="1" x14ac:dyDescent="0.15">
      <c r="A62" s="102">
        <v>42427</v>
      </c>
      <c r="B62" s="20" t="s">
        <v>39</v>
      </c>
      <c r="C62" s="8">
        <v>46990</v>
      </c>
      <c r="D62" s="37">
        <v>27035</v>
      </c>
      <c r="E62" s="37">
        <v>76248</v>
      </c>
      <c r="F62" s="8">
        <v>3913</v>
      </c>
      <c r="G62" s="37">
        <v>2445.6</v>
      </c>
      <c r="H62" s="24"/>
      <c r="I62" s="36"/>
      <c r="J62" s="8">
        <f t="shared" si="0"/>
        <v>49213</v>
      </c>
      <c r="K62" s="37">
        <f t="shared" si="1"/>
        <v>1235.75</v>
      </c>
      <c r="L62" s="37">
        <v>791</v>
      </c>
      <c r="M62" s="37">
        <f t="shared" si="21"/>
        <v>196.25</v>
      </c>
      <c r="N62" s="74">
        <f t="shared" si="20"/>
        <v>785250</v>
      </c>
      <c r="O62" s="75">
        <f t="shared" si="20"/>
        <v>539228</v>
      </c>
      <c r="P62" s="75">
        <f t="shared" si="20"/>
        <v>1384837</v>
      </c>
      <c r="Q62" s="76">
        <f t="shared" si="15"/>
        <v>2602241</v>
      </c>
      <c r="R62" s="76">
        <f t="shared" si="15"/>
        <v>1309085</v>
      </c>
      <c r="S62" s="76">
        <f t="shared" si="15"/>
        <v>4047660</v>
      </c>
      <c r="T62" s="80">
        <f>N62/'2015'!M62-1</f>
        <v>-0.14053521589230011</v>
      </c>
      <c r="U62" s="80">
        <f>O62/'2015'!N62-1</f>
        <v>0.10428070865254857</v>
      </c>
      <c r="V62" s="80">
        <f>P62/'2015'!O62-1</f>
        <v>-3.1550687330282878E-2</v>
      </c>
      <c r="W62" s="81">
        <f>Q62/'2015'!P62-1</f>
        <v>-0.13905176757609272</v>
      </c>
      <c r="X62" s="81">
        <f>R62/'2015'!Q62-1</f>
        <v>0.14578537656167678</v>
      </c>
      <c r="Y62" s="81">
        <f>S62/'2015'!R62-1</f>
        <v>-4.1878719304640932E-2</v>
      </c>
      <c r="Z62" s="50">
        <f>Z$55+0.35*7</f>
        <v>27.37</v>
      </c>
      <c r="AA62" s="97">
        <f t="shared" si="6"/>
        <v>232.85410000000002</v>
      </c>
      <c r="AB62" s="105"/>
      <c r="AC62" s="105"/>
      <c r="AD62" s="8">
        <f t="shared" si="7"/>
        <v>2738575</v>
      </c>
      <c r="AE62" s="37">
        <f t="shared" si="9"/>
        <v>89374.5</v>
      </c>
      <c r="AF62" s="37">
        <f t="shared" si="9"/>
        <v>41840</v>
      </c>
      <c r="AG62" s="37">
        <f t="shared" si="8"/>
        <v>5119.5</v>
      </c>
    </row>
    <row r="63" spans="1:33" ht="15" customHeight="1" x14ac:dyDescent="0.15">
      <c r="A63" s="102">
        <v>42428</v>
      </c>
      <c r="B63" s="20" t="s">
        <v>1</v>
      </c>
      <c r="C63" s="8">
        <v>44749</v>
      </c>
      <c r="D63" s="37">
        <v>26769</v>
      </c>
      <c r="E63" s="37">
        <v>73315</v>
      </c>
      <c r="F63" s="8">
        <v>3694.8</v>
      </c>
      <c r="G63" s="37">
        <v>2462.1999999999998</v>
      </c>
      <c r="H63" s="24"/>
      <c r="I63" s="36"/>
      <c r="J63" s="8">
        <f t="shared" si="0"/>
        <v>46546</v>
      </c>
      <c r="K63" s="37">
        <f t="shared" si="1"/>
        <v>809.75</v>
      </c>
      <c r="L63" s="37">
        <v>791</v>
      </c>
      <c r="M63" s="37">
        <f t="shared" si="21"/>
        <v>196.25</v>
      </c>
      <c r="N63" s="74">
        <f t="shared" si="20"/>
        <v>829999</v>
      </c>
      <c r="O63" s="75">
        <f t="shared" si="20"/>
        <v>565997</v>
      </c>
      <c r="P63" s="75">
        <f t="shared" si="20"/>
        <v>1458152</v>
      </c>
      <c r="Q63" s="76">
        <f t="shared" si="15"/>
        <v>2646990</v>
      </c>
      <c r="R63" s="76">
        <f t="shared" si="15"/>
        <v>1335854</v>
      </c>
      <c r="S63" s="76">
        <f t="shared" si="15"/>
        <v>4120975</v>
      </c>
      <c r="T63" s="80">
        <f>N63/'2015'!M63-1</f>
        <v>-0.11750301963186005</v>
      </c>
      <c r="U63" s="80">
        <f>O63/'2015'!N63-1</f>
        <v>0.10746801337577994</v>
      </c>
      <c r="V63" s="80">
        <f>P63/'2015'!O63-1</f>
        <v>-1.5268500453483047E-2</v>
      </c>
      <c r="W63" s="81">
        <f>Q63/'2015'!P63-1</f>
        <v>-0.13196110305303588</v>
      </c>
      <c r="X63" s="81">
        <f>R63/'2015'!Q63-1</f>
        <v>0.14637239892627396</v>
      </c>
      <c r="Y63" s="81">
        <f>S63/'2015'!R63-1</f>
        <v>-3.6116722037859539E-2</v>
      </c>
      <c r="Z63" s="50">
        <f>Z$55+0.35*8</f>
        <v>27.720000000000002</v>
      </c>
      <c r="AA63" s="97">
        <f t="shared" si="6"/>
        <v>236.97900000000001</v>
      </c>
      <c r="AB63" s="105">
        <v>4230.1000000000004</v>
      </c>
      <c r="AC63" s="105">
        <f>AA63*10000/AB63</f>
        <v>560.22079856268169</v>
      </c>
      <c r="AD63" s="8">
        <f t="shared" si="7"/>
        <v>2785121</v>
      </c>
      <c r="AE63" s="37">
        <f t="shared" si="9"/>
        <v>90184.25</v>
      </c>
      <c r="AF63" s="37">
        <f t="shared" si="9"/>
        <v>42631</v>
      </c>
      <c r="AG63" s="37">
        <f t="shared" si="8"/>
        <v>5315.75</v>
      </c>
    </row>
    <row r="64" spans="1:33" s="1" customFormat="1" ht="15" customHeight="1" x14ac:dyDescent="0.15">
      <c r="A64" s="25">
        <v>42429</v>
      </c>
      <c r="B64" s="25" t="s">
        <v>34</v>
      </c>
      <c r="C64" s="26">
        <v>48888</v>
      </c>
      <c r="D64" s="27">
        <v>27164</v>
      </c>
      <c r="E64" s="27">
        <v>78707</v>
      </c>
      <c r="F64" s="28">
        <v>4109</v>
      </c>
      <c r="G64" s="29">
        <v>2379</v>
      </c>
      <c r="H64" s="30"/>
      <c r="I64" s="30"/>
      <c r="J64" s="42">
        <f t="shared" si="0"/>
        <v>51543</v>
      </c>
      <c r="K64" s="43">
        <f t="shared" si="1"/>
        <v>1667.75</v>
      </c>
      <c r="L64" s="43">
        <v>791</v>
      </c>
      <c r="M64" s="43">
        <f t="shared" si="21"/>
        <v>196.25</v>
      </c>
      <c r="N64" s="87">
        <f t="shared" ref="N64" si="22">N63+C64</f>
        <v>878887</v>
      </c>
      <c r="O64" s="88">
        <f t="shared" ref="O64" si="23">O63+D64</f>
        <v>593161</v>
      </c>
      <c r="P64" s="88">
        <f t="shared" ref="P64" si="24">P63+E64</f>
        <v>1536859</v>
      </c>
      <c r="Q64" s="87">
        <v>2695234</v>
      </c>
      <c r="R64" s="87">
        <f t="shared" ref="R64" si="25">O64+R$35</f>
        <v>1363018</v>
      </c>
      <c r="S64" s="87">
        <f t="shared" ref="S64" si="26">P64+S$35</f>
        <v>4199682</v>
      </c>
      <c r="T64" s="89">
        <f>N64/'2015'!M63-1</f>
        <v>-6.5522821612058135E-2</v>
      </c>
      <c r="U64" s="89">
        <f>O64/'2015'!N63-1</f>
        <v>0.16061893310740349</v>
      </c>
      <c r="V64" s="89">
        <f>P64/'2015'!O63-1</f>
        <v>3.7884574215555356E-2</v>
      </c>
      <c r="W64" s="89">
        <f>Q64/'2015'!P63-1</f>
        <v>-0.11614023914939087</v>
      </c>
      <c r="X64" s="89">
        <f>R64/'2015'!Q63-1</f>
        <v>0.16968337441044623</v>
      </c>
      <c r="Y64" s="89">
        <f>S64/'2015'!R63-1</f>
        <v>-1.7707398720303247E-2</v>
      </c>
      <c r="Z64" s="52">
        <v>28.07</v>
      </c>
      <c r="AA64" s="52">
        <f t="shared" si="6"/>
        <v>241.45339999999999</v>
      </c>
      <c r="AB64" s="98">
        <v>4230.1000000000004</v>
      </c>
      <c r="AC64" s="43">
        <f>AA64*10000/AB64</f>
        <v>570.79832628070255</v>
      </c>
      <c r="AD64" s="42">
        <f t="shared" si="7"/>
        <v>2836664</v>
      </c>
      <c r="AE64" s="43">
        <v>92533</v>
      </c>
      <c r="AF64" s="43">
        <v>43385</v>
      </c>
      <c r="AG64" s="43">
        <f t="shared" si="8"/>
        <v>5512</v>
      </c>
    </row>
    <row r="65" spans="1:33" ht="15" customHeight="1" x14ac:dyDescent="0.15">
      <c r="A65" s="102">
        <v>42430</v>
      </c>
      <c r="B65" s="20" t="s">
        <v>35</v>
      </c>
      <c r="C65" s="8">
        <v>54095</v>
      </c>
      <c r="D65" s="37">
        <v>26356</v>
      </c>
      <c r="E65" s="37">
        <v>82661</v>
      </c>
      <c r="F65" s="8">
        <v>4242</v>
      </c>
      <c r="G65" s="37">
        <v>2635</v>
      </c>
      <c r="H65" s="24"/>
      <c r="I65" s="36"/>
      <c r="J65" s="8">
        <f t="shared" ref="J65:J128" si="27">E65-D65</f>
        <v>56305</v>
      </c>
      <c r="K65" s="37">
        <f t="shared" si="1"/>
        <v>1395.3000000000002</v>
      </c>
      <c r="L65" s="37">
        <v>791</v>
      </c>
      <c r="M65" s="37">
        <f>(AG$74-AG$64)/10</f>
        <v>23.7</v>
      </c>
      <c r="N65" s="74">
        <f>C65</f>
        <v>54095</v>
      </c>
      <c r="O65" s="75">
        <f>D65</f>
        <v>26356</v>
      </c>
      <c r="P65" s="75">
        <f>E65</f>
        <v>82661</v>
      </c>
      <c r="Q65" s="76">
        <f>Q$64+N65</f>
        <v>2749329</v>
      </c>
      <c r="R65" s="76">
        <f>R$64+O65</f>
        <v>1389374</v>
      </c>
      <c r="S65" s="76">
        <f>S$64+P65</f>
        <v>4282343</v>
      </c>
      <c r="T65" s="80">
        <f>N65/'2015'!M65-1</f>
        <v>0.94754464285714279</v>
      </c>
      <c r="U65" s="80">
        <f>O65/'2015'!N65-1</f>
        <v>0.19160864454290616</v>
      </c>
      <c r="V65" s="80">
        <f>P65/'2015'!O65-1</f>
        <v>0.62705692465160223</v>
      </c>
      <c r="W65" s="81">
        <f>Q65/'2015'!P65-1</f>
        <v>-0.10653890412837519</v>
      </c>
      <c r="X65" s="81">
        <f>R65/'2015'!Q65-1</f>
        <v>0.17009177989668234</v>
      </c>
      <c r="Y65" s="81">
        <f>S65/'2015'!R65-1</f>
        <v>-1.0135703639598037E-2</v>
      </c>
      <c r="Z65" s="50">
        <f>Z$64+0.478*1</f>
        <v>28.548000000000002</v>
      </c>
      <c r="AA65" s="97">
        <f t="shared" si="6"/>
        <v>246.38490000000002</v>
      </c>
      <c r="AB65" s="105"/>
      <c r="AC65" s="105"/>
      <c r="AD65" s="8">
        <f t="shared" si="7"/>
        <v>2892969</v>
      </c>
      <c r="AE65" s="37">
        <f t="shared" si="9"/>
        <v>93928.3</v>
      </c>
      <c r="AF65" s="37">
        <f t="shared" si="9"/>
        <v>44176</v>
      </c>
      <c r="AG65" s="37">
        <f t="shared" si="8"/>
        <v>5535.6999999999971</v>
      </c>
    </row>
    <row r="66" spans="1:33" ht="15" customHeight="1" x14ac:dyDescent="0.15">
      <c r="A66" s="102">
        <v>42431</v>
      </c>
      <c r="B66" s="14" t="s">
        <v>36</v>
      </c>
      <c r="C66" s="32">
        <v>55810</v>
      </c>
      <c r="D66" s="33">
        <v>24732</v>
      </c>
      <c r="E66" s="33">
        <v>83527</v>
      </c>
      <c r="F66" s="32">
        <v>4304</v>
      </c>
      <c r="G66" s="33">
        <v>2700</v>
      </c>
      <c r="H66" s="19"/>
      <c r="I66" s="19"/>
      <c r="J66" s="32">
        <f t="shared" si="27"/>
        <v>58795</v>
      </c>
      <c r="K66" s="33">
        <f t="shared" si="1"/>
        <v>2170.3000000000002</v>
      </c>
      <c r="L66" s="33">
        <v>791</v>
      </c>
      <c r="M66" s="33">
        <f t="shared" ref="M66:M74" si="28">(AG$74-AG$64)/10</f>
        <v>23.7</v>
      </c>
      <c r="N66" s="77">
        <f t="shared" ref="N66:N95" si="29">N65+C66</f>
        <v>109905</v>
      </c>
      <c r="O66" s="78">
        <f t="shared" ref="O66:O95" si="30">D66+O65</f>
        <v>51088</v>
      </c>
      <c r="P66" s="78">
        <f t="shared" ref="P66:P95" si="31">P65+E66</f>
        <v>166188</v>
      </c>
      <c r="Q66" s="77">
        <f t="shared" ref="Q66:Q95" si="32">Q$64+N66</f>
        <v>2805139</v>
      </c>
      <c r="R66" s="77">
        <f t="shared" ref="R66:R94" si="33">R$64+O66</f>
        <v>1414106</v>
      </c>
      <c r="S66" s="77">
        <f t="shared" ref="S66:S94" si="34">S$64+P66</f>
        <v>4365870</v>
      </c>
      <c r="T66" s="82">
        <f>N66/'2015'!M66-1</f>
        <v>0.87247636084845381</v>
      </c>
      <c r="U66" s="82">
        <f>O66/'2015'!N66-1</f>
        <v>0.11919731855324556</v>
      </c>
      <c r="V66" s="82">
        <f>P66/'2015'!O66-1</f>
        <v>0.56515351290261817</v>
      </c>
      <c r="W66" s="82">
        <f>Q66/'2015'!P66-1</f>
        <v>-9.7470597660425096E-2</v>
      </c>
      <c r="X66" s="82">
        <f>R66/'2015'!Q66-1</f>
        <v>0.16778026896571663</v>
      </c>
      <c r="Y66" s="82">
        <f>S66/'2015'!R66-1</f>
        <v>-3.582735678186455E-3</v>
      </c>
      <c r="Z66" s="49">
        <f>Z$64+0.478*2</f>
        <v>29.026</v>
      </c>
      <c r="AA66" s="49">
        <f t="shared" si="6"/>
        <v>251.48789999999997</v>
      </c>
      <c r="AB66" s="33">
        <v>4230.1000000000004</v>
      </c>
      <c r="AC66" s="33">
        <f>AA66*10000/AB66</f>
        <v>594.51998770714624</v>
      </c>
      <c r="AD66" s="32">
        <f t="shared" si="7"/>
        <v>2951764</v>
      </c>
      <c r="AE66" s="33">
        <f t="shared" si="9"/>
        <v>96098.6</v>
      </c>
      <c r="AF66" s="33">
        <f t="shared" si="9"/>
        <v>44967</v>
      </c>
      <c r="AG66" s="33">
        <f t="shared" si="8"/>
        <v>5559.3999999999942</v>
      </c>
    </row>
    <row r="67" spans="1:33" ht="15" customHeight="1" x14ac:dyDescent="0.15">
      <c r="A67" s="102">
        <v>42432</v>
      </c>
      <c r="B67" s="20" t="s">
        <v>37</v>
      </c>
      <c r="C67" s="8">
        <v>55293</v>
      </c>
      <c r="D67" s="37">
        <v>25058</v>
      </c>
      <c r="E67" s="37">
        <v>83130</v>
      </c>
      <c r="F67" s="8">
        <v>4257</v>
      </c>
      <c r="G67" s="37">
        <v>2684</v>
      </c>
      <c r="H67" s="24"/>
      <c r="I67" s="36"/>
      <c r="J67" s="8">
        <f t="shared" si="27"/>
        <v>58072</v>
      </c>
      <c r="K67" s="37">
        <f t="shared" si="1"/>
        <v>1964.3000000000002</v>
      </c>
      <c r="L67" s="37">
        <v>791</v>
      </c>
      <c r="M67" s="37">
        <f t="shared" si="28"/>
        <v>23.7</v>
      </c>
      <c r="N67" s="74">
        <f t="shared" si="29"/>
        <v>165198</v>
      </c>
      <c r="O67" s="75">
        <f t="shared" si="30"/>
        <v>76146</v>
      </c>
      <c r="P67" s="75">
        <f t="shared" si="31"/>
        <v>249318</v>
      </c>
      <c r="Q67" s="76">
        <f t="shared" si="32"/>
        <v>2860432</v>
      </c>
      <c r="R67" s="76">
        <f t="shared" si="33"/>
        <v>1439164</v>
      </c>
      <c r="S67" s="76">
        <f t="shared" si="34"/>
        <v>4449000</v>
      </c>
      <c r="T67" s="80">
        <f>N67/'2015'!M67-1</f>
        <v>0.75939080888226207</v>
      </c>
      <c r="U67" s="80">
        <f>O67/'2015'!N67-1</f>
        <v>0.10447761194029859</v>
      </c>
      <c r="V67" s="80">
        <f>P67/'2015'!O67-1</f>
        <v>0.50628934617383003</v>
      </c>
      <c r="W67" s="81">
        <f>Q67/'2015'!P67-1</f>
        <v>-8.9986720902902273E-2</v>
      </c>
      <c r="X67" s="81">
        <f>R67/'2015'!Q67-1</f>
        <v>0.16604104093966199</v>
      </c>
      <c r="Y67" s="81">
        <f>S67/'2015'!R67-1</f>
        <v>1.822601063836915E-3</v>
      </c>
      <c r="Z67" s="50">
        <f>Z$64+0.478*3</f>
        <v>29.504000000000001</v>
      </c>
      <c r="AA67" s="97">
        <f t="shared" si="6"/>
        <v>256.53919999999999</v>
      </c>
      <c r="AB67" s="105">
        <v>4230.1000000000004</v>
      </c>
      <c r="AC67" s="105">
        <f t="shared" ref="AC67" si="35">AA67*10000/AB67</f>
        <v>606.46131297132445</v>
      </c>
      <c r="AD67" s="8">
        <f t="shared" si="7"/>
        <v>3009836</v>
      </c>
      <c r="AE67" s="37">
        <f t="shared" si="9"/>
        <v>98062.900000000009</v>
      </c>
      <c r="AF67" s="37">
        <f t="shared" si="9"/>
        <v>45758</v>
      </c>
      <c r="AG67" s="37">
        <f t="shared" si="8"/>
        <v>5583.0999999999913</v>
      </c>
    </row>
    <row r="68" spans="1:33" ht="15" customHeight="1" x14ac:dyDescent="0.15">
      <c r="A68" s="102">
        <v>42433</v>
      </c>
      <c r="B68" s="20" t="s">
        <v>38</v>
      </c>
      <c r="C68" s="70">
        <v>56943</v>
      </c>
      <c r="D68" s="71">
        <v>23503</v>
      </c>
      <c r="E68" s="71">
        <v>82869</v>
      </c>
      <c r="F68" s="70">
        <v>4257.5</v>
      </c>
      <c r="G68" s="71">
        <v>2683.2</v>
      </c>
      <c r="H68" s="24"/>
      <c r="I68" s="24"/>
      <c r="J68" s="70">
        <f t="shared" si="27"/>
        <v>59366</v>
      </c>
      <c r="K68" s="71">
        <f t="shared" si="1"/>
        <v>1609.3000000000002</v>
      </c>
      <c r="L68" s="71">
        <v>790</v>
      </c>
      <c r="M68" s="71">
        <f t="shared" si="28"/>
        <v>23.7</v>
      </c>
      <c r="N68" s="74">
        <f t="shared" si="29"/>
        <v>222141</v>
      </c>
      <c r="O68" s="75">
        <f t="shared" si="30"/>
        <v>99649</v>
      </c>
      <c r="P68" s="75">
        <f t="shared" si="31"/>
        <v>332187</v>
      </c>
      <c r="Q68" s="76">
        <f t="shared" si="32"/>
        <v>2917375</v>
      </c>
      <c r="R68" s="76">
        <f t="shared" si="33"/>
        <v>1462667</v>
      </c>
      <c r="S68" s="76">
        <f t="shared" si="34"/>
        <v>4531869</v>
      </c>
      <c r="T68" s="80">
        <f>N68/'2015'!M68-1</f>
        <v>0.64921489290619538</v>
      </c>
      <c r="U68" s="80">
        <f>O68/'2015'!N68-1</f>
        <v>6.8942953380103367E-2</v>
      </c>
      <c r="V68" s="80">
        <f>P68/'2015'!O68-1</f>
        <v>0.4346293873003122</v>
      </c>
      <c r="W68" s="81">
        <f>Q68/'2015'!P68-1</f>
        <v>-8.3763755124704575E-2</v>
      </c>
      <c r="X68" s="81">
        <f>R68/'2015'!Q68-1</f>
        <v>0.16222119808344782</v>
      </c>
      <c r="Y68" s="81">
        <f>S68/'2015'!R68-1</f>
        <v>5.5319166875418269E-3</v>
      </c>
      <c r="Z68" s="97">
        <f>Z$64+0.478*4</f>
        <v>29.981999999999999</v>
      </c>
      <c r="AA68" s="97">
        <f t="shared" si="6"/>
        <v>261.75549999999998</v>
      </c>
      <c r="AB68" s="106"/>
      <c r="AC68" s="105"/>
      <c r="AD68" s="70">
        <f t="shared" si="7"/>
        <v>3069202</v>
      </c>
      <c r="AE68" s="71">
        <f t="shared" si="9"/>
        <v>99672.200000000012</v>
      </c>
      <c r="AF68" s="71">
        <f t="shared" si="9"/>
        <v>46548</v>
      </c>
      <c r="AG68" s="71">
        <f t="shared" si="8"/>
        <v>5606.7999999999884</v>
      </c>
    </row>
    <row r="69" spans="1:33" ht="15" customHeight="1" x14ac:dyDescent="0.15">
      <c r="A69" s="102">
        <v>42434</v>
      </c>
      <c r="B69" s="20" t="s">
        <v>39</v>
      </c>
      <c r="C69" s="8">
        <v>57539</v>
      </c>
      <c r="D69" s="37">
        <v>22981</v>
      </c>
      <c r="E69" s="37">
        <v>82990</v>
      </c>
      <c r="F69" s="8">
        <v>4230</v>
      </c>
      <c r="G69" s="37">
        <v>2721.9</v>
      </c>
      <c r="H69" s="24"/>
      <c r="I69" s="36"/>
      <c r="J69" s="8">
        <f t="shared" si="27"/>
        <v>60009</v>
      </c>
      <c r="K69" s="37">
        <f t="shared" si="1"/>
        <v>1655.3000000000002</v>
      </c>
      <c r="L69" s="37">
        <v>791</v>
      </c>
      <c r="M69" s="37">
        <f t="shared" si="28"/>
        <v>23.7</v>
      </c>
      <c r="N69" s="74">
        <f t="shared" si="29"/>
        <v>279680</v>
      </c>
      <c r="O69" s="75">
        <f t="shared" si="30"/>
        <v>122630</v>
      </c>
      <c r="P69" s="75">
        <f t="shared" si="31"/>
        <v>415177</v>
      </c>
      <c r="Q69" s="76">
        <f t="shared" si="32"/>
        <v>2974914</v>
      </c>
      <c r="R69" s="76">
        <f t="shared" si="33"/>
        <v>1485648</v>
      </c>
      <c r="S69" s="76">
        <f t="shared" si="34"/>
        <v>4614859</v>
      </c>
      <c r="T69" s="80">
        <f>N69/'2015'!M69-1</f>
        <v>0.55468467717279535</v>
      </c>
      <c r="U69" s="80">
        <f>O69/'2015'!N69-1</f>
        <v>4.4237237620811554E-2</v>
      </c>
      <c r="V69" s="80">
        <f>P69/'2015'!O69-1</f>
        <v>0.37533209219740682</v>
      </c>
      <c r="W69" s="81">
        <f>Q69/'2015'!P69-1</f>
        <v>-7.8770353570417728E-2</v>
      </c>
      <c r="X69" s="81">
        <f>R69/'2015'!Q69-1</f>
        <v>0.15819861341848562</v>
      </c>
      <c r="Y69" s="81">
        <f>S69/'2015'!R69-1</f>
        <v>8.2138623482772566E-3</v>
      </c>
      <c r="Z69" s="50">
        <f>Z$64+0.478*5</f>
        <v>30.46</v>
      </c>
      <c r="AA69" s="97">
        <f t="shared" si="6"/>
        <v>267.03140000000002</v>
      </c>
      <c r="AB69" s="105"/>
      <c r="AC69" s="105"/>
      <c r="AD69" s="8">
        <f t="shared" si="7"/>
        <v>3129211</v>
      </c>
      <c r="AE69" s="37">
        <f t="shared" si="9"/>
        <v>101327.50000000001</v>
      </c>
      <c r="AF69" s="37">
        <f t="shared" si="9"/>
        <v>47339</v>
      </c>
      <c r="AG69" s="37">
        <f t="shared" si="8"/>
        <v>5630.4999999999854</v>
      </c>
    </row>
    <row r="70" spans="1:33" ht="15" customHeight="1" x14ac:dyDescent="0.15">
      <c r="A70" s="102">
        <v>42435</v>
      </c>
      <c r="B70" s="20" t="s">
        <v>1</v>
      </c>
      <c r="C70" s="8">
        <v>54988</v>
      </c>
      <c r="D70" s="37">
        <v>22728</v>
      </c>
      <c r="E70" s="37">
        <v>80593</v>
      </c>
      <c r="F70" s="8">
        <v>4058.6</v>
      </c>
      <c r="G70" s="37">
        <v>2709.1</v>
      </c>
      <c r="H70" s="24"/>
      <c r="I70" s="36"/>
      <c r="J70" s="8">
        <f t="shared" si="27"/>
        <v>57865</v>
      </c>
      <c r="K70" s="37">
        <f t="shared" ref="K70:K133" si="36">J70-C70-M70-L70</f>
        <v>2060.3000000000002</v>
      </c>
      <c r="L70" s="37">
        <v>793</v>
      </c>
      <c r="M70" s="37">
        <f t="shared" si="28"/>
        <v>23.7</v>
      </c>
      <c r="N70" s="74">
        <f t="shared" si="29"/>
        <v>334668</v>
      </c>
      <c r="O70" s="75">
        <f t="shared" si="30"/>
        <v>145358</v>
      </c>
      <c r="P70" s="75">
        <f t="shared" si="31"/>
        <v>495770</v>
      </c>
      <c r="Q70" s="76">
        <f t="shared" si="32"/>
        <v>3029902</v>
      </c>
      <c r="R70" s="76">
        <f t="shared" si="33"/>
        <v>1508376</v>
      </c>
      <c r="S70" s="76">
        <f t="shared" si="34"/>
        <v>4695452</v>
      </c>
      <c r="T70" s="80">
        <f>N70/'2015'!M70-1</f>
        <v>0.47369162685219846</v>
      </c>
      <c r="U70" s="80">
        <f>O70/'2015'!N70-1</f>
        <v>3.0951671702341921E-2</v>
      </c>
      <c r="V70" s="80">
        <f>P70/'2015'!O70-1</f>
        <v>0.32629393714837573</v>
      </c>
      <c r="W70" s="81">
        <f>Q70/'2015'!P70-1</f>
        <v>-7.5258676521126611E-2</v>
      </c>
      <c r="X70" s="81">
        <f>R70/'2015'!Q70-1</f>
        <v>0.1547093200396239</v>
      </c>
      <c r="Y70" s="81">
        <f>S70/'2015'!R70-1</f>
        <v>9.9507677575594311E-3</v>
      </c>
      <c r="Z70" s="50">
        <f>Z$64+0.478*6</f>
        <v>30.937999999999999</v>
      </c>
      <c r="AA70" s="97">
        <f t="shared" ref="AA70:AA133" si="37">Q70/10000-Z70</f>
        <v>272.05220000000003</v>
      </c>
      <c r="AB70" s="105"/>
      <c r="AC70" s="105"/>
      <c r="AD70" s="8">
        <f t="shared" ref="AD70:AD133" si="38">S70-R70</f>
        <v>3187076</v>
      </c>
      <c r="AE70" s="37">
        <f t="shared" si="9"/>
        <v>103387.80000000002</v>
      </c>
      <c r="AF70" s="37">
        <f t="shared" si="9"/>
        <v>48132</v>
      </c>
      <c r="AG70" s="37">
        <f t="shared" ref="AG70:AG133" si="39">AD70-Q70-AE70-AF70</f>
        <v>5654.1999999999825</v>
      </c>
    </row>
    <row r="71" spans="1:33" ht="15" customHeight="1" x14ac:dyDescent="0.15">
      <c r="A71" s="102">
        <v>42436</v>
      </c>
      <c r="B71" s="20" t="s">
        <v>34</v>
      </c>
      <c r="C71" s="8">
        <v>60945</v>
      </c>
      <c r="D71" s="37">
        <v>21990</v>
      </c>
      <c r="E71" s="37">
        <v>85259</v>
      </c>
      <c r="F71" s="8">
        <v>4425</v>
      </c>
      <c r="G71" s="37">
        <v>2676.3</v>
      </c>
      <c r="H71" s="24"/>
      <c r="I71" s="36"/>
      <c r="J71" s="8">
        <f t="shared" si="27"/>
        <v>63269</v>
      </c>
      <c r="K71" s="37">
        <f t="shared" si="36"/>
        <v>1507.3000000000002</v>
      </c>
      <c r="L71" s="37">
        <v>793</v>
      </c>
      <c r="M71" s="37">
        <f t="shared" si="28"/>
        <v>23.7</v>
      </c>
      <c r="N71" s="74">
        <f t="shared" si="29"/>
        <v>395613</v>
      </c>
      <c r="O71" s="75">
        <f t="shared" si="30"/>
        <v>167348</v>
      </c>
      <c r="P71" s="75">
        <f t="shared" si="31"/>
        <v>581029</v>
      </c>
      <c r="Q71" s="76">
        <f t="shared" si="32"/>
        <v>3090847</v>
      </c>
      <c r="R71" s="76">
        <f t="shared" si="33"/>
        <v>1530366</v>
      </c>
      <c r="S71" s="76">
        <f t="shared" si="34"/>
        <v>4780711</v>
      </c>
      <c r="T71" s="80">
        <f>N71/'2015'!M71-1</f>
        <v>0.41789659300250159</v>
      </c>
      <c r="U71" s="80">
        <f>O71/'2015'!N71-1</f>
        <v>4.9750026659641122E-2</v>
      </c>
      <c r="V71" s="80">
        <f>P71/'2015'!O71-1</f>
        <v>0.304727323354127</v>
      </c>
      <c r="W71" s="81">
        <f>Q71/'2015'!P71-1</f>
        <v>-7.1372924869419485E-2</v>
      </c>
      <c r="X71" s="81">
        <f>R71/'2015'!Q71-1</f>
        <v>0.15525041424317121</v>
      </c>
      <c r="Y71" s="81">
        <f>S71/'2015'!R71-1</f>
        <v>1.2709306261722286E-2</v>
      </c>
      <c r="Z71" s="50">
        <f>Z$64+0.478*7</f>
        <v>31.416</v>
      </c>
      <c r="AA71" s="97">
        <f t="shared" si="37"/>
        <v>277.6687</v>
      </c>
      <c r="AB71" s="105"/>
      <c r="AC71" s="105"/>
      <c r="AD71" s="8">
        <f t="shared" si="38"/>
        <v>3250345</v>
      </c>
      <c r="AE71" s="37">
        <f t="shared" ref="AE71:AF134" si="40">AE70+K71</f>
        <v>104895.10000000002</v>
      </c>
      <c r="AF71" s="37">
        <f t="shared" si="40"/>
        <v>48925</v>
      </c>
      <c r="AG71" s="37">
        <f t="shared" si="39"/>
        <v>5677.8999999999796</v>
      </c>
    </row>
    <row r="72" spans="1:33" ht="15" customHeight="1" x14ac:dyDescent="0.15">
      <c r="A72" s="102">
        <v>42437</v>
      </c>
      <c r="B72" s="20" t="s">
        <v>35</v>
      </c>
      <c r="C72" s="8">
        <v>62540</v>
      </c>
      <c r="D72" s="37">
        <v>21985</v>
      </c>
      <c r="E72" s="37">
        <v>87391</v>
      </c>
      <c r="F72" s="8">
        <v>4473.3999999999996</v>
      </c>
      <c r="G72" s="37">
        <v>2821.6</v>
      </c>
      <c r="H72" s="24"/>
      <c r="I72" s="36"/>
      <c r="J72" s="8">
        <f t="shared" si="27"/>
        <v>65406</v>
      </c>
      <c r="K72" s="37">
        <f t="shared" si="36"/>
        <v>2051.3000000000002</v>
      </c>
      <c r="L72" s="37">
        <v>791</v>
      </c>
      <c r="M72" s="37">
        <f t="shared" si="28"/>
        <v>23.7</v>
      </c>
      <c r="N72" s="74">
        <f t="shared" si="29"/>
        <v>458153</v>
      </c>
      <c r="O72" s="75">
        <f t="shared" si="30"/>
        <v>189333</v>
      </c>
      <c r="P72" s="75">
        <f t="shared" si="31"/>
        <v>668420</v>
      </c>
      <c r="Q72" s="76">
        <f t="shared" si="32"/>
        <v>3153387</v>
      </c>
      <c r="R72" s="76">
        <f t="shared" si="33"/>
        <v>1552351</v>
      </c>
      <c r="S72" s="76">
        <f t="shared" si="34"/>
        <v>4868102</v>
      </c>
      <c r="T72" s="80">
        <f>N72/'2015'!M72-1</f>
        <v>0.3885864788356741</v>
      </c>
      <c r="U72" s="80">
        <f>O72/'2015'!N72-1</f>
        <v>6.1765712010497964E-2</v>
      </c>
      <c r="V72" s="80">
        <f>P72/'2015'!O72-1</f>
        <v>0.29475025859363813</v>
      </c>
      <c r="W72" s="81">
        <f>Q72/'2015'!P72-1</f>
        <v>-6.6861123186143567E-2</v>
      </c>
      <c r="X72" s="81">
        <f>R72/'2015'!Q72-1</f>
        <v>0.15536090538379144</v>
      </c>
      <c r="Y72" s="81">
        <f>S72/'2015'!R72-1</f>
        <v>1.5956951708829603E-2</v>
      </c>
      <c r="Z72" s="50">
        <f>Z$64+0.478*8</f>
        <v>31.893999999999998</v>
      </c>
      <c r="AA72" s="97">
        <f t="shared" si="37"/>
        <v>283.44470000000001</v>
      </c>
      <c r="AB72" s="105"/>
      <c r="AC72" s="105"/>
      <c r="AD72" s="8">
        <f t="shared" si="38"/>
        <v>3315751</v>
      </c>
      <c r="AE72" s="37">
        <f t="shared" si="40"/>
        <v>106946.40000000002</v>
      </c>
      <c r="AF72" s="37">
        <f t="shared" si="40"/>
        <v>49716</v>
      </c>
      <c r="AG72" s="37">
        <f t="shared" si="39"/>
        <v>5701.5999999999767</v>
      </c>
    </row>
    <row r="73" spans="1:33" ht="15" customHeight="1" x14ac:dyDescent="0.15">
      <c r="A73" s="102">
        <v>42438</v>
      </c>
      <c r="B73" s="14" t="s">
        <v>36</v>
      </c>
      <c r="C73" s="32">
        <v>65431</v>
      </c>
      <c r="D73" s="33">
        <v>21563</v>
      </c>
      <c r="E73" s="33">
        <v>90460</v>
      </c>
      <c r="F73" s="32">
        <v>4673.3999999999996</v>
      </c>
      <c r="G73" s="33">
        <v>2817</v>
      </c>
      <c r="H73" s="19"/>
      <c r="I73" s="19"/>
      <c r="J73" s="32">
        <f t="shared" si="27"/>
        <v>68897</v>
      </c>
      <c r="K73" s="33">
        <f t="shared" si="36"/>
        <v>2652.3</v>
      </c>
      <c r="L73" s="33">
        <v>790</v>
      </c>
      <c r="M73" s="33">
        <f t="shared" si="28"/>
        <v>23.7</v>
      </c>
      <c r="N73" s="77">
        <f t="shared" si="29"/>
        <v>523584</v>
      </c>
      <c r="O73" s="78">
        <f t="shared" si="30"/>
        <v>210896</v>
      </c>
      <c r="P73" s="78">
        <f t="shared" si="31"/>
        <v>758880</v>
      </c>
      <c r="Q73" s="77">
        <f t="shared" si="32"/>
        <v>3218818</v>
      </c>
      <c r="R73" s="77">
        <f t="shared" si="33"/>
        <v>1573914</v>
      </c>
      <c r="S73" s="77">
        <f t="shared" si="34"/>
        <v>4958562</v>
      </c>
      <c r="T73" s="82">
        <f>N73/'2015'!M73-1</f>
        <v>0.36680310750981548</v>
      </c>
      <c r="U73" s="82">
        <f>O73/'2015'!N73-1</f>
        <v>7.377575023166294E-2</v>
      </c>
      <c r="V73" s="82">
        <f>P73/'2015'!O73-1</f>
        <v>0.2876209350386687</v>
      </c>
      <c r="W73" s="82">
        <f>Q73/'2015'!P73-1</f>
        <v>-6.2242477194947132E-2</v>
      </c>
      <c r="X73" s="82">
        <f>R73/'2015'!Q73-1</f>
        <v>0.15584999272964417</v>
      </c>
      <c r="Y73" s="82">
        <f>S73/'2015'!R73-1</f>
        <v>1.9283194998143793E-2</v>
      </c>
      <c r="Z73" s="49">
        <f>Z$64+0.478*9</f>
        <v>32.372</v>
      </c>
      <c r="AA73" s="49">
        <f t="shared" si="37"/>
        <v>289.50979999999998</v>
      </c>
      <c r="AB73" s="33">
        <v>4230.1000000000004</v>
      </c>
      <c r="AC73" s="33">
        <f t="shared" ref="AC73:AC136" si="41">AA73*10000/AB73</f>
        <v>684.40415120209923</v>
      </c>
      <c r="AD73" s="32">
        <f t="shared" si="38"/>
        <v>3384648</v>
      </c>
      <c r="AE73" s="33">
        <f t="shared" si="40"/>
        <v>109598.70000000003</v>
      </c>
      <c r="AF73" s="33">
        <f t="shared" si="40"/>
        <v>50506</v>
      </c>
      <c r="AG73" s="33">
        <f t="shared" si="39"/>
        <v>5725.2999999999738</v>
      </c>
    </row>
    <row r="74" spans="1:33" ht="15" customHeight="1" x14ac:dyDescent="0.15">
      <c r="A74" s="102">
        <v>42439</v>
      </c>
      <c r="B74" s="20" t="s">
        <v>37</v>
      </c>
      <c r="C74" s="8">
        <v>70475</v>
      </c>
      <c r="D74" s="37">
        <v>21675</v>
      </c>
      <c r="E74" s="37">
        <v>95082</v>
      </c>
      <c r="F74" s="8">
        <v>4946</v>
      </c>
      <c r="G74" s="37">
        <v>2938.8</v>
      </c>
      <c r="H74" s="24"/>
      <c r="I74" s="36"/>
      <c r="J74" s="8">
        <f t="shared" si="27"/>
        <v>73407</v>
      </c>
      <c r="K74" s="37">
        <f t="shared" si="36"/>
        <v>2117.3000000000002</v>
      </c>
      <c r="L74" s="37">
        <v>791</v>
      </c>
      <c r="M74" s="37">
        <f t="shared" si="28"/>
        <v>23.7</v>
      </c>
      <c r="N74" s="74">
        <f t="shared" si="29"/>
        <v>594059</v>
      </c>
      <c r="O74" s="75">
        <f t="shared" si="30"/>
        <v>232571</v>
      </c>
      <c r="P74" s="75">
        <f t="shared" si="31"/>
        <v>853962</v>
      </c>
      <c r="Q74" s="76">
        <f t="shared" si="32"/>
        <v>3289293</v>
      </c>
      <c r="R74" s="76">
        <f t="shared" si="33"/>
        <v>1595589</v>
      </c>
      <c r="S74" s="76">
        <f t="shared" si="34"/>
        <v>5053644</v>
      </c>
      <c r="T74" s="80">
        <f>N74/'2015'!M74-1</f>
        <v>0.35119354948766657</v>
      </c>
      <c r="U74" s="80">
        <f>O74/'2015'!N74-1</f>
        <v>7.5194400525181893E-2</v>
      </c>
      <c r="V74" s="80">
        <f>P74/'2015'!O74-1</f>
        <v>0.27901233088652688</v>
      </c>
      <c r="W74" s="81">
        <f>Q74/'2015'!P74-1</f>
        <v>-5.7251466446702093E-2</v>
      </c>
      <c r="X74" s="81">
        <f>R74/'2015'!Q74-1</f>
        <v>0.15488993148493702</v>
      </c>
      <c r="Y74" s="81">
        <f>S74/'2015'!R74-1</f>
        <v>2.23713605800131E-2</v>
      </c>
      <c r="Z74" s="50">
        <v>32.852499999999999</v>
      </c>
      <c r="AA74" s="97">
        <f t="shared" si="37"/>
        <v>296.07679999999999</v>
      </c>
      <c r="AB74" s="105">
        <v>4230.1000000000004</v>
      </c>
      <c r="AC74" s="105">
        <f t="shared" si="41"/>
        <v>699.92860688872599</v>
      </c>
      <c r="AD74" s="8">
        <f t="shared" si="38"/>
        <v>3458055</v>
      </c>
      <c r="AE74" s="37">
        <v>111716</v>
      </c>
      <c r="AF74" s="37">
        <f t="shared" si="40"/>
        <v>51297</v>
      </c>
      <c r="AG74" s="37">
        <f t="shared" si="39"/>
        <v>5749</v>
      </c>
    </row>
    <row r="75" spans="1:33" ht="15" customHeight="1" x14ac:dyDescent="0.15">
      <c r="A75" s="102">
        <v>42440</v>
      </c>
      <c r="B75" s="20" t="s">
        <v>38</v>
      </c>
      <c r="C75" s="70">
        <v>69987</v>
      </c>
      <c r="D75" s="71">
        <v>21779</v>
      </c>
      <c r="E75" s="71">
        <v>94042</v>
      </c>
      <c r="F75" s="70">
        <v>4783.6000000000004</v>
      </c>
      <c r="G75" s="71">
        <v>3077.3</v>
      </c>
      <c r="H75" s="24"/>
      <c r="I75" s="24"/>
      <c r="J75" s="70">
        <f t="shared" si="27"/>
        <v>72263</v>
      </c>
      <c r="K75" s="71">
        <f t="shared" si="36"/>
        <v>1203.8</v>
      </c>
      <c r="L75" s="71">
        <v>793</v>
      </c>
      <c r="M75" s="71">
        <f>(AG$84-AG$74)/10</f>
        <v>279.2</v>
      </c>
      <c r="N75" s="74">
        <f t="shared" si="29"/>
        <v>664046</v>
      </c>
      <c r="O75" s="75">
        <f t="shared" si="30"/>
        <v>254350</v>
      </c>
      <c r="P75" s="75">
        <f t="shared" si="31"/>
        <v>948004</v>
      </c>
      <c r="Q75" s="76">
        <f t="shared" si="32"/>
        <v>3359280</v>
      </c>
      <c r="R75" s="76">
        <f t="shared" si="33"/>
        <v>1617368</v>
      </c>
      <c r="S75" s="76">
        <f t="shared" si="34"/>
        <v>5147686</v>
      </c>
      <c r="T75" s="80">
        <f>N75/'2015'!M75-1</f>
        <v>0.32934956468819498</v>
      </c>
      <c r="U75" s="80">
        <f>O75/'2015'!N75-1</f>
        <v>7.6659329495428308E-2</v>
      </c>
      <c r="V75" s="80">
        <f>P75/'2015'!O75-1</f>
        <v>0.26586362112915096</v>
      </c>
      <c r="W75" s="81">
        <f>Q75/'2015'!P75-1</f>
        <v>-5.3435441450041976E-2</v>
      </c>
      <c r="X75" s="81">
        <f>R75/'2015'!Q75-1</f>
        <v>0.15400334492068657</v>
      </c>
      <c r="Y75" s="81">
        <f>S75/'2015'!R75-1</f>
        <v>2.4560499828134796E-2</v>
      </c>
      <c r="Z75" s="97">
        <f>Z$74+0.669*1</f>
        <v>33.521499999999996</v>
      </c>
      <c r="AA75" s="97">
        <f t="shared" si="37"/>
        <v>302.40649999999999</v>
      </c>
      <c r="AB75" s="106"/>
      <c r="AC75" s="105"/>
      <c r="AD75" s="70">
        <f t="shared" si="38"/>
        <v>3530318</v>
      </c>
      <c r="AE75" s="71">
        <f t="shared" si="40"/>
        <v>112919.8</v>
      </c>
      <c r="AF75" s="71">
        <f t="shared" si="40"/>
        <v>52090</v>
      </c>
      <c r="AG75" s="71">
        <f t="shared" si="39"/>
        <v>6028.1999999999971</v>
      </c>
    </row>
    <row r="76" spans="1:33" ht="15" customHeight="1" x14ac:dyDescent="0.15">
      <c r="A76" s="102">
        <v>42441</v>
      </c>
      <c r="B76" s="20" t="s">
        <v>39</v>
      </c>
      <c r="C76" s="8">
        <v>67983</v>
      </c>
      <c r="D76" s="37">
        <v>21675</v>
      </c>
      <c r="E76" s="37">
        <v>91760</v>
      </c>
      <c r="F76" s="8">
        <v>4601.2</v>
      </c>
      <c r="G76" s="37">
        <v>3078.2</v>
      </c>
      <c r="H76" s="24"/>
      <c r="I76" s="36"/>
      <c r="J76" s="8">
        <f t="shared" si="27"/>
        <v>70085</v>
      </c>
      <c r="K76" s="37">
        <f t="shared" si="36"/>
        <v>1031.8</v>
      </c>
      <c r="L76" s="37">
        <v>791</v>
      </c>
      <c r="M76" s="37">
        <f t="shared" ref="M76:M84" si="42">(AG$84-AG$74)/10</f>
        <v>279.2</v>
      </c>
      <c r="N76" s="74">
        <f t="shared" si="29"/>
        <v>732029</v>
      </c>
      <c r="O76" s="75">
        <f t="shared" si="30"/>
        <v>276025</v>
      </c>
      <c r="P76" s="75">
        <f t="shared" si="31"/>
        <v>1039764</v>
      </c>
      <c r="Q76" s="76">
        <f t="shared" si="32"/>
        <v>3427263</v>
      </c>
      <c r="R76" s="76">
        <f t="shared" si="33"/>
        <v>1639043</v>
      </c>
      <c r="S76" s="76">
        <f t="shared" si="34"/>
        <v>5239446</v>
      </c>
      <c r="T76" s="80">
        <f>N76/'2015'!M76-1</f>
        <v>0.31134645941525574</v>
      </c>
      <c r="U76" s="80">
        <f>O76/'2015'!N76-1</f>
        <v>7.4947425811979107E-2</v>
      </c>
      <c r="V76" s="80">
        <f>P76/'2015'!O76-1</f>
        <v>0.25380628637164993</v>
      </c>
      <c r="W76" s="81">
        <f>Q76/'2015'!P76-1</f>
        <v>-4.9992820747651212E-2</v>
      </c>
      <c r="X76" s="81">
        <f>R76/'2015'!Q76-1</f>
        <v>0.15257709195340863</v>
      </c>
      <c r="Y76" s="81">
        <f>S76/'2015'!R76-1</f>
        <v>2.6401685984256851E-2</v>
      </c>
      <c r="Z76" s="50">
        <f>Z$74+0.669*2</f>
        <v>34.1905</v>
      </c>
      <c r="AA76" s="97">
        <f t="shared" si="37"/>
        <v>308.53579999999999</v>
      </c>
      <c r="AB76" s="105"/>
      <c r="AC76" s="105"/>
      <c r="AD76" s="8">
        <f t="shared" si="38"/>
        <v>3600403</v>
      </c>
      <c r="AE76" s="37">
        <f t="shared" si="40"/>
        <v>113951.6</v>
      </c>
      <c r="AF76" s="37">
        <f t="shared" si="40"/>
        <v>52881</v>
      </c>
      <c r="AG76" s="37">
        <f t="shared" si="39"/>
        <v>6307.3999999999942</v>
      </c>
    </row>
    <row r="77" spans="1:33" ht="15" customHeight="1" x14ac:dyDescent="0.15">
      <c r="A77" s="102">
        <v>42442</v>
      </c>
      <c r="B77" s="20" t="s">
        <v>1</v>
      </c>
      <c r="C77" s="8">
        <v>65623</v>
      </c>
      <c r="D77" s="37">
        <v>20525</v>
      </c>
      <c r="E77" s="37">
        <v>88095</v>
      </c>
      <c r="F77" s="8">
        <v>4461.5</v>
      </c>
      <c r="G77" s="37">
        <v>2964.1</v>
      </c>
      <c r="H77" s="24"/>
      <c r="I77" s="36"/>
      <c r="J77" s="8">
        <f t="shared" si="27"/>
        <v>67570</v>
      </c>
      <c r="K77" s="37">
        <f t="shared" si="36"/>
        <v>877.8</v>
      </c>
      <c r="L77" s="37">
        <v>790</v>
      </c>
      <c r="M77" s="37">
        <f t="shared" si="42"/>
        <v>279.2</v>
      </c>
      <c r="N77" s="74">
        <f t="shared" si="29"/>
        <v>797652</v>
      </c>
      <c r="O77" s="75">
        <f t="shared" si="30"/>
        <v>296550</v>
      </c>
      <c r="P77" s="75">
        <f t="shared" si="31"/>
        <v>1127859</v>
      </c>
      <c r="Q77" s="76">
        <f t="shared" si="32"/>
        <v>3492886</v>
      </c>
      <c r="R77" s="76">
        <f t="shared" si="33"/>
        <v>1659568</v>
      </c>
      <c r="S77" s="76">
        <f t="shared" si="34"/>
        <v>5327541</v>
      </c>
      <c r="T77" s="80">
        <f>N77/'2015'!M77-1</f>
        <v>0.29412909945778609</v>
      </c>
      <c r="U77" s="80">
        <f>O77/'2015'!N77-1</f>
        <v>7.2296388434891945E-2</v>
      </c>
      <c r="V77" s="80">
        <f>P77/'2015'!O77-1</f>
        <v>0.24057927335643936</v>
      </c>
      <c r="W77" s="81">
        <f>Q77/'2015'!P77-1</f>
        <v>-4.7157296195351917E-2</v>
      </c>
      <c r="X77" s="81">
        <f>R77/'2015'!Q77-1</f>
        <v>0.15100385339884204</v>
      </c>
      <c r="Y77" s="81">
        <f>S77/'2015'!R77-1</f>
        <v>2.7584772921425582E-2</v>
      </c>
      <c r="Z77" s="50">
        <f>Z$74+0.669*3</f>
        <v>34.859499999999997</v>
      </c>
      <c r="AA77" s="97">
        <f t="shared" si="37"/>
        <v>314.42909999999995</v>
      </c>
      <c r="AB77" s="105"/>
      <c r="AC77" s="105"/>
      <c r="AD77" s="8">
        <f t="shared" si="38"/>
        <v>3667973</v>
      </c>
      <c r="AE77" s="37">
        <f t="shared" si="40"/>
        <v>114829.40000000001</v>
      </c>
      <c r="AF77" s="37">
        <f t="shared" si="40"/>
        <v>53671</v>
      </c>
      <c r="AG77" s="37">
        <f t="shared" si="39"/>
        <v>6586.5999999999913</v>
      </c>
    </row>
    <row r="78" spans="1:33" ht="15" customHeight="1" x14ac:dyDescent="0.15">
      <c r="A78" s="102">
        <v>42443</v>
      </c>
      <c r="B78" s="20" t="s">
        <v>34</v>
      </c>
      <c r="C78" s="8">
        <v>66541</v>
      </c>
      <c r="D78" s="37">
        <v>21495</v>
      </c>
      <c r="E78" s="37">
        <v>89796</v>
      </c>
      <c r="F78" s="8">
        <v>4599.3999999999996</v>
      </c>
      <c r="G78" s="37">
        <v>2808.5</v>
      </c>
      <c r="H78" s="24"/>
      <c r="I78" s="36"/>
      <c r="J78" s="8">
        <f t="shared" si="27"/>
        <v>68301</v>
      </c>
      <c r="K78" s="37">
        <f t="shared" si="36"/>
        <v>688.8</v>
      </c>
      <c r="L78" s="37">
        <v>792</v>
      </c>
      <c r="M78" s="37">
        <f t="shared" si="42"/>
        <v>279.2</v>
      </c>
      <c r="N78" s="74">
        <f t="shared" si="29"/>
        <v>864193</v>
      </c>
      <c r="O78" s="75">
        <f t="shared" si="30"/>
        <v>318045</v>
      </c>
      <c r="P78" s="75">
        <f t="shared" si="31"/>
        <v>1217655</v>
      </c>
      <c r="Q78" s="76">
        <f t="shared" si="32"/>
        <v>3559427</v>
      </c>
      <c r="R78" s="76">
        <f t="shared" si="33"/>
        <v>1681063</v>
      </c>
      <c r="S78" s="76">
        <f t="shared" si="34"/>
        <v>5417337</v>
      </c>
      <c r="T78" s="80">
        <f>N78/'2015'!M78-1</f>
        <v>0.2793723592930677</v>
      </c>
      <c r="U78" s="80">
        <f>O78/'2015'!N78-1</f>
        <v>7.2935818503837346E-2</v>
      </c>
      <c r="V78" s="80">
        <f>P78/'2015'!O78-1</f>
        <v>0.22985888976311952</v>
      </c>
      <c r="W78" s="81">
        <f>Q78/'2015'!P78-1</f>
        <v>-4.441654789304228E-2</v>
      </c>
      <c r="X78" s="81">
        <f>R78/'2015'!Q78-1</f>
        <v>0.15006365818734602</v>
      </c>
      <c r="Y78" s="81">
        <f>S78/'2015'!R78-1</f>
        <v>2.8843036654882415E-2</v>
      </c>
      <c r="Z78" s="50">
        <f>Z$74+0.669*4</f>
        <v>35.528500000000001</v>
      </c>
      <c r="AA78" s="97">
        <f t="shared" si="37"/>
        <v>320.41419999999999</v>
      </c>
      <c r="AB78" s="105"/>
      <c r="AC78" s="105"/>
      <c r="AD78" s="8">
        <f t="shared" si="38"/>
        <v>3736274</v>
      </c>
      <c r="AE78" s="37">
        <f t="shared" si="40"/>
        <v>115518.20000000001</v>
      </c>
      <c r="AF78" s="37">
        <f t="shared" si="40"/>
        <v>54463</v>
      </c>
      <c r="AG78" s="37">
        <f t="shared" si="39"/>
        <v>6865.7999999999884</v>
      </c>
    </row>
    <row r="79" spans="1:33" ht="15" customHeight="1" x14ac:dyDescent="0.15">
      <c r="A79" s="102">
        <v>42444</v>
      </c>
      <c r="B79" s="20" t="s">
        <v>35</v>
      </c>
      <c r="C79" s="8">
        <v>66607</v>
      </c>
      <c r="D79" s="37">
        <v>22695</v>
      </c>
      <c r="E79" s="37">
        <v>91396</v>
      </c>
      <c r="F79" s="8">
        <v>4606.8</v>
      </c>
      <c r="G79" s="37">
        <v>3108.5</v>
      </c>
      <c r="H79" s="24"/>
      <c r="I79" s="36"/>
      <c r="J79" s="8">
        <f t="shared" si="27"/>
        <v>68701</v>
      </c>
      <c r="K79" s="37">
        <f t="shared" si="36"/>
        <v>1021.8</v>
      </c>
      <c r="L79" s="37">
        <v>793</v>
      </c>
      <c r="M79" s="37">
        <f t="shared" si="42"/>
        <v>279.2</v>
      </c>
      <c r="N79" s="74">
        <f t="shared" si="29"/>
        <v>930800</v>
      </c>
      <c r="O79" s="75">
        <f t="shared" si="30"/>
        <v>340740</v>
      </c>
      <c r="P79" s="75">
        <f t="shared" si="31"/>
        <v>1309051</v>
      </c>
      <c r="Q79" s="76">
        <f t="shared" si="32"/>
        <v>3626034</v>
      </c>
      <c r="R79" s="76">
        <f t="shared" si="33"/>
        <v>1703758</v>
      </c>
      <c r="S79" s="76">
        <f t="shared" si="34"/>
        <v>5508733</v>
      </c>
      <c r="T79" s="80">
        <f>N79/'2015'!M79-1</f>
        <v>0.27123563065333145</v>
      </c>
      <c r="U79" s="80">
        <f>O79/'2015'!N79-1</f>
        <v>7.7401260351418699E-2</v>
      </c>
      <c r="V79" s="80">
        <f>P79/'2015'!O79-1</f>
        <v>0.22576401263358581</v>
      </c>
      <c r="W79" s="81">
        <f>Q79/'2015'!P79-1</f>
        <v>-4.1135585224423954E-2</v>
      </c>
      <c r="X79" s="81">
        <f>R79/'2015'!Q79-1</f>
        <v>0.14998423946828621</v>
      </c>
      <c r="Y79" s="81">
        <f>S79/'2015'!R79-1</f>
        <v>3.0954076433538313E-2</v>
      </c>
      <c r="Z79" s="50">
        <f>Z$74+0.669*5</f>
        <v>36.197499999999998</v>
      </c>
      <c r="AA79" s="97">
        <f t="shared" si="37"/>
        <v>326.40590000000003</v>
      </c>
      <c r="AB79" s="105"/>
      <c r="AC79" s="105"/>
      <c r="AD79" s="8">
        <f t="shared" si="38"/>
        <v>3804975</v>
      </c>
      <c r="AE79" s="37">
        <f t="shared" si="40"/>
        <v>116540.00000000001</v>
      </c>
      <c r="AF79" s="37">
        <f t="shared" si="40"/>
        <v>55256</v>
      </c>
      <c r="AG79" s="37">
        <f t="shared" si="39"/>
        <v>7144.9999999999854</v>
      </c>
    </row>
    <row r="80" spans="1:33" ht="15" customHeight="1" x14ac:dyDescent="0.15">
      <c r="A80" s="102">
        <v>42445</v>
      </c>
      <c r="B80" s="14" t="s">
        <v>36</v>
      </c>
      <c r="C80" s="32">
        <v>63839</v>
      </c>
      <c r="D80" s="33">
        <v>23804</v>
      </c>
      <c r="E80" s="33">
        <v>89828</v>
      </c>
      <c r="F80" s="32">
        <v>4547.8999999999996</v>
      </c>
      <c r="G80" s="33">
        <v>2979.5</v>
      </c>
      <c r="H80" s="19"/>
      <c r="I80" s="19"/>
      <c r="J80" s="32">
        <f t="shared" si="27"/>
        <v>66024</v>
      </c>
      <c r="K80" s="33">
        <f t="shared" si="36"/>
        <v>1113.8</v>
      </c>
      <c r="L80" s="33">
        <v>792</v>
      </c>
      <c r="M80" s="33">
        <f t="shared" si="42"/>
        <v>279.2</v>
      </c>
      <c r="N80" s="77">
        <f t="shared" si="29"/>
        <v>994639</v>
      </c>
      <c r="O80" s="78">
        <f t="shared" si="30"/>
        <v>364544</v>
      </c>
      <c r="P80" s="78">
        <f t="shared" si="31"/>
        <v>1398879</v>
      </c>
      <c r="Q80" s="77">
        <f t="shared" si="32"/>
        <v>3689873</v>
      </c>
      <c r="R80" s="77">
        <f t="shared" si="33"/>
        <v>1727562</v>
      </c>
      <c r="S80" s="77">
        <f t="shared" si="34"/>
        <v>5598561</v>
      </c>
      <c r="T80" s="82">
        <f>N80/'2015'!M80-1</f>
        <v>0.25646017028372192</v>
      </c>
      <c r="U80" s="82">
        <f>O80/'2015'!N80-1</f>
        <v>8.5514522401481718E-2</v>
      </c>
      <c r="V80" s="82">
        <f>P80/'2015'!O80-1</f>
        <v>0.21748791110089916</v>
      </c>
      <c r="W80" s="82">
        <f>Q80/'2015'!P80-1</f>
        <v>-3.9348494445863302E-2</v>
      </c>
      <c r="X80" s="82">
        <f>R80/'2015'!Q80-1</f>
        <v>0.15085329961615179</v>
      </c>
      <c r="Y80" s="82">
        <f>S80/'2015'!R80-1</f>
        <v>3.2111527666961237E-2</v>
      </c>
      <c r="Z80" s="49">
        <f>Z$74+0.669*6</f>
        <v>36.866500000000002</v>
      </c>
      <c r="AA80" s="49">
        <f t="shared" si="37"/>
        <v>332.12080000000003</v>
      </c>
      <c r="AB80" s="33">
        <v>4230.1000000000004</v>
      </c>
      <c r="AC80" s="33">
        <f t="shared" si="41"/>
        <v>785.13699439729567</v>
      </c>
      <c r="AD80" s="32">
        <f t="shared" si="38"/>
        <v>3870999</v>
      </c>
      <c r="AE80" s="33">
        <f t="shared" si="40"/>
        <v>117653.80000000002</v>
      </c>
      <c r="AF80" s="33">
        <f t="shared" si="40"/>
        <v>56048</v>
      </c>
      <c r="AG80" s="33">
        <f t="shared" si="39"/>
        <v>7424.1999999999825</v>
      </c>
    </row>
    <row r="81" spans="1:33" ht="15" customHeight="1" x14ac:dyDescent="0.15">
      <c r="A81" s="102">
        <v>42446</v>
      </c>
      <c r="B81" s="20" t="s">
        <v>37</v>
      </c>
      <c r="C81" s="8">
        <v>64530</v>
      </c>
      <c r="D81" s="37">
        <v>23771</v>
      </c>
      <c r="E81" s="37">
        <v>90163</v>
      </c>
      <c r="F81" s="8">
        <v>4566</v>
      </c>
      <c r="G81" s="37">
        <v>2973</v>
      </c>
      <c r="H81" s="24"/>
      <c r="I81" s="36"/>
      <c r="J81" s="8">
        <f t="shared" si="27"/>
        <v>66392</v>
      </c>
      <c r="K81" s="37">
        <f t="shared" si="36"/>
        <v>789.8</v>
      </c>
      <c r="L81" s="37">
        <v>793</v>
      </c>
      <c r="M81" s="37">
        <f t="shared" si="42"/>
        <v>279.2</v>
      </c>
      <c r="N81" s="74">
        <f t="shared" si="29"/>
        <v>1059169</v>
      </c>
      <c r="O81" s="75">
        <f t="shared" si="30"/>
        <v>388315</v>
      </c>
      <c r="P81" s="75">
        <f t="shared" si="31"/>
        <v>1489042</v>
      </c>
      <c r="Q81" s="76">
        <f t="shared" si="32"/>
        <v>3754403</v>
      </c>
      <c r="R81" s="76">
        <f t="shared" si="33"/>
        <v>1751333</v>
      </c>
      <c r="S81" s="76">
        <f t="shared" si="34"/>
        <v>5688724</v>
      </c>
      <c r="T81" s="80">
        <f>N81/'2015'!M81-1</f>
        <v>0.24513926523817875</v>
      </c>
      <c r="U81" s="80">
        <f>O81/'2015'!N81-1</f>
        <v>9.1045233218417065E-2</v>
      </c>
      <c r="V81" s="80">
        <f>P81/'2015'!O81-1</f>
        <v>0.21043595600608045</v>
      </c>
      <c r="W81" s="81">
        <f>Q81/'2015'!P81-1</f>
        <v>-3.7340956514738122E-2</v>
      </c>
      <c r="X81" s="81">
        <f>R81/'2015'!Q81-1</f>
        <v>0.15128461167802509</v>
      </c>
      <c r="Y81" s="81">
        <f>S81/'2015'!R81-1</f>
        <v>3.3269288962172405E-2</v>
      </c>
      <c r="Z81" s="50">
        <f>Z$74+0.669*7</f>
        <v>37.535499999999999</v>
      </c>
      <c r="AA81" s="97">
        <f t="shared" si="37"/>
        <v>337.90479999999997</v>
      </c>
      <c r="AB81" s="105">
        <v>4230.1000000000004</v>
      </c>
      <c r="AC81" s="105">
        <f t="shared" si="41"/>
        <v>798.81043001347473</v>
      </c>
      <c r="AD81" s="8">
        <f t="shared" si="38"/>
        <v>3937391</v>
      </c>
      <c r="AE81" s="37">
        <f t="shared" si="40"/>
        <v>118443.60000000002</v>
      </c>
      <c r="AF81" s="37">
        <f t="shared" si="40"/>
        <v>56841</v>
      </c>
      <c r="AG81" s="37">
        <f t="shared" si="39"/>
        <v>7703.3999999999796</v>
      </c>
    </row>
    <row r="82" spans="1:33" ht="15" customHeight="1" x14ac:dyDescent="0.15">
      <c r="A82" s="102">
        <v>42447</v>
      </c>
      <c r="B82" s="20" t="s">
        <v>38</v>
      </c>
      <c r="C82" s="70">
        <v>65084</v>
      </c>
      <c r="D82" s="71">
        <v>23200</v>
      </c>
      <c r="E82" s="71">
        <v>90145</v>
      </c>
      <c r="F82" s="70">
        <v>4564.8999999999996</v>
      </c>
      <c r="G82" s="71">
        <v>2949.4</v>
      </c>
      <c r="H82" s="24"/>
      <c r="I82" s="24"/>
      <c r="J82" s="70">
        <f t="shared" si="27"/>
        <v>66945</v>
      </c>
      <c r="K82" s="71">
        <f t="shared" si="36"/>
        <v>792.8</v>
      </c>
      <c r="L82" s="71">
        <v>789</v>
      </c>
      <c r="M82" s="71">
        <f t="shared" si="42"/>
        <v>279.2</v>
      </c>
      <c r="N82" s="74">
        <f t="shared" si="29"/>
        <v>1124253</v>
      </c>
      <c r="O82" s="75">
        <f t="shared" si="30"/>
        <v>411515</v>
      </c>
      <c r="P82" s="75">
        <f t="shared" si="31"/>
        <v>1579187</v>
      </c>
      <c r="Q82" s="76">
        <f t="shared" si="32"/>
        <v>3819487</v>
      </c>
      <c r="R82" s="76">
        <f t="shared" si="33"/>
        <v>1774533</v>
      </c>
      <c r="S82" s="76">
        <f t="shared" si="34"/>
        <v>5778869</v>
      </c>
      <c r="T82" s="80">
        <f>N82/'2015'!M82-1</f>
        <v>0.2357293834064822</v>
      </c>
      <c r="U82" s="80">
        <f>O82/'2015'!N82-1</f>
        <v>9.4451876457775308E-2</v>
      </c>
      <c r="V82" s="80">
        <f>P82/'2015'!O82-1</f>
        <v>0.20395879426254626</v>
      </c>
      <c r="W82" s="81">
        <f>Q82/'2015'!P82-1</f>
        <v>-3.5283316242252227E-2</v>
      </c>
      <c r="X82" s="81">
        <f>R82/'2015'!Q82-1</f>
        <v>0.15133047728232674</v>
      </c>
      <c r="Y82" s="81">
        <f>S82/'2015'!R82-1</f>
        <v>3.4332787428070333E-2</v>
      </c>
      <c r="Z82" s="97">
        <f>Z$74+0.669*8</f>
        <v>38.204499999999996</v>
      </c>
      <c r="AA82" s="97">
        <f t="shared" si="37"/>
        <v>343.74419999999998</v>
      </c>
      <c r="AB82" s="106"/>
      <c r="AC82" s="105"/>
      <c r="AD82" s="70">
        <f t="shared" si="38"/>
        <v>4004336</v>
      </c>
      <c r="AE82" s="71">
        <f t="shared" si="40"/>
        <v>119236.40000000002</v>
      </c>
      <c r="AF82" s="71">
        <f t="shared" si="40"/>
        <v>57630</v>
      </c>
      <c r="AG82" s="71">
        <f t="shared" si="39"/>
        <v>7982.5999999999767</v>
      </c>
    </row>
    <row r="83" spans="1:33" ht="15" customHeight="1" x14ac:dyDescent="0.15">
      <c r="A83" s="102">
        <v>42448</v>
      </c>
      <c r="B83" s="20" t="s">
        <v>39</v>
      </c>
      <c r="C83" s="8">
        <v>64475</v>
      </c>
      <c r="D83" s="37">
        <v>22877</v>
      </c>
      <c r="E83" s="37">
        <v>88821</v>
      </c>
      <c r="F83" s="8">
        <v>4557.3</v>
      </c>
      <c r="G83" s="37">
        <v>2957.5</v>
      </c>
      <c r="H83" s="24"/>
      <c r="I83" s="36"/>
      <c r="J83" s="8">
        <f t="shared" si="27"/>
        <v>65944</v>
      </c>
      <c r="K83" s="37">
        <f t="shared" si="36"/>
        <v>398.79999999999995</v>
      </c>
      <c r="L83" s="37">
        <v>791</v>
      </c>
      <c r="M83" s="37">
        <f t="shared" si="42"/>
        <v>279.2</v>
      </c>
      <c r="N83" s="74">
        <f t="shared" si="29"/>
        <v>1188728</v>
      </c>
      <c r="O83" s="75">
        <f t="shared" si="30"/>
        <v>434392</v>
      </c>
      <c r="P83" s="75">
        <f t="shared" si="31"/>
        <v>1668008</v>
      </c>
      <c r="Q83" s="76">
        <f t="shared" si="32"/>
        <v>3883962</v>
      </c>
      <c r="R83" s="76">
        <f t="shared" si="33"/>
        <v>1797410</v>
      </c>
      <c r="S83" s="76">
        <f t="shared" si="34"/>
        <v>5867690</v>
      </c>
      <c r="T83" s="80">
        <f>N83/'2015'!M83-1</f>
        <v>0.2286734009378919</v>
      </c>
      <c r="U83" s="80">
        <f>O83/'2015'!N83-1</f>
        <v>8.7486168343155368E-2</v>
      </c>
      <c r="V83" s="80">
        <f>P83/'2015'!O83-1</f>
        <v>0.19677017100529648</v>
      </c>
      <c r="W83" s="81">
        <f>Q83/'2015'!P83-1</f>
        <v>-3.3089860787476888E-2</v>
      </c>
      <c r="X83" s="81">
        <f>R83/'2015'!Q83-1</f>
        <v>0.14870003463847525</v>
      </c>
      <c r="Y83" s="81">
        <f>S83/'2015'!R83-1</f>
        <v>3.5021853379680223E-2</v>
      </c>
      <c r="Z83" s="50">
        <f>Z$74+0.669*9</f>
        <v>38.8735</v>
      </c>
      <c r="AA83" s="97">
        <f t="shared" si="37"/>
        <v>349.52270000000004</v>
      </c>
      <c r="AB83" s="105"/>
      <c r="AC83" s="105"/>
      <c r="AD83" s="8">
        <f t="shared" si="38"/>
        <v>4070280</v>
      </c>
      <c r="AE83" s="37">
        <f t="shared" si="40"/>
        <v>119635.20000000003</v>
      </c>
      <c r="AF83" s="37">
        <f t="shared" si="40"/>
        <v>58421</v>
      </c>
      <c r="AG83" s="37">
        <f t="shared" si="39"/>
        <v>8261.7999999999738</v>
      </c>
    </row>
    <row r="84" spans="1:33" ht="15" customHeight="1" x14ac:dyDescent="0.15">
      <c r="A84" s="102">
        <v>42449</v>
      </c>
      <c r="B84" s="20" t="s">
        <v>1</v>
      </c>
      <c r="C84" s="8">
        <v>56412</v>
      </c>
      <c r="D84" s="37">
        <v>25390</v>
      </c>
      <c r="E84" s="37">
        <v>83894</v>
      </c>
      <c r="F84" s="8">
        <v>4110.1000000000004</v>
      </c>
      <c r="G84" s="37">
        <v>2917.1</v>
      </c>
      <c r="H84" s="24"/>
      <c r="I84" s="36"/>
      <c r="J84" s="8">
        <f t="shared" si="27"/>
        <v>58504</v>
      </c>
      <c r="K84" s="37">
        <f t="shared" si="36"/>
        <v>1021.8</v>
      </c>
      <c r="L84" s="37">
        <v>791</v>
      </c>
      <c r="M84" s="37">
        <f t="shared" si="42"/>
        <v>279.2</v>
      </c>
      <c r="N84" s="74">
        <f t="shared" si="29"/>
        <v>1245140</v>
      </c>
      <c r="O84" s="75">
        <f t="shared" si="30"/>
        <v>459782</v>
      </c>
      <c r="P84" s="75">
        <f t="shared" si="31"/>
        <v>1751902</v>
      </c>
      <c r="Q84" s="76">
        <f t="shared" si="32"/>
        <v>3940374</v>
      </c>
      <c r="R84" s="76">
        <f t="shared" si="33"/>
        <v>1822800</v>
      </c>
      <c r="S84" s="76">
        <f t="shared" si="34"/>
        <v>5951584</v>
      </c>
      <c r="T84" s="80">
        <f>N84/'2015'!M84-1</f>
        <v>0.21452071817411245</v>
      </c>
      <c r="U84" s="80">
        <f>O84/'2015'!N84-1</f>
        <v>8.5774335238275157E-2</v>
      </c>
      <c r="V84" s="80">
        <f>P84/'2015'!O84-1</f>
        <v>0.18527524347876101</v>
      </c>
      <c r="W84" s="81">
        <f>Q84/'2015'!P84-1</f>
        <v>-3.2942603964755346E-2</v>
      </c>
      <c r="X84" s="81">
        <f>R84/'2015'!Q84-1</f>
        <v>0.14731851747413693</v>
      </c>
      <c r="Y84" s="81">
        <f>S84/'2015'!R84-1</f>
        <v>3.4438683063341413E-2</v>
      </c>
      <c r="Z84" s="50">
        <v>39.5351</v>
      </c>
      <c r="AA84" s="97">
        <f t="shared" si="37"/>
        <v>354.50229999999999</v>
      </c>
      <c r="AB84" s="105">
        <v>4230.1000000000004</v>
      </c>
      <c r="AC84" s="105">
        <f t="shared" si="41"/>
        <v>838.04709108531711</v>
      </c>
      <c r="AD84" s="8">
        <f t="shared" si="38"/>
        <v>4128784</v>
      </c>
      <c r="AE84" s="37">
        <v>120658</v>
      </c>
      <c r="AF84" s="37">
        <v>59211</v>
      </c>
      <c r="AG84" s="37">
        <f t="shared" si="39"/>
        <v>8541</v>
      </c>
    </row>
    <row r="85" spans="1:33" ht="15" customHeight="1" x14ac:dyDescent="0.15">
      <c r="A85" s="102">
        <v>42450</v>
      </c>
      <c r="B85" s="20" t="s">
        <v>34</v>
      </c>
      <c r="C85" s="8">
        <v>62808</v>
      </c>
      <c r="D85" s="37">
        <v>25425</v>
      </c>
      <c r="E85" s="37">
        <v>89472</v>
      </c>
      <c r="F85" s="8">
        <v>4584.2</v>
      </c>
      <c r="G85" s="37">
        <v>2807</v>
      </c>
      <c r="H85" s="24"/>
      <c r="I85" s="36"/>
      <c r="J85" s="8">
        <f t="shared" si="27"/>
        <v>64047</v>
      </c>
      <c r="K85" s="37">
        <f t="shared" si="36"/>
        <v>368.27272727272725</v>
      </c>
      <c r="L85" s="37">
        <v>791</v>
      </c>
      <c r="M85" s="37">
        <f>(AG$95-AG$84)/11</f>
        <v>79.727272727272734</v>
      </c>
      <c r="N85" s="74">
        <f t="shared" si="29"/>
        <v>1307948</v>
      </c>
      <c r="O85" s="75">
        <f t="shared" si="30"/>
        <v>485207</v>
      </c>
      <c r="P85" s="75">
        <f t="shared" si="31"/>
        <v>1841374</v>
      </c>
      <c r="Q85" s="76">
        <f t="shared" si="32"/>
        <v>4003182</v>
      </c>
      <c r="R85" s="76">
        <f t="shared" si="33"/>
        <v>1848225</v>
      </c>
      <c r="S85" s="76">
        <f t="shared" si="34"/>
        <v>6041056</v>
      </c>
      <c r="T85" s="80">
        <f>N85/'2015'!M85-1</f>
        <v>0.20959800537867102</v>
      </c>
      <c r="U85" s="80">
        <f>O85/'2015'!N85-1</f>
        <v>8.2391756808908756E-2</v>
      </c>
      <c r="V85" s="80">
        <f>P85/'2015'!O85-1</f>
        <v>0.17930430694879673</v>
      </c>
      <c r="W85" s="81">
        <f>Q85/'2015'!P85-1</f>
        <v>-3.0870562100990706E-2</v>
      </c>
      <c r="X85" s="81">
        <f>R85/'2015'!Q85-1</f>
        <v>0.14543236977096008</v>
      </c>
      <c r="Y85" s="81">
        <f>S85/'2015'!R85-1</f>
        <v>3.4995404155876653E-2</v>
      </c>
      <c r="Z85" s="50">
        <f>Z$84+0.717*1</f>
        <v>40.252099999999999</v>
      </c>
      <c r="AA85" s="97">
        <f t="shared" si="37"/>
        <v>360.06610000000001</v>
      </c>
      <c r="AB85" s="105"/>
      <c r="AC85" s="105"/>
      <c r="AD85" s="8">
        <f t="shared" si="38"/>
        <v>4192831</v>
      </c>
      <c r="AE85" s="37">
        <f t="shared" si="40"/>
        <v>121026.27272727272</v>
      </c>
      <c r="AF85" s="37">
        <f t="shared" si="40"/>
        <v>60002</v>
      </c>
      <c r="AG85" s="37">
        <f t="shared" si="39"/>
        <v>8620.7272727272793</v>
      </c>
    </row>
    <row r="86" spans="1:33" ht="15" customHeight="1" x14ac:dyDescent="0.15">
      <c r="A86" s="102">
        <v>42451</v>
      </c>
      <c r="B86" s="20" t="s">
        <v>35</v>
      </c>
      <c r="C86" s="8">
        <v>65071</v>
      </c>
      <c r="D86" s="37">
        <v>26127</v>
      </c>
      <c r="E86" s="37">
        <v>92147</v>
      </c>
      <c r="F86" s="8">
        <v>4708.1000000000004</v>
      </c>
      <c r="G86" s="37">
        <v>2993.9</v>
      </c>
      <c r="H86" s="24"/>
      <c r="I86" s="36"/>
      <c r="J86" s="8">
        <f t="shared" si="27"/>
        <v>66020</v>
      </c>
      <c r="K86" s="37">
        <f t="shared" si="36"/>
        <v>77.272727272727252</v>
      </c>
      <c r="L86" s="37">
        <v>792</v>
      </c>
      <c r="M86" s="37">
        <f t="shared" ref="M86:M95" si="43">(AG$95-AG$84)/11</f>
        <v>79.727272727272734</v>
      </c>
      <c r="N86" s="74">
        <f t="shared" si="29"/>
        <v>1373019</v>
      </c>
      <c r="O86" s="75">
        <f t="shared" si="30"/>
        <v>511334</v>
      </c>
      <c r="P86" s="75">
        <f t="shared" si="31"/>
        <v>1933521</v>
      </c>
      <c r="Q86" s="76">
        <f t="shared" si="32"/>
        <v>4068253</v>
      </c>
      <c r="R86" s="76">
        <f t="shared" si="33"/>
        <v>1874352</v>
      </c>
      <c r="S86" s="76">
        <f t="shared" si="34"/>
        <v>6133203</v>
      </c>
      <c r="T86" s="80">
        <f>N86/'2015'!M86-1</f>
        <v>0.21076338765673341</v>
      </c>
      <c r="U86" s="80">
        <f>O86/'2015'!N86-1</f>
        <v>8.1090109518372921E-2</v>
      </c>
      <c r="V86" s="80">
        <f>P86/'2015'!O86-1</f>
        <v>0.17837768986849967</v>
      </c>
      <c r="W86" s="81">
        <f>Q86/'2015'!P86-1</f>
        <v>-2.7525205562362931E-2</v>
      </c>
      <c r="X86" s="81">
        <f>R86/'2015'!Q86-1</f>
        <v>0.14410584837157292</v>
      </c>
      <c r="Y86" s="81">
        <f>S86/'2015'!R86-1</f>
        <v>3.667577664864119E-2</v>
      </c>
      <c r="Z86" s="50">
        <f>Z$84+0.717*2</f>
        <v>40.969099999999997</v>
      </c>
      <c r="AA86" s="97">
        <f t="shared" si="37"/>
        <v>365.85620000000006</v>
      </c>
      <c r="AB86" s="105"/>
      <c r="AC86" s="105"/>
      <c r="AD86" s="8">
        <f t="shared" si="38"/>
        <v>4258851</v>
      </c>
      <c r="AE86" s="37">
        <f t="shared" si="40"/>
        <v>121103.54545454544</v>
      </c>
      <c r="AF86" s="37">
        <f t="shared" si="40"/>
        <v>60794</v>
      </c>
      <c r="AG86" s="37">
        <f t="shared" si="39"/>
        <v>8700.4545454545587</v>
      </c>
    </row>
    <row r="87" spans="1:33" ht="15" customHeight="1" x14ac:dyDescent="0.15">
      <c r="A87" s="102">
        <v>42452</v>
      </c>
      <c r="B87" s="14" t="s">
        <v>36</v>
      </c>
      <c r="C87" s="32">
        <v>64394</v>
      </c>
      <c r="D87" s="33">
        <v>26695</v>
      </c>
      <c r="E87" s="33">
        <v>92336</v>
      </c>
      <c r="F87" s="32">
        <v>4750.8999999999996</v>
      </c>
      <c r="G87" s="33">
        <v>3003.6</v>
      </c>
      <c r="H87" s="19"/>
      <c r="I87" s="19"/>
      <c r="J87" s="32">
        <f t="shared" si="27"/>
        <v>65641</v>
      </c>
      <c r="K87" s="33">
        <f t="shared" si="36"/>
        <v>376.27272727272725</v>
      </c>
      <c r="L87" s="33">
        <v>791</v>
      </c>
      <c r="M87" s="33">
        <f t="shared" si="43"/>
        <v>79.727272727272734</v>
      </c>
      <c r="N87" s="77">
        <f t="shared" si="29"/>
        <v>1437413</v>
      </c>
      <c r="O87" s="78">
        <f t="shared" si="30"/>
        <v>538029</v>
      </c>
      <c r="P87" s="78">
        <f t="shared" si="31"/>
        <v>2025857</v>
      </c>
      <c r="Q87" s="77">
        <f t="shared" si="32"/>
        <v>4132647</v>
      </c>
      <c r="R87" s="77">
        <f t="shared" si="33"/>
        <v>1901047</v>
      </c>
      <c r="S87" s="77">
        <f t="shared" si="34"/>
        <v>6225539</v>
      </c>
      <c r="T87" s="82">
        <f>N87/'2015'!M87-1</f>
        <v>0.20612724552531181</v>
      </c>
      <c r="U87" s="82">
        <f>O87/'2015'!N87-1</f>
        <v>8.1317528458421773E-2</v>
      </c>
      <c r="V87" s="82">
        <f>P87/'2015'!O87-1</f>
        <v>0.17424512039470397</v>
      </c>
      <c r="W87" s="82">
        <f>Q87/'2015'!P87-1</f>
        <v>-2.5583391297171798E-2</v>
      </c>
      <c r="X87" s="82">
        <f>R87/'2015'!Q87-1</f>
        <v>0.14324210875746313</v>
      </c>
      <c r="Y87" s="82">
        <f>S87/'2015'!R87-1</f>
        <v>3.7480897839060168E-2</v>
      </c>
      <c r="Z87" s="49">
        <f>Z$84+0.717*3</f>
        <v>41.686099999999996</v>
      </c>
      <c r="AA87" s="49">
        <f t="shared" si="37"/>
        <v>371.57859999999999</v>
      </c>
      <c r="AB87" s="33">
        <v>4230.1000000000004</v>
      </c>
      <c r="AC87" s="33">
        <f t="shared" si="41"/>
        <v>878.4156402921916</v>
      </c>
      <c r="AD87" s="32">
        <f t="shared" si="38"/>
        <v>4324492</v>
      </c>
      <c r="AE87" s="33">
        <f t="shared" si="40"/>
        <v>121479.81818181816</v>
      </c>
      <c r="AF87" s="33">
        <f t="shared" si="40"/>
        <v>61585</v>
      </c>
      <c r="AG87" s="33">
        <f t="shared" si="39"/>
        <v>8780.181818181838</v>
      </c>
    </row>
    <row r="88" spans="1:33" ht="15" customHeight="1" x14ac:dyDescent="0.15">
      <c r="A88" s="102">
        <v>42453</v>
      </c>
      <c r="B88" s="20" t="s">
        <v>37</v>
      </c>
      <c r="C88" s="8">
        <v>64248</v>
      </c>
      <c r="D88" s="37">
        <v>27622</v>
      </c>
      <c r="E88" s="37">
        <v>93323</v>
      </c>
      <c r="F88" s="8">
        <v>4763</v>
      </c>
      <c r="G88" s="37">
        <v>2966</v>
      </c>
      <c r="H88" s="24">
        <v>1420</v>
      </c>
      <c r="I88" s="36">
        <v>850</v>
      </c>
      <c r="J88" s="8">
        <f t="shared" si="27"/>
        <v>65701</v>
      </c>
      <c r="K88" s="37">
        <f t="shared" si="36"/>
        <v>580.27272727272725</v>
      </c>
      <c r="L88" s="37">
        <v>793</v>
      </c>
      <c r="M88" s="37">
        <f t="shared" si="43"/>
        <v>79.727272727272734</v>
      </c>
      <c r="N88" s="74">
        <f t="shared" si="29"/>
        <v>1501661</v>
      </c>
      <c r="O88" s="75">
        <f t="shared" si="30"/>
        <v>565651</v>
      </c>
      <c r="P88" s="75">
        <f t="shared" si="31"/>
        <v>2119180</v>
      </c>
      <c r="Q88" s="76">
        <f t="shared" si="32"/>
        <v>4196895</v>
      </c>
      <c r="R88" s="76">
        <f t="shared" si="33"/>
        <v>1928669</v>
      </c>
      <c r="S88" s="76">
        <f t="shared" si="34"/>
        <v>6318862</v>
      </c>
      <c r="T88" s="80">
        <f>N88/'2015'!M88-1</f>
        <v>0.19997618684219143</v>
      </c>
      <c r="U88" s="80">
        <f>O88/'2015'!N88-1</f>
        <v>8.2009954512240357E-2</v>
      </c>
      <c r="V88" s="80">
        <f>P88/'2015'!O88-1</f>
        <v>0.16958154171861461</v>
      </c>
      <c r="W88" s="81">
        <f>Q88/'2015'!P88-1</f>
        <v>-2.4159458705357184E-2</v>
      </c>
      <c r="X88" s="81">
        <f>R88/'2015'!Q88-1</f>
        <v>0.14253174935103252</v>
      </c>
      <c r="Y88" s="81">
        <f>S88/'2015'!R88-1</f>
        <v>3.8040011492778136E-2</v>
      </c>
      <c r="Z88" s="50">
        <f>Z$84+0.717*4</f>
        <v>42.403100000000002</v>
      </c>
      <c r="AA88" s="97">
        <f t="shared" si="37"/>
        <v>377.28640000000001</v>
      </c>
      <c r="AB88" s="105">
        <v>4230.1000000000004</v>
      </c>
      <c r="AC88" s="105">
        <f t="shared" si="41"/>
        <v>891.90893832297104</v>
      </c>
      <c r="AD88" s="8">
        <f t="shared" si="38"/>
        <v>4390193</v>
      </c>
      <c r="AE88" s="37">
        <f t="shared" si="40"/>
        <v>122060.09090909088</v>
      </c>
      <c r="AF88" s="37">
        <f t="shared" si="40"/>
        <v>62378</v>
      </c>
      <c r="AG88" s="37">
        <f t="shared" si="39"/>
        <v>8859.9090909091174</v>
      </c>
    </row>
    <row r="89" spans="1:33" ht="15" customHeight="1" x14ac:dyDescent="0.15">
      <c r="A89" s="102">
        <v>42454</v>
      </c>
      <c r="B89" s="20" t="s">
        <v>38</v>
      </c>
      <c r="C89" s="70">
        <v>61958</v>
      </c>
      <c r="D89" s="71">
        <v>28820</v>
      </c>
      <c r="E89" s="71">
        <v>92188</v>
      </c>
      <c r="F89" s="70">
        <v>4636</v>
      </c>
      <c r="G89" s="71">
        <v>3054</v>
      </c>
      <c r="H89" s="24"/>
      <c r="I89" s="24"/>
      <c r="J89" s="70">
        <f t="shared" si="27"/>
        <v>63368</v>
      </c>
      <c r="K89" s="71">
        <f t="shared" si="36"/>
        <v>539.27272727272725</v>
      </c>
      <c r="L89" s="71">
        <v>791</v>
      </c>
      <c r="M89" s="71">
        <f t="shared" si="43"/>
        <v>79.727272727272734</v>
      </c>
      <c r="N89" s="74">
        <f t="shared" si="29"/>
        <v>1563619</v>
      </c>
      <c r="O89" s="75">
        <f t="shared" si="30"/>
        <v>594471</v>
      </c>
      <c r="P89" s="75">
        <f t="shared" si="31"/>
        <v>2211368</v>
      </c>
      <c r="Q89" s="76">
        <f t="shared" si="32"/>
        <v>4258853</v>
      </c>
      <c r="R89" s="76">
        <f t="shared" si="33"/>
        <v>1957489</v>
      </c>
      <c r="S89" s="76">
        <f t="shared" si="34"/>
        <v>6411050</v>
      </c>
      <c r="T89" s="80">
        <f>N89/'2015'!M89-1</f>
        <v>0.19268274078763703</v>
      </c>
      <c r="U89" s="80">
        <f>O89/'2015'!N89-1</f>
        <v>8.4383567640926582E-2</v>
      </c>
      <c r="V89" s="80">
        <f>P89/'2015'!O89-1</f>
        <v>0.16423206638651133</v>
      </c>
      <c r="W89" s="81">
        <f>Q89/'2015'!P89-1</f>
        <v>-2.3288683770139484E-2</v>
      </c>
      <c r="X89" s="81">
        <f>R89/'2015'!Q89-1</f>
        <v>0.14239284645045025</v>
      </c>
      <c r="Y89" s="81">
        <f>S89/'2015'!R89-1</f>
        <v>3.8258667068298502E-2</v>
      </c>
      <c r="Z89" s="97">
        <f>Z$84+0.717*5</f>
        <v>43.120100000000001</v>
      </c>
      <c r="AA89" s="97">
        <f t="shared" si="37"/>
        <v>382.76519999999999</v>
      </c>
      <c r="AB89" s="106"/>
      <c r="AC89" s="105"/>
      <c r="AD89" s="70">
        <f t="shared" si="38"/>
        <v>4453561</v>
      </c>
      <c r="AE89" s="71">
        <f t="shared" si="40"/>
        <v>122599.3636363636</v>
      </c>
      <c r="AF89" s="71">
        <f t="shared" si="40"/>
        <v>63169</v>
      </c>
      <c r="AG89" s="71">
        <f t="shared" si="39"/>
        <v>8939.6363636363967</v>
      </c>
    </row>
    <row r="90" spans="1:33" ht="15" customHeight="1" x14ac:dyDescent="0.15">
      <c r="A90" s="102">
        <v>42455</v>
      </c>
      <c r="B90" s="20" t="s">
        <v>39</v>
      </c>
      <c r="C90" s="8">
        <v>59928</v>
      </c>
      <c r="D90" s="37">
        <v>29264</v>
      </c>
      <c r="E90" s="37">
        <v>90569</v>
      </c>
      <c r="F90" s="8">
        <v>4535</v>
      </c>
      <c r="G90" s="37">
        <v>3066</v>
      </c>
      <c r="H90" s="24"/>
      <c r="I90" s="36"/>
      <c r="J90" s="8">
        <f t="shared" si="27"/>
        <v>61305</v>
      </c>
      <c r="K90" s="37">
        <f t="shared" si="36"/>
        <v>504.27272727272725</v>
      </c>
      <c r="L90" s="37">
        <v>793</v>
      </c>
      <c r="M90" s="37">
        <f t="shared" si="43"/>
        <v>79.727272727272734</v>
      </c>
      <c r="N90" s="74">
        <f t="shared" si="29"/>
        <v>1623547</v>
      </c>
      <c r="O90" s="75">
        <f t="shared" si="30"/>
        <v>623735</v>
      </c>
      <c r="P90" s="75">
        <f t="shared" si="31"/>
        <v>2301937</v>
      </c>
      <c r="Q90" s="76">
        <f t="shared" si="32"/>
        <v>4318781</v>
      </c>
      <c r="R90" s="76">
        <f t="shared" si="33"/>
        <v>1986753</v>
      </c>
      <c r="S90" s="76">
        <f t="shared" si="34"/>
        <v>6501619</v>
      </c>
      <c r="T90" s="80">
        <f>N90/'2015'!M90-1</f>
        <v>0.18276484314158314</v>
      </c>
      <c r="U90" s="80">
        <f>O90/'2015'!N90-1</f>
        <v>8.5296338700640684E-2</v>
      </c>
      <c r="V90" s="80">
        <f>P90/'2015'!O90-1</f>
        <v>0.15706391269206188</v>
      </c>
      <c r="W90" s="81">
        <f>Q90/'2015'!P90-1</f>
        <v>-2.3355846209302311E-2</v>
      </c>
      <c r="X90" s="81">
        <f>R90/'2015'!Q90-1</f>
        <v>0.14181075653936026</v>
      </c>
      <c r="Y90" s="81">
        <f>S90/'2015'!R90-1</f>
        <v>3.7792911947480912E-2</v>
      </c>
      <c r="Z90" s="50">
        <f>Z$84+0.717*6</f>
        <v>43.8371</v>
      </c>
      <c r="AA90" s="97">
        <f t="shared" si="37"/>
        <v>388.041</v>
      </c>
      <c r="AB90" s="105"/>
      <c r="AC90" s="105"/>
      <c r="AD90" s="8">
        <f t="shared" si="38"/>
        <v>4514866</v>
      </c>
      <c r="AE90" s="37">
        <f t="shared" si="40"/>
        <v>123103.63636363632</v>
      </c>
      <c r="AF90" s="37">
        <f t="shared" si="40"/>
        <v>63962</v>
      </c>
      <c r="AG90" s="37">
        <f t="shared" si="39"/>
        <v>9019.3636363636761</v>
      </c>
    </row>
    <row r="91" spans="1:33" ht="15" customHeight="1" x14ac:dyDescent="0.15">
      <c r="A91" s="102">
        <v>42456</v>
      </c>
      <c r="B91" s="20" t="s">
        <v>1</v>
      </c>
      <c r="C91" s="8">
        <v>55320</v>
      </c>
      <c r="D91" s="37">
        <v>29100</v>
      </c>
      <c r="E91" s="37">
        <v>85782</v>
      </c>
      <c r="F91" s="8">
        <v>4208</v>
      </c>
      <c r="G91" s="37">
        <v>2957</v>
      </c>
      <c r="H91" s="24"/>
      <c r="I91" s="36"/>
      <c r="J91" s="8">
        <f t="shared" si="27"/>
        <v>56682</v>
      </c>
      <c r="K91" s="37">
        <f t="shared" si="36"/>
        <v>491.27272727272725</v>
      </c>
      <c r="L91" s="37">
        <v>791</v>
      </c>
      <c r="M91" s="37">
        <f t="shared" si="43"/>
        <v>79.727272727272734</v>
      </c>
      <c r="N91" s="74">
        <f t="shared" si="29"/>
        <v>1678867</v>
      </c>
      <c r="O91" s="75">
        <f t="shared" si="30"/>
        <v>652835</v>
      </c>
      <c r="P91" s="75">
        <f t="shared" si="31"/>
        <v>2387719</v>
      </c>
      <c r="Q91" s="76">
        <f t="shared" si="32"/>
        <v>4374101</v>
      </c>
      <c r="R91" s="76">
        <f t="shared" si="33"/>
        <v>2015853</v>
      </c>
      <c r="S91" s="76">
        <f t="shared" si="34"/>
        <v>6587401</v>
      </c>
      <c r="T91" s="80">
        <f>N91/'2015'!M91-1</f>
        <v>0.17055558034593732</v>
      </c>
      <c r="U91" s="80">
        <f>O91/'2015'!N91-1</f>
        <v>8.6743373850973748E-2</v>
      </c>
      <c r="V91" s="80">
        <f>P91/'2015'!O91-1</f>
        <v>0.14851000807611081</v>
      </c>
      <c r="W91" s="81">
        <f>Q91/'2015'!P91-1</f>
        <v>-2.4430602017691427E-2</v>
      </c>
      <c r="X91" s="81">
        <f>R91/'2015'!Q91-1</f>
        <v>0.14147056591850338</v>
      </c>
      <c r="Y91" s="81">
        <f>S91/'2015'!R91-1</f>
        <v>3.6674352204526084E-2</v>
      </c>
      <c r="Z91" s="50">
        <f>Z$84+0.717*7</f>
        <v>44.554099999999998</v>
      </c>
      <c r="AA91" s="97">
        <f t="shared" si="37"/>
        <v>392.85599999999999</v>
      </c>
      <c r="AB91" s="105"/>
      <c r="AC91" s="105"/>
      <c r="AD91" s="8">
        <f t="shared" si="38"/>
        <v>4571548</v>
      </c>
      <c r="AE91" s="37">
        <f t="shared" si="40"/>
        <v>123594.90909090904</v>
      </c>
      <c r="AF91" s="37">
        <f t="shared" si="40"/>
        <v>64753</v>
      </c>
      <c r="AG91" s="37">
        <f t="shared" si="39"/>
        <v>9099.0909090909554</v>
      </c>
    </row>
    <row r="92" spans="1:33" ht="15" customHeight="1" x14ac:dyDescent="0.15">
      <c r="A92" s="102">
        <v>42457</v>
      </c>
      <c r="B92" s="20" t="s">
        <v>34</v>
      </c>
      <c r="C92" s="8">
        <v>58730</v>
      </c>
      <c r="D92" s="37">
        <v>29545</v>
      </c>
      <c r="E92" s="37">
        <v>89432</v>
      </c>
      <c r="F92" s="8">
        <v>4576</v>
      </c>
      <c r="G92" s="37">
        <v>2889</v>
      </c>
      <c r="H92" s="24"/>
      <c r="I92" s="36"/>
      <c r="J92" s="8">
        <f t="shared" si="27"/>
        <v>59887</v>
      </c>
      <c r="K92" s="37">
        <f t="shared" si="36"/>
        <v>287.27272727272725</v>
      </c>
      <c r="L92" s="37">
        <v>790</v>
      </c>
      <c r="M92" s="37">
        <f t="shared" si="43"/>
        <v>79.727272727272734</v>
      </c>
      <c r="N92" s="74">
        <f t="shared" si="29"/>
        <v>1737597</v>
      </c>
      <c r="O92" s="75">
        <f t="shared" si="30"/>
        <v>682380</v>
      </c>
      <c r="P92" s="75">
        <f t="shared" si="31"/>
        <v>2477151</v>
      </c>
      <c r="Q92" s="76">
        <f t="shared" si="32"/>
        <v>4432831</v>
      </c>
      <c r="R92" s="76">
        <f t="shared" si="33"/>
        <v>2045398</v>
      </c>
      <c r="S92" s="76">
        <f t="shared" si="34"/>
        <v>6676833</v>
      </c>
      <c r="T92" s="80">
        <f>N92/'2015'!M92-1</f>
        <v>0.16450778417430123</v>
      </c>
      <c r="U92" s="80">
        <f>O92/'2015'!N92-1</f>
        <v>8.9461735207058135E-2</v>
      </c>
      <c r="V92" s="80">
        <f>P92/'2015'!O92-1</f>
        <v>0.14351403477511027</v>
      </c>
      <c r="W92" s="81">
        <f>Q92/'2015'!P92-1</f>
        <v>-2.3932510716123567E-2</v>
      </c>
      <c r="X92" s="81">
        <f>R92/'2015'!Q92-1</f>
        <v>0.14163830335883332</v>
      </c>
      <c r="Y92" s="81">
        <f>S92/'2015'!R92-1</f>
        <v>3.6509745173984864E-2</v>
      </c>
      <c r="Z92" s="50">
        <f>Z$84+0.717*8</f>
        <v>45.271099999999997</v>
      </c>
      <c r="AA92" s="97">
        <f t="shared" si="37"/>
        <v>398.012</v>
      </c>
      <c r="AB92" s="105"/>
      <c r="AC92" s="105"/>
      <c r="AD92" s="8">
        <f t="shared" si="38"/>
        <v>4631435</v>
      </c>
      <c r="AE92" s="37">
        <f t="shared" si="40"/>
        <v>123882.18181818177</v>
      </c>
      <c r="AF92" s="37">
        <f t="shared" si="40"/>
        <v>65543</v>
      </c>
      <c r="AG92" s="37">
        <f t="shared" si="39"/>
        <v>9178.8181818182347</v>
      </c>
    </row>
    <row r="93" spans="1:33" ht="15" customHeight="1" x14ac:dyDescent="0.15">
      <c r="A93" s="102">
        <v>42458</v>
      </c>
      <c r="B93" s="20" t="s">
        <v>35</v>
      </c>
      <c r="C93" s="8">
        <v>60523</v>
      </c>
      <c r="D93" s="37">
        <v>28401</v>
      </c>
      <c r="E93" s="37">
        <v>91275</v>
      </c>
      <c r="F93" s="8">
        <v>4520</v>
      </c>
      <c r="G93" s="37">
        <v>2954</v>
      </c>
      <c r="H93" s="24"/>
      <c r="I93" s="36"/>
      <c r="J93" s="8">
        <f t="shared" si="27"/>
        <v>62874</v>
      </c>
      <c r="K93" s="37">
        <f t="shared" si="36"/>
        <v>1480.2727272727275</v>
      </c>
      <c r="L93" s="37">
        <v>791</v>
      </c>
      <c r="M93" s="37">
        <f t="shared" si="43"/>
        <v>79.727272727272734</v>
      </c>
      <c r="N93" s="74">
        <f t="shared" si="29"/>
        <v>1798120</v>
      </c>
      <c r="O93" s="75">
        <f t="shared" si="30"/>
        <v>710781</v>
      </c>
      <c r="P93" s="75">
        <f t="shared" si="31"/>
        <v>2568426</v>
      </c>
      <c r="Q93" s="76">
        <f t="shared" si="32"/>
        <v>4493354</v>
      </c>
      <c r="R93" s="76">
        <f t="shared" si="33"/>
        <v>2073799</v>
      </c>
      <c r="S93" s="76">
        <f t="shared" si="34"/>
        <v>6768108</v>
      </c>
      <c r="T93" s="80">
        <f>N93/'2015'!M93-1</f>
        <v>0.16308417955320631</v>
      </c>
      <c r="U93" s="80">
        <f>O93/'2015'!N93-1</f>
        <v>8.8155505681278834E-2</v>
      </c>
      <c r="V93" s="80">
        <f>P93/'2015'!O93-1</f>
        <v>0.14219173720428224</v>
      </c>
      <c r="W93" s="81">
        <f>Q93/'2015'!P93-1</f>
        <v>-2.2202714724166683E-2</v>
      </c>
      <c r="X93" s="81">
        <f>R93/'2015'!Q93-1</f>
        <v>0.14039866130396383</v>
      </c>
      <c r="Y93" s="81">
        <f>S93/'2015'!R93-1</f>
        <v>3.740579117023568E-2</v>
      </c>
      <c r="Z93" s="50">
        <f>Z$84+0.717*9</f>
        <v>45.988100000000003</v>
      </c>
      <c r="AA93" s="97">
        <f t="shared" si="37"/>
        <v>403.34730000000002</v>
      </c>
      <c r="AB93" s="105"/>
      <c r="AC93" s="105"/>
      <c r="AD93" s="8">
        <f t="shared" si="38"/>
        <v>4694309</v>
      </c>
      <c r="AE93" s="37">
        <f t="shared" si="40"/>
        <v>125362.45454545449</v>
      </c>
      <c r="AF93" s="37">
        <f t="shared" si="40"/>
        <v>66334</v>
      </c>
      <c r="AG93" s="37">
        <f t="shared" si="39"/>
        <v>9258.5454545455141</v>
      </c>
    </row>
    <row r="94" spans="1:33" ht="15" customHeight="1" x14ac:dyDescent="0.15">
      <c r="A94" s="102">
        <v>42459</v>
      </c>
      <c r="B94" s="14" t="s">
        <v>36</v>
      </c>
      <c r="C94" s="32">
        <v>61093</v>
      </c>
      <c r="D94" s="33">
        <v>27989</v>
      </c>
      <c r="E94" s="33">
        <v>91731</v>
      </c>
      <c r="F94" s="32">
        <v>4658</v>
      </c>
      <c r="G94" s="33">
        <v>2977</v>
      </c>
      <c r="H94" s="19"/>
      <c r="I94" s="19"/>
      <c r="J94" s="32">
        <f t="shared" si="27"/>
        <v>63742</v>
      </c>
      <c r="K94" s="33">
        <f t="shared" si="36"/>
        <v>1777.2727272727275</v>
      </c>
      <c r="L94" s="33">
        <v>792</v>
      </c>
      <c r="M94" s="33">
        <f t="shared" si="43"/>
        <v>79.727272727272734</v>
      </c>
      <c r="N94" s="77">
        <f t="shared" si="29"/>
        <v>1859213</v>
      </c>
      <c r="O94" s="78">
        <f t="shared" si="30"/>
        <v>738770</v>
      </c>
      <c r="P94" s="78">
        <f t="shared" si="31"/>
        <v>2660157</v>
      </c>
      <c r="Q94" s="77">
        <f t="shared" si="32"/>
        <v>4554447</v>
      </c>
      <c r="R94" s="77">
        <f t="shared" si="33"/>
        <v>2101788</v>
      </c>
      <c r="S94" s="77">
        <f t="shared" si="34"/>
        <v>6859839</v>
      </c>
      <c r="T94" s="82">
        <f>N94/'2015'!M94-1</f>
        <v>0.16102995726100766</v>
      </c>
      <c r="U94" s="82">
        <f>O94/'2015'!N94-1</f>
        <v>8.7855080274537034E-2</v>
      </c>
      <c r="V94" s="82">
        <f>P94/'2015'!O94-1</f>
        <v>0.13972357764679821</v>
      </c>
      <c r="W94" s="82">
        <f>Q94/'2015'!P94-1</f>
        <v>-2.0704666505688696E-2</v>
      </c>
      <c r="X94" s="82">
        <f>R94/'2015'!Q94-1</f>
        <v>0.13955416274713395</v>
      </c>
      <c r="Y94" s="82">
        <f>S94/'2015'!R94-1</f>
        <v>3.7887410780816699E-2</v>
      </c>
      <c r="Z94" s="49">
        <f>Z$84+0.717*10</f>
        <v>46.705100000000002</v>
      </c>
      <c r="AA94" s="49">
        <f t="shared" si="37"/>
        <v>408.7396</v>
      </c>
      <c r="AB94" s="33">
        <v>4230.1000000000004</v>
      </c>
      <c r="AC94" s="33">
        <f t="shared" si="41"/>
        <v>966.26462731377501</v>
      </c>
      <c r="AD94" s="32">
        <f t="shared" si="38"/>
        <v>4758051</v>
      </c>
      <c r="AE94" s="33">
        <f t="shared" si="40"/>
        <v>127139.72727272721</v>
      </c>
      <c r="AF94" s="33">
        <f t="shared" si="40"/>
        <v>67126</v>
      </c>
      <c r="AG94" s="33">
        <f t="shared" si="39"/>
        <v>9338.2727272727934</v>
      </c>
    </row>
    <row r="95" spans="1:33" s="1" customFormat="1" ht="15" customHeight="1" x14ac:dyDescent="0.15">
      <c r="A95" s="25">
        <v>42460</v>
      </c>
      <c r="B95" s="25" t="s">
        <v>37</v>
      </c>
      <c r="C95" s="42">
        <v>60360</v>
      </c>
      <c r="D95" s="43">
        <v>27037</v>
      </c>
      <c r="E95" s="43">
        <v>89796</v>
      </c>
      <c r="F95" s="42">
        <v>4583</v>
      </c>
      <c r="G95" s="43">
        <v>2973</v>
      </c>
      <c r="H95" s="30"/>
      <c r="I95" s="30"/>
      <c r="J95" s="42">
        <f t="shared" si="27"/>
        <v>62759</v>
      </c>
      <c r="K95" s="43">
        <f t="shared" si="36"/>
        <v>1527.2727272727275</v>
      </c>
      <c r="L95" s="43">
        <v>792</v>
      </c>
      <c r="M95" s="43">
        <f t="shared" si="43"/>
        <v>79.727272727272734</v>
      </c>
      <c r="N95" s="87">
        <f t="shared" si="29"/>
        <v>1919573</v>
      </c>
      <c r="O95" s="88">
        <f t="shared" si="30"/>
        <v>765807</v>
      </c>
      <c r="P95" s="88">
        <f t="shared" si="31"/>
        <v>2749953</v>
      </c>
      <c r="Q95" s="87">
        <f t="shared" si="32"/>
        <v>4614807</v>
      </c>
      <c r="R95" s="87">
        <v>2128927</v>
      </c>
      <c r="S95" s="87">
        <v>6949159</v>
      </c>
      <c r="T95" s="89">
        <f>N95/'2015'!M95-1</f>
        <v>0.15801561255761198</v>
      </c>
      <c r="U95" s="89">
        <f>O95/'2015'!N95-1</f>
        <v>8.4164239895690107E-2</v>
      </c>
      <c r="V95" s="89">
        <f>P95/'2015'!O95-1</f>
        <v>0.13650154050250762</v>
      </c>
      <c r="W95" s="89">
        <f>Q95/'2015'!P95-1</f>
        <v>-1.9592817638124704E-2</v>
      </c>
      <c r="X95" s="89">
        <f>R95/'2015'!Q95-1</f>
        <v>0.13746303385524494</v>
      </c>
      <c r="Y95" s="89">
        <f>S95/'2015'!R95-1</f>
        <v>3.795429252016369E-2</v>
      </c>
      <c r="Z95" s="52">
        <v>47.425699999999999</v>
      </c>
      <c r="AA95" s="52">
        <f t="shared" si="37"/>
        <v>414.05500000000001</v>
      </c>
      <c r="AB95" s="43">
        <v>4230.1000000000004</v>
      </c>
      <c r="AC95" s="43">
        <f t="shared" si="41"/>
        <v>978.83028770005433</v>
      </c>
      <c r="AD95" s="42">
        <f t="shared" si="38"/>
        <v>4820232</v>
      </c>
      <c r="AE95" s="43">
        <v>128091</v>
      </c>
      <c r="AF95" s="43">
        <v>67916</v>
      </c>
      <c r="AG95" s="43">
        <f t="shared" si="39"/>
        <v>9418</v>
      </c>
    </row>
    <row r="96" spans="1:33" ht="15" customHeight="1" x14ac:dyDescent="0.15">
      <c r="A96" s="102">
        <v>42461</v>
      </c>
      <c r="B96" s="20" t="s">
        <v>38</v>
      </c>
      <c r="C96" s="70">
        <v>58528</v>
      </c>
      <c r="D96" s="71">
        <v>27589</v>
      </c>
      <c r="E96" s="71">
        <v>88149</v>
      </c>
      <c r="F96" s="70">
        <v>4412.7</v>
      </c>
      <c r="G96" s="71">
        <v>2974.7</v>
      </c>
      <c r="H96" s="24"/>
      <c r="I96" s="24"/>
      <c r="J96" s="70">
        <f t="shared" si="27"/>
        <v>60560</v>
      </c>
      <c r="K96" s="71">
        <f t="shared" si="36"/>
        <v>1135.9000000000001</v>
      </c>
      <c r="L96" s="71">
        <v>791</v>
      </c>
      <c r="M96" s="71">
        <f>(AG$105-AG$95)/10</f>
        <v>105.1</v>
      </c>
      <c r="N96" s="74">
        <f>C96</f>
        <v>58528</v>
      </c>
      <c r="O96" s="75">
        <f>D96</f>
        <v>27589</v>
      </c>
      <c r="P96" s="75">
        <f>E96</f>
        <v>88149</v>
      </c>
      <c r="Q96" s="76">
        <f>N96+Q$95</f>
        <v>4673335</v>
      </c>
      <c r="R96" s="76">
        <f>O96+R$95</f>
        <v>2156516</v>
      </c>
      <c r="S96" s="76">
        <f>P96+S$95</f>
        <v>7037308</v>
      </c>
      <c r="T96" s="80">
        <f>N96/'2015'!M96-1</f>
        <v>3.3169164504227799E-2</v>
      </c>
      <c r="U96" s="80">
        <f>O96/'2015'!N96-1</f>
        <v>1.4898469688051863E-2</v>
      </c>
      <c r="V96" s="80">
        <f>P96/'2015'!O96-1</f>
        <v>2.9068749343326372E-2</v>
      </c>
      <c r="W96" s="81">
        <f>Q96/'2015'!P96-1</f>
        <v>-1.8965379706445407E-2</v>
      </c>
      <c r="X96" s="81">
        <f>R96/'2015'!Q96-1</f>
        <v>0.13570837605703301</v>
      </c>
      <c r="Y96" s="81">
        <f>S96/'2015'!R96-1</f>
        <v>3.7842043726381558E-2</v>
      </c>
      <c r="Z96" s="97">
        <f>Z$95+0.532*1</f>
        <v>47.957700000000003</v>
      </c>
      <c r="AA96" s="97">
        <f t="shared" si="37"/>
        <v>419.37580000000003</v>
      </c>
      <c r="AB96" s="106"/>
      <c r="AC96" s="105"/>
      <c r="AD96" s="70">
        <f t="shared" si="38"/>
        <v>4880792</v>
      </c>
      <c r="AE96" s="71">
        <f t="shared" si="40"/>
        <v>129226.9</v>
      </c>
      <c r="AF96" s="71">
        <f t="shared" si="40"/>
        <v>68707</v>
      </c>
      <c r="AG96" s="71">
        <f t="shared" si="39"/>
        <v>9523.1000000000058</v>
      </c>
    </row>
    <row r="97" spans="1:33" ht="15" customHeight="1" x14ac:dyDescent="0.15">
      <c r="A97" s="13">
        <v>42462</v>
      </c>
      <c r="B97" s="20" t="s">
        <v>39</v>
      </c>
      <c r="C97" s="8">
        <v>60328</v>
      </c>
      <c r="D97" s="37">
        <v>24654</v>
      </c>
      <c r="E97" s="37">
        <v>86905</v>
      </c>
      <c r="F97" s="8">
        <v>4384.3999999999996</v>
      </c>
      <c r="G97" s="37">
        <v>2899.7</v>
      </c>
      <c r="H97" s="24"/>
      <c r="I97" s="36"/>
      <c r="J97" s="8">
        <f t="shared" si="27"/>
        <v>62251</v>
      </c>
      <c r="K97" s="37">
        <f t="shared" si="36"/>
        <v>1026.9000000000001</v>
      </c>
      <c r="L97" s="37">
        <v>791</v>
      </c>
      <c r="M97" s="37">
        <f t="shared" ref="M97:M105" si="44">(AG$105-AG$95)/10</f>
        <v>105.1</v>
      </c>
      <c r="N97" s="74">
        <f t="shared" ref="N97:N125" si="45">N96+C97</f>
        <v>118856</v>
      </c>
      <c r="O97" s="75">
        <f t="shared" ref="O97:O125" si="46">O96+D97</f>
        <v>52243</v>
      </c>
      <c r="P97" s="75">
        <f t="shared" ref="P97:P125" si="47">P96+E97</f>
        <v>175054</v>
      </c>
      <c r="Q97" s="76">
        <f t="shared" ref="Q97:S125" si="48">N97+Q$95</f>
        <v>4733663</v>
      </c>
      <c r="R97" s="76">
        <f t="shared" si="48"/>
        <v>2181170</v>
      </c>
      <c r="S97" s="76">
        <f t="shared" si="48"/>
        <v>7124213</v>
      </c>
      <c r="T97" s="80">
        <f>N97/'2015'!M97-1</f>
        <v>1.1781530918006045E-2</v>
      </c>
      <c r="U97" s="80">
        <f>O97/'2015'!N97-1</f>
        <v>-3.547654923801713E-3</v>
      </c>
      <c r="V97" s="80">
        <f>P97/'2015'!O97-1</f>
        <v>1.0424362763206574E-2</v>
      </c>
      <c r="W97" s="81">
        <f>Q97/'2015'!P97-1</f>
        <v>-1.8828882477635478E-2</v>
      </c>
      <c r="X97" s="81">
        <f>R97/'2015'!Q97-1</f>
        <v>0.13362064037038079</v>
      </c>
      <c r="Y97" s="81">
        <f>S97/'2015'!R97-1</f>
        <v>3.7259869653353928E-2</v>
      </c>
      <c r="Z97" s="50">
        <f>Z$95+0.532*2</f>
        <v>48.489699999999999</v>
      </c>
      <c r="AA97" s="97">
        <f t="shared" si="37"/>
        <v>424.87660000000005</v>
      </c>
      <c r="AB97" s="105"/>
      <c r="AC97" s="105"/>
      <c r="AD97" s="8">
        <f t="shared" si="38"/>
        <v>4943043</v>
      </c>
      <c r="AE97" s="37">
        <f t="shared" si="40"/>
        <v>130253.79999999999</v>
      </c>
      <c r="AF97" s="37">
        <f t="shared" si="40"/>
        <v>69498</v>
      </c>
      <c r="AG97" s="37">
        <f t="shared" si="39"/>
        <v>9628.2000000000116</v>
      </c>
    </row>
    <row r="98" spans="1:33" ht="15" customHeight="1" x14ac:dyDescent="0.15">
      <c r="A98" s="13">
        <v>42463</v>
      </c>
      <c r="B98" s="20" t="s">
        <v>1</v>
      </c>
      <c r="C98" s="8">
        <v>55573</v>
      </c>
      <c r="D98" s="37">
        <v>22266</v>
      </c>
      <c r="E98" s="37">
        <v>79777</v>
      </c>
      <c r="F98" s="8">
        <v>3965.5</v>
      </c>
      <c r="G98" s="37">
        <v>2856.1</v>
      </c>
      <c r="H98" s="24"/>
      <c r="I98" s="36"/>
      <c r="J98" s="8">
        <f t="shared" si="27"/>
        <v>57511</v>
      </c>
      <c r="K98" s="37">
        <f t="shared" si="36"/>
        <v>1039.9000000000001</v>
      </c>
      <c r="L98" s="37">
        <v>793</v>
      </c>
      <c r="M98" s="37">
        <f t="shared" si="44"/>
        <v>105.1</v>
      </c>
      <c r="N98" s="74">
        <f t="shared" si="45"/>
        <v>174429</v>
      </c>
      <c r="O98" s="75">
        <f t="shared" si="46"/>
        <v>74509</v>
      </c>
      <c r="P98" s="75">
        <f t="shared" si="47"/>
        <v>254831</v>
      </c>
      <c r="Q98" s="76">
        <f t="shared" si="48"/>
        <v>4789236</v>
      </c>
      <c r="R98" s="76">
        <f t="shared" si="48"/>
        <v>2203436</v>
      </c>
      <c r="S98" s="76">
        <f t="shared" si="48"/>
        <v>7203990</v>
      </c>
      <c r="T98" s="80">
        <f>N98/'2015'!M98-1</f>
        <v>-1.5493243929696199E-2</v>
      </c>
      <c r="U98" s="80">
        <f>O98/'2015'!N98-1</f>
        <v>-4.667528180457281E-2</v>
      </c>
      <c r="V98" s="80">
        <f>P98/'2015'!O98-1</f>
        <v>-2.1356262865218634E-2</v>
      </c>
      <c r="W98" s="81">
        <f>Q98/'2015'!P98-1</f>
        <v>-1.9444106052059595E-2</v>
      </c>
      <c r="X98" s="81">
        <f>R98/'2015'!Q98-1</f>
        <v>0.13008192626738513</v>
      </c>
      <c r="Y98" s="81">
        <f>S98/'2015'!R98-1</f>
        <v>3.5733874683790967E-2</v>
      </c>
      <c r="Z98" s="50">
        <f>Z$95+0.532*3</f>
        <v>49.021699999999996</v>
      </c>
      <c r="AA98" s="97">
        <f t="shared" si="37"/>
        <v>429.90190000000001</v>
      </c>
      <c r="AB98" s="105"/>
      <c r="AC98" s="105"/>
      <c r="AD98" s="8">
        <f t="shared" si="38"/>
        <v>5000554</v>
      </c>
      <c r="AE98" s="37">
        <f t="shared" si="40"/>
        <v>131293.69999999998</v>
      </c>
      <c r="AF98" s="37">
        <f t="shared" si="40"/>
        <v>70291</v>
      </c>
      <c r="AG98" s="37">
        <f t="shared" si="39"/>
        <v>9733.3000000000175</v>
      </c>
    </row>
    <row r="99" spans="1:33" ht="15" customHeight="1" x14ac:dyDescent="0.15">
      <c r="A99" s="13">
        <v>42464</v>
      </c>
      <c r="B99" s="20" t="s">
        <v>34</v>
      </c>
      <c r="C99" s="8">
        <v>43339</v>
      </c>
      <c r="D99" s="37">
        <v>22172</v>
      </c>
      <c r="E99" s="37">
        <v>67505</v>
      </c>
      <c r="F99" s="8">
        <v>3042</v>
      </c>
      <c r="G99" s="37">
        <v>2522</v>
      </c>
      <c r="H99" s="24"/>
      <c r="I99" s="36"/>
      <c r="J99" s="8">
        <f t="shared" si="27"/>
        <v>45333</v>
      </c>
      <c r="K99" s="37">
        <f t="shared" si="36"/>
        <v>1099.9000000000001</v>
      </c>
      <c r="L99" s="37">
        <v>789</v>
      </c>
      <c r="M99" s="37">
        <f t="shared" si="44"/>
        <v>105.1</v>
      </c>
      <c r="N99" s="74">
        <f t="shared" si="45"/>
        <v>217768</v>
      </c>
      <c r="O99" s="75">
        <f t="shared" si="46"/>
        <v>96681</v>
      </c>
      <c r="P99" s="75">
        <f t="shared" si="47"/>
        <v>322336</v>
      </c>
      <c r="Q99" s="76">
        <f t="shared" si="48"/>
        <v>4832575</v>
      </c>
      <c r="R99" s="76">
        <f t="shared" si="48"/>
        <v>2225608</v>
      </c>
      <c r="S99" s="76">
        <f t="shared" si="48"/>
        <v>7271495</v>
      </c>
      <c r="T99" s="80">
        <f>N99/'2015'!M99-1</f>
        <v>-6.6387141858839982E-2</v>
      </c>
      <c r="U99" s="80">
        <f>O99/'2015'!N99-1</f>
        <v>-5.0937469323647733E-2</v>
      </c>
      <c r="V99" s="80">
        <f>P99/'2015'!O99-1</f>
        <v>-5.5743851888740759E-2</v>
      </c>
      <c r="W99" s="81">
        <f>Q99/'2015'!P99-1</f>
        <v>-2.1802187890412772E-2</v>
      </c>
      <c r="X99" s="81">
        <f>R99/'2015'!Q99-1</f>
        <v>0.12773807141065552</v>
      </c>
      <c r="Y99" s="81">
        <f>S99/'2015'!R99-1</f>
        <v>3.3408617850730238E-2</v>
      </c>
      <c r="Z99" s="50">
        <f>Z$95+0.532*4</f>
        <v>49.553699999999999</v>
      </c>
      <c r="AA99" s="97">
        <f t="shared" si="37"/>
        <v>433.7038</v>
      </c>
      <c r="AB99" s="105"/>
      <c r="AC99" s="105"/>
      <c r="AD99" s="8">
        <f t="shared" si="38"/>
        <v>5045887</v>
      </c>
      <c r="AE99" s="37">
        <f t="shared" si="40"/>
        <v>132393.59999999998</v>
      </c>
      <c r="AF99" s="37">
        <f t="shared" si="40"/>
        <v>71080</v>
      </c>
      <c r="AG99" s="37">
        <f t="shared" si="39"/>
        <v>9838.4000000000233</v>
      </c>
    </row>
    <row r="100" spans="1:33" ht="15" customHeight="1" x14ac:dyDescent="0.15">
      <c r="A100" s="102">
        <v>42465</v>
      </c>
      <c r="B100" s="20" t="s">
        <v>35</v>
      </c>
      <c r="C100" s="8">
        <v>54798</v>
      </c>
      <c r="D100" s="37">
        <v>25652</v>
      </c>
      <c r="E100" s="37">
        <v>82214</v>
      </c>
      <c r="F100" s="8">
        <v>4259.8999999999996</v>
      </c>
      <c r="G100" s="37">
        <v>2368.6</v>
      </c>
      <c r="H100" s="24"/>
      <c r="I100" s="36"/>
      <c r="J100" s="8">
        <f t="shared" si="27"/>
        <v>56562</v>
      </c>
      <c r="K100" s="37">
        <f t="shared" si="36"/>
        <v>865.90000000000009</v>
      </c>
      <c r="L100" s="37">
        <v>793</v>
      </c>
      <c r="M100" s="37">
        <f t="shared" si="44"/>
        <v>105.1</v>
      </c>
      <c r="N100" s="74">
        <f t="shared" si="45"/>
        <v>272566</v>
      </c>
      <c r="O100" s="75">
        <f t="shared" si="46"/>
        <v>122333</v>
      </c>
      <c r="P100" s="75">
        <f t="shared" si="47"/>
        <v>404550</v>
      </c>
      <c r="Q100" s="76">
        <f t="shared" si="48"/>
        <v>4887373</v>
      </c>
      <c r="R100" s="76">
        <f t="shared" si="48"/>
        <v>2251260</v>
      </c>
      <c r="S100" s="76">
        <f t="shared" si="48"/>
        <v>7353709</v>
      </c>
      <c r="T100" s="80">
        <f>N100/'2015'!M100-1</f>
        <v>-1.3314316329042453E-2</v>
      </c>
      <c r="U100" s="80">
        <f>O100/'2015'!N100-1</f>
        <v>-1.662366058150655E-2</v>
      </c>
      <c r="V100" s="80">
        <f>P100/'2015'!O100-1</f>
        <v>-9.3760942653760004E-3</v>
      </c>
      <c r="W100" s="81">
        <f>Q100/'2015'!P100-1</f>
        <v>-1.9244773768254841E-2</v>
      </c>
      <c r="X100" s="81">
        <f>R100/'2015'!Q100-1</f>
        <v>0.1278597787826532</v>
      </c>
      <c r="Y100" s="81">
        <f>S100/'2015'!R100-1</f>
        <v>3.5233250631525825E-2</v>
      </c>
      <c r="Z100" s="50">
        <f>Z$95+0.532*5</f>
        <v>50.085700000000003</v>
      </c>
      <c r="AA100" s="97">
        <f t="shared" si="37"/>
        <v>438.65160000000003</v>
      </c>
      <c r="AB100" s="105"/>
      <c r="AC100" s="105"/>
      <c r="AD100" s="8">
        <f t="shared" si="38"/>
        <v>5102449</v>
      </c>
      <c r="AE100" s="37">
        <f t="shared" si="40"/>
        <v>133259.49999999997</v>
      </c>
      <c r="AF100" s="37">
        <f t="shared" si="40"/>
        <v>71873</v>
      </c>
      <c r="AG100" s="37">
        <f t="shared" si="39"/>
        <v>9943.5000000000291</v>
      </c>
    </row>
    <row r="101" spans="1:33" ht="15" customHeight="1" x14ac:dyDescent="0.15">
      <c r="A101" s="102">
        <v>42466</v>
      </c>
      <c r="B101" s="14" t="s">
        <v>36</v>
      </c>
      <c r="C101" s="32">
        <v>58450</v>
      </c>
      <c r="D101" s="33">
        <v>26727</v>
      </c>
      <c r="E101" s="33">
        <v>86809</v>
      </c>
      <c r="F101" s="32">
        <v>4407.5</v>
      </c>
      <c r="G101" s="33">
        <v>2844.3</v>
      </c>
      <c r="H101" s="19"/>
      <c r="I101" s="19"/>
      <c r="J101" s="32">
        <f t="shared" si="27"/>
        <v>60082</v>
      </c>
      <c r="K101" s="33">
        <f t="shared" si="36"/>
        <v>733.90000000000009</v>
      </c>
      <c r="L101" s="33">
        <v>793</v>
      </c>
      <c r="M101" s="33">
        <f t="shared" si="44"/>
        <v>105.1</v>
      </c>
      <c r="N101" s="77">
        <f t="shared" si="45"/>
        <v>331016</v>
      </c>
      <c r="O101" s="78">
        <f t="shared" si="46"/>
        <v>149060</v>
      </c>
      <c r="P101" s="78">
        <f t="shared" si="47"/>
        <v>491359</v>
      </c>
      <c r="Q101" s="77">
        <f t="shared" si="48"/>
        <v>4945823</v>
      </c>
      <c r="R101" s="77">
        <f t="shared" si="48"/>
        <v>2277987</v>
      </c>
      <c r="S101" s="77">
        <f t="shared" si="48"/>
        <v>7440518</v>
      </c>
      <c r="T101" s="82">
        <f>N101/'2015'!M101-1</f>
        <v>2.8569437669849762E-3</v>
      </c>
      <c r="U101" s="82">
        <f>O101/'2015'!N101-1</f>
        <v>1.2120183330504242E-2</v>
      </c>
      <c r="V101" s="82">
        <f>P101/'2015'!O101-1</f>
        <v>8.9175714966243103E-3</v>
      </c>
      <c r="W101" s="82">
        <f>Q101/'2015'!P101-1</f>
        <v>-1.8121722322985589E-2</v>
      </c>
      <c r="X101" s="82">
        <f>R101/'2015'!Q101-1</f>
        <v>0.12831959661601244</v>
      </c>
      <c r="Y101" s="82">
        <f>S101/'2015'!R101-1</f>
        <v>3.5985312867364616E-2</v>
      </c>
      <c r="Z101" s="49">
        <f>Z$95+0.532*6</f>
        <v>50.617699999999999</v>
      </c>
      <c r="AA101" s="49">
        <f t="shared" si="37"/>
        <v>443.96459999999996</v>
      </c>
      <c r="AB101" s="33">
        <v>4230.1000000000004</v>
      </c>
      <c r="AC101" s="33">
        <f t="shared" si="41"/>
        <v>1049.5368903808419</v>
      </c>
      <c r="AD101" s="32">
        <f t="shared" si="38"/>
        <v>5162531</v>
      </c>
      <c r="AE101" s="33">
        <f t="shared" si="40"/>
        <v>133993.39999999997</v>
      </c>
      <c r="AF101" s="33">
        <f t="shared" si="40"/>
        <v>72666</v>
      </c>
      <c r="AG101" s="33">
        <f t="shared" si="39"/>
        <v>10048.600000000035</v>
      </c>
    </row>
    <row r="102" spans="1:33" ht="15" customHeight="1" x14ac:dyDescent="0.15">
      <c r="A102" s="102">
        <v>42467</v>
      </c>
      <c r="B102" s="20" t="s">
        <v>37</v>
      </c>
      <c r="C102" s="8">
        <v>58249</v>
      </c>
      <c r="D102" s="37">
        <v>27226</v>
      </c>
      <c r="E102" s="37">
        <v>87732</v>
      </c>
      <c r="F102" s="8">
        <v>4479</v>
      </c>
      <c r="G102" s="37">
        <v>2896</v>
      </c>
      <c r="H102" s="24"/>
      <c r="I102" s="36"/>
      <c r="J102" s="8">
        <f t="shared" si="27"/>
        <v>60506</v>
      </c>
      <c r="K102" s="37">
        <f t="shared" si="36"/>
        <v>1358.9</v>
      </c>
      <c r="L102" s="37">
        <v>793</v>
      </c>
      <c r="M102" s="37">
        <f t="shared" si="44"/>
        <v>105.1</v>
      </c>
      <c r="N102" s="74">
        <f t="shared" si="45"/>
        <v>389265</v>
      </c>
      <c r="O102" s="75">
        <f t="shared" si="46"/>
        <v>176286</v>
      </c>
      <c r="P102" s="75">
        <f t="shared" si="47"/>
        <v>579091</v>
      </c>
      <c r="Q102" s="76">
        <f t="shared" si="48"/>
        <v>5004072</v>
      </c>
      <c r="R102" s="76">
        <f t="shared" si="48"/>
        <v>2305213</v>
      </c>
      <c r="S102" s="76">
        <f t="shared" si="48"/>
        <v>7528250</v>
      </c>
      <c r="T102" s="80">
        <f>N102/'2015'!M102-1</f>
        <v>-2.2606863566809743E-3</v>
      </c>
      <c r="U102" s="80">
        <f>O102/'2015'!N102-1</f>
        <v>2.2362697906396889E-2</v>
      </c>
      <c r="V102" s="80">
        <f>P102/'2015'!O102-1</f>
        <v>8.5161816158452197E-3</v>
      </c>
      <c r="W102" s="81">
        <f>Q102/'2015'!P102-1</f>
        <v>-1.826618572080474E-2</v>
      </c>
      <c r="X102" s="81">
        <f>R102/'2015'!Q102-1</f>
        <v>0.12775362939226786</v>
      </c>
      <c r="Y102" s="81">
        <f>S102/'2015'!R102-1</f>
        <v>3.5628965503200272E-2</v>
      </c>
      <c r="Z102" s="50">
        <f>Z$95+0.532*7</f>
        <v>51.149699999999996</v>
      </c>
      <c r="AA102" s="97">
        <f t="shared" si="37"/>
        <v>449.25749999999999</v>
      </c>
      <c r="AB102" s="105">
        <v>4230.1000000000004</v>
      </c>
      <c r="AC102" s="105">
        <f t="shared" si="41"/>
        <v>1062.0493605352119</v>
      </c>
      <c r="AD102" s="8">
        <f t="shared" si="38"/>
        <v>5223037</v>
      </c>
      <c r="AE102" s="37">
        <f t="shared" si="40"/>
        <v>135352.29999999996</v>
      </c>
      <c r="AF102" s="37">
        <f t="shared" si="40"/>
        <v>73459</v>
      </c>
      <c r="AG102" s="37">
        <f t="shared" si="39"/>
        <v>10153.700000000041</v>
      </c>
    </row>
    <row r="103" spans="1:33" ht="15" customHeight="1" x14ac:dyDescent="0.15">
      <c r="A103" s="102">
        <v>42468</v>
      </c>
      <c r="B103" s="20" t="s">
        <v>38</v>
      </c>
      <c r="C103" s="70">
        <v>56458</v>
      </c>
      <c r="D103" s="71">
        <v>27375</v>
      </c>
      <c r="E103" s="71">
        <v>86125</v>
      </c>
      <c r="F103" s="70">
        <v>4376.6000000000004</v>
      </c>
      <c r="G103" s="71">
        <v>2883.8</v>
      </c>
      <c r="H103" s="24"/>
      <c r="I103" s="24"/>
      <c r="J103" s="70">
        <f t="shared" si="27"/>
        <v>58750</v>
      </c>
      <c r="K103" s="71">
        <f t="shared" si="36"/>
        <v>1395.9</v>
      </c>
      <c r="L103" s="71">
        <v>791</v>
      </c>
      <c r="M103" s="71">
        <f t="shared" si="44"/>
        <v>105.1</v>
      </c>
      <c r="N103" s="74">
        <f t="shared" si="45"/>
        <v>445723</v>
      </c>
      <c r="O103" s="75">
        <f t="shared" si="46"/>
        <v>203661</v>
      </c>
      <c r="P103" s="75">
        <f t="shared" si="47"/>
        <v>665216</v>
      </c>
      <c r="Q103" s="76">
        <f t="shared" si="48"/>
        <v>5060530</v>
      </c>
      <c r="R103" s="76">
        <f t="shared" si="48"/>
        <v>2332588</v>
      </c>
      <c r="S103" s="76">
        <f t="shared" si="48"/>
        <v>7614375</v>
      </c>
      <c r="T103" s="80">
        <f>N103/'2015'!M103-1</f>
        <v>-1.2195662483988068E-2</v>
      </c>
      <c r="U103" s="80">
        <f>O103/'2015'!N103-1</f>
        <v>2.9282295683464188E-2</v>
      </c>
      <c r="V103" s="80">
        <f>P103/'2015'!O103-1</f>
        <v>4.4210373734689945E-3</v>
      </c>
      <c r="W103" s="81">
        <f>Q103/'2015'!P103-1</f>
        <v>-1.894574078026745E-2</v>
      </c>
      <c r="X103" s="81">
        <f>R103/'2015'!Q103-1</f>
        <v>0.1271198234173081</v>
      </c>
      <c r="Y103" s="81">
        <f>S103/'2015'!R103-1</f>
        <v>3.4935719304025836E-2</v>
      </c>
      <c r="Z103" s="97">
        <f>Z$95+0.532*8</f>
        <v>51.681699999999999</v>
      </c>
      <c r="AA103" s="97">
        <f t="shared" si="37"/>
        <v>454.37130000000002</v>
      </c>
      <c r="AB103" s="106"/>
      <c r="AC103" s="105"/>
      <c r="AD103" s="70">
        <f t="shared" si="38"/>
        <v>5281787</v>
      </c>
      <c r="AE103" s="71">
        <f t="shared" si="40"/>
        <v>136748.19999999995</v>
      </c>
      <c r="AF103" s="71">
        <f t="shared" si="40"/>
        <v>74250</v>
      </c>
      <c r="AG103" s="71">
        <f t="shared" si="39"/>
        <v>10258.800000000047</v>
      </c>
    </row>
    <row r="104" spans="1:33" ht="15" customHeight="1" x14ac:dyDescent="0.15">
      <c r="A104" s="102">
        <v>42469</v>
      </c>
      <c r="B104" s="20" t="s">
        <v>39</v>
      </c>
      <c r="C104" s="8">
        <v>54567</v>
      </c>
      <c r="D104" s="37">
        <v>27505</v>
      </c>
      <c r="E104" s="37">
        <v>84352</v>
      </c>
      <c r="F104" s="8">
        <v>4268.3999999999996</v>
      </c>
      <c r="G104" s="37">
        <v>2820.2</v>
      </c>
      <c r="H104" s="24"/>
      <c r="I104" s="36"/>
      <c r="J104" s="8">
        <f t="shared" si="27"/>
        <v>56847</v>
      </c>
      <c r="K104" s="37">
        <f t="shared" si="36"/>
        <v>1383.9</v>
      </c>
      <c r="L104" s="37">
        <v>791</v>
      </c>
      <c r="M104" s="37">
        <f t="shared" si="44"/>
        <v>105.1</v>
      </c>
      <c r="N104" s="74">
        <f t="shared" si="45"/>
        <v>500290</v>
      </c>
      <c r="O104" s="75">
        <f t="shared" si="46"/>
        <v>231166</v>
      </c>
      <c r="P104" s="75">
        <f t="shared" si="47"/>
        <v>749568</v>
      </c>
      <c r="Q104" s="76">
        <f t="shared" si="48"/>
        <v>5115097</v>
      </c>
      <c r="R104" s="76">
        <f t="shared" si="48"/>
        <v>2360093</v>
      </c>
      <c r="S104" s="76">
        <f t="shared" si="48"/>
        <v>7698727</v>
      </c>
      <c r="T104" s="80">
        <f>N104/'2015'!M104-1</f>
        <v>-2.4975394899679371E-2</v>
      </c>
      <c r="U104" s="80">
        <f>O104/'2015'!N104-1</f>
        <v>3.0629168598637513E-2</v>
      </c>
      <c r="V104" s="80">
        <f>P104/'2015'!O104-1</f>
        <v>-3.1823458929386428E-3</v>
      </c>
      <c r="W104" s="81">
        <f>Q104/'2015'!P104-1</f>
        <v>-2.0121889544640226E-2</v>
      </c>
      <c r="X104" s="81">
        <f>R104/'2015'!Q104-1</f>
        <v>0.12603026516490679</v>
      </c>
      <c r="Y104" s="81">
        <f>S104/'2015'!R104-1</f>
        <v>3.3800527298592398E-2</v>
      </c>
      <c r="Z104" s="50">
        <f>Z$95+0.532*9</f>
        <v>52.213700000000003</v>
      </c>
      <c r="AA104" s="97">
        <f t="shared" si="37"/>
        <v>459.29599999999999</v>
      </c>
      <c r="AB104" s="105"/>
      <c r="AC104" s="105"/>
      <c r="AD104" s="8">
        <f t="shared" si="38"/>
        <v>5338634</v>
      </c>
      <c r="AE104" s="37">
        <f t="shared" si="40"/>
        <v>138132.09999999995</v>
      </c>
      <c r="AF104" s="37">
        <f t="shared" si="40"/>
        <v>75041</v>
      </c>
      <c r="AG104" s="37">
        <f t="shared" si="39"/>
        <v>10363.900000000052</v>
      </c>
    </row>
    <row r="105" spans="1:33" ht="15" customHeight="1" x14ac:dyDescent="0.15">
      <c r="A105" s="102">
        <v>42470</v>
      </c>
      <c r="B105" s="20" t="s">
        <v>1</v>
      </c>
      <c r="C105" s="8">
        <v>51825</v>
      </c>
      <c r="D105" s="37">
        <v>26847</v>
      </c>
      <c r="E105" s="37">
        <v>80278</v>
      </c>
      <c r="F105" s="8">
        <v>4012.4</v>
      </c>
      <c r="G105" s="37">
        <v>2757.4</v>
      </c>
      <c r="H105" s="24"/>
      <c r="I105" s="36"/>
      <c r="J105" s="8">
        <f t="shared" si="27"/>
        <v>53431</v>
      </c>
      <c r="K105" s="37">
        <f t="shared" si="36"/>
        <v>709.90000000000009</v>
      </c>
      <c r="L105" s="37">
        <v>791</v>
      </c>
      <c r="M105" s="37">
        <f t="shared" si="44"/>
        <v>105.1</v>
      </c>
      <c r="N105" s="74">
        <f t="shared" si="45"/>
        <v>552115</v>
      </c>
      <c r="O105" s="75">
        <f t="shared" si="46"/>
        <v>258013</v>
      </c>
      <c r="P105" s="75">
        <f t="shared" si="47"/>
        <v>829846</v>
      </c>
      <c r="Q105" s="76">
        <f t="shared" si="48"/>
        <v>5166922</v>
      </c>
      <c r="R105" s="76">
        <f t="shared" si="48"/>
        <v>2386940</v>
      </c>
      <c r="S105" s="76">
        <f t="shared" si="48"/>
        <v>7779005</v>
      </c>
      <c r="T105" s="80">
        <f>N105/'2015'!M105-1</f>
        <v>-3.9764930545289512E-2</v>
      </c>
      <c r="U105" s="80">
        <f>O105/'2015'!N105-1</f>
        <v>3.0769722465253224E-2</v>
      </c>
      <c r="V105" s="80">
        <f>P105/'2015'!O105-1</f>
        <v>-1.3857282232946355E-2</v>
      </c>
      <c r="W105" s="81">
        <f>Q105/'2015'!P105-1</f>
        <v>-2.1788675144499892E-2</v>
      </c>
      <c r="X105" s="81">
        <f>R105/'2015'!Q105-1</f>
        <v>0.12487723590875599</v>
      </c>
      <c r="Y105" s="81">
        <f>S105/'2015'!R105-1</f>
        <v>3.2169185941596679E-2</v>
      </c>
      <c r="Z105" s="50">
        <v>52.7455</v>
      </c>
      <c r="AA105" s="97">
        <f t="shared" si="37"/>
        <v>463.94669999999996</v>
      </c>
      <c r="AB105" s="105">
        <v>4230.1000000000004</v>
      </c>
      <c r="AC105" s="105">
        <f t="shared" si="41"/>
        <v>1096.774780738044</v>
      </c>
      <c r="AD105" s="8">
        <f t="shared" si="38"/>
        <v>5392065</v>
      </c>
      <c r="AE105" s="37">
        <v>138914</v>
      </c>
      <c r="AF105" s="37">
        <v>75760</v>
      </c>
      <c r="AG105" s="37">
        <f t="shared" si="39"/>
        <v>10469</v>
      </c>
    </row>
    <row r="106" spans="1:33" ht="15" customHeight="1" x14ac:dyDescent="0.15">
      <c r="A106" s="102">
        <v>42471</v>
      </c>
      <c r="B106" s="20" t="s">
        <v>34</v>
      </c>
      <c r="C106" s="8">
        <v>55777</v>
      </c>
      <c r="D106" s="37">
        <v>25902</v>
      </c>
      <c r="E106" s="37">
        <v>84180</v>
      </c>
      <c r="F106" s="8">
        <v>4356</v>
      </c>
      <c r="G106" s="37">
        <v>2653</v>
      </c>
      <c r="H106" s="24"/>
      <c r="I106" s="36"/>
      <c r="J106" s="8">
        <f t="shared" si="27"/>
        <v>58278</v>
      </c>
      <c r="K106" s="37">
        <f t="shared" si="36"/>
        <v>1550</v>
      </c>
      <c r="L106" s="37">
        <v>791</v>
      </c>
      <c r="M106" s="37">
        <f>(AG$115-AG$105)/10</f>
        <v>160</v>
      </c>
      <c r="N106" s="74">
        <f t="shared" si="45"/>
        <v>607892</v>
      </c>
      <c r="O106" s="75">
        <f t="shared" si="46"/>
        <v>283915</v>
      </c>
      <c r="P106" s="75">
        <f t="shared" si="47"/>
        <v>914026</v>
      </c>
      <c r="Q106" s="76">
        <f t="shared" si="48"/>
        <v>5222699</v>
      </c>
      <c r="R106" s="76">
        <f t="shared" si="48"/>
        <v>2412842</v>
      </c>
      <c r="S106" s="76">
        <f t="shared" si="48"/>
        <v>7863185</v>
      </c>
      <c r="T106" s="80">
        <f>N106/'2015'!M106-1</f>
        <v>-4.3052951556968089E-2</v>
      </c>
      <c r="U106" s="80">
        <f>O106/'2015'!N106-1</f>
        <v>2.7687084186979183E-2</v>
      </c>
      <c r="V106" s="80">
        <f>P106/'2015'!O106-1</f>
        <v>-1.6740749665443144E-2</v>
      </c>
      <c r="W106" s="81">
        <f>Q106/'2015'!P106-1</f>
        <v>-2.2382424556443348E-2</v>
      </c>
      <c r="X106" s="81">
        <f>R106/'2015'!Q106-1</f>
        <v>0.12334356498011334</v>
      </c>
      <c r="Y106" s="81">
        <f>S106/'2015'!R106-1</f>
        <v>3.1285932019619045E-2</v>
      </c>
      <c r="Z106" s="50">
        <f>Z$105+0.457*1</f>
        <v>53.202500000000001</v>
      </c>
      <c r="AA106" s="97">
        <f t="shared" si="37"/>
        <v>469.06740000000002</v>
      </c>
      <c r="AB106" s="105"/>
      <c r="AC106" s="105"/>
      <c r="AD106" s="8">
        <f t="shared" si="38"/>
        <v>5450343</v>
      </c>
      <c r="AE106" s="37">
        <f t="shared" si="40"/>
        <v>140464</v>
      </c>
      <c r="AF106" s="37">
        <f t="shared" si="40"/>
        <v>76551</v>
      </c>
      <c r="AG106" s="37">
        <f t="shared" si="39"/>
        <v>10629</v>
      </c>
    </row>
    <row r="107" spans="1:33" ht="15" customHeight="1" x14ac:dyDescent="0.15">
      <c r="A107" s="102">
        <v>42472</v>
      </c>
      <c r="B107" s="20" t="s">
        <v>35</v>
      </c>
      <c r="C107" s="8">
        <v>55229</v>
      </c>
      <c r="D107" s="37">
        <v>27383</v>
      </c>
      <c r="E107" s="37">
        <v>85100</v>
      </c>
      <c r="F107" s="8">
        <v>4325</v>
      </c>
      <c r="G107" s="37">
        <v>2780</v>
      </c>
      <c r="H107" s="24"/>
      <c r="I107" s="36"/>
      <c r="J107" s="8">
        <f t="shared" si="27"/>
        <v>57717</v>
      </c>
      <c r="K107" s="37">
        <f t="shared" si="36"/>
        <v>1536</v>
      </c>
      <c r="L107" s="37">
        <v>792</v>
      </c>
      <c r="M107" s="37">
        <f t="shared" ref="M107:M115" si="49">(AG$115-AG$105)/10</f>
        <v>160</v>
      </c>
      <c r="N107" s="74">
        <f t="shared" si="45"/>
        <v>663121</v>
      </c>
      <c r="O107" s="75">
        <f t="shared" si="46"/>
        <v>311298</v>
      </c>
      <c r="P107" s="75">
        <f t="shared" si="47"/>
        <v>999126</v>
      </c>
      <c r="Q107" s="76">
        <f t="shared" si="48"/>
        <v>5277928</v>
      </c>
      <c r="R107" s="76">
        <f t="shared" si="48"/>
        <v>2440225</v>
      </c>
      <c r="S107" s="76">
        <f t="shared" si="48"/>
        <v>7948285</v>
      </c>
      <c r="T107" s="80">
        <f>N107/'2015'!M107-1</f>
        <v>-4.1068890171086614E-2</v>
      </c>
      <c r="U107" s="80">
        <f>O107/'2015'!N107-1</f>
        <v>2.756926977085028E-2</v>
      </c>
      <c r="V107" s="80">
        <f>P107/'2015'!O107-1</f>
        <v>-1.4185453817107563E-2</v>
      </c>
      <c r="W107" s="81">
        <f>Q107/'2015'!P107-1</f>
        <v>-2.2343769218116316E-2</v>
      </c>
      <c r="X107" s="81">
        <f>R107/'2015'!Q107-1</f>
        <v>0.12215354519539545</v>
      </c>
      <c r="Y107" s="81">
        <f>S107/'2015'!R107-1</f>
        <v>3.1099080035223103E-2</v>
      </c>
      <c r="Z107" s="50">
        <f>Z$105+0.457*2</f>
        <v>53.659500000000001</v>
      </c>
      <c r="AA107" s="97">
        <f t="shared" si="37"/>
        <v>474.13330000000008</v>
      </c>
      <c r="AB107" s="105"/>
      <c r="AC107" s="105"/>
      <c r="AD107" s="8">
        <f t="shared" si="38"/>
        <v>5508060</v>
      </c>
      <c r="AE107" s="37">
        <f t="shared" si="40"/>
        <v>142000</v>
      </c>
      <c r="AF107" s="37">
        <f t="shared" si="40"/>
        <v>77343</v>
      </c>
      <c r="AG107" s="37">
        <f t="shared" si="39"/>
        <v>10789</v>
      </c>
    </row>
    <row r="108" spans="1:33" ht="15" customHeight="1" x14ac:dyDescent="0.15">
      <c r="A108" s="102">
        <v>42473</v>
      </c>
      <c r="B108" s="14" t="s">
        <v>36</v>
      </c>
      <c r="C108" s="32">
        <v>55040</v>
      </c>
      <c r="D108" s="33">
        <v>27184</v>
      </c>
      <c r="E108" s="33">
        <v>84937</v>
      </c>
      <c r="F108" s="32">
        <v>4315</v>
      </c>
      <c r="G108" s="33">
        <v>2832</v>
      </c>
      <c r="H108" s="19"/>
      <c r="I108" s="19"/>
      <c r="J108" s="32">
        <f t="shared" si="27"/>
        <v>57753</v>
      </c>
      <c r="K108" s="33">
        <f t="shared" si="36"/>
        <v>1761</v>
      </c>
      <c r="L108" s="33">
        <v>792</v>
      </c>
      <c r="M108" s="33">
        <f t="shared" si="49"/>
        <v>160</v>
      </c>
      <c r="N108" s="77">
        <f t="shared" si="45"/>
        <v>718161</v>
      </c>
      <c r="O108" s="78">
        <f t="shared" si="46"/>
        <v>338482</v>
      </c>
      <c r="P108" s="78">
        <f t="shared" si="47"/>
        <v>1084063</v>
      </c>
      <c r="Q108" s="77">
        <f t="shared" si="48"/>
        <v>5332968</v>
      </c>
      <c r="R108" s="77">
        <f t="shared" si="48"/>
        <v>2467409</v>
      </c>
      <c r="S108" s="77">
        <f t="shared" si="48"/>
        <v>8033222</v>
      </c>
      <c r="T108" s="82">
        <f>N108/'2015'!M108-1</f>
        <v>-4.4178850210619514E-2</v>
      </c>
      <c r="U108" s="82">
        <f>O108/'2015'!N108-1</f>
        <v>2.788651043580459E-2</v>
      </c>
      <c r="V108" s="82">
        <f>P108/'2015'!O108-1</f>
        <v>-1.5133716900104566E-2</v>
      </c>
      <c r="W108" s="82">
        <f>Q108/'2015'!P108-1</f>
        <v>-2.2977121808534617E-2</v>
      </c>
      <c r="X108" s="82">
        <f>R108/'2015'!Q108-1</f>
        <v>0.12106850515051715</v>
      </c>
      <c r="Y108" s="82">
        <f>S108/'2015'!R108-1</f>
        <v>3.0458553570177793E-2</v>
      </c>
      <c r="Z108" s="49">
        <f>Z$105+0.457*3</f>
        <v>54.116500000000002</v>
      </c>
      <c r="AA108" s="49">
        <f t="shared" si="37"/>
        <v>479.18029999999999</v>
      </c>
      <c r="AB108" s="33">
        <v>4230.1000000000004</v>
      </c>
      <c r="AC108" s="33">
        <f t="shared" si="41"/>
        <v>1132.787168152053</v>
      </c>
      <c r="AD108" s="32">
        <f t="shared" si="38"/>
        <v>5565813</v>
      </c>
      <c r="AE108" s="33">
        <f t="shared" si="40"/>
        <v>143761</v>
      </c>
      <c r="AF108" s="33">
        <f t="shared" si="40"/>
        <v>78135</v>
      </c>
      <c r="AG108" s="33">
        <f t="shared" si="39"/>
        <v>10949</v>
      </c>
    </row>
    <row r="109" spans="1:33" ht="15" customHeight="1" x14ac:dyDescent="0.15">
      <c r="A109" s="102">
        <v>42474</v>
      </c>
      <c r="B109" s="20" t="s">
        <v>37</v>
      </c>
      <c r="C109" s="8">
        <v>56819</v>
      </c>
      <c r="D109" s="37">
        <v>25526</v>
      </c>
      <c r="E109" s="37">
        <v>84896</v>
      </c>
      <c r="F109" s="8">
        <v>4303</v>
      </c>
      <c r="G109" s="37">
        <v>2786</v>
      </c>
      <c r="H109" s="24"/>
      <c r="I109" s="36"/>
      <c r="J109" s="8">
        <f t="shared" si="27"/>
        <v>59370</v>
      </c>
      <c r="K109" s="37">
        <f t="shared" si="36"/>
        <v>1600</v>
      </c>
      <c r="L109" s="37">
        <v>791</v>
      </c>
      <c r="M109" s="37">
        <f t="shared" si="49"/>
        <v>160</v>
      </c>
      <c r="N109" s="74">
        <f t="shared" si="45"/>
        <v>774980</v>
      </c>
      <c r="O109" s="75">
        <f t="shared" si="46"/>
        <v>364008</v>
      </c>
      <c r="P109" s="75">
        <f t="shared" si="47"/>
        <v>1168959</v>
      </c>
      <c r="Q109" s="76">
        <f t="shared" si="48"/>
        <v>5389787</v>
      </c>
      <c r="R109" s="76">
        <f t="shared" si="48"/>
        <v>2492935</v>
      </c>
      <c r="S109" s="76">
        <f t="shared" si="48"/>
        <v>8118118</v>
      </c>
      <c r="T109" s="80">
        <f>N109/'2015'!M109-1</f>
        <v>-4.5407738432506783E-2</v>
      </c>
      <c r="U109" s="80">
        <f>O109/'2015'!N109-1</f>
        <v>2.1630587621140451E-2</v>
      </c>
      <c r="V109" s="80">
        <f>P109/'2015'!O109-1</f>
        <v>-1.7345428226292481E-2</v>
      </c>
      <c r="W109" s="81">
        <f>Q109/'2015'!P109-1</f>
        <v>-2.3390274285973178E-2</v>
      </c>
      <c r="X109" s="81">
        <f>R109/'2015'!Q109-1</f>
        <v>0.1189386995914623</v>
      </c>
      <c r="Y109" s="81">
        <f>S109/'2015'!R109-1</f>
        <v>2.961096794960727E-2</v>
      </c>
      <c r="Z109" s="50">
        <f>Z$105+0.457*4</f>
        <v>54.573500000000003</v>
      </c>
      <c r="AA109" s="97">
        <f t="shared" si="37"/>
        <v>484.40519999999998</v>
      </c>
      <c r="AB109" s="105">
        <v>4230.1000000000004</v>
      </c>
      <c r="AC109" s="105">
        <f t="shared" si="41"/>
        <v>1145.1388856055412</v>
      </c>
      <c r="AD109" s="8">
        <f t="shared" si="38"/>
        <v>5625183</v>
      </c>
      <c r="AE109" s="37">
        <f t="shared" si="40"/>
        <v>145361</v>
      </c>
      <c r="AF109" s="37">
        <f t="shared" si="40"/>
        <v>78926</v>
      </c>
      <c r="AG109" s="37">
        <f t="shared" si="39"/>
        <v>11109</v>
      </c>
    </row>
    <row r="110" spans="1:33" ht="15" customHeight="1" x14ac:dyDescent="0.15">
      <c r="A110" s="102">
        <v>42475</v>
      </c>
      <c r="B110" s="20" t="s">
        <v>38</v>
      </c>
      <c r="C110" s="70">
        <v>55041</v>
      </c>
      <c r="D110" s="71">
        <v>25080</v>
      </c>
      <c r="E110" s="71">
        <v>83717</v>
      </c>
      <c r="F110" s="70">
        <v>4267</v>
      </c>
      <c r="G110" s="71">
        <v>2791.7</v>
      </c>
      <c r="H110" s="24"/>
      <c r="I110" s="24"/>
      <c r="J110" s="70">
        <f t="shared" si="27"/>
        <v>58637</v>
      </c>
      <c r="K110" s="71">
        <f t="shared" si="36"/>
        <v>2644</v>
      </c>
      <c r="L110" s="71">
        <v>792</v>
      </c>
      <c r="M110" s="71">
        <f t="shared" si="49"/>
        <v>160</v>
      </c>
      <c r="N110" s="74">
        <f t="shared" si="45"/>
        <v>830021</v>
      </c>
      <c r="O110" s="75">
        <f t="shared" si="46"/>
        <v>389088</v>
      </c>
      <c r="P110" s="75">
        <f t="shared" si="47"/>
        <v>1252676</v>
      </c>
      <c r="Q110" s="76">
        <f t="shared" si="48"/>
        <v>5444828</v>
      </c>
      <c r="R110" s="76">
        <f t="shared" si="48"/>
        <v>2518015</v>
      </c>
      <c r="S110" s="76">
        <f t="shared" si="48"/>
        <v>8201835</v>
      </c>
      <c r="T110" s="80">
        <f>N110/'2015'!M110-1</f>
        <v>-4.8599298503014587E-2</v>
      </c>
      <c r="U110" s="80">
        <f>O110/'2015'!N110-1</f>
        <v>1.5853123629300025E-2</v>
      </c>
      <c r="V110" s="80">
        <f>P110/'2015'!O110-1</f>
        <v>-1.9775452522324821E-2</v>
      </c>
      <c r="W110" s="81">
        <f>Q110/'2015'!P110-1</f>
        <v>-2.4128359582331615E-2</v>
      </c>
      <c r="X110" s="81">
        <f>R110/'2015'!Q110-1</f>
        <v>0.11680425571737829</v>
      </c>
      <c r="Y110" s="81">
        <f>S110/'2015'!R110-1</f>
        <v>2.8701112667614215E-2</v>
      </c>
      <c r="Z110" s="97">
        <f>Z$105+0.457*5</f>
        <v>55.030500000000004</v>
      </c>
      <c r="AA110" s="97">
        <f t="shared" si="37"/>
        <v>489.45229999999998</v>
      </c>
      <c r="AB110" s="106"/>
      <c r="AC110" s="105"/>
      <c r="AD110" s="70">
        <f t="shared" si="38"/>
        <v>5683820</v>
      </c>
      <c r="AE110" s="71">
        <f t="shared" si="40"/>
        <v>148005</v>
      </c>
      <c r="AF110" s="71">
        <f t="shared" si="40"/>
        <v>79718</v>
      </c>
      <c r="AG110" s="71">
        <f t="shared" si="39"/>
        <v>11269</v>
      </c>
    </row>
    <row r="111" spans="1:33" ht="15" customHeight="1" x14ac:dyDescent="0.15">
      <c r="A111" s="102">
        <v>42476</v>
      </c>
      <c r="B111" s="20" t="s">
        <v>39</v>
      </c>
      <c r="C111" s="8">
        <v>55255</v>
      </c>
      <c r="D111" s="37">
        <v>23601</v>
      </c>
      <c r="E111" s="37">
        <v>82876</v>
      </c>
      <c r="F111" s="8">
        <v>4278.6000000000004</v>
      </c>
      <c r="G111" s="37">
        <v>2743.1</v>
      </c>
      <c r="H111" s="24"/>
      <c r="I111" s="36"/>
      <c r="J111" s="8">
        <f t="shared" si="27"/>
        <v>59275</v>
      </c>
      <c r="K111" s="37">
        <f t="shared" si="36"/>
        <v>3070</v>
      </c>
      <c r="L111" s="37">
        <v>790</v>
      </c>
      <c r="M111" s="37">
        <f t="shared" si="49"/>
        <v>160</v>
      </c>
      <c r="N111" s="74">
        <f t="shared" si="45"/>
        <v>885276</v>
      </c>
      <c r="O111" s="75">
        <f t="shared" si="46"/>
        <v>412689</v>
      </c>
      <c r="P111" s="75">
        <f t="shared" si="47"/>
        <v>1335552</v>
      </c>
      <c r="Q111" s="76">
        <f t="shared" si="48"/>
        <v>5500083</v>
      </c>
      <c r="R111" s="76">
        <f t="shared" si="48"/>
        <v>2541616</v>
      </c>
      <c r="S111" s="76">
        <f t="shared" si="48"/>
        <v>8284711</v>
      </c>
      <c r="T111" s="80">
        <f>N111/'2015'!M111-1</f>
        <v>-5.0998552821997056E-2</v>
      </c>
      <c r="U111" s="80">
        <f>O111/'2015'!N111-1</f>
        <v>8.9184213807418367E-3</v>
      </c>
      <c r="V111" s="80">
        <f>P111/'2015'!O111-1</f>
        <v>-2.1764973444754809E-2</v>
      </c>
      <c r="W111" s="81">
        <f>Q111/'2015'!P111-1</f>
        <v>-2.4787402429235605E-2</v>
      </c>
      <c r="X111" s="81">
        <f>R111/'2015'!Q111-1</f>
        <v>0.11440855952989581</v>
      </c>
      <c r="Y111" s="81">
        <f>S111/'2015'!R111-1</f>
        <v>2.7838969172439887E-2</v>
      </c>
      <c r="Z111" s="50">
        <f>Z$105+0.457*6</f>
        <v>55.487499999999997</v>
      </c>
      <c r="AA111" s="97">
        <f t="shared" si="37"/>
        <v>494.52079999999995</v>
      </c>
      <c r="AB111" s="105"/>
      <c r="AC111" s="105"/>
      <c r="AD111" s="8">
        <f t="shared" si="38"/>
        <v>5743095</v>
      </c>
      <c r="AE111" s="37">
        <f t="shared" si="40"/>
        <v>151075</v>
      </c>
      <c r="AF111" s="37">
        <f t="shared" si="40"/>
        <v>80508</v>
      </c>
      <c r="AG111" s="37">
        <f t="shared" si="39"/>
        <v>11429</v>
      </c>
    </row>
    <row r="112" spans="1:33" ht="15" customHeight="1" x14ac:dyDescent="0.15">
      <c r="A112" s="102">
        <v>42477</v>
      </c>
      <c r="B112" s="20" t="s">
        <v>1</v>
      </c>
      <c r="C112" s="8">
        <v>50009</v>
      </c>
      <c r="D112" s="37">
        <v>24600</v>
      </c>
      <c r="E112" s="37">
        <v>77965</v>
      </c>
      <c r="F112" s="8">
        <v>3846.7</v>
      </c>
      <c r="G112" s="37">
        <v>2705.2</v>
      </c>
      <c r="H112" s="24"/>
      <c r="I112" s="36"/>
      <c r="J112" s="8">
        <f t="shared" si="27"/>
        <v>53365</v>
      </c>
      <c r="K112" s="37">
        <f t="shared" si="36"/>
        <v>2403</v>
      </c>
      <c r="L112" s="37">
        <v>793</v>
      </c>
      <c r="M112" s="37">
        <f t="shared" si="49"/>
        <v>160</v>
      </c>
      <c r="N112" s="74">
        <f t="shared" si="45"/>
        <v>935285</v>
      </c>
      <c r="O112" s="75">
        <f t="shared" si="46"/>
        <v>437289</v>
      </c>
      <c r="P112" s="75">
        <f t="shared" si="47"/>
        <v>1413517</v>
      </c>
      <c r="Q112" s="76">
        <f t="shared" si="48"/>
        <v>5550092</v>
      </c>
      <c r="R112" s="76">
        <f t="shared" si="48"/>
        <v>2566216</v>
      </c>
      <c r="S112" s="76">
        <f t="shared" si="48"/>
        <v>8362676</v>
      </c>
      <c r="T112" s="80">
        <f>N112/'2015'!M112-1</f>
        <v>-5.840916618594727E-2</v>
      </c>
      <c r="U112" s="80">
        <f>O112/'2015'!N112-1</f>
        <v>3.8774104683194643E-3</v>
      </c>
      <c r="V112" s="80">
        <f>P112/'2015'!O112-1</f>
        <v>-2.7362204995314054E-2</v>
      </c>
      <c r="W112" s="81">
        <f>Q112/'2015'!P112-1</f>
        <v>-2.6356701203824162E-2</v>
      </c>
      <c r="X112" s="81">
        <f>R112/'2015'!Q112-1</f>
        <v>0.11224252300904336</v>
      </c>
      <c r="Y112" s="81">
        <f>S112/'2015'!R112-1</f>
        <v>2.6304883144838698E-2</v>
      </c>
      <c r="Z112" s="50">
        <f>Z$105+0.457*7</f>
        <v>55.944499999999998</v>
      </c>
      <c r="AA112" s="97">
        <f t="shared" si="37"/>
        <v>499.06469999999996</v>
      </c>
      <c r="AB112" s="105"/>
      <c r="AC112" s="105"/>
      <c r="AD112" s="8">
        <f t="shared" si="38"/>
        <v>5796460</v>
      </c>
      <c r="AE112" s="37">
        <f t="shared" si="40"/>
        <v>153478</v>
      </c>
      <c r="AF112" s="37">
        <f t="shared" si="40"/>
        <v>81301</v>
      </c>
      <c r="AG112" s="37">
        <f t="shared" si="39"/>
        <v>11589</v>
      </c>
    </row>
    <row r="113" spans="1:33" ht="15" customHeight="1" x14ac:dyDescent="0.15">
      <c r="A113" s="102">
        <v>42478</v>
      </c>
      <c r="B113" s="20" t="s">
        <v>34</v>
      </c>
      <c r="C113" s="8">
        <v>54605</v>
      </c>
      <c r="D113" s="37">
        <v>24105</v>
      </c>
      <c r="E113" s="37">
        <v>82761</v>
      </c>
      <c r="F113" s="8">
        <v>4279</v>
      </c>
      <c r="G113" s="37">
        <v>2610</v>
      </c>
      <c r="H113" s="24"/>
      <c r="I113" s="36"/>
      <c r="J113" s="8">
        <f t="shared" si="27"/>
        <v>58656</v>
      </c>
      <c r="K113" s="37">
        <f t="shared" si="36"/>
        <v>3098</v>
      </c>
      <c r="L113" s="37">
        <v>793</v>
      </c>
      <c r="M113" s="37">
        <f t="shared" si="49"/>
        <v>160</v>
      </c>
      <c r="N113" s="74">
        <f t="shared" si="45"/>
        <v>989890</v>
      </c>
      <c r="O113" s="75">
        <f t="shared" si="46"/>
        <v>461394</v>
      </c>
      <c r="P113" s="75">
        <f t="shared" si="47"/>
        <v>1496278</v>
      </c>
      <c r="Q113" s="76">
        <f t="shared" si="48"/>
        <v>5604697</v>
      </c>
      <c r="R113" s="76">
        <f t="shared" si="48"/>
        <v>2590321</v>
      </c>
      <c r="S113" s="76">
        <f t="shared" si="48"/>
        <v>8445437</v>
      </c>
      <c r="T113" s="80">
        <f>N113/'2015'!M113-1</f>
        <v>-5.9015773218514145E-2</v>
      </c>
      <c r="U113" s="80">
        <f>O113/'2015'!N113-1</f>
        <v>-3.5461605577103983E-3</v>
      </c>
      <c r="V113" s="80">
        <f>P113/'2015'!O113-1</f>
        <v>-2.8588345355781586E-2</v>
      </c>
      <c r="W113" s="81">
        <f>Q113/'2015'!P113-1</f>
        <v>-2.6794042858799938E-2</v>
      </c>
      <c r="X113" s="81">
        <f>R113/'2015'!Q113-1</f>
        <v>0.10949675780117274</v>
      </c>
      <c r="Y113" s="81">
        <f>S113/'2015'!R113-1</f>
        <v>2.5508398776690644E-2</v>
      </c>
      <c r="Z113" s="50">
        <f>Z$105+0.457*8</f>
        <v>56.401499999999999</v>
      </c>
      <c r="AA113" s="97">
        <f t="shared" si="37"/>
        <v>504.06819999999999</v>
      </c>
      <c r="AB113" s="105"/>
      <c r="AC113" s="105"/>
      <c r="AD113" s="8">
        <f t="shared" si="38"/>
        <v>5855116</v>
      </c>
      <c r="AE113" s="37">
        <f t="shared" si="40"/>
        <v>156576</v>
      </c>
      <c r="AF113" s="37">
        <f t="shared" si="40"/>
        <v>82094</v>
      </c>
      <c r="AG113" s="37">
        <f t="shared" si="39"/>
        <v>11749</v>
      </c>
    </row>
    <row r="114" spans="1:33" ht="15" customHeight="1" x14ac:dyDescent="0.15">
      <c r="A114" s="102">
        <v>42479</v>
      </c>
      <c r="B114" s="20" t="s">
        <v>35</v>
      </c>
      <c r="C114" s="8">
        <v>54863</v>
      </c>
      <c r="D114" s="37">
        <v>24432</v>
      </c>
      <c r="E114" s="37">
        <v>83499</v>
      </c>
      <c r="F114" s="8">
        <v>4241</v>
      </c>
      <c r="G114" s="37">
        <v>2788</v>
      </c>
      <c r="H114" s="24"/>
      <c r="I114" s="36"/>
      <c r="J114" s="8">
        <f t="shared" si="27"/>
        <v>59067</v>
      </c>
      <c r="K114" s="37">
        <f t="shared" si="36"/>
        <v>3251</v>
      </c>
      <c r="L114" s="37">
        <v>793</v>
      </c>
      <c r="M114" s="37">
        <f t="shared" si="49"/>
        <v>160</v>
      </c>
      <c r="N114" s="74">
        <f t="shared" si="45"/>
        <v>1044753</v>
      </c>
      <c r="O114" s="75">
        <f t="shared" si="46"/>
        <v>485826</v>
      </c>
      <c r="P114" s="75">
        <f t="shared" si="47"/>
        <v>1579777</v>
      </c>
      <c r="Q114" s="76">
        <f t="shared" si="48"/>
        <v>5659560</v>
      </c>
      <c r="R114" s="76">
        <f t="shared" si="48"/>
        <v>2614753</v>
      </c>
      <c r="S114" s="76">
        <f t="shared" si="48"/>
        <v>8528936</v>
      </c>
      <c r="T114" s="80">
        <f>N114/'2015'!M114-1</f>
        <v>-5.5594776972759496E-2</v>
      </c>
      <c r="U114" s="80">
        <f>O114/'2015'!N114-1</f>
        <v>-1.0473187661925065E-2</v>
      </c>
      <c r="V114" s="80">
        <f>P114/'2015'!O114-1</f>
        <v>-2.6874977670404032E-2</v>
      </c>
      <c r="W114" s="81">
        <f>Q114/'2015'!P114-1</f>
        <v>-2.6443907972186431E-2</v>
      </c>
      <c r="X114" s="81">
        <f>R114/'2015'!Q114-1</f>
        <v>0.10672082139563277</v>
      </c>
      <c r="Y114" s="81">
        <f>S114/'2015'!R114-1</f>
        <v>2.5302402764742826E-2</v>
      </c>
      <c r="Z114" s="50">
        <f>Z$105+0.457*9</f>
        <v>56.858499999999999</v>
      </c>
      <c r="AA114" s="97">
        <f t="shared" si="37"/>
        <v>509.09750000000003</v>
      </c>
      <c r="AB114" s="105"/>
      <c r="AC114" s="105"/>
      <c r="AD114" s="8">
        <f t="shared" si="38"/>
        <v>5914183</v>
      </c>
      <c r="AE114" s="37">
        <f t="shared" si="40"/>
        <v>159827</v>
      </c>
      <c r="AF114" s="37">
        <f t="shared" si="40"/>
        <v>82887</v>
      </c>
      <c r="AG114" s="37">
        <f t="shared" si="39"/>
        <v>11909</v>
      </c>
    </row>
    <row r="115" spans="1:33" ht="15" customHeight="1" x14ac:dyDescent="0.15">
      <c r="A115" s="102">
        <v>42480</v>
      </c>
      <c r="B115" s="14" t="s">
        <v>36</v>
      </c>
      <c r="C115" s="32">
        <v>56044</v>
      </c>
      <c r="D115" s="33">
        <v>24143</v>
      </c>
      <c r="E115" s="33">
        <v>84044</v>
      </c>
      <c r="F115" s="32">
        <v>4342</v>
      </c>
      <c r="G115" s="33">
        <v>2778</v>
      </c>
      <c r="H115" s="19"/>
      <c r="I115" s="19"/>
      <c r="J115" s="32">
        <f t="shared" si="27"/>
        <v>59901</v>
      </c>
      <c r="K115" s="33">
        <f t="shared" si="36"/>
        <v>2904</v>
      </c>
      <c r="L115" s="33">
        <v>793</v>
      </c>
      <c r="M115" s="33">
        <f t="shared" si="49"/>
        <v>160</v>
      </c>
      <c r="N115" s="77">
        <f t="shared" si="45"/>
        <v>1100797</v>
      </c>
      <c r="O115" s="78">
        <f t="shared" si="46"/>
        <v>509969</v>
      </c>
      <c r="P115" s="78">
        <f t="shared" si="47"/>
        <v>1663821</v>
      </c>
      <c r="Q115" s="77">
        <f t="shared" si="48"/>
        <v>5715604</v>
      </c>
      <c r="R115" s="77">
        <f t="shared" si="48"/>
        <v>2638896</v>
      </c>
      <c r="S115" s="77">
        <f t="shared" si="48"/>
        <v>8612980</v>
      </c>
      <c r="T115" s="82">
        <f>N115/'2015'!M115-1</f>
        <v>-5.5191781656697581E-2</v>
      </c>
      <c r="U115" s="82">
        <f>O115/'2015'!N115-1</f>
        <v>-1.4381245047447866E-2</v>
      </c>
      <c r="V115" s="82">
        <f>P115/'2015'!O115-1</f>
        <v>-2.683396317129505E-2</v>
      </c>
      <c r="W115" s="82">
        <f>Q115/'2015'!P115-1</f>
        <v>-2.6656076532339479E-2</v>
      </c>
      <c r="X115" s="82">
        <f>R115/'2015'!Q115-1</f>
        <v>0.10457733287848114</v>
      </c>
      <c r="Y115" s="82">
        <f>S115/'2015'!R115-1</f>
        <v>2.4775032029499489E-2</v>
      </c>
      <c r="Z115" s="49">
        <v>57.32</v>
      </c>
      <c r="AA115" s="49">
        <f t="shared" si="37"/>
        <v>514.24039999999991</v>
      </c>
      <c r="AB115" s="33">
        <v>4230.1000000000004</v>
      </c>
      <c r="AC115" s="33">
        <f t="shared" si="41"/>
        <v>1215.6696059194815</v>
      </c>
      <c r="AD115" s="32">
        <f t="shared" si="38"/>
        <v>5974084</v>
      </c>
      <c r="AE115" s="33">
        <v>162739</v>
      </c>
      <c r="AF115" s="33">
        <v>83672</v>
      </c>
      <c r="AG115" s="33">
        <f t="shared" si="39"/>
        <v>12069</v>
      </c>
    </row>
    <row r="116" spans="1:33" ht="15" customHeight="1" x14ac:dyDescent="0.15">
      <c r="A116" s="102">
        <v>42481</v>
      </c>
      <c r="B116" s="20" t="s">
        <v>37</v>
      </c>
      <c r="C116" s="8">
        <v>55913</v>
      </c>
      <c r="D116" s="37">
        <v>24622</v>
      </c>
      <c r="E116" s="37">
        <v>84104</v>
      </c>
      <c r="F116" s="8">
        <v>4336</v>
      </c>
      <c r="G116" s="37">
        <v>2752</v>
      </c>
      <c r="H116" s="24"/>
      <c r="I116" s="36"/>
      <c r="J116" s="8">
        <f t="shared" si="27"/>
        <v>59482</v>
      </c>
      <c r="K116" s="37">
        <f t="shared" si="36"/>
        <v>2632</v>
      </c>
      <c r="L116" s="37">
        <v>793</v>
      </c>
      <c r="M116" s="37">
        <f>(AG$125-AG$115)/10</f>
        <v>144</v>
      </c>
      <c r="N116" s="74">
        <f t="shared" si="45"/>
        <v>1156710</v>
      </c>
      <c r="O116" s="75">
        <f t="shared" si="46"/>
        <v>534591</v>
      </c>
      <c r="P116" s="75">
        <f t="shared" si="47"/>
        <v>1747925</v>
      </c>
      <c r="Q116" s="76">
        <f t="shared" si="48"/>
        <v>5771517</v>
      </c>
      <c r="R116" s="76">
        <f t="shared" si="48"/>
        <v>2663518</v>
      </c>
      <c r="S116" s="76">
        <f t="shared" si="48"/>
        <v>8697084</v>
      </c>
      <c r="T116" s="80">
        <f>N116/'2015'!M116-1</f>
        <v>-5.7015541540849535E-2</v>
      </c>
      <c r="U116" s="80">
        <f>O116/'2015'!N116-1</f>
        <v>-1.4217196722853154E-2</v>
      </c>
      <c r="V116" s="80">
        <f>P116/'2015'!O116-1</f>
        <v>-2.730453296649793E-2</v>
      </c>
      <c r="W116" s="81">
        <f>Q116/'2015'!P116-1</f>
        <v>-2.7329082007975125E-2</v>
      </c>
      <c r="X116" s="81">
        <f>R116/'2015'!Q116-1</f>
        <v>0.1033875654219274</v>
      </c>
      <c r="Y116" s="81">
        <f>S116/'2015'!R116-1</f>
        <v>2.414495261682581E-2</v>
      </c>
      <c r="Z116" s="50">
        <f>Z$115+0.385*1</f>
        <v>57.704999999999998</v>
      </c>
      <c r="AA116" s="97">
        <f t="shared" si="37"/>
        <v>519.44669999999996</v>
      </c>
      <c r="AB116" s="105">
        <v>4230.1000000000004</v>
      </c>
      <c r="AC116" s="105">
        <f t="shared" si="41"/>
        <v>1227.9773527812581</v>
      </c>
      <c r="AD116" s="8">
        <f t="shared" si="38"/>
        <v>6033566</v>
      </c>
      <c r="AE116" s="37">
        <f t="shared" si="40"/>
        <v>165371</v>
      </c>
      <c r="AF116" s="37">
        <f t="shared" si="40"/>
        <v>84465</v>
      </c>
      <c r="AG116" s="37">
        <f t="shared" si="39"/>
        <v>12213</v>
      </c>
    </row>
    <row r="117" spans="1:33" ht="15" customHeight="1" x14ac:dyDescent="0.15">
      <c r="A117" s="102">
        <v>42482</v>
      </c>
      <c r="B117" s="20" t="s">
        <v>38</v>
      </c>
      <c r="C117" s="70">
        <v>56349</v>
      </c>
      <c r="D117" s="71">
        <f>13018+11260</f>
        <v>24278</v>
      </c>
      <c r="E117" s="71">
        <v>84509</v>
      </c>
      <c r="F117" s="70">
        <v>4268.8</v>
      </c>
      <c r="G117" s="71">
        <v>2801.9</v>
      </c>
      <c r="H117" s="24"/>
      <c r="I117" s="24"/>
      <c r="J117" s="70">
        <f t="shared" si="27"/>
        <v>60231</v>
      </c>
      <c r="K117" s="71">
        <f t="shared" si="36"/>
        <v>2946</v>
      </c>
      <c r="L117" s="71">
        <v>792</v>
      </c>
      <c r="M117" s="71">
        <f t="shared" ref="M117:M125" si="50">(AG$125-AG$115)/10</f>
        <v>144</v>
      </c>
      <c r="N117" s="74">
        <f t="shared" si="45"/>
        <v>1213059</v>
      </c>
      <c r="O117" s="75">
        <f t="shared" si="46"/>
        <v>558869</v>
      </c>
      <c r="P117" s="75">
        <f t="shared" si="47"/>
        <v>1832434</v>
      </c>
      <c r="Q117" s="76">
        <f t="shared" si="48"/>
        <v>5827866</v>
      </c>
      <c r="R117" s="76">
        <f t="shared" si="48"/>
        <v>2687796</v>
      </c>
      <c r="S117" s="76">
        <f t="shared" si="48"/>
        <v>8781593</v>
      </c>
      <c r="T117" s="80">
        <f>N117/'2015'!M117-1</f>
        <v>-5.7986534444332327E-2</v>
      </c>
      <c r="U117" s="80">
        <f>O117/'2015'!N117-1</f>
        <v>-1.5983885820331833E-2</v>
      </c>
      <c r="V117" s="80">
        <f>P117/'2015'!O117-1</f>
        <v>-2.7938040422258781E-2</v>
      </c>
      <c r="W117" s="81">
        <f>Q117/'2015'!P117-1</f>
        <v>-2.784014241768773E-2</v>
      </c>
      <c r="X117" s="81">
        <f>R117/'2015'!Q117-1</f>
        <v>0.10173996307579292</v>
      </c>
      <c r="Y117" s="81">
        <f>S117/'2015'!R117-1</f>
        <v>2.3477436824261844E-2</v>
      </c>
      <c r="Z117" s="97">
        <f>Z$115+0.385*2</f>
        <v>58.09</v>
      </c>
      <c r="AA117" s="97">
        <f t="shared" si="37"/>
        <v>524.69659999999999</v>
      </c>
      <c r="AB117" s="106"/>
      <c r="AC117" s="105"/>
      <c r="AD117" s="70">
        <f t="shared" si="38"/>
        <v>6093797</v>
      </c>
      <c r="AE117" s="71">
        <f t="shared" si="40"/>
        <v>168317</v>
      </c>
      <c r="AF117" s="71">
        <f t="shared" si="40"/>
        <v>85257</v>
      </c>
      <c r="AG117" s="71">
        <f t="shared" si="39"/>
        <v>12357</v>
      </c>
    </row>
    <row r="118" spans="1:33" ht="15" customHeight="1" x14ac:dyDescent="0.15">
      <c r="A118" s="102">
        <v>42483</v>
      </c>
      <c r="B118" s="20" t="s">
        <v>39</v>
      </c>
      <c r="C118" s="8">
        <v>54844</v>
      </c>
      <c r="D118" s="37">
        <f>13128+11249</f>
        <v>24377</v>
      </c>
      <c r="E118" s="37">
        <v>83370</v>
      </c>
      <c r="F118" s="8">
        <v>4311.7</v>
      </c>
      <c r="G118" s="37">
        <v>2758.5</v>
      </c>
      <c r="H118" s="24"/>
      <c r="I118" s="36"/>
      <c r="J118" s="8">
        <f t="shared" si="27"/>
        <v>58993</v>
      </c>
      <c r="K118" s="37">
        <f t="shared" si="36"/>
        <v>3216</v>
      </c>
      <c r="L118" s="37">
        <v>789</v>
      </c>
      <c r="M118" s="37">
        <f t="shared" si="50"/>
        <v>144</v>
      </c>
      <c r="N118" s="74">
        <f t="shared" si="45"/>
        <v>1267903</v>
      </c>
      <c r="O118" s="75">
        <f t="shared" si="46"/>
        <v>583246</v>
      </c>
      <c r="P118" s="75">
        <f t="shared" si="47"/>
        <v>1915804</v>
      </c>
      <c r="Q118" s="76">
        <f t="shared" si="48"/>
        <v>5882710</v>
      </c>
      <c r="R118" s="76">
        <f t="shared" si="48"/>
        <v>2712173</v>
      </c>
      <c r="S118" s="76">
        <f t="shared" si="48"/>
        <v>8864963</v>
      </c>
      <c r="T118" s="80">
        <f>N118/'2015'!M118-1</f>
        <v>-6.1069233668723188E-2</v>
      </c>
      <c r="U118" s="80">
        <f>O118/'2015'!N118-1</f>
        <v>-1.4305970313210348E-2</v>
      </c>
      <c r="V118" s="80">
        <f>P118/'2015'!O118-1</f>
        <v>-2.9021344963293116E-2</v>
      </c>
      <c r="W118" s="81">
        <f>Q118/'2015'!P118-1</f>
        <v>-2.8839105887014216E-2</v>
      </c>
      <c r="X118" s="81">
        <f>R118/'2015'!Q118-1</f>
        <v>0.10100732496642784</v>
      </c>
      <c r="Y118" s="81">
        <f>S118/'2015'!R118-1</f>
        <v>2.2709081717623203E-2</v>
      </c>
      <c r="Z118" s="50">
        <f>Z$115+0.385*3</f>
        <v>58.475000000000001</v>
      </c>
      <c r="AA118" s="97">
        <f t="shared" si="37"/>
        <v>529.79599999999994</v>
      </c>
      <c r="AB118" s="105"/>
      <c r="AC118" s="105"/>
      <c r="AD118" s="8">
        <f t="shared" si="38"/>
        <v>6152790</v>
      </c>
      <c r="AE118" s="37">
        <f t="shared" si="40"/>
        <v>171533</v>
      </c>
      <c r="AF118" s="37">
        <f t="shared" si="40"/>
        <v>86046</v>
      </c>
      <c r="AG118" s="37">
        <f t="shared" si="39"/>
        <v>12501</v>
      </c>
    </row>
    <row r="119" spans="1:33" ht="15" customHeight="1" x14ac:dyDescent="0.15">
      <c r="A119" s="102">
        <v>42484</v>
      </c>
      <c r="B119" s="20" t="s">
        <v>1</v>
      </c>
      <c r="C119" s="8">
        <v>50813</v>
      </c>
      <c r="D119" s="37">
        <f>13283+11338</f>
        <v>24621</v>
      </c>
      <c r="E119" s="37">
        <v>79427</v>
      </c>
      <c r="F119" s="8">
        <v>4005.1</v>
      </c>
      <c r="G119" s="37">
        <v>2718.9</v>
      </c>
      <c r="H119" s="24"/>
      <c r="I119" s="36"/>
      <c r="J119" s="8">
        <f t="shared" si="27"/>
        <v>54806</v>
      </c>
      <c r="K119" s="37">
        <f t="shared" si="36"/>
        <v>3056</v>
      </c>
      <c r="L119" s="37">
        <v>793</v>
      </c>
      <c r="M119" s="37">
        <f t="shared" si="50"/>
        <v>144</v>
      </c>
      <c r="N119" s="74">
        <f t="shared" si="45"/>
        <v>1318716</v>
      </c>
      <c r="O119" s="75">
        <f t="shared" si="46"/>
        <v>607867</v>
      </c>
      <c r="P119" s="75">
        <f t="shared" si="47"/>
        <v>1995231</v>
      </c>
      <c r="Q119" s="76">
        <f t="shared" si="48"/>
        <v>5933523</v>
      </c>
      <c r="R119" s="76">
        <f t="shared" si="48"/>
        <v>2736794</v>
      </c>
      <c r="S119" s="76">
        <f t="shared" si="48"/>
        <v>8944390</v>
      </c>
      <c r="T119" s="80">
        <f>N119/'2015'!M119-1</f>
        <v>-6.6367330120492118E-2</v>
      </c>
      <c r="U119" s="80">
        <f>O119/'2015'!N119-1</f>
        <v>-1.4597842015847684E-2</v>
      </c>
      <c r="V119" s="80">
        <f>P119/'2015'!O119-1</f>
        <v>-3.2226286347336708E-2</v>
      </c>
      <c r="W119" s="81">
        <f>Q119/'2015'!P119-1</f>
        <v>-3.0388980254557274E-2</v>
      </c>
      <c r="X119" s="81">
        <f>R119/'2015'!Q119-1</f>
        <v>9.9769059242914571E-2</v>
      </c>
      <c r="Y119" s="81">
        <f>S119/'2015'!R119-1</f>
        <v>2.1431073995252126E-2</v>
      </c>
      <c r="Z119" s="50">
        <f>Z$115+0.385*4</f>
        <v>58.86</v>
      </c>
      <c r="AA119" s="97">
        <f t="shared" si="37"/>
        <v>534.4923</v>
      </c>
      <c r="AB119" s="105"/>
      <c r="AC119" s="105"/>
      <c r="AD119" s="8">
        <f t="shared" si="38"/>
        <v>6207596</v>
      </c>
      <c r="AE119" s="37">
        <f t="shared" si="40"/>
        <v>174589</v>
      </c>
      <c r="AF119" s="37">
        <f t="shared" si="40"/>
        <v>86839</v>
      </c>
      <c r="AG119" s="37">
        <f t="shared" si="39"/>
        <v>12645</v>
      </c>
    </row>
    <row r="120" spans="1:33" ht="15" customHeight="1" x14ac:dyDescent="0.15">
      <c r="A120" s="102">
        <v>42485</v>
      </c>
      <c r="B120" s="20" t="s">
        <v>34</v>
      </c>
      <c r="C120" s="8">
        <v>53738</v>
      </c>
      <c r="D120" s="37">
        <v>25427</v>
      </c>
      <c r="E120" s="37">
        <v>82970</v>
      </c>
      <c r="F120" s="8">
        <v>4315</v>
      </c>
      <c r="G120" s="37">
        <v>2610</v>
      </c>
      <c r="H120" s="24"/>
      <c r="I120" s="36"/>
      <c r="J120" s="8">
        <f t="shared" si="27"/>
        <v>57543</v>
      </c>
      <c r="K120" s="37">
        <f t="shared" si="36"/>
        <v>2870</v>
      </c>
      <c r="L120" s="37">
        <v>791</v>
      </c>
      <c r="M120" s="37">
        <f t="shared" si="50"/>
        <v>144</v>
      </c>
      <c r="N120" s="74">
        <f t="shared" si="45"/>
        <v>1372454</v>
      </c>
      <c r="O120" s="75">
        <f t="shared" si="46"/>
        <v>633294</v>
      </c>
      <c r="P120" s="75">
        <f t="shared" si="47"/>
        <v>2078201</v>
      </c>
      <c r="Q120" s="76">
        <f t="shared" si="48"/>
        <v>5987261</v>
      </c>
      <c r="R120" s="76">
        <f t="shared" si="48"/>
        <v>2762221</v>
      </c>
      <c r="S120" s="76">
        <f t="shared" si="48"/>
        <v>9027360</v>
      </c>
      <c r="T120" s="80">
        <f>N120/'2015'!M120-1</f>
        <v>-6.8304243312101054E-2</v>
      </c>
      <c r="U120" s="80">
        <f>O120/'2015'!N120-1</f>
        <v>-1.4464922368730204E-2</v>
      </c>
      <c r="V120" s="80">
        <f>P120/'2015'!O120-1</f>
        <v>-3.3010786610123244E-2</v>
      </c>
      <c r="W120" s="81">
        <f>Q120/'2015'!P120-1</f>
        <v>-3.120353029772005E-2</v>
      </c>
      <c r="X120" s="81">
        <f>R120/'2015'!Q120-1</f>
        <v>9.863322188785939E-2</v>
      </c>
      <c r="Y120" s="81">
        <f>S120/'2015'!R120-1</f>
        <v>2.0709733012565623E-2</v>
      </c>
      <c r="Z120" s="50">
        <f>Z$115+0.385*5</f>
        <v>59.244999999999997</v>
      </c>
      <c r="AA120" s="97">
        <f t="shared" si="37"/>
        <v>539.48109999999997</v>
      </c>
      <c r="AB120" s="105"/>
      <c r="AC120" s="105"/>
      <c r="AD120" s="8">
        <f t="shared" si="38"/>
        <v>6265139</v>
      </c>
      <c r="AE120" s="37">
        <f t="shared" si="40"/>
        <v>177459</v>
      </c>
      <c r="AF120" s="37">
        <f t="shared" si="40"/>
        <v>87630</v>
      </c>
      <c r="AG120" s="37">
        <f t="shared" si="39"/>
        <v>12789</v>
      </c>
    </row>
    <row r="121" spans="1:33" ht="15" customHeight="1" x14ac:dyDescent="0.15">
      <c r="A121" s="102">
        <v>42486</v>
      </c>
      <c r="B121" s="20" t="s">
        <v>35</v>
      </c>
      <c r="C121" s="8">
        <v>54006</v>
      </c>
      <c r="D121" s="37">
        <v>26547</v>
      </c>
      <c r="E121" s="37">
        <v>84470</v>
      </c>
      <c r="F121" s="8">
        <v>4340</v>
      </c>
      <c r="G121" s="37">
        <v>2758</v>
      </c>
      <c r="H121" s="24"/>
      <c r="I121" s="36"/>
      <c r="J121" s="8">
        <f t="shared" si="27"/>
        <v>57923</v>
      </c>
      <c r="K121" s="37">
        <f t="shared" si="36"/>
        <v>2982</v>
      </c>
      <c r="L121" s="37">
        <v>791</v>
      </c>
      <c r="M121" s="37">
        <f t="shared" si="50"/>
        <v>144</v>
      </c>
      <c r="N121" s="74">
        <f t="shared" si="45"/>
        <v>1426460</v>
      </c>
      <c r="O121" s="75">
        <f t="shared" si="46"/>
        <v>659841</v>
      </c>
      <c r="P121" s="75">
        <f t="shared" si="47"/>
        <v>2162671</v>
      </c>
      <c r="Q121" s="76">
        <f t="shared" si="48"/>
        <v>6041267</v>
      </c>
      <c r="R121" s="76">
        <f t="shared" si="48"/>
        <v>2788768</v>
      </c>
      <c r="S121" s="76">
        <f t="shared" si="48"/>
        <v>9111830</v>
      </c>
      <c r="T121" s="80">
        <f>N121/'2015'!M121-1</f>
        <v>-6.7337931936316986E-2</v>
      </c>
      <c r="U121" s="80">
        <f>O121/'2015'!N121-1</f>
        <v>-1.2571792853487196E-2</v>
      </c>
      <c r="V121" s="80">
        <f>P121/'2015'!O121-1</f>
        <v>-3.136386173314154E-2</v>
      </c>
      <c r="W121" s="81">
        <f>Q121/'2015'!P121-1</f>
        <v>-3.1301947364226756E-2</v>
      </c>
      <c r="X121" s="81">
        <f>R121/'2015'!Q121-1</f>
        <v>9.7989005022664388E-2</v>
      </c>
      <c r="Y121" s="81">
        <f>S121/'2015'!R121-1</f>
        <v>2.0618856934838004E-2</v>
      </c>
      <c r="Z121" s="50">
        <f>Z$115+0.385*6</f>
        <v>59.63</v>
      </c>
      <c r="AA121" s="97">
        <f t="shared" si="37"/>
        <v>544.49670000000003</v>
      </c>
      <c r="AB121" s="105"/>
      <c r="AC121" s="105"/>
      <c r="AD121" s="8">
        <f t="shared" si="38"/>
        <v>6323062</v>
      </c>
      <c r="AE121" s="37">
        <f t="shared" si="40"/>
        <v>180441</v>
      </c>
      <c r="AF121" s="37">
        <f t="shared" si="40"/>
        <v>88421</v>
      </c>
      <c r="AG121" s="37">
        <f t="shared" si="39"/>
        <v>12933</v>
      </c>
    </row>
    <row r="122" spans="1:33" ht="15" customHeight="1" x14ac:dyDescent="0.15">
      <c r="A122" s="102">
        <v>42487</v>
      </c>
      <c r="B122" s="14" t="s">
        <v>36</v>
      </c>
      <c r="C122" s="32">
        <v>52519</v>
      </c>
      <c r="D122" s="33">
        <v>27069</v>
      </c>
      <c r="E122" s="33">
        <v>83435</v>
      </c>
      <c r="F122" s="32">
        <v>4245</v>
      </c>
      <c r="G122" s="33">
        <v>2729</v>
      </c>
      <c r="H122" s="19">
        <v>1403.1</v>
      </c>
      <c r="I122" s="19">
        <v>793.9</v>
      </c>
      <c r="J122" s="32">
        <f t="shared" si="27"/>
        <v>56366</v>
      </c>
      <c r="K122" s="33">
        <f t="shared" si="36"/>
        <v>2911</v>
      </c>
      <c r="L122" s="33">
        <v>792</v>
      </c>
      <c r="M122" s="33">
        <f t="shared" si="50"/>
        <v>144</v>
      </c>
      <c r="N122" s="77">
        <f t="shared" si="45"/>
        <v>1478979</v>
      </c>
      <c r="O122" s="78">
        <f t="shared" si="46"/>
        <v>686910</v>
      </c>
      <c r="P122" s="78">
        <f t="shared" si="47"/>
        <v>2246106</v>
      </c>
      <c r="Q122" s="77">
        <f t="shared" si="48"/>
        <v>6093786</v>
      </c>
      <c r="R122" s="77">
        <f t="shared" si="48"/>
        <v>2815837</v>
      </c>
      <c r="S122" s="77">
        <f t="shared" si="48"/>
        <v>9195265</v>
      </c>
      <c r="T122" s="82">
        <f>N122/'2015'!M122-1</f>
        <v>-6.8863525185427266E-2</v>
      </c>
      <c r="U122" s="82">
        <f>O122/'2015'!N122-1</f>
        <v>-1.1931732366711967E-2</v>
      </c>
      <c r="V122" s="82">
        <f>P122/'2015'!O122-1</f>
        <v>-3.1944329513012515E-2</v>
      </c>
      <c r="W122" s="82">
        <f>Q122/'2015'!P122-1</f>
        <v>-3.2024068405611117E-2</v>
      </c>
      <c r="X122" s="82">
        <f>R122/'2015'!Q122-1</f>
        <v>9.7000993435533811E-2</v>
      </c>
      <c r="Y122" s="82">
        <f>S122/'2015'!R122-1</f>
        <v>1.9964777565902869E-2</v>
      </c>
      <c r="Z122" s="49">
        <f>Z$115+0.385*7</f>
        <v>60.015000000000001</v>
      </c>
      <c r="AA122" s="49">
        <f t="shared" si="37"/>
        <v>549.36360000000002</v>
      </c>
      <c r="AB122" s="33"/>
      <c r="AC122" s="33" t="e">
        <f t="shared" si="41"/>
        <v>#DIV/0!</v>
      </c>
      <c r="AD122" s="32">
        <f t="shared" si="38"/>
        <v>6379428</v>
      </c>
      <c r="AE122" s="33">
        <f t="shared" si="40"/>
        <v>183352</v>
      </c>
      <c r="AF122" s="33">
        <f t="shared" si="40"/>
        <v>89213</v>
      </c>
      <c r="AG122" s="33">
        <f t="shared" si="39"/>
        <v>13077</v>
      </c>
    </row>
    <row r="123" spans="1:33" ht="15" customHeight="1" x14ac:dyDescent="0.15">
      <c r="A123" s="102">
        <v>42488</v>
      </c>
      <c r="B123" s="20" t="s">
        <v>37</v>
      </c>
      <c r="C123" s="8">
        <v>53231</v>
      </c>
      <c r="D123" s="37">
        <v>26944</v>
      </c>
      <c r="E123" s="37">
        <v>82759</v>
      </c>
      <c r="F123" s="8">
        <v>4193</v>
      </c>
      <c r="G123" s="37">
        <v>2740</v>
      </c>
      <c r="H123" s="24"/>
      <c r="I123" s="36"/>
      <c r="J123" s="8">
        <f t="shared" si="27"/>
        <v>55815</v>
      </c>
      <c r="K123" s="37">
        <f t="shared" si="36"/>
        <v>1649</v>
      </c>
      <c r="L123" s="37">
        <v>791</v>
      </c>
      <c r="M123" s="37">
        <f t="shared" si="50"/>
        <v>144</v>
      </c>
      <c r="N123" s="74">
        <f t="shared" si="45"/>
        <v>1532210</v>
      </c>
      <c r="O123" s="75">
        <f t="shared" si="46"/>
        <v>713854</v>
      </c>
      <c r="P123" s="75">
        <f t="shared" si="47"/>
        <v>2328865</v>
      </c>
      <c r="Q123" s="76">
        <f t="shared" si="48"/>
        <v>6147017</v>
      </c>
      <c r="R123" s="76">
        <f t="shared" si="48"/>
        <v>2842781</v>
      </c>
      <c r="S123" s="76">
        <f t="shared" si="48"/>
        <v>9278024</v>
      </c>
      <c r="T123" s="80">
        <f>N123/'2015'!M123-1</f>
        <v>-7.0569980370604912E-2</v>
      </c>
      <c r="U123" s="80">
        <f>O123/'2015'!N123-1</f>
        <v>-1.2505291232186133E-2</v>
      </c>
      <c r="V123" s="80">
        <f>P123/'2015'!O123-1</f>
        <v>-3.3492725667007561E-2</v>
      </c>
      <c r="W123" s="81">
        <f>Q123/'2015'!P123-1</f>
        <v>-3.2815578250227073E-2</v>
      </c>
      <c r="X123" s="81">
        <f>R123/'2015'!Q123-1</f>
        <v>9.5678654281165176E-2</v>
      </c>
      <c r="Y123" s="81">
        <f>S123/'2015'!R123-1</f>
        <v>1.9045603326047322E-2</v>
      </c>
      <c r="Z123" s="50">
        <f>Z$115+0.385*8</f>
        <v>60.4</v>
      </c>
      <c r="AA123" s="97">
        <f t="shared" si="37"/>
        <v>554.30169999999998</v>
      </c>
      <c r="AB123" s="105">
        <v>4230.1000000000004</v>
      </c>
      <c r="AC123" s="105">
        <f t="shared" si="41"/>
        <v>1310.3749320347035</v>
      </c>
      <c r="AD123" s="8">
        <f t="shared" si="38"/>
        <v>6435243</v>
      </c>
      <c r="AE123" s="37">
        <f t="shared" si="40"/>
        <v>185001</v>
      </c>
      <c r="AF123" s="37">
        <f t="shared" si="40"/>
        <v>90004</v>
      </c>
      <c r="AG123" s="37">
        <f t="shared" si="39"/>
        <v>13221</v>
      </c>
    </row>
    <row r="124" spans="1:33" ht="15" customHeight="1" x14ac:dyDescent="0.15">
      <c r="A124" s="102">
        <v>42489</v>
      </c>
      <c r="B124" s="20" t="s">
        <v>38</v>
      </c>
      <c r="C124" s="70">
        <v>53723</v>
      </c>
      <c r="D124" s="71">
        <v>24241</v>
      </c>
      <c r="E124" s="71">
        <v>82960</v>
      </c>
      <c r="F124" s="70">
        <v>4193.3</v>
      </c>
      <c r="G124" s="71">
        <v>2776.8</v>
      </c>
      <c r="H124" s="24"/>
      <c r="I124" s="24"/>
      <c r="J124" s="70">
        <f t="shared" si="27"/>
        <v>58719</v>
      </c>
      <c r="K124" s="71">
        <f t="shared" si="36"/>
        <v>4059</v>
      </c>
      <c r="L124" s="71">
        <v>793</v>
      </c>
      <c r="M124" s="71">
        <f t="shared" si="50"/>
        <v>144</v>
      </c>
      <c r="N124" s="74">
        <f t="shared" si="45"/>
        <v>1585933</v>
      </c>
      <c r="O124" s="75">
        <f t="shared" si="46"/>
        <v>738095</v>
      </c>
      <c r="P124" s="75">
        <f t="shared" si="47"/>
        <v>2411825</v>
      </c>
      <c r="Q124" s="76">
        <f t="shared" si="48"/>
        <v>6200740</v>
      </c>
      <c r="R124" s="76">
        <f t="shared" si="48"/>
        <v>2867022</v>
      </c>
      <c r="S124" s="76">
        <f t="shared" si="48"/>
        <v>9360984</v>
      </c>
      <c r="T124" s="80">
        <f>N124/'2015'!M124-1</f>
        <v>-7.1615100882705396E-2</v>
      </c>
      <c r="U124" s="80">
        <f>O124/'2015'!N124-1</f>
        <v>-1.6192087097113839E-2</v>
      </c>
      <c r="V124" s="80">
        <f>P124/'2015'!O124-1</f>
        <v>-3.4609673016343212E-2</v>
      </c>
      <c r="W124" s="81">
        <f>Q124/'2015'!P124-1</f>
        <v>-3.3445346766216133E-2</v>
      </c>
      <c r="X124" s="81">
        <f>R124/'2015'!Q124-1</f>
        <v>9.3495221763858716E-2</v>
      </c>
      <c r="Y124" s="81">
        <f>S124/'2015'!R124-1</f>
        <v>1.8235042464966211E-2</v>
      </c>
      <c r="Z124" s="97">
        <f>Z$115+0.385*9</f>
        <v>60.784999999999997</v>
      </c>
      <c r="AA124" s="97">
        <f t="shared" si="37"/>
        <v>559.28899999999999</v>
      </c>
      <c r="AB124" s="106"/>
      <c r="AC124" s="105"/>
      <c r="AD124" s="70">
        <f t="shared" si="38"/>
        <v>6493962</v>
      </c>
      <c r="AE124" s="71">
        <f t="shared" si="40"/>
        <v>189060</v>
      </c>
      <c r="AF124" s="71">
        <f t="shared" si="40"/>
        <v>90797</v>
      </c>
      <c r="AG124" s="71">
        <f t="shared" si="39"/>
        <v>13365</v>
      </c>
    </row>
    <row r="125" spans="1:33" s="1" customFormat="1" ht="15" customHeight="1" x14ac:dyDescent="0.15">
      <c r="A125" s="13">
        <v>42490</v>
      </c>
      <c r="B125" s="25" t="s">
        <v>39</v>
      </c>
      <c r="C125" s="42">
        <v>52899</v>
      </c>
      <c r="D125" s="43">
        <v>20095</v>
      </c>
      <c r="E125" s="43">
        <v>77052</v>
      </c>
      <c r="F125" s="42">
        <v>3874.2</v>
      </c>
      <c r="G125" s="43">
        <v>2747.5</v>
      </c>
      <c r="H125" s="30"/>
      <c r="I125" s="30"/>
      <c r="J125" s="42">
        <f t="shared" si="27"/>
        <v>56957</v>
      </c>
      <c r="K125" s="43">
        <f t="shared" si="36"/>
        <v>3123</v>
      </c>
      <c r="L125" s="43">
        <v>791</v>
      </c>
      <c r="M125" s="43">
        <f t="shared" si="50"/>
        <v>144</v>
      </c>
      <c r="N125" s="87">
        <f t="shared" si="45"/>
        <v>1638832</v>
      </c>
      <c r="O125" s="88">
        <f t="shared" si="46"/>
        <v>758190</v>
      </c>
      <c r="P125" s="88">
        <f t="shared" si="47"/>
        <v>2488877</v>
      </c>
      <c r="Q125" s="87">
        <f t="shared" si="48"/>
        <v>6253639</v>
      </c>
      <c r="R125" s="87">
        <f t="shared" si="48"/>
        <v>2887117</v>
      </c>
      <c r="S125" s="87">
        <f t="shared" si="48"/>
        <v>9438036</v>
      </c>
      <c r="T125" s="89">
        <f>N125/'2015'!M125-1</f>
        <v>-7.2202920227879885E-2</v>
      </c>
      <c r="U125" s="89">
        <f>O125/'2015'!N125-1</f>
        <v>-2.3713440277309261E-2</v>
      </c>
      <c r="V125" s="89">
        <f>P125/'2015'!O125-1</f>
        <v>-3.6814170251218581E-2</v>
      </c>
      <c r="W125" s="89">
        <f>Q125/'2015'!P125-1</f>
        <v>-3.3948311551889265E-2</v>
      </c>
      <c r="X125" s="89">
        <f>R125/'2015'!Q125-1</f>
        <v>9.0197643652357717E-2</v>
      </c>
      <c r="Y125" s="89">
        <f>S125/'2015'!R125-1</f>
        <v>1.7132989146096511E-2</v>
      </c>
      <c r="Z125" s="52">
        <v>61.168900000000001</v>
      </c>
      <c r="AA125" s="52">
        <f t="shared" si="37"/>
        <v>564.19499999999994</v>
      </c>
      <c r="AB125" s="43">
        <v>4230.1000000000004</v>
      </c>
      <c r="AC125" s="43">
        <f t="shared" si="41"/>
        <v>1333.7627952057867</v>
      </c>
      <c r="AD125" s="42">
        <f t="shared" si="38"/>
        <v>6550919</v>
      </c>
      <c r="AE125" s="43">
        <v>192188</v>
      </c>
      <c r="AF125" s="43">
        <v>91583</v>
      </c>
      <c r="AG125" s="43">
        <f t="shared" si="39"/>
        <v>13509</v>
      </c>
    </row>
    <row r="126" spans="1:33" ht="15" customHeight="1" x14ac:dyDescent="0.15">
      <c r="A126" s="13">
        <v>42491</v>
      </c>
      <c r="B126" s="20" t="s">
        <v>1</v>
      </c>
      <c r="C126" s="8">
        <v>36095</v>
      </c>
      <c r="D126" s="37">
        <f>11307+8933</f>
        <v>20240</v>
      </c>
      <c r="E126" s="37">
        <v>57844</v>
      </c>
      <c r="F126" s="8">
        <v>2780.7</v>
      </c>
      <c r="G126" s="37">
        <v>2051.6999999999998</v>
      </c>
      <c r="H126" s="24"/>
      <c r="I126" s="36"/>
      <c r="J126" s="8">
        <f t="shared" si="27"/>
        <v>37604</v>
      </c>
      <c r="K126" s="37">
        <f t="shared" si="36"/>
        <v>554.40000000000009</v>
      </c>
      <c r="L126" s="37">
        <v>791</v>
      </c>
      <c r="M126" s="37">
        <f>(AG$135-AG$125)/10</f>
        <v>163.6</v>
      </c>
      <c r="N126" s="74">
        <f>C126</f>
        <v>36095</v>
      </c>
      <c r="O126" s="75">
        <f>D126</f>
        <v>20240</v>
      </c>
      <c r="P126" s="75">
        <f>E126</f>
        <v>57844</v>
      </c>
      <c r="Q126" s="76">
        <f>N126+Q$125</f>
        <v>6289734</v>
      </c>
      <c r="R126" s="76">
        <f>O126+R$125</f>
        <v>2907357</v>
      </c>
      <c r="S126" s="76">
        <f>P126+S$125</f>
        <v>9495880</v>
      </c>
      <c r="T126" s="80">
        <f>N126/'2015'!M126-1</f>
        <v>-0.13482742090124644</v>
      </c>
      <c r="U126" s="80">
        <f>O126/'2015'!N126-1</f>
        <v>7.6939448760242612E-2</v>
      </c>
      <c r="V126" s="80">
        <f>P126/'2015'!O126-1</f>
        <v>-6.0440185170145377E-2</v>
      </c>
      <c r="W126" s="81">
        <f>Q126/'2015'!P126-1</f>
        <v>-3.4594297572416166E-2</v>
      </c>
      <c r="X126" s="81">
        <f>R126/'2015'!Q126-1</f>
        <v>9.0104216464289122E-2</v>
      </c>
      <c r="Y126" s="81">
        <f>S126/'2015'!R126-1</f>
        <v>1.6621696432882471E-2</v>
      </c>
      <c r="Z126" s="50">
        <f>Z$125+0.26*1</f>
        <v>61.428899999999999</v>
      </c>
      <c r="AA126" s="97">
        <f t="shared" si="37"/>
        <v>567.54449999999997</v>
      </c>
      <c r="AB126" s="105"/>
      <c r="AC126" s="105"/>
      <c r="AD126" s="8">
        <f t="shared" si="38"/>
        <v>6588523</v>
      </c>
      <c r="AE126" s="37">
        <f t="shared" si="40"/>
        <v>192742.39999999999</v>
      </c>
      <c r="AF126" s="37">
        <f t="shared" si="40"/>
        <v>92374</v>
      </c>
      <c r="AG126" s="37">
        <f t="shared" si="39"/>
        <v>13672.600000000006</v>
      </c>
    </row>
    <row r="127" spans="1:33" ht="15" customHeight="1" x14ac:dyDescent="0.15">
      <c r="A127" s="13">
        <v>42492</v>
      </c>
      <c r="B127" s="20" t="s">
        <v>34</v>
      </c>
      <c r="C127" s="8">
        <v>41204</v>
      </c>
      <c r="D127" s="37">
        <f>10367+9102</f>
        <v>19469</v>
      </c>
      <c r="E127" s="37">
        <v>63499</v>
      </c>
      <c r="F127" s="8">
        <v>3133</v>
      </c>
      <c r="G127" s="37">
        <v>1975.7</v>
      </c>
      <c r="H127" s="24"/>
      <c r="I127" s="36"/>
      <c r="J127" s="8">
        <f t="shared" si="27"/>
        <v>44030</v>
      </c>
      <c r="K127" s="37">
        <f t="shared" si="36"/>
        <v>1871.4</v>
      </c>
      <c r="L127" s="37">
        <v>791</v>
      </c>
      <c r="M127" s="37">
        <f t="shared" ref="M127:M135" si="51">(AG$135-AG$125)/10</f>
        <v>163.6</v>
      </c>
      <c r="N127" s="74">
        <f t="shared" ref="N127:P134" si="52">N126+C127</f>
        <v>77299</v>
      </c>
      <c r="O127" s="75">
        <f t="shared" si="52"/>
        <v>39709</v>
      </c>
      <c r="P127" s="75">
        <f t="shared" si="52"/>
        <v>121343</v>
      </c>
      <c r="Q127" s="76">
        <f t="shared" ref="Q127:S156" si="53">N127+Q$125</f>
        <v>6330938</v>
      </c>
      <c r="R127" s="76">
        <f t="shared" si="53"/>
        <v>2926826</v>
      </c>
      <c r="S127" s="76">
        <f t="shared" si="53"/>
        <v>9559379</v>
      </c>
      <c r="T127" s="80">
        <f>N127/'2015'!M127-1</f>
        <v>-9.0054032419451646E-2</v>
      </c>
      <c r="U127" s="80">
        <f>O127/'2015'!N127-1</f>
        <v>-1.0046868767451089E-2</v>
      </c>
      <c r="V127" s="80">
        <f>P127/'2015'!O127-1</f>
        <v>-4.6420432220039332E-2</v>
      </c>
      <c r="W127" s="81">
        <f>Q127/'2015'!P127-1</f>
        <v>-3.4675037879197901E-2</v>
      </c>
      <c r="X127" s="81">
        <f>R127/'2015'!Q127-1</f>
        <v>8.8701934969347418E-2</v>
      </c>
      <c r="Y127" s="81">
        <f>S127/'2015'!R127-1</f>
        <v>1.6273228561088926E-2</v>
      </c>
      <c r="Z127" s="50">
        <f>Z$125+0.26*2</f>
        <v>61.688900000000004</v>
      </c>
      <c r="AA127" s="97">
        <f t="shared" si="37"/>
        <v>571.4049</v>
      </c>
      <c r="AB127" s="105"/>
      <c r="AC127" s="105"/>
      <c r="AD127" s="8">
        <f t="shared" si="38"/>
        <v>6632553</v>
      </c>
      <c r="AE127" s="37">
        <f t="shared" si="40"/>
        <v>194613.8</v>
      </c>
      <c r="AF127" s="37">
        <f t="shared" si="40"/>
        <v>93165</v>
      </c>
      <c r="AG127" s="37">
        <f t="shared" si="39"/>
        <v>13836.200000000012</v>
      </c>
    </row>
    <row r="128" spans="1:33" ht="15" customHeight="1" x14ac:dyDescent="0.15">
      <c r="A128" s="102">
        <v>42493</v>
      </c>
      <c r="B128" s="20" t="s">
        <v>35</v>
      </c>
      <c r="C128" s="8">
        <v>49457</v>
      </c>
      <c r="D128" s="37">
        <f>12156+9901</f>
        <v>22057</v>
      </c>
      <c r="E128" s="37">
        <v>75464</v>
      </c>
      <c r="F128" s="8">
        <v>3854.4</v>
      </c>
      <c r="G128" s="37">
        <v>2266.3000000000002</v>
      </c>
      <c r="H128" s="24"/>
      <c r="I128" s="36"/>
      <c r="J128" s="8">
        <f t="shared" si="27"/>
        <v>53407</v>
      </c>
      <c r="K128" s="37">
        <f t="shared" si="36"/>
        <v>2993.4</v>
      </c>
      <c r="L128" s="37">
        <v>793</v>
      </c>
      <c r="M128" s="37">
        <f t="shared" si="51"/>
        <v>163.6</v>
      </c>
      <c r="N128" s="74">
        <f t="shared" si="52"/>
        <v>126756</v>
      </c>
      <c r="O128" s="75">
        <f t="shared" si="52"/>
        <v>61766</v>
      </c>
      <c r="P128" s="75">
        <f t="shared" si="52"/>
        <v>196807</v>
      </c>
      <c r="Q128" s="76">
        <f t="shared" si="53"/>
        <v>6380395</v>
      </c>
      <c r="R128" s="76">
        <f t="shared" si="53"/>
        <v>2948883</v>
      </c>
      <c r="S128" s="76">
        <f t="shared" si="53"/>
        <v>9634843</v>
      </c>
      <c r="T128" s="80">
        <f>N128/'2015'!M128-1</f>
        <v>-8.7245809090385373E-2</v>
      </c>
      <c r="U128" s="80">
        <f>O128/'2015'!N128-1</f>
        <v>-8.0141331406087257E-3</v>
      </c>
      <c r="V128" s="80">
        <f>P128/'2015'!O128-1</f>
        <v>-3.700640994275084E-2</v>
      </c>
      <c r="W128" s="81">
        <f>Q128/'2015'!P128-1</f>
        <v>-3.5067674167063911E-2</v>
      </c>
      <c r="X128" s="81">
        <f>R128/'2015'!Q128-1</f>
        <v>8.7941557991172203E-2</v>
      </c>
      <c r="Y128" s="81">
        <f>S128/'2015'!R128-1</f>
        <v>1.5966272955306948E-2</v>
      </c>
      <c r="Z128" s="50">
        <f>Z$125+0.26*3</f>
        <v>61.948900000000002</v>
      </c>
      <c r="AA128" s="97">
        <f t="shared" si="37"/>
        <v>576.09059999999999</v>
      </c>
      <c r="AB128" s="105"/>
      <c r="AC128" s="105"/>
      <c r="AD128" s="8">
        <f t="shared" si="38"/>
        <v>6685960</v>
      </c>
      <c r="AE128" s="37">
        <f t="shared" si="40"/>
        <v>197607.19999999998</v>
      </c>
      <c r="AF128" s="37">
        <f t="shared" si="40"/>
        <v>93958</v>
      </c>
      <c r="AG128" s="37">
        <f t="shared" si="39"/>
        <v>13999.800000000017</v>
      </c>
    </row>
    <row r="129" spans="1:33" ht="15" customHeight="1" x14ac:dyDescent="0.15">
      <c r="A129" s="102">
        <v>42494</v>
      </c>
      <c r="B129" s="14" t="s">
        <v>36</v>
      </c>
      <c r="C129" s="32">
        <v>57523</v>
      </c>
      <c r="D129" s="33">
        <f>10666+10099</f>
        <v>20765</v>
      </c>
      <c r="E129" s="33">
        <v>82258</v>
      </c>
      <c r="F129" s="32">
        <v>4130.3</v>
      </c>
      <c r="G129" s="33">
        <v>2702.2</v>
      </c>
      <c r="H129" s="19"/>
      <c r="I129" s="19"/>
      <c r="J129" s="32">
        <f t="shared" ref="J129:J192" si="54">E129-D129</f>
        <v>61493</v>
      </c>
      <c r="K129" s="33">
        <f t="shared" si="36"/>
        <v>3014.4</v>
      </c>
      <c r="L129" s="33">
        <v>792</v>
      </c>
      <c r="M129" s="33">
        <f t="shared" si="51"/>
        <v>163.6</v>
      </c>
      <c r="N129" s="77">
        <f t="shared" si="52"/>
        <v>184279</v>
      </c>
      <c r="O129" s="78">
        <f t="shared" si="52"/>
        <v>82531</v>
      </c>
      <c r="P129" s="78">
        <f t="shared" si="52"/>
        <v>279065</v>
      </c>
      <c r="Q129" s="77">
        <f t="shared" si="53"/>
        <v>6437918</v>
      </c>
      <c r="R129" s="77">
        <f t="shared" si="53"/>
        <v>2969648</v>
      </c>
      <c r="S129" s="77">
        <f t="shared" si="53"/>
        <v>9717101</v>
      </c>
      <c r="T129" s="82">
        <f>N129/'2015'!M129-1</f>
        <v>-7.869713028697134E-2</v>
      </c>
      <c r="U129" s="82">
        <f>O129/'2015'!N129-1</f>
        <v>-3.7561806138632359E-2</v>
      </c>
      <c r="V129" s="82">
        <f>P129/'2015'!O129-1</f>
        <v>-3.7915901028397259E-2</v>
      </c>
      <c r="W129" s="82">
        <f>Q129/'2015'!P129-1</f>
        <v>-3.5289551684143938E-2</v>
      </c>
      <c r="X129" s="82">
        <f>R129/'2015'!Q129-1</f>
        <v>8.6190468701021983E-2</v>
      </c>
      <c r="Y129" s="82">
        <f>S129/'2015'!R129-1</f>
        <v>1.546432530218822E-2</v>
      </c>
      <c r="Z129" s="49">
        <f>Z$125+0.26*4</f>
        <v>62.2089</v>
      </c>
      <c r="AA129" s="49">
        <f t="shared" si="37"/>
        <v>581.5829</v>
      </c>
      <c r="AB129" s="33">
        <v>4230.1000000000004</v>
      </c>
      <c r="AC129" s="33">
        <f t="shared" si="41"/>
        <v>1374.8679700243492</v>
      </c>
      <c r="AD129" s="32">
        <f t="shared" si="38"/>
        <v>6747453</v>
      </c>
      <c r="AE129" s="33">
        <f t="shared" si="40"/>
        <v>200621.59999999998</v>
      </c>
      <c r="AF129" s="33">
        <f t="shared" si="40"/>
        <v>94750</v>
      </c>
      <c r="AG129" s="33">
        <f t="shared" si="39"/>
        <v>14163.400000000023</v>
      </c>
    </row>
    <row r="130" spans="1:33" ht="15" customHeight="1" x14ac:dyDescent="0.15">
      <c r="A130" s="102">
        <v>42495</v>
      </c>
      <c r="B130" s="20" t="s">
        <v>37</v>
      </c>
      <c r="C130" s="8">
        <v>59295</v>
      </c>
      <c r="D130" s="37">
        <f>11177+10152</f>
        <v>21329</v>
      </c>
      <c r="E130" s="37">
        <v>84150</v>
      </c>
      <c r="F130" s="8">
        <v>4256.3</v>
      </c>
      <c r="G130" s="37">
        <v>2820.2</v>
      </c>
      <c r="H130" s="24"/>
      <c r="I130" s="36"/>
      <c r="J130" s="8">
        <f t="shared" si="54"/>
        <v>62821</v>
      </c>
      <c r="K130" s="37">
        <f t="shared" si="36"/>
        <v>2569.4</v>
      </c>
      <c r="L130" s="37">
        <v>793</v>
      </c>
      <c r="M130" s="37">
        <f t="shared" si="51"/>
        <v>163.6</v>
      </c>
      <c r="N130" s="74">
        <f t="shared" si="52"/>
        <v>243574</v>
      </c>
      <c r="O130" s="75">
        <f t="shared" si="52"/>
        <v>103860</v>
      </c>
      <c r="P130" s="75">
        <f t="shared" si="52"/>
        <v>363215</v>
      </c>
      <c r="Q130" s="76">
        <f t="shared" si="53"/>
        <v>6497213</v>
      </c>
      <c r="R130" s="76">
        <f t="shared" si="53"/>
        <v>2990977</v>
      </c>
      <c r="S130" s="76">
        <f t="shared" si="53"/>
        <v>9801251</v>
      </c>
      <c r="T130" s="80">
        <f>N130/'2015'!M130-1</f>
        <v>-6.8344030415923962E-2</v>
      </c>
      <c r="U130" s="80">
        <f>O130/'2015'!N130-1</f>
        <v>-5.4993448828068114E-2</v>
      </c>
      <c r="V130" s="80">
        <f>P130/'2015'!O130-1</f>
        <v>-3.7310624131972059E-2</v>
      </c>
      <c r="W130" s="81">
        <f>Q130/'2015'!P130-1</f>
        <v>-3.528353003678486E-2</v>
      </c>
      <c r="X130" s="81">
        <f>R130/'2015'!Q130-1</f>
        <v>8.4412224838705585E-2</v>
      </c>
      <c r="Y130" s="81">
        <f>S130/'2015'!R130-1</f>
        <v>1.5005773402993805E-2</v>
      </c>
      <c r="Z130" s="50">
        <f>Z$125+0.26*5</f>
        <v>62.468899999999998</v>
      </c>
      <c r="AA130" s="97">
        <f t="shared" si="37"/>
        <v>587.25240000000008</v>
      </c>
      <c r="AB130" s="105">
        <v>4230.1000000000004</v>
      </c>
      <c r="AC130" s="105">
        <f t="shared" si="41"/>
        <v>1388.2707264603675</v>
      </c>
      <c r="AD130" s="8">
        <f t="shared" si="38"/>
        <v>6810274</v>
      </c>
      <c r="AE130" s="37">
        <f t="shared" si="40"/>
        <v>203190.99999999997</v>
      </c>
      <c r="AF130" s="37">
        <f t="shared" si="40"/>
        <v>95543</v>
      </c>
      <c r="AG130" s="37">
        <f t="shared" si="39"/>
        <v>14327.000000000029</v>
      </c>
    </row>
    <row r="131" spans="1:33" ht="15" customHeight="1" x14ac:dyDescent="0.15">
      <c r="A131" s="102">
        <v>42496</v>
      </c>
      <c r="B131" s="20" t="s">
        <v>38</v>
      </c>
      <c r="C131" s="70">
        <v>59874</v>
      </c>
      <c r="D131" s="71">
        <v>22350</v>
      </c>
      <c r="E131" s="71">
        <v>85515</v>
      </c>
      <c r="F131" s="70">
        <v>4312</v>
      </c>
      <c r="G131" s="71">
        <v>2765</v>
      </c>
      <c r="H131" s="24"/>
      <c r="I131" s="24"/>
      <c r="J131" s="70">
        <f t="shared" si="54"/>
        <v>63165</v>
      </c>
      <c r="K131" s="71">
        <f t="shared" si="36"/>
        <v>2337.4</v>
      </c>
      <c r="L131" s="71">
        <v>790</v>
      </c>
      <c r="M131" s="71">
        <f t="shared" si="51"/>
        <v>163.6</v>
      </c>
      <c r="N131" s="74">
        <f t="shared" si="52"/>
        <v>303448</v>
      </c>
      <c r="O131" s="75">
        <f t="shared" si="52"/>
        <v>126210</v>
      </c>
      <c r="P131" s="75">
        <f t="shared" si="52"/>
        <v>448730</v>
      </c>
      <c r="Q131" s="76">
        <f t="shared" si="53"/>
        <v>6557087</v>
      </c>
      <c r="R131" s="76">
        <f t="shared" si="53"/>
        <v>3013327</v>
      </c>
      <c r="S131" s="76">
        <f t="shared" si="53"/>
        <v>9886766</v>
      </c>
      <c r="T131" s="80">
        <f>N131/'2015'!M131-1</f>
        <v>-6.0218277318731972E-2</v>
      </c>
      <c r="U131" s="80">
        <f>O131/'2015'!N131-1</f>
        <v>-7.0015916057533656E-2</v>
      </c>
      <c r="V131" s="80">
        <f>P131/'2015'!O131-1</f>
        <v>-3.5882869856111888E-2</v>
      </c>
      <c r="W131" s="81">
        <f>Q131/'2015'!P131-1</f>
        <v>-3.5196398271292617E-2</v>
      </c>
      <c r="X131" s="81">
        <f>R131/'2015'!Q131-1</f>
        <v>8.2387589202873812E-2</v>
      </c>
      <c r="Y131" s="81">
        <f>S131/'2015'!R131-1</f>
        <v>1.4600765622496903E-2</v>
      </c>
      <c r="Z131" s="97">
        <f>Z$125+0.26*6</f>
        <v>62.728900000000003</v>
      </c>
      <c r="AA131" s="97">
        <f t="shared" si="37"/>
        <v>592.97980000000007</v>
      </c>
      <c r="AB131" s="106"/>
      <c r="AC131" s="105"/>
      <c r="AD131" s="70">
        <f t="shared" si="38"/>
        <v>6873439</v>
      </c>
      <c r="AE131" s="71">
        <f t="shared" si="40"/>
        <v>205528.39999999997</v>
      </c>
      <c r="AF131" s="71">
        <f t="shared" si="40"/>
        <v>96333</v>
      </c>
      <c r="AG131" s="71">
        <f t="shared" si="39"/>
        <v>14490.600000000035</v>
      </c>
    </row>
    <row r="132" spans="1:33" ht="15" customHeight="1" x14ac:dyDescent="0.15">
      <c r="A132" s="102">
        <v>42497</v>
      </c>
      <c r="B132" s="20" t="s">
        <v>39</v>
      </c>
      <c r="C132" s="8">
        <v>54610</v>
      </c>
      <c r="D132" s="37">
        <v>23875</v>
      </c>
      <c r="E132" s="37">
        <v>82156</v>
      </c>
      <c r="F132" s="8">
        <v>4240</v>
      </c>
      <c r="G132" s="37">
        <v>2760</v>
      </c>
      <c r="H132" s="24"/>
      <c r="I132" s="36"/>
      <c r="J132" s="8">
        <f t="shared" si="54"/>
        <v>58281</v>
      </c>
      <c r="K132" s="37">
        <f t="shared" si="36"/>
        <v>2716.4</v>
      </c>
      <c r="L132" s="37">
        <v>791</v>
      </c>
      <c r="M132" s="37">
        <f t="shared" si="51"/>
        <v>163.6</v>
      </c>
      <c r="N132" s="74">
        <f t="shared" si="52"/>
        <v>358058</v>
      </c>
      <c r="O132" s="75">
        <f t="shared" si="52"/>
        <v>150085</v>
      </c>
      <c r="P132" s="75">
        <f t="shared" si="52"/>
        <v>530886</v>
      </c>
      <c r="Q132" s="76">
        <f t="shared" si="53"/>
        <v>6611697</v>
      </c>
      <c r="R132" s="76">
        <f t="shared" si="53"/>
        <v>3037202</v>
      </c>
      <c r="S132" s="76">
        <f t="shared" si="53"/>
        <v>9968922</v>
      </c>
      <c r="T132" s="80">
        <f>N132/'2015'!M132-1</f>
        <v>-6.6747987186805191E-2</v>
      </c>
      <c r="U132" s="80">
        <f>O132/'2015'!N132-1</f>
        <v>-7.5808517451168789E-2</v>
      </c>
      <c r="V132" s="80">
        <f>P132/'2015'!O132-1</f>
        <v>-4.2644815286348559E-2</v>
      </c>
      <c r="W132" s="81">
        <f>Q132/'2015'!P132-1</f>
        <v>-3.5783520855199424E-2</v>
      </c>
      <c r="X132" s="81">
        <f>R132/'2015'!Q132-1</f>
        <v>8.0605995701345634E-2</v>
      </c>
      <c r="Y132" s="81">
        <f>S132/'2015'!R132-1</f>
        <v>1.3762010870493668E-2</v>
      </c>
      <c r="Z132" s="50">
        <f>Z$125+0.26*7</f>
        <v>62.988900000000001</v>
      </c>
      <c r="AA132" s="97">
        <f t="shared" si="37"/>
        <v>598.18080000000009</v>
      </c>
      <c r="AB132" s="105"/>
      <c r="AC132" s="105"/>
      <c r="AD132" s="8">
        <f t="shared" si="38"/>
        <v>6931720</v>
      </c>
      <c r="AE132" s="37">
        <f t="shared" si="40"/>
        <v>208244.79999999996</v>
      </c>
      <c r="AF132" s="37">
        <f t="shared" si="40"/>
        <v>97124</v>
      </c>
      <c r="AG132" s="37">
        <f t="shared" si="39"/>
        <v>14654.200000000041</v>
      </c>
    </row>
    <row r="133" spans="1:33" ht="15" customHeight="1" x14ac:dyDescent="0.15">
      <c r="A133" s="102">
        <v>42498</v>
      </c>
      <c r="B133" s="20" t="s">
        <v>1</v>
      </c>
      <c r="C133" s="8">
        <v>50204</v>
      </c>
      <c r="D133" s="37">
        <v>23619</v>
      </c>
      <c r="E133" s="37">
        <v>77395</v>
      </c>
      <c r="F133" s="8">
        <v>3923</v>
      </c>
      <c r="G133" s="37">
        <v>2658</v>
      </c>
      <c r="H133" s="24"/>
      <c r="I133" s="36"/>
      <c r="J133" s="8">
        <f t="shared" si="54"/>
        <v>53776</v>
      </c>
      <c r="K133" s="37">
        <f t="shared" si="36"/>
        <v>2616.4</v>
      </c>
      <c r="L133" s="37">
        <v>792</v>
      </c>
      <c r="M133" s="37">
        <f t="shared" si="51"/>
        <v>163.6</v>
      </c>
      <c r="N133" s="74">
        <f t="shared" si="52"/>
        <v>408262</v>
      </c>
      <c r="O133" s="75">
        <f t="shared" si="52"/>
        <v>173704</v>
      </c>
      <c r="P133" s="75">
        <f t="shared" si="52"/>
        <v>608281</v>
      </c>
      <c r="Q133" s="76">
        <f t="shared" si="53"/>
        <v>6661901</v>
      </c>
      <c r="R133" s="76">
        <f t="shared" si="53"/>
        <v>3060821</v>
      </c>
      <c r="S133" s="76">
        <f t="shared" si="53"/>
        <v>10046317</v>
      </c>
      <c r="T133" s="80">
        <f>N133/'2015'!M133-1</f>
        <v>-8.0838781722231245E-2</v>
      </c>
      <c r="U133" s="80">
        <f>O133/'2015'!N133-1</f>
        <v>-8.0420339341962466E-2</v>
      </c>
      <c r="V133" s="80">
        <f>P133/'2015'!O133-1</f>
        <v>-5.3839357654605569E-2</v>
      </c>
      <c r="W133" s="81">
        <f>Q133/'2015'!P133-1</f>
        <v>-3.6959087355556197E-2</v>
      </c>
      <c r="X133" s="81">
        <f>R133/'2015'!Q133-1</f>
        <v>7.8838029484559424E-2</v>
      </c>
      <c r="Y133" s="81">
        <f>S133/'2015'!R133-1</f>
        <v>1.2534327922570032E-2</v>
      </c>
      <c r="Z133" s="50">
        <f>Z$125+0.26*8</f>
        <v>63.248899999999999</v>
      </c>
      <c r="AA133" s="97">
        <f t="shared" si="37"/>
        <v>602.94119999999998</v>
      </c>
      <c r="AB133" s="105"/>
      <c r="AC133" s="105"/>
      <c r="AD133" s="8">
        <f t="shared" si="38"/>
        <v>6985496</v>
      </c>
      <c r="AE133" s="37">
        <f t="shared" si="40"/>
        <v>210861.19999999995</v>
      </c>
      <c r="AF133" s="37">
        <f t="shared" si="40"/>
        <v>97916</v>
      </c>
      <c r="AG133" s="37">
        <f t="shared" si="39"/>
        <v>14817.800000000047</v>
      </c>
    </row>
    <row r="134" spans="1:33" ht="15" customHeight="1" x14ac:dyDescent="0.15">
      <c r="A134" s="102">
        <v>42499</v>
      </c>
      <c r="B134" s="20" t="s">
        <v>34</v>
      </c>
      <c r="C134" s="8">
        <v>54328</v>
      </c>
      <c r="D134" s="37">
        <v>24212</v>
      </c>
      <c r="E134" s="37">
        <v>81692</v>
      </c>
      <c r="F134" s="8">
        <v>4239</v>
      </c>
      <c r="G134" s="37">
        <v>2560</v>
      </c>
      <c r="H134" s="24"/>
      <c r="I134" s="36"/>
      <c r="J134" s="8">
        <f t="shared" si="54"/>
        <v>57480</v>
      </c>
      <c r="K134" s="37">
        <f t="shared" ref="K134:K197" si="55">J134-C134-M134-L134</f>
        <v>2196.4</v>
      </c>
      <c r="L134" s="37">
        <v>792</v>
      </c>
      <c r="M134" s="37">
        <f t="shared" si="51"/>
        <v>163.6</v>
      </c>
      <c r="N134" s="74">
        <f t="shared" si="52"/>
        <v>462590</v>
      </c>
      <c r="O134" s="75">
        <f t="shared" si="52"/>
        <v>197916</v>
      </c>
      <c r="P134" s="75">
        <f t="shared" si="52"/>
        <v>689973</v>
      </c>
      <c r="Q134" s="76">
        <f t="shared" si="53"/>
        <v>6716229</v>
      </c>
      <c r="R134" s="76">
        <f t="shared" si="53"/>
        <v>3085033</v>
      </c>
      <c r="S134" s="76">
        <f t="shared" si="53"/>
        <v>10128009</v>
      </c>
      <c r="T134" s="80">
        <f>N134/'2015'!M134-1</f>
        <v>-8.3473840002694533E-2</v>
      </c>
      <c r="U134" s="80">
        <f>O134/'2015'!N134-1</f>
        <v>-7.7327589823918519E-2</v>
      </c>
      <c r="V134" s="80">
        <f>P134/'2015'!O134-1</f>
        <v>-5.4783598620751994E-2</v>
      </c>
      <c r="W134" s="81">
        <f>Q134/'2015'!P134-1</f>
        <v>-3.7530446949830765E-2</v>
      </c>
      <c r="X134" s="81">
        <f>R134/'2015'!Q134-1</f>
        <v>7.7645162665042067E-2</v>
      </c>
      <c r="Y134" s="81">
        <f>S134/'2015'!R134-1</f>
        <v>1.1888075766850692E-2</v>
      </c>
      <c r="Z134" s="50">
        <f>Z$125+0.26*9</f>
        <v>63.508899999999997</v>
      </c>
      <c r="AA134" s="97">
        <f t="shared" ref="AA134:AA197" si="56">Q134/10000-Z134</f>
        <v>608.11399999999992</v>
      </c>
      <c r="AB134" s="105"/>
      <c r="AC134" s="105"/>
      <c r="AD134" s="8">
        <f t="shared" ref="AD134:AD197" si="57">S134-R134</f>
        <v>7042976</v>
      </c>
      <c r="AE134" s="37">
        <f t="shared" si="40"/>
        <v>213057.59999999995</v>
      </c>
      <c r="AF134" s="37">
        <f t="shared" si="40"/>
        <v>98708</v>
      </c>
      <c r="AG134" s="37">
        <f t="shared" ref="AG134:AG197" si="58">AD134-Q134-AE134-AF134</f>
        <v>14981.400000000052</v>
      </c>
    </row>
    <row r="135" spans="1:33" ht="15" customHeight="1" x14ac:dyDescent="0.15">
      <c r="A135" s="102">
        <v>42500</v>
      </c>
      <c r="B135" s="20" t="s">
        <v>35</v>
      </c>
      <c r="C135" s="8">
        <v>52512</v>
      </c>
      <c r="D135" s="37">
        <v>26440</v>
      </c>
      <c r="E135" s="37">
        <v>82858</v>
      </c>
      <c r="F135" s="8">
        <v>4202</v>
      </c>
      <c r="G135" s="37">
        <v>2688</v>
      </c>
      <c r="H135" s="24"/>
      <c r="I135" s="36"/>
      <c r="J135" s="8">
        <f t="shared" si="54"/>
        <v>56418</v>
      </c>
      <c r="K135" s="37">
        <f t="shared" si="55"/>
        <v>2953.4</v>
      </c>
      <c r="L135" s="37">
        <v>789</v>
      </c>
      <c r="M135" s="37">
        <f t="shared" si="51"/>
        <v>163.6</v>
      </c>
      <c r="N135" s="74">
        <v>515103</v>
      </c>
      <c r="O135" s="75">
        <v>224356</v>
      </c>
      <c r="P135" s="75">
        <v>772909</v>
      </c>
      <c r="Q135" s="76">
        <f t="shared" si="53"/>
        <v>6768742</v>
      </c>
      <c r="R135" s="76">
        <f t="shared" si="53"/>
        <v>3111473</v>
      </c>
      <c r="S135" s="76">
        <f t="shared" si="53"/>
        <v>10210945</v>
      </c>
      <c r="T135" s="80">
        <f>N135/'2015'!M135-1</f>
        <v>-8.3068099286538244E-2</v>
      </c>
      <c r="U135" s="80">
        <f>O135/'2015'!N135-1</f>
        <v>-6.2605498454082031E-2</v>
      </c>
      <c r="V135" s="80">
        <f>P135/'2015'!O135-1</f>
        <v>-4.9114760632899102E-2</v>
      </c>
      <c r="W135" s="81">
        <f>Q135/'2015'!P135-1</f>
        <v>-3.7870595272209595E-2</v>
      </c>
      <c r="X135" s="81">
        <f>R135/'2015'!Q135-1</f>
        <v>7.7532448328035297E-2</v>
      </c>
      <c r="Y135" s="81">
        <f>S135/'2015'!R135-1</f>
        <v>1.1797196738886129E-2</v>
      </c>
      <c r="Z135" s="50">
        <v>63.771999999999998</v>
      </c>
      <c r="AA135" s="97">
        <f t="shared" si="56"/>
        <v>613.10219999999993</v>
      </c>
      <c r="AB135" s="105">
        <v>4230.1000000000004</v>
      </c>
      <c r="AC135" s="105">
        <f t="shared" si="41"/>
        <v>1449.3799200964513</v>
      </c>
      <c r="AD135" s="8">
        <f t="shared" si="57"/>
        <v>7099472</v>
      </c>
      <c r="AE135" s="37">
        <v>216091</v>
      </c>
      <c r="AF135" s="37">
        <v>99494</v>
      </c>
      <c r="AG135" s="37">
        <f t="shared" si="58"/>
        <v>15145</v>
      </c>
    </row>
    <row r="136" spans="1:33" ht="15" customHeight="1" x14ac:dyDescent="0.15">
      <c r="A136" s="102">
        <v>42501</v>
      </c>
      <c r="B136" s="14" t="s">
        <v>36</v>
      </c>
      <c r="C136" s="32">
        <v>50801</v>
      </c>
      <c r="D136" s="33">
        <v>26256</v>
      </c>
      <c r="E136" s="33">
        <v>81224</v>
      </c>
      <c r="F136" s="32">
        <v>4135</v>
      </c>
      <c r="G136" s="33">
        <v>2665</v>
      </c>
      <c r="H136" s="19"/>
      <c r="I136" s="19"/>
      <c r="J136" s="32">
        <f t="shared" si="54"/>
        <v>54968</v>
      </c>
      <c r="K136" s="33">
        <f t="shared" si="55"/>
        <v>3167</v>
      </c>
      <c r="L136" s="33">
        <v>791</v>
      </c>
      <c r="M136" s="33">
        <f>(AG$145-AG$135)/10</f>
        <v>209</v>
      </c>
      <c r="N136" s="77">
        <f t="shared" ref="N136:N156" si="59">N135+C136</f>
        <v>565904</v>
      </c>
      <c r="O136" s="78">
        <f t="shared" ref="O136:O156" si="60">O135+D136</f>
        <v>250612</v>
      </c>
      <c r="P136" s="78">
        <f t="shared" ref="P136:P156" si="61">P135+E136</f>
        <v>854133</v>
      </c>
      <c r="Q136" s="77">
        <f t="shared" si="53"/>
        <v>6819543</v>
      </c>
      <c r="R136" s="77">
        <f t="shared" si="53"/>
        <v>3137729</v>
      </c>
      <c r="S136" s="77">
        <f t="shared" si="53"/>
        <v>10292169</v>
      </c>
      <c r="T136" s="82">
        <f>N136/'2015'!M136-1</f>
        <v>-8.8793315825321351E-2</v>
      </c>
      <c r="U136" s="82">
        <f>O136/'2015'!N136-1</f>
        <v>-5.3057954914718874E-2</v>
      </c>
      <c r="V136" s="82">
        <f>P136/'2015'!O136-1</f>
        <v>-4.9212828507596784E-2</v>
      </c>
      <c r="W136" s="82">
        <f>Q136/'2015'!P136-1</f>
        <v>-3.8749450450626943E-2</v>
      </c>
      <c r="X136" s="82">
        <f>R136/'2015'!Q136-1</f>
        <v>7.7182057087340716E-2</v>
      </c>
      <c r="Y136" s="82">
        <f>S136/'2015'!R136-1</f>
        <v>1.1276749339050207E-2</v>
      </c>
      <c r="Z136" s="49">
        <f>Z$135+0.457*1</f>
        <v>64.228999999999999</v>
      </c>
      <c r="AA136" s="49">
        <f t="shared" si="56"/>
        <v>617.72529999999995</v>
      </c>
      <c r="AB136" s="33">
        <v>4230.1000000000004</v>
      </c>
      <c r="AC136" s="33">
        <f t="shared" si="41"/>
        <v>1460.3089761471356</v>
      </c>
      <c r="AD136" s="32">
        <f t="shared" si="57"/>
        <v>7154440</v>
      </c>
      <c r="AE136" s="33">
        <f t="shared" ref="AE136:AF198" si="62">AE135+K136</f>
        <v>219258</v>
      </c>
      <c r="AF136" s="33">
        <f t="shared" si="62"/>
        <v>100285</v>
      </c>
      <c r="AG136" s="33">
        <f t="shared" si="58"/>
        <v>15354</v>
      </c>
    </row>
    <row r="137" spans="1:33" ht="15" customHeight="1" x14ac:dyDescent="0.15">
      <c r="A137" s="102">
        <v>42502</v>
      </c>
      <c r="B137" s="20" t="s">
        <v>37</v>
      </c>
      <c r="C137" s="8">
        <v>52293</v>
      </c>
      <c r="D137" s="37">
        <v>26071</v>
      </c>
      <c r="E137" s="37">
        <v>82583</v>
      </c>
      <c r="F137" s="8">
        <v>4163</v>
      </c>
      <c r="G137" s="37">
        <v>2689</v>
      </c>
      <c r="H137" s="24"/>
      <c r="I137" s="36"/>
      <c r="J137" s="8">
        <f t="shared" si="54"/>
        <v>56512</v>
      </c>
      <c r="K137" s="37">
        <f t="shared" si="55"/>
        <v>3222</v>
      </c>
      <c r="L137" s="37">
        <v>788</v>
      </c>
      <c r="M137" s="37">
        <f t="shared" ref="M137:M145" si="63">(AG$145-AG$135)/10</f>
        <v>209</v>
      </c>
      <c r="N137" s="74">
        <f t="shared" si="59"/>
        <v>618197</v>
      </c>
      <c r="O137" s="75">
        <f t="shared" si="60"/>
        <v>276683</v>
      </c>
      <c r="P137" s="75">
        <f t="shared" si="61"/>
        <v>936716</v>
      </c>
      <c r="Q137" s="76">
        <f t="shared" si="53"/>
        <v>6871836</v>
      </c>
      <c r="R137" s="76">
        <f t="shared" si="53"/>
        <v>3163800</v>
      </c>
      <c r="S137" s="76">
        <f t="shared" si="53"/>
        <v>10374752</v>
      </c>
      <c r="T137" s="80">
        <f>N137/'2015'!M137-1</f>
        <v>-9.2091079186138347E-2</v>
      </c>
      <c r="U137" s="80">
        <f>O137/'2015'!N137-1</f>
        <v>-4.2447083904370353E-2</v>
      </c>
      <c r="V137" s="80">
        <f>P137/'2015'!O137-1</f>
        <v>-4.7712189726406229E-2</v>
      </c>
      <c r="W137" s="81">
        <f>Q137/'2015'!P137-1</f>
        <v>-3.9481978814984275E-2</v>
      </c>
      <c r="X137" s="81">
        <f>R137/'2015'!Q137-1</f>
        <v>7.7148671234056554E-2</v>
      </c>
      <c r="Y137" s="81">
        <f>S137/'2015'!R137-1</f>
        <v>1.0917783282498705E-2</v>
      </c>
      <c r="Z137" s="50">
        <f>Z$135+0.457*2</f>
        <v>64.685999999999993</v>
      </c>
      <c r="AA137" s="97">
        <f t="shared" si="56"/>
        <v>622.49759999999992</v>
      </c>
      <c r="AB137" s="105">
        <v>4230.1000000000004</v>
      </c>
      <c r="AC137" s="105">
        <f t="shared" ref="AC137:AC200" si="64">AA137*10000/AB137</f>
        <v>1471.5907425356372</v>
      </c>
      <c r="AD137" s="8">
        <f t="shared" si="57"/>
        <v>7210952</v>
      </c>
      <c r="AE137" s="37">
        <f t="shared" si="62"/>
        <v>222480</v>
      </c>
      <c r="AF137" s="37">
        <f t="shared" si="62"/>
        <v>101073</v>
      </c>
      <c r="AG137" s="37">
        <f t="shared" si="58"/>
        <v>15563</v>
      </c>
    </row>
    <row r="138" spans="1:33" ht="15" customHeight="1" x14ac:dyDescent="0.15">
      <c r="A138" s="102">
        <v>42503</v>
      </c>
      <c r="B138" s="20" t="s">
        <v>38</v>
      </c>
      <c r="C138" s="70">
        <v>54113</v>
      </c>
      <c r="D138" s="71">
        <f>14886+11267</f>
        <v>26153</v>
      </c>
      <c r="E138" s="71">
        <v>84354</v>
      </c>
      <c r="F138" s="70">
        <v>4308.7</v>
      </c>
      <c r="G138" s="71">
        <v>2806.4</v>
      </c>
      <c r="H138" s="24"/>
      <c r="I138" s="24"/>
      <c r="J138" s="70">
        <f t="shared" si="54"/>
        <v>58201</v>
      </c>
      <c r="K138" s="71">
        <f t="shared" si="55"/>
        <v>3088</v>
      </c>
      <c r="L138" s="71">
        <v>791</v>
      </c>
      <c r="M138" s="71">
        <f t="shared" si="63"/>
        <v>209</v>
      </c>
      <c r="N138" s="74">
        <f t="shared" si="59"/>
        <v>672310</v>
      </c>
      <c r="O138" s="75">
        <f t="shared" si="60"/>
        <v>302836</v>
      </c>
      <c r="P138" s="75">
        <f t="shared" si="61"/>
        <v>1021070</v>
      </c>
      <c r="Q138" s="76">
        <f t="shared" si="53"/>
        <v>6925949</v>
      </c>
      <c r="R138" s="76">
        <f t="shared" si="53"/>
        <v>3189953</v>
      </c>
      <c r="S138" s="76">
        <f t="shared" si="53"/>
        <v>10459106</v>
      </c>
      <c r="T138" s="80">
        <f>N138/'2015'!M138-1</f>
        <v>-9.2891249762196093E-2</v>
      </c>
      <c r="U138" s="80">
        <f>O138/'2015'!N138-1</f>
        <v>-3.254702514823149E-2</v>
      </c>
      <c r="V138" s="80">
        <f>P138/'2015'!O138-1</f>
        <v>-4.5786046442081951E-2</v>
      </c>
      <c r="W138" s="81">
        <f>Q138/'2015'!P138-1</f>
        <v>-4.0003565014456233E-2</v>
      </c>
      <c r="X138" s="81">
        <f>R138/'2015'!Q138-1</f>
        <v>7.7222817874057714E-2</v>
      </c>
      <c r="Y138" s="81">
        <f>S138/'2015'!R138-1</f>
        <v>1.0627374959924163E-2</v>
      </c>
      <c r="Z138" s="97">
        <f>Z$135+0.457*3</f>
        <v>65.143000000000001</v>
      </c>
      <c r="AA138" s="97">
        <f t="shared" si="56"/>
        <v>627.45190000000002</v>
      </c>
      <c r="AB138" s="106"/>
      <c r="AC138" s="105"/>
      <c r="AD138" s="70">
        <f t="shared" si="57"/>
        <v>7269153</v>
      </c>
      <c r="AE138" s="71">
        <f t="shared" si="62"/>
        <v>225568</v>
      </c>
      <c r="AF138" s="71">
        <f t="shared" si="62"/>
        <v>101864</v>
      </c>
      <c r="AG138" s="71">
        <f t="shared" si="58"/>
        <v>15772</v>
      </c>
    </row>
    <row r="139" spans="1:33" ht="15" customHeight="1" x14ac:dyDescent="0.15">
      <c r="A139" s="102">
        <v>42504</v>
      </c>
      <c r="B139" s="20" t="s">
        <v>39</v>
      </c>
      <c r="C139" s="8">
        <v>51955</v>
      </c>
      <c r="D139" s="37">
        <f>14695+11177</f>
        <v>25872</v>
      </c>
      <c r="E139" s="37">
        <v>82568</v>
      </c>
      <c r="F139" s="8">
        <v>4148.1000000000004</v>
      </c>
      <c r="G139" s="37">
        <v>2813.2</v>
      </c>
      <c r="H139" s="24"/>
      <c r="I139" s="36"/>
      <c r="J139" s="8">
        <f t="shared" si="54"/>
        <v>56696</v>
      </c>
      <c r="K139" s="37">
        <f t="shared" si="55"/>
        <v>3740</v>
      </c>
      <c r="L139" s="37">
        <v>792</v>
      </c>
      <c r="M139" s="37">
        <f t="shared" si="63"/>
        <v>209</v>
      </c>
      <c r="N139" s="74">
        <f t="shared" si="59"/>
        <v>724265</v>
      </c>
      <c r="O139" s="75">
        <f t="shared" si="60"/>
        <v>328708</v>
      </c>
      <c r="P139" s="75">
        <f t="shared" si="61"/>
        <v>1103638</v>
      </c>
      <c r="Q139" s="76">
        <f t="shared" si="53"/>
        <v>6977904</v>
      </c>
      <c r="R139" s="76">
        <f t="shared" si="53"/>
        <v>3215825</v>
      </c>
      <c r="S139" s="76">
        <f t="shared" si="53"/>
        <v>10541674</v>
      </c>
      <c r="T139" s="80">
        <f>N139/'2015'!M139-1</f>
        <v>-9.2779463232181003E-2</v>
      </c>
      <c r="U139" s="80">
        <f>O139/'2015'!N139-1</f>
        <v>-3.2577249195796076E-2</v>
      </c>
      <c r="V139" s="80">
        <f>P139/'2015'!O139-1</f>
        <v>-4.5624430343186306E-2</v>
      </c>
      <c r="W139" s="81">
        <f>Q139/'2015'!P139-1</f>
        <v>-4.0407143605637907E-2</v>
      </c>
      <c r="X139" s="81">
        <f>R139/'2015'!Q139-1</f>
        <v>7.6236568064288468E-2</v>
      </c>
      <c r="Y139" s="81">
        <f>S139/'2015'!R139-1</f>
        <v>1.0178568143069278E-2</v>
      </c>
      <c r="Z139" s="50">
        <f>Z$135+0.457*4</f>
        <v>65.599999999999994</v>
      </c>
      <c r="AA139" s="97">
        <f t="shared" si="56"/>
        <v>632.19039999999995</v>
      </c>
      <c r="AB139" s="105"/>
      <c r="AC139" s="105"/>
      <c r="AD139" s="8">
        <f t="shared" si="57"/>
        <v>7325849</v>
      </c>
      <c r="AE139" s="37">
        <f t="shared" si="62"/>
        <v>229308</v>
      </c>
      <c r="AF139" s="37">
        <f t="shared" si="62"/>
        <v>102656</v>
      </c>
      <c r="AG139" s="37">
        <f t="shared" si="58"/>
        <v>15981</v>
      </c>
    </row>
    <row r="140" spans="1:33" ht="15" customHeight="1" x14ac:dyDescent="0.15">
      <c r="A140" s="102">
        <v>42505</v>
      </c>
      <c r="B140" s="20" t="s">
        <v>1</v>
      </c>
      <c r="C140" s="8">
        <v>48325</v>
      </c>
      <c r="D140" s="37">
        <f>14811+11193</f>
        <v>26004</v>
      </c>
      <c r="E140" s="37">
        <v>77688</v>
      </c>
      <c r="F140" s="8">
        <v>3887</v>
      </c>
      <c r="G140" s="37">
        <v>2757.9</v>
      </c>
      <c r="H140" s="24"/>
      <c r="I140" s="36"/>
      <c r="J140" s="8">
        <f t="shared" si="54"/>
        <v>51684</v>
      </c>
      <c r="K140" s="37">
        <f t="shared" si="55"/>
        <v>2359</v>
      </c>
      <c r="L140" s="37">
        <v>791</v>
      </c>
      <c r="M140" s="37">
        <f t="shared" si="63"/>
        <v>209</v>
      </c>
      <c r="N140" s="74">
        <f t="shared" si="59"/>
        <v>772590</v>
      </c>
      <c r="O140" s="75">
        <f t="shared" si="60"/>
        <v>354712</v>
      </c>
      <c r="P140" s="75">
        <f t="shared" si="61"/>
        <v>1181326</v>
      </c>
      <c r="Q140" s="76">
        <f t="shared" si="53"/>
        <v>7026229</v>
      </c>
      <c r="R140" s="76">
        <f t="shared" si="53"/>
        <v>3241829</v>
      </c>
      <c r="S140" s="76">
        <f t="shared" si="53"/>
        <v>10619362</v>
      </c>
      <c r="T140" s="80">
        <f>N140/'2015'!M140-1</f>
        <v>-9.7682979670158376E-2</v>
      </c>
      <c r="U140" s="80">
        <f>O140/'2015'!N140-1</f>
        <v>-2.9897933509096308E-2</v>
      </c>
      <c r="V140" s="80">
        <f>P140/'2015'!O140-1</f>
        <v>-4.9297350194997147E-2</v>
      </c>
      <c r="W140" s="81">
        <f>Q140/'2015'!P140-1</f>
        <v>-4.1393636703849546E-2</v>
      </c>
      <c r="X140" s="81">
        <f>R140/'2015'!Q140-1</f>
        <v>7.5627717621217672E-2</v>
      </c>
      <c r="Y140" s="81">
        <f>S140/'2015'!R140-1</f>
        <v>9.2877156032709074E-3</v>
      </c>
      <c r="Z140" s="50">
        <f>Z$135+0.457*5</f>
        <v>66.057000000000002</v>
      </c>
      <c r="AA140" s="97">
        <f t="shared" si="56"/>
        <v>636.56589999999994</v>
      </c>
      <c r="AB140" s="105"/>
      <c r="AC140" s="105"/>
      <c r="AD140" s="8">
        <f t="shared" si="57"/>
        <v>7377533</v>
      </c>
      <c r="AE140" s="37">
        <f t="shared" si="62"/>
        <v>231667</v>
      </c>
      <c r="AF140" s="37">
        <f t="shared" si="62"/>
        <v>103447</v>
      </c>
      <c r="AG140" s="37">
        <f t="shared" si="58"/>
        <v>16190</v>
      </c>
    </row>
    <row r="141" spans="1:33" ht="15" customHeight="1" x14ac:dyDescent="0.15">
      <c r="A141" s="102">
        <v>42506</v>
      </c>
      <c r="B141" s="20" t="s">
        <v>34</v>
      </c>
      <c r="C141" s="8">
        <v>50114</v>
      </c>
      <c r="D141" s="37">
        <v>26117</v>
      </c>
      <c r="E141" s="37">
        <v>80107</v>
      </c>
      <c r="F141" s="8">
        <v>4093.3</v>
      </c>
      <c r="G141" s="37">
        <v>2563.4</v>
      </c>
      <c r="H141" s="24"/>
      <c r="I141" s="36"/>
      <c r="J141" s="8">
        <f t="shared" si="54"/>
        <v>53990</v>
      </c>
      <c r="K141" s="37">
        <f t="shared" si="55"/>
        <v>2878</v>
      </c>
      <c r="L141" s="37">
        <v>789</v>
      </c>
      <c r="M141" s="37">
        <f t="shared" si="63"/>
        <v>209</v>
      </c>
      <c r="N141" s="74">
        <f t="shared" si="59"/>
        <v>822704</v>
      </c>
      <c r="O141" s="75">
        <f t="shared" si="60"/>
        <v>380829</v>
      </c>
      <c r="P141" s="75">
        <f t="shared" si="61"/>
        <v>1261433</v>
      </c>
      <c r="Q141" s="76">
        <f t="shared" si="53"/>
        <v>7076343</v>
      </c>
      <c r="R141" s="76">
        <f t="shared" si="53"/>
        <v>3267946</v>
      </c>
      <c r="S141" s="76">
        <f t="shared" si="53"/>
        <v>10699469</v>
      </c>
      <c r="T141" s="80">
        <f>N141/'2015'!M141-1</f>
        <v>-9.4852445272780694E-2</v>
      </c>
      <c r="U141" s="80">
        <f>O141/'2015'!N141-1</f>
        <v>-2.8869055208466166E-2</v>
      </c>
      <c r="V141" s="80">
        <f>P141/'2015'!O141-1</f>
        <v>-4.7549546665378029E-2</v>
      </c>
      <c r="W141" s="81">
        <f>Q141/'2015'!P141-1</f>
        <v>-4.1446879076040721E-2</v>
      </c>
      <c r="X141" s="81">
        <f>R141/'2015'!Q141-1</f>
        <v>7.4840456900257646E-2</v>
      </c>
      <c r="Y141" s="81">
        <f>S141/'2015'!R141-1</f>
        <v>9.053926329371853E-3</v>
      </c>
      <c r="Z141" s="50">
        <f>Z$135+0.457*6</f>
        <v>66.513999999999996</v>
      </c>
      <c r="AA141" s="97">
        <f t="shared" si="56"/>
        <v>641.12030000000004</v>
      </c>
      <c r="AB141" s="105"/>
      <c r="AC141" s="105"/>
      <c r="AD141" s="8">
        <f t="shared" si="57"/>
        <v>7431523</v>
      </c>
      <c r="AE141" s="37">
        <f t="shared" si="62"/>
        <v>234545</v>
      </c>
      <c r="AF141" s="37">
        <f t="shared" si="62"/>
        <v>104236</v>
      </c>
      <c r="AG141" s="37">
        <f t="shared" si="58"/>
        <v>16399</v>
      </c>
    </row>
    <row r="142" spans="1:33" ht="15" customHeight="1" x14ac:dyDescent="0.15">
      <c r="A142" s="102">
        <v>42507</v>
      </c>
      <c r="B142" s="20" t="s">
        <v>35</v>
      </c>
      <c r="C142" s="8">
        <v>54451</v>
      </c>
      <c r="D142" s="37">
        <v>23863</v>
      </c>
      <c r="E142" s="37">
        <v>82685</v>
      </c>
      <c r="F142" s="8">
        <v>4147</v>
      </c>
      <c r="G142" s="37">
        <v>3785</v>
      </c>
      <c r="H142" s="24"/>
      <c r="I142" s="36"/>
      <c r="J142" s="8">
        <f t="shared" si="54"/>
        <v>58822</v>
      </c>
      <c r="K142" s="37">
        <f t="shared" si="55"/>
        <v>3370</v>
      </c>
      <c r="L142" s="37">
        <v>792</v>
      </c>
      <c r="M142" s="37">
        <f t="shared" si="63"/>
        <v>209</v>
      </c>
      <c r="N142" s="74">
        <f t="shared" si="59"/>
        <v>877155</v>
      </c>
      <c r="O142" s="75">
        <f t="shared" si="60"/>
        <v>404692</v>
      </c>
      <c r="P142" s="75">
        <f t="shared" si="61"/>
        <v>1344118</v>
      </c>
      <c r="Q142" s="76">
        <f t="shared" si="53"/>
        <v>7130794</v>
      </c>
      <c r="R142" s="76">
        <f t="shared" si="53"/>
        <v>3291809</v>
      </c>
      <c r="S142" s="76">
        <f t="shared" si="53"/>
        <v>10782154</v>
      </c>
      <c r="T142" s="80">
        <f>N142/'2015'!M142-1</f>
        <v>-8.3405784077277056E-2</v>
      </c>
      <c r="U142" s="80">
        <f>O142/'2015'!N142-1</f>
        <v>-3.1019018453382841E-2</v>
      </c>
      <c r="V142" s="80">
        <f>P142/'2015'!O142-1</f>
        <v>-4.0714661931562701E-2</v>
      </c>
      <c r="W142" s="81">
        <f>Q142/'2015'!P142-1</f>
        <v>-4.0318035220847648E-2</v>
      </c>
      <c r="X142" s="81">
        <f>R142/'2015'!Q142-1</f>
        <v>7.368509976522386E-2</v>
      </c>
      <c r="Y142" s="81">
        <f>S142/'2015'!R142-1</f>
        <v>9.5438073208951035E-3</v>
      </c>
      <c r="Z142" s="50">
        <f>Z$135+0.457*7</f>
        <v>66.971000000000004</v>
      </c>
      <c r="AA142" s="97">
        <f t="shared" si="56"/>
        <v>646.10839999999996</v>
      </c>
      <c r="AB142" s="105"/>
      <c r="AC142" s="105"/>
      <c r="AD142" s="8">
        <f t="shared" si="57"/>
        <v>7490345</v>
      </c>
      <c r="AE142" s="37">
        <f t="shared" si="62"/>
        <v>237915</v>
      </c>
      <c r="AF142" s="37">
        <f t="shared" si="62"/>
        <v>105028</v>
      </c>
      <c r="AG142" s="37">
        <f t="shared" si="58"/>
        <v>16608</v>
      </c>
    </row>
    <row r="143" spans="1:33" ht="15" customHeight="1" x14ac:dyDescent="0.15">
      <c r="A143" s="102">
        <v>42508</v>
      </c>
      <c r="B143" s="14" t="s">
        <v>36</v>
      </c>
      <c r="C143" s="32">
        <v>56720</v>
      </c>
      <c r="D143" s="33">
        <v>23679</v>
      </c>
      <c r="E143" s="33">
        <v>84225</v>
      </c>
      <c r="F143" s="32">
        <v>4195</v>
      </c>
      <c r="G143" s="33">
        <v>4246</v>
      </c>
      <c r="H143" s="19"/>
      <c r="I143" s="19"/>
      <c r="J143" s="32">
        <f t="shared" si="54"/>
        <v>60546</v>
      </c>
      <c r="K143" s="33">
        <f t="shared" si="55"/>
        <v>2825</v>
      </c>
      <c r="L143" s="33">
        <v>792</v>
      </c>
      <c r="M143" s="33">
        <f t="shared" si="63"/>
        <v>209</v>
      </c>
      <c r="N143" s="77">
        <f t="shared" si="59"/>
        <v>933875</v>
      </c>
      <c r="O143" s="78">
        <f t="shared" si="60"/>
        <v>428371</v>
      </c>
      <c r="P143" s="78">
        <f t="shared" si="61"/>
        <v>1428343</v>
      </c>
      <c r="Q143" s="77">
        <f t="shared" si="53"/>
        <v>7187514</v>
      </c>
      <c r="R143" s="77">
        <f t="shared" si="53"/>
        <v>3315488</v>
      </c>
      <c r="S143" s="77">
        <f t="shared" si="53"/>
        <v>10866379</v>
      </c>
      <c r="T143" s="82">
        <f>N143/'2015'!M143-1</f>
        <v>-7.5803189004742366E-2</v>
      </c>
      <c r="U143" s="82">
        <f>O143/'2015'!N143-1</f>
        <v>-3.4922229832023644E-2</v>
      </c>
      <c r="V143" s="82">
        <f>P143/'2015'!O143-1</f>
        <v>-3.7393796724555228E-2</v>
      </c>
      <c r="W143" s="82">
        <f>Q143/'2015'!P143-1</f>
        <v>-3.9599554882819965E-2</v>
      </c>
      <c r="X143" s="82">
        <f>R143/'2015'!Q143-1</f>
        <v>7.2236777126912566E-2</v>
      </c>
      <c r="Y143" s="82">
        <f>S143/'2015'!R143-1</f>
        <v>9.6156356561207801E-3</v>
      </c>
      <c r="Z143" s="49">
        <f>Z$135+0.457*8</f>
        <v>67.427999999999997</v>
      </c>
      <c r="AA143" s="49">
        <f t="shared" si="56"/>
        <v>651.32339999999999</v>
      </c>
      <c r="AB143" s="33">
        <v>4230.1000000000004</v>
      </c>
      <c r="AC143" s="33">
        <f t="shared" si="64"/>
        <v>1539.7352308456063</v>
      </c>
      <c r="AD143" s="32">
        <f t="shared" si="57"/>
        <v>7550891</v>
      </c>
      <c r="AE143" s="33">
        <f t="shared" si="62"/>
        <v>240740</v>
      </c>
      <c r="AF143" s="33">
        <f t="shared" si="62"/>
        <v>105820</v>
      </c>
      <c r="AG143" s="33">
        <f t="shared" si="58"/>
        <v>16817</v>
      </c>
    </row>
    <row r="144" spans="1:33" ht="15" customHeight="1" x14ac:dyDescent="0.15">
      <c r="A144" s="102">
        <v>42509</v>
      </c>
      <c r="B144" s="20" t="s">
        <v>37</v>
      </c>
      <c r="C144" s="8">
        <v>56276</v>
      </c>
      <c r="D144" s="37">
        <f>13387+10384</f>
        <v>23771</v>
      </c>
      <c r="E144" s="37">
        <v>84563</v>
      </c>
      <c r="F144" s="8">
        <v>4231.6000000000004</v>
      </c>
      <c r="G144" s="37">
        <v>2863.6</v>
      </c>
      <c r="H144" s="24"/>
      <c r="I144" s="36"/>
      <c r="J144" s="8">
        <f t="shared" si="54"/>
        <v>60792</v>
      </c>
      <c r="K144" s="37">
        <f t="shared" si="55"/>
        <v>3515</v>
      </c>
      <c r="L144" s="37">
        <v>792</v>
      </c>
      <c r="M144" s="37">
        <f t="shared" si="63"/>
        <v>209</v>
      </c>
      <c r="N144" s="74">
        <f t="shared" si="59"/>
        <v>990151</v>
      </c>
      <c r="O144" s="75">
        <f t="shared" si="60"/>
        <v>452142</v>
      </c>
      <c r="P144" s="75">
        <f t="shared" si="61"/>
        <v>1512906</v>
      </c>
      <c r="Q144" s="76">
        <f t="shared" si="53"/>
        <v>7243790</v>
      </c>
      <c r="R144" s="76">
        <f t="shared" si="53"/>
        <v>3339259</v>
      </c>
      <c r="S144" s="76">
        <f t="shared" si="53"/>
        <v>10950942</v>
      </c>
      <c r="T144" s="80">
        <f>N144/'2015'!M144-1</f>
        <v>-7.2497178104904192E-2</v>
      </c>
      <c r="U144" s="80">
        <f>O144/'2015'!N144-1</f>
        <v>-3.4612781384981028E-2</v>
      </c>
      <c r="V144" s="80">
        <f>P144/'2015'!O144-1</f>
        <v>-3.502816642684381E-2</v>
      </c>
      <c r="W144" s="81">
        <f>Q144/'2015'!P144-1</f>
        <v>-3.9405538695747033E-2</v>
      </c>
      <c r="X144" s="81">
        <f>R144/'2015'!Q144-1</f>
        <v>7.1441543423546916E-2</v>
      </c>
      <c r="Y144" s="81">
        <f>S144/'2015'!R144-1</f>
        <v>9.593540337214046E-3</v>
      </c>
      <c r="Z144" s="50">
        <f>Z$135+0.457*9</f>
        <v>67.885000000000005</v>
      </c>
      <c r="AA144" s="97">
        <f t="shared" si="56"/>
        <v>656.49400000000003</v>
      </c>
      <c r="AB144" s="105">
        <v>4230.1000000000004</v>
      </c>
      <c r="AC144" s="105">
        <f t="shared" si="64"/>
        <v>1551.9585825394197</v>
      </c>
      <c r="AD144" s="8">
        <f t="shared" si="57"/>
        <v>7611683</v>
      </c>
      <c r="AE144" s="37">
        <f t="shared" si="62"/>
        <v>244255</v>
      </c>
      <c r="AF144" s="37">
        <f t="shared" si="62"/>
        <v>106612</v>
      </c>
      <c r="AG144" s="37">
        <f t="shared" si="58"/>
        <v>17026</v>
      </c>
    </row>
    <row r="145" spans="1:33" ht="15" customHeight="1" x14ac:dyDescent="0.15">
      <c r="A145" s="102">
        <v>42510</v>
      </c>
      <c r="B145" s="20" t="s">
        <v>38</v>
      </c>
      <c r="C145" s="70">
        <v>56934</v>
      </c>
      <c r="D145" s="71">
        <v>24077</v>
      </c>
      <c r="E145" s="71">
        <v>84967</v>
      </c>
      <c r="F145" s="70">
        <v>4319</v>
      </c>
      <c r="G145" s="71">
        <v>2895</v>
      </c>
      <c r="H145" s="24"/>
      <c r="I145" s="24"/>
      <c r="J145" s="70">
        <f t="shared" si="54"/>
        <v>60890</v>
      </c>
      <c r="K145" s="71">
        <f t="shared" si="55"/>
        <v>2957</v>
      </c>
      <c r="L145" s="71">
        <v>790</v>
      </c>
      <c r="M145" s="71">
        <f t="shared" si="63"/>
        <v>209</v>
      </c>
      <c r="N145" s="74">
        <f t="shared" si="59"/>
        <v>1047085</v>
      </c>
      <c r="O145" s="75">
        <f t="shared" si="60"/>
        <v>476219</v>
      </c>
      <c r="P145" s="75">
        <f t="shared" si="61"/>
        <v>1597873</v>
      </c>
      <c r="Q145" s="76">
        <f t="shared" si="53"/>
        <v>7300724</v>
      </c>
      <c r="R145" s="76">
        <f t="shared" si="53"/>
        <v>3363336</v>
      </c>
      <c r="S145" s="76">
        <f t="shared" si="53"/>
        <v>11035909</v>
      </c>
      <c r="T145" s="80">
        <f>N145/'2015'!M145-1</f>
        <v>-6.8829853363723603E-2</v>
      </c>
      <c r="U145" s="80">
        <f>O145/'2015'!N145-1</f>
        <v>-3.4310812975651861E-2</v>
      </c>
      <c r="V145" s="80">
        <f>P145/'2015'!O145-1</f>
        <v>-3.2440641449589358E-2</v>
      </c>
      <c r="W145" s="81">
        <f>Q145/'2015'!P145-1</f>
        <v>-3.9110762826961132E-2</v>
      </c>
      <c r="X145" s="81">
        <f>R145/'2015'!Q145-1</f>
        <v>7.065216353270376E-2</v>
      </c>
      <c r="Y145" s="81">
        <f>S145/'2015'!R145-1</f>
        <v>9.6431043213465184E-3</v>
      </c>
      <c r="Z145" s="97">
        <v>68.338200000000001</v>
      </c>
      <c r="AA145" s="97">
        <f t="shared" si="56"/>
        <v>661.73419999999999</v>
      </c>
      <c r="AB145" s="106">
        <v>4230.1000000000004</v>
      </c>
      <c r="AC145" s="105">
        <f t="shared" si="64"/>
        <v>1564.3464693506062</v>
      </c>
      <c r="AD145" s="70">
        <f t="shared" si="57"/>
        <v>7672573</v>
      </c>
      <c r="AE145" s="71">
        <v>247212</v>
      </c>
      <c r="AF145" s="71">
        <f t="shared" si="62"/>
        <v>107402</v>
      </c>
      <c r="AG145" s="71">
        <f t="shared" si="58"/>
        <v>17235</v>
      </c>
    </row>
    <row r="146" spans="1:33" ht="15" customHeight="1" x14ac:dyDescent="0.15">
      <c r="A146" s="102">
        <v>42511</v>
      </c>
      <c r="B146" s="20" t="s">
        <v>39</v>
      </c>
      <c r="C146" s="8">
        <v>55532</v>
      </c>
      <c r="D146" s="37">
        <v>24320</v>
      </c>
      <c r="E146" s="37">
        <v>83842</v>
      </c>
      <c r="F146" s="8">
        <v>4220</v>
      </c>
      <c r="G146" s="37">
        <v>2873</v>
      </c>
      <c r="H146" s="24"/>
      <c r="I146" s="36"/>
      <c r="J146" s="8">
        <f t="shared" si="54"/>
        <v>59522</v>
      </c>
      <c r="K146" s="37">
        <f t="shared" si="55"/>
        <v>3082.3636363636365</v>
      </c>
      <c r="L146" s="37">
        <v>791</v>
      </c>
      <c r="M146" s="37">
        <f>(AG$156-AG$145)/11</f>
        <v>116.63636363636364</v>
      </c>
      <c r="N146" s="74">
        <f t="shared" si="59"/>
        <v>1102617</v>
      </c>
      <c r="O146" s="75">
        <f t="shared" si="60"/>
        <v>500539</v>
      </c>
      <c r="P146" s="75">
        <f t="shared" si="61"/>
        <v>1681715</v>
      </c>
      <c r="Q146" s="76">
        <f t="shared" si="53"/>
        <v>7356256</v>
      </c>
      <c r="R146" s="76">
        <f t="shared" si="53"/>
        <v>3387656</v>
      </c>
      <c r="S146" s="76">
        <f t="shared" si="53"/>
        <v>11119751</v>
      </c>
      <c r="T146" s="80">
        <f>N146/'2015'!M146-1</f>
        <v>-6.6223752238919742E-2</v>
      </c>
      <c r="U146" s="80">
        <f>O146/'2015'!N146-1</f>
        <v>-3.2002351635218029E-2</v>
      </c>
      <c r="V146" s="80">
        <f>P146/'2015'!O146-1</f>
        <v>-3.026691208185428E-2</v>
      </c>
      <c r="W146" s="81">
        <f>Q146/'2015'!P146-1</f>
        <v>-3.8927440632383625E-2</v>
      </c>
      <c r="X146" s="81">
        <f>R146/'2015'!Q146-1</f>
        <v>7.0235153402259165E-2</v>
      </c>
      <c r="Y146" s="81">
        <f>S146/'2015'!R146-1</f>
        <v>9.6691606900842775E-3</v>
      </c>
      <c r="Z146" s="50">
        <f>Z$145+0.439*1</f>
        <v>68.777199999999993</v>
      </c>
      <c r="AA146" s="97">
        <f t="shared" si="56"/>
        <v>666.84839999999997</v>
      </c>
      <c r="AB146" s="105"/>
      <c r="AC146" s="105"/>
      <c r="AD146" s="8">
        <f t="shared" si="57"/>
        <v>7732095</v>
      </c>
      <c r="AE146" s="37">
        <f t="shared" si="62"/>
        <v>250294.36363636365</v>
      </c>
      <c r="AF146" s="37">
        <f t="shared" si="62"/>
        <v>108193</v>
      </c>
      <c r="AG146" s="37">
        <f t="shared" si="58"/>
        <v>17351.636363636353</v>
      </c>
    </row>
    <row r="147" spans="1:33" ht="15" customHeight="1" x14ac:dyDescent="0.15">
      <c r="A147" s="102">
        <v>42512</v>
      </c>
      <c r="B147" s="20" t="s">
        <v>1</v>
      </c>
      <c r="C147" s="8">
        <v>50844</v>
      </c>
      <c r="D147" s="37">
        <v>24794</v>
      </c>
      <c r="E147" s="37">
        <v>79246</v>
      </c>
      <c r="F147" s="8">
        <v>3906</v>
      </c>
      <c r="G147" s="37">
        <v>2833</v>
      </c>
      <c r="H147" s="24"/>
      <c r="I147" s="36"/>
      <c r="J147" s="8">
        <f t="shared" si="54"/>
        <v>54452</v>
      </c>
      <c r="K147" s="37">
        <f t="shared" si="55"/>
        <v>2701.3636363636365</v>
      </c>
      <c r="L147" s="37">
        <v>790</v>
      </c>
      <c r="M147" s="37">
        <f t="shared" ref="M147:M156" si="65">(AG$156-AG$145)/11</f>
        <v>116.63636363636364</v>
      </c>
      <c r="N147" s="74">
        <f t="shared" si="59"/>
        <v>1153461</v>
      </c>
      <c r="O147" s="75">
        <f t="shared" si="60"/>
        <v>525333</v>
      </c>
      <c r="P147" s="75">
        <f t="shared" si="61"/>
        <v>1760961</v>
      </c>
      <c r="Q147" s="76">
        <f t="shared" si="53"/>
        <v>7407100</v>
      </c>
      <c r="R147" s="76">
        <f t="shared" si="53"/>
        <v>3412450</v>
      </c>
      <c r="S147" s="76">
        <f t="shared" si="53"/>
        <v>11198997</v>
      </c>
      <c r="T147" s="80">
        <f>N147/'2015'!M147-1</f>
        <v>-6.7984864241163789E-2</v>
      </c>
      <c r="U147" s="80">
        <f>O147/'2015'!N147-1</f>
        <v>-3.1044112113677746E-2</v>
      </c>
      <c r="V147" s="80">
        <f>P147/'2015'!O147-1</f>
        <v>-3.1640912840252944E-2</v>
      </c>
      <c r="W147" s="81">
        <f>Q147/'2015'!P147-1</f>
        <v>-3.9411106135534446E-2</v>
      </c>
      <c r="X147" s="81">
        <f>R147/'2015'!Q147-1</f>
        <v>6.9594394459654874E-2</v>
      </c>
      <c r="Y147" s="81">
        <f>S147/'2015'!R147-1</f>
        <v>9.1406595937593149E-3</v>
      </c>
      <c r="Z147" s="50">
        <f>Z$145+0.439*2</f>
        <v>69.216200000000001</v>
      </c>
      <c r="AA147" s="97">
        <f t="shared" si="56"/>
        <v>671.49380000000008</v>
      </c>
      <c r="AB147" s="105"/>
      <c r="AC147" s="105"/>
      <c r="AD147" s="8">
        <f t="shared" si="57"/>
        <v>7786547</v>
      </c>
      <c r="AE147" s="37">
        <f t="shared" si="62"/>
        <v>252995.72727272729</v>
      </c>
      <c r="AF147" s="37">
        <f t="shared" si="62"/>
        <v>108983</v>
      </c>
      <c r="AG147" s="37">
        <f t="shared" si="58"/>
        <v>17468.272727272706</v>
      </c>
    </row>
    <row r="148" spans="1:33" ht="15" customHeight="1" x14ac:dyDescent="0.15">
      <c r="A148" s="102">
        <v>42513</v>
      </c>
      <c r="B148" s="20" t="s">
        <v>34</v>
      </c>
      <c r="C148" s="8">
        <v>55089</v>
      </c>
      <c r="D148" s="37">
        <v>25716</v>
      </c>
      <c r="E148" s="37">
        <v>84153</v>
      </c>
      <c r="F148" s="8">
        <v>4275</v>
      </c>
      <c r="G148" s="37">
        <v>2724</v>
      </c>
      <c r="H148" s="24"/>
      <c r="I148" s="36"/>
      <c r="J148" s="8">
        <f t="shared" si="54"/>
        <v>58437</v>
      </c>
      <c r="K148" s="37">
        <f t="shared" si="55"/>
        <v>2439.3636363636365</v>
      </c>
      <c r="L148" s="37">
        <v>792</v>
      </c>
      <c r="M148" s="37">
        <f t="shared" si="65"/>
        <v>116.63636363636364</v>
      </c>
      <c r="N148" s="74">
        <f t="shared" si="59"/>
        <v>1208550</v>
      </c>
      <c r="O148" s="75">
        <f t="shared" si="60"/>
        <v>551049</v>
      </c>
      <c r="P148" s="75">
        <f t="shared" si="61"/>
        <v>1845114</v>
      </c>
      <c r="Q148" s="76">
        <f t="shared" si="53"/>
        <v>7462189</v>
      </c>
      <c r="R148" s="76">
        <f t="shared" si="53"/>
        <v>3438166</v>
      </c>
      <c r="S148" s="76">
        <f t="shared" si="53"/>
        <v>11283150</v>
      </c>
      <c r="T148" s="80">
        <f>N148/'2015'!M148-1</f>
        <v>-6.663567165470119E-2</v>
      </c>
      <c r="U148" s="80">
        <f>O148/'2015'!N148-1</f>
        <v>-2.8183693984445313E-2</v>
      </c>
      <c r="V148" s="80">
        <f>P148/'2015'!O148-1</f>
        <v>-3.0351537599277667E-2</v>
      </c>
      <c r="W148" s="81">
        <f>Q148/'2015'!P148-1</f>
        <v>-3.9396737893512945E-2</v>
      </c>
      <c r="X148" s="81">
        <f>R148/'2015'!Q148-1</f>
        <v>6.9320535281364171E-2</v>
      </c>
      <c r="Y148" s="81">
        <f>S148/'2015'!R148-1</f>
        <v>9.0523753195670409E-3</v>
      </c>
      <c r="Z148" s="50">
        <f>Z$145+0.439*3</f>
        <v>69.655199999999994</v>
      </c>
      <c r="AA148" s="97">
        <f t="shared" si="56"/>
        <v>676.56369999999993</v>
      </c>
      <c r="AB148" s="105"/>
      <c r="AC148" s="105"/>
      <c r="AD148" s="8">
        <f t="shared" si="57"/>
        <v>7844984</v>
      </c>
      <c r="AE148" s="37">
        <f t="shared" si="62"/>
        <v>255435.09090909094</v>
      </c>
      <c r="AF148" s="37">
        <f t="shared" si="62"/>
        <v>109775</v>
      </c>
      <c r="AG148" s="37">
        <f t="shared" si="58"/>
        <v>17584.909090909059</v>
      </c>
    </row>
    <row r="149" spans="1:33" ht="15" customHeight="1" x14ac:dyDescent="0.15">
      <c r="A149" s="102">
        <v>42514</v>
      </c>
      <c r="B149" s="20" t="s">
        <v>35</v>
      </c>
      <c r="C149" s="8">
        <v>55602</v>
      </c>
      <c r="D149" s="37">
        <v>26288</v>
      </c>
      <c r="E149" s="37">
        <v>85381</v>
      </c>
      <c r="F149" s="8">
        <v>4326</v>
      </c>
      <c r="G149" s="37">
        <v>2911</v>
      </c>
      <c r="H149" s="24"/>
      <c r="I149" s="36"/>
      <c r="J149" s="8">
        <f t="shared" si="54"/>
        <v>59093</v>
      </c>
      <c r="K149" s="37">
        <f t="shared" si="55"/>
        <v>2582.3636363636365</v>
      </c>
      <c r="L149" s="37">
        <v>792</v>
      </c>
      <c r="M149" s="37">
        <f t="shared" si="65"/>
        <v>116.63636363636364</v>
      </c>
      <c r="N149" s="74">
        <f t="shared" si="59"/>
        <v>1264152</v>
      </c>
      <c r="O149" s="75">
        <f t="shared" si="60"/>
        <v>577337</v>
      </c>
      <c r="P149" s="75">
        <f t="shared" si="61"/>
        <v>1930495</v>
      </c>
      <c r="Q149" s="76">
        <f t="shared" si="53"/>
        <v>7517791</v>
      </c>
      <c r="R149" s="76">
        <f t="shared" si="53"/>
        <v>3464454</v>
      </c>
      <c r="S149" s="76">
        <f t="shared" si="53"/>
        <v>11368531</v>
      </c>
      <c r="T149" s="80">
        <f>N149/'2015'!M149-1</f>
        <v>-6.2256041564360487E-2</v>
      </c>
      <c r="U149" s="80">
        <f>O149/'2015'!N149-1</f>
        <v>-2.4671377721766197E-2</v>
      </c>
      <c r="V149" s="80">
        <f>P149/'2015'!O149-1</f>
        <v>-2.6506523507369151E-2</v>
      </c>
      <c r="W149" s="81">
        <f>Q149/'2015'!P149-1</f>
        <v>-3.8827316269380296E-2</v>
      </c>
      <c r="X149" s="81">
        <f>R149/'2015'!Q149-1</f>
        <v>6.9212565181322683E-2</v>
      </c>
      <c r="Y149" s="81">
        <f>S149/'2015'!R149-1</f>
        <v>9.4488451860339495E-3</v>
      </c>
      <c r="Z149" s="50">
        <f>Z$145+0.439*4</f>
        <v>70.094200000000001</v>
      </c>
      <c r="AA149" s="97">
        <f t="shared" si="56"/>
        <v>681.68489999999997</v>
      </c>
      <c r="AB149" s="105"/>
      <c r="AC149" s="105"/>
      <c r="AD149" s="8">
        <f t="shared" si="57"/>
        <v>7904077</v>
      </c>
      <c r="AE149" s="37">
        <f t="shared" si="62"/>
        <v>258017.45454545459</v>
      </c>
      <c r="AF149" s="37">
        <f t="shared" si="62"/>
        <v>110567</v>
      </c>
      <c r="AG149" s="37">
        <f t="shared" si="58"/>
        <v>17701.545454545412</v>
      </c>
    </row>
    <row r="150" spans="1:33" ht="15" customHeight="1" x14ac:dyDescent="0.15">
      <c r="A150" s="102">
        <v>42515</v>
      </c>
      <c r="B150" s="14" t="s">
        <v>36</v>
      </c>
      <c r="C150" s="32">
        <v>56248</v>
      </c>
      <c r="D150" s="33">
        <v>26509</v>
      </c>
      <c r="E150" s="33">
        <v>86356</v>
      </c>
      <c r="F150" s="32">
        <v>4286</v>
      </c>
      <c r="G150" s="33">
        <v>2905</v>
      </c>
      <c r="H150" s="19"/>
      <c r="I150" s="19"/>
      <c r="J150" s="32">
        <f t="shared" si="54"/>
        <v>59847</v>
      </c>
      <c r="K150" s="33">
        <f t="shared" si="55"/>
        <v>2692.3636363636365</v>
      </c>
      <c r="L150" s="33">
        <v>790</v>
      </c>
      <c r="M150" s="33">
        <f t="shared" si="65"/>
        <v>116.63636363636364</v>
      </c>
      <c r="N150" s="77">
        <f t="shared" si="59"/>
        <v>1320400</v>
      </c>
      <c r="O150" s="78">
        <f t="shared" si="60"/>
        <v>603846</v>
      </c>
      <c r="P150" s="78">
        <f t="shared" si="61"/>
        <v>2016851</v>
      </c>
      <c r="Q150" s="77">
        <f t="shared" si="53"/>
        <v>7574039</v>
      </c>
      <c r="R150" s="77">
        <f t="shared" si="53"/>
        <v>3490963</v>
      </c>
      <c r="S150" s="77">
        <f t="shared" si="53"/>
        <v>11454887</v>
      </c>
      <c r="T150" s="82">
        <f>N150/'2015'!M150-1</f>
        <v>-6.0295789051919346E-2</v>
      </c>
      <c r="U150" s="82">
        <f>O150/'2015'!N150-1</f>
        <v>-2.1222519568385168E-2</v>
      </c>
      <c r="V150" s="82">
        <f>P150/'2015'!O150-1</f>
        <v>-2.4626966003054473E-2</v>
      </c>
      <c r="W150" s="82">
        <f>Q150/'2015'!P150-1</f>
        <v>-3.8647345447871406E-2</v>
      </c>
      <c r="X150" s="82">
        <f>R150/'2015'!Q150-1</f>
        <v>6.9145440234718247E-2</v>
      </c>
      <c r="Y150" s="82">
        <f>S150/'2015'!R150-1</f>
        <v>9.5229223451973599E-3</v>
      </c>
      <c r="Z150" s="49">
        <f>Z$145+0.439*5</f>
        <v>70.533199999999994</v>
      </c>
      <c r="AA150" s="49">
        <f t="shared" si="56"/>
        <v>686.87070000000006</v>
      </c>
      <c r="AB150" s="33">
        <v>4230.1000000000004</v>
      </c>
      <c r="AC150" s="33">
        <f t="shared" si="64"/>
        <v>1623.7694144346469</v>
      </c>
      <c r="AD150" s="32">
        <f t="shared" si="57"/>
        <v>7963924</v>
      </c>
      <c r="AE150" s="33">
        <f t="shared" si="62"/>
        <v>260709.81818181823</v>
      </c>
      <c r="AF150" s="33">
        <f t="shared" si="62"/>
        <v>111357</v>
      </c>
      <c r="AG150" s="33">
        <f t="shared" si="58"/>
        <v>17818.181818181765</v>
      </c>
    </row>
    <row r="151" spans="1:33" ht="15" customHeight="1" x14ac:dyDescent="0.15">
      <c r="A151" s="102">
        <v>42516</v>
      </c>
      <c r="B151" s="20" t="s">
        <v>37</v>
      </c>
      <c r="C151" s="8">
        <v>57922</v>
      </c>
      <c r="D151" s="37">
        <v>26044</v>
      </c>
      <c r="E151" s="37">
        <v>87318</v>
      </c>
      <c r="F151" s="8">
        <v>4393</v>
      </c>
      <c r="G151" s="37">
        <v>2934</v>
      </c>
      <c r="H151" s="24"/>
      <c r="I151" s="36"/>
      <c r="J151" s="8">
        <f t="shared" si="54"/>
        <v>61274</v>
      </c>
      <c r="K151" s="37">
        <f t="shared" si="55"/>
        <v>2445.3636363636365</v>
      </c>
      <c r="L151" s="37">
        <v>790</v>
      </c>
      <c r="M151" s="37">
        <f t="shared" si="65"/>
        <v>116.63636363636364</v>
      </c>
      <c r="N151" s="74">
        <f t="shared" si="59"/>
        <v>1378322</v>
      </c>
      <c r="O151" s="75">
        <f t="shared" si="60"/>
        <v>629890</v>
      </c>
      <c r="P151" s="75">
        <f t="shared" si="61"/>
        <v>2104169</v>
      </c>
      <c r="Q151" s="76">
        <f t="shared" si="53"/>
        <v>7631961</v>
      </c>
      <c r="R151" s="76">
        <f t="shared" si="53"/>
        <v>3517007</v>
      </c>
      <c r="S151" s="76">
        <f t="shared" si="53"/>
        <v>11542205</v>
      </c>
      <c r="T151" s="80">
        <f>N151/'2015'!M151-1</f>
        <v>-5.8005899414705908E-2</v>
      </c>
      <c r="U151" s="80">
        <f>O151/'2015'!N151-1</f>
        <v>-1.9515057741969155E-2</v>
      </c>
      <c r="V151" s="80">
        <f>P151/'2015'!O151-1</f>
        <v>-2.3110132236308534E-2</v>
      </c>
      <c r="W151" s="81">
        <f>Q151/'2015'!P151-1</f>
        <v>-3.8383584095750822E-2</v>
      </c>
      <c r="X151" s="81">
        <f>R151/'2015'!Q151-1</f>
        <v>6.8778835243071379E-2</v>
      </c>
      <c r="Y151" s="81">
        <f>S151/'2015'!R151-1</f>
        <v>9.551294694614354E-3</v>
      </c>
      <c r="Z151" s="50">
        <f>Z$145+0.439*6</f>
        <v>70.972200000000001</v>
      </c>
      <c r="AA151" s="97">
        <f t="shared" si="56"/>
        <v>692.22389999999996</v>
      </c>
      <c r="AB151" s="105">
        <v>4230.1000000000004</v>
      </c>
      <c r="AC151" s="105">
        <f t="shared" si="64"/>
        <v>1636.4244344105339</v>
      </c>
      <c r="AD151" s="8">
        <f t="shared" si="57"/>
        <v>8025198</v>
      </c>
      <c r="AE151" s="37">
        <f t="shared" si="62"/>
        <v>263155.18181818188</v>
      </c>
      <c r="AF151" s="37">
        <f t="shared" si="62"/>
        <v>112147</v>
      </c>
      <c r="AG151" s="37">
        <f t="shared" si="58"/>
        <v>17934.818181818118</v>
      </c>
    </row>
    <row r="152" spans="1:33" ht="15" customHeight="1" x14ac:dyDescent="0.15">
      <c r="A152" s="102">
        <v>42517</v>
      </c>
      <c r="B152" s="20" t="s">
        <v>38</v>
      </c>
      <c r="C152" s="70">
        <v>59170</v>
      </c>
      <c r="D152" s="71">
        <f>11280+14032</f>
        <v>25312</v>
      </c>
      <c r="E152" s="71">
        <v>87893</v>
      </c>
      <c r="F152" s="70">
        <v>4419</v>
      </c>
      <c r="G152" s="71">
        <v>2941</v>
      </c>
      <c r="H152" s="24"/>
      <c r="I152" s="24"/>
      <c r="J152" s="70">
        <f t="shared" si="54"/>
        <v>62581</v>
      </c>
      <c r="K152" s="71">
        <f t="shared" si="55"/>
        <v>2503.3636363636365</v>
      </c>
      <c r="L152" s="71">
        <v>791</v>
      </c>
      <c r="M152" s="71">
        <f t="shared" si="65"/>
        <v>116.63636363636364</v>
      </c>
      <c r="N152" s="74">
        <f t="shared" si="59"/>
        <v>1437492</v>
      </c>
      <c r="O152" s="75">
        <f t="shared" si="60"/>
        <v>655202</v>
      </c>
      <c r="P152" s="75">
        <f t="shared" si="61"/>
        <v>2192062</v>
      </c>
      <c r="Q152" s="76">
        <f t="shared" si="53"/>
        <v>7691131</v>
      </c>
      <c r="R152" s="76">
        <f t="shared" si="53"/>
        <v>3542319</v>
      </c>
      <c r="S152" s="76">
        <f t="shared" si="53"/>
        <v>11630098</v>
      </c>
      <c r="T152" s="80">
        <f>N152/'2015'!M152-1</f>
        <v>-5.5425011827787363E-2</v>
      </c>
      <c r="U152" s="80">
        <f>O152/'2015'!N152-1</f>
        <v>-1.9942142060089707E-2</v>
      </c>
      <c r="V152" s="80">
        <f>P152/'2015'!O152-1</f>
        <v>-2.1646791453755143E-2</v>
      </c>
      <c r="W152" s="81">
        <f>Q152/'2015'!P152-1</f>
        <v>-3.8036256572660743E-2</v>
      </c>
      <c r="X152" s="81">
        <f>R152/'2015'!Q152-1</f>
        <v>6.7997774953757917E-2</v>
      </c>
      <c r="Y152" s="81">
        <f>S152/'2015'!R152-1</f>
        <v>9.5903328764028739E-3</v>
      </c>
      <c r="Z152" s="97">
        <f>Z$145+0.439*7</f>
        <v>71.411199999999994</v>
      </c>
      <c r="AA152" s="97">
        <f t="shared" si="56"/>
        <v>697.70190000000002</v>
      </c>
      <c r="AB152" s="106"/>
      <c r="AC152" s="105"/>
      <c r="AD152" s="70">
        <f t="shared" si="57"/>
        <v>8087779</v>
      </c>
      <c r="AE152" s="71">
        <f t="shared" si="62"/>
        <v>265658.54545454553</v>
      </c>
      <c r="AF152" s="71">
        <f t="shared" si="62"/>
        <v>112938</v>
      </c>
      <c r="AG152" s="71">
        <f t="shared" si="58"/>
        <v>18051.454545454471</v>
      </c>
    </row>
    <row r="153" spans="1:33" ht="15" customHeight="1" x14ac:dyDescent="0.15">
      <c r="A153" s="102">
        <v>42518</v>
      </c>
      <c r="B153" s="20" t="s">
        <v>39</v>
      </c>
      <c r="C153" s="8">
        <v>58183</v>
      </c>
      <c r="D153" s="37">
        <f>11272+14037</f>
        <v>25309</v>
      </c>
      <c r="E153" s="37">
        <v>87518</v>
      </c>
      <c r="F153" s="8">
        <v>4423</v>
      </c>
      <c r="G153" s="37">
        <v>2943</v>
      </c>
      <c r="H153" s="24"/>
      <c r="I153" s="36"/>
      <c r="J153" s="8">
        <f t="shared" si="54"/>
        <v>62209</v>
      </c>
      <c r="K153" s="37">
        <f t="shared" si="55"/>
        <v>3118.3636363636365</v>
      </c>
      <c r="L153" s="37">
        <v>791</v>
      </c>
      <c r="M153" s="37">
        <f t="shared" si="65"/>
        <v>116.63636363636364</v>
      </c>
      <c r="N153" s="74">
        <f t="shared" si="59"/>
        <v>1495675</v>
      </c>
      <c r="O153" s="75">
        <f t="shared" si="60"/>
        <v>680511</v>
      </c>
      <c r="P153" s="75">
        <f t="shared" si="61"/>
        <v>2279580</v>
      </c>
      <c r="Q153" s="76">
        <f t="shared" si="53"/>
        <v>7749314</v>
      </c>
      <c r="R153" s="76">
        <f t="shared" si="53"/>
        <v>3567628</v>
      </c>
      <c r="S153" s="76">
        <f t="shared" si="53"/>
        <v>11717616</v>
      </c>
      <c r="T153" s="80">
        <f>N153/'2015'!M153-1</f>
        <v>-5.4351812043195724E-2</v>
      </c>
      <c r="U153" s="80">
        <f>O153/'2015'!N153-1</f>
        <v>-1.9110107254720177E-2</v>
      </c>
      <c r="V153" s="80">
        <f>P153/'2015'!O153-1</f>
        <v>-2.071904493923471E-2</v>
      </c>
      <c r="W153" s="81">
        <f>Q153/'2015'!P153-1</f>
        <v>-3.7954622199269039E-2</v>
      </c>
      <c r="X153" s="81">
        <f>R153/'2015'!Q153-1</f>
        <v>6.7506478118024349E-2</v>
      </c>
      <c r="Y153" s="81">
        <f>S153/'2015'!R153-1</f>
        <v>9.5415920987469427E-3</v>
      </c>
      <c r="Z153" s="50">
        <f>Z$145+0.439*8</f>
        <v>71.850200000000001</v>
      </c>
      <c r="AA153" s="97">
        <f t="shared" si="56"/>
        <v>703.08120000000008</v>
      </c>
      <c r="AB153" s="105"/>
      <c r="AC153" s="105"/>
      <c r="AD153" s="8">
        <f t="shared" si="57"/>
        <v>8149988</v>
      </c>
      <c r="AE153" s="37">
        <f t="shared" si="62"/>
        <v>268776.90909090918</v>
      </c>
      <c r="AF153" s="37">
        <f t="shared" si="62"/>
        <v>113729</v>
      </c>
      <c r="AG153" s="37">
        <f t="shared" si="58"/>
        <v>18168.090909090824</v>
      </c>
    </row>
    <row r="154" spans="1:33" ht="15" customHeight="1" x14ac:dyDescent="0.15">
      <c r="A154" s="102">
        <v>42519</v>
      </c>
      <c r="B154" s="20" t="s">
        <v>1</v>
      </c>
      <c r="C154" s="8">
        <v>51619</v>
      </c>
      <c r="D154" s="37">
        <f>11199+14520</f>
        <v>25719</v>
      </c>
      <c r="E154" s="37">
        <v>80443</v>
      </c>
      <c r="F154" s="8">
        <v>4000</v>
      </c>
      <c r="G154" s="37">
        <v>2913</v>
      </c>
      <c r="H154" s="24"/>
      <c r="I154" s="36"/>
      <c r="J154" s="8">
        <f t="shared" si="54"/>
        <v>54724</v>
      </c>
      <c r="K154" s="37">
        <f t="shared" si="55"/>
        <v>2197.3636363636365</v>
      </c>
      <c r="L154" s="37">
        <v>791</v>
      </c>
      <c r="M154" s="37">
        <f t="shared" si="65"/>
        <v>116.63636363636364</v>
      </c>
      <c r="N154" s="74">
        <f t="shared" si="59"/>
        <v>1547294</v>
      </c>
      <c r="O154" s="75">
        <f t="shared" si="60"/>
        <v>706230</v>
      </c>
      <c r="P154" s="75">
        <f t="shared" si="61"/>
        <v>2360023</v>
      </c>
      <c r="Q154" s="76">
        <f t="shared" si="53"/>
        <v>7800933</v>
      </c>
      <c r="R154" s="76">
        <f t="shared" si="53"/>
        <v>3593347</v>
      </c>
      <c r="S154" s="76">
        <f t="shared" si="53"/>
        <v>11798059</v>
      </c>
      <c r="T154" s="80">
        <f>N154/'2015'!M154-1</f>
        <v>-5.7866567620392995E-2</v>
      </c>
      <c r="U154" s="80">
        <f>O154/'2015'!N154-1</f>
        <v>-1.7218130177580671E-2</v>
      </c>
      <c r="V154" s="80">
        <f>P154/'2015'!O154-1</f>
        <v>-2.3081543333983268E-2</v>
      </c>
      <c r="W154" s="81">
        <f>Q154/'2015'!P154-1</f>
        <v>-3.8788500849584739E-2</v>
      </c>
      <c r="X154" s="81">
        <f>R154/'2015'!Q154-1</f>
        <v>6.727140529408171E-2</v>
      </c>
      <c r="Y154" s="81">
        <f>S154/'2015'!R154-1</f>
        <v>8.8259429948640555E-3</v>
      </c>
      <c r="Z154" s="50">
        <f>Z$145+0.439*9</f>
        <v>72.289199999999994</v>
      </c>
      <c r="AA154" s="97">
        <f t="shared" si="56"/>
        <v>707.80410000000006</v>
      </c>
      <c r="AB154" s="105"/>
      <c r="AC154" s="105"/>
      <c r="AD154" s="8">
        <f t="shared" si="57"/>
        <v>8204712</v>
      </c>
      <c r="AE154" s="37">
        <f t="shared" si="62"/>
        <v>270974.27272727282</v>
      </c>
      <c r="AF154" s="37">
        <f t="shared" si="62"/>
        <v>114520</v>
      </c>
      <c r="AG154" s="37">
        <f t="shared" si="58"/>
        <v>18284.727272727177</v>
      </c>
    </row>
    <row r="155" spans="1:33" ht="15" customHeight="1" x14ac:dyDescent="0.15">
      <c r="A155" s="102">
        <v>42520</v>
      </c>
      <c r="B155" s="20" t="s">
        <v>34</v>
      </c>
      <c r="C155" s="8">
        <v>54581</v>
      </c>
      <c r="D155" s="37">
        <v>25321</v>
      </c>
      <c r="E155" s="37">
        <v>83472</v>
      </c>
      <c r="F155" s="8">
        <v>4282</v>
      </c>
      <c r="G155" s="37">
        <v>2705</v>
      </c>
      <c r="H155" s="24"/>
      <c r="I155" s="36"/>
      <c r="J155" s="8">
        <f t="shared" si="54"/>
        <v>58151</v>
      </c>
      <c r="K155" s="37">
        <f t="shared" si="55"/>
        <v>2661.3636363636365</v>
      </c>
      <c r="L155" s="37">
        <v>792</v>
      </c>
      <c r="M155" s="37">
        <f t="shared" si="65"/>
        <v>116.63636363636364</v>
      </c>
      <c r="N155" s="74">
        <f t="shared" si="59"/>
        <v>1601875</v>
      </c>
      <c r="O155" s="75">
        <f t="shared" si="60"/>
        <v>731551</v>
      </c>
      <c r="P155" s="75">
        <f t="shared" si="61"/>
        <v>2443495</v>
      </c>
      <c r="Q155" s="76">
        <f t="shared" si="53"/>
        <v>7855514</v>
      </c>
      <c r="R155" s="76">
        <f t="shared" si="53"/>
        <v>3618668</v>
      </c>
      <c r="S155" s="76">
        <f t="shared" si="53"/>
        <v>11881531</v>
      </c>
      <c r="T155" s="80">
        <f>N155/'2015'!M155-1</f>
        <v>-5.8167681577039554E-2</v>
      </c>
      <c r="U155" s="80">
        <f>O155/'2015'!N155-1</f>
        <v>-1.4706318100394578E-2</v>
      </c>
      <c r="V155" s="80">
        <f>P155/'2015'!O155-1</f>
        <v>-2.2690348792469117E-2</v>
      </c>
      <c r="W155" s="81">
        <f>Q155/'2015'!P155-1</f>
        <v>-3.8987635130845133E-2</v>
      </c>
      <c r="X155" s="81">
        <f>R155/'2015'!Q155-1</f>
        <v>6.7226704880761323E-2</v>
      </c>
      <c r="Y155" s="81">
        <f>S155/'2015'!R155-1</f>
        <v>8.6802389686844172E-3</v>
      </c>
      <c r="Z155" s="50">
        <f>Z$145+0.439*10</f>
        <v>72.728200000000001</v>
      </c>
      <c r="AA155" s="97">
        <f t="shared" si="56"/>
        <v>712.82319999999993</v>
      </c>
      <c r="AB155" s="105"/>
      <c r="AC155" s="105"/>
      <c r="AD155" s="8">
        <f t="shared" si="57"/>
        <v>8262863</v>
      </c>
      <c r="AE155" s="37">
        <f t="shared" si="62"/>
        <v>273635.63636363647</v>
      </c>
      <c r="AF155" s="37">
        <f t="shared" si="62"/>
        <v>115312</v>
      </c>
      <c r="AG155" s="37">
        <f t="shared" si="58"/>
        <v>18401.363636363531</v>
      </c>
    </row>
    <row r="156" spans="1:33" s="1" customFormat="1" ht="15" customHeight="1" x14ac:dyDescent="0.15">
      <c r="A156" s="25">
        <v>42521</v>
      </c>
      <c r="B156" s="25" t="s">
        <v>35</v>
      </c>
      <c r="C156" s="42">
        <v>57989</v>
      </c>
      <c r="D156" s="43">
        <v>25707</v>
      </c>
      <c r="E156" s="43">
        <v>86881</v>
      </c>
      <c r="F156" s="42">
        <v>4356</v>
      </c>
      <c r="G156" s="43">
        <v>2843</v>
      </c>
      <c r="H156" s="30"/>
      <c r="I156" s="30"/>
      <c r="J156" s="42">
        <f t="shared" si="54"/>
        <v>61174</v>
      </c>
      <c r="K156" s="43">
        <f t="shared" si="55"/>
        <v>2277.3636363636365</v>
      </c>
      <c r="L156" s="43">
        <v>791</v>
      </c>
      <c r="M156" s="43">
        <f t="shared" si="65"/>
        <v>116.63636363636364</v>
      </c>
      <c r="N156" s="87">
        <f t="shared" si="59"/>
        <v>1659864</v>
      </c>
      <c r="O156" s="88">
        <f t="shared" si="60"/>
        <v>757258</v>
      </c>
      <c r="P156" s="88">
        <f t="shared" si="61"/>
        <v>2530376</v>
      </c>
      <c r="Q156" s="87">
        <f t="shared" si="53"/>
        <v>7913503</v>
      </c>
      <c r="R156" s="87">
        <f t="shared" si="53"/>
        <v>3644375</v>
      </c>
      <c r="S156" s="87">
        <f t="shared" si="53"/>
        <v>11968412</v>
      </c>
      <c r="T156" s="89">
        <f>N156/'2015'!M156-1</f>
        <v>-5.2971744295113643E-2</v>
      </c>
      <c r="U156" s="89">
        <f>O156/'2015'!N156-1</f>
        <v>-1.2322846045289881E-2</v>
      </c>
      <c r="V156" s="89">
        <f>P156/'2015'!O156-1</f>
        <v>-1.8328535625887432E-2</v>
      </c>
      <c r="W156" s="89">
        <f>Q156/'2015'!P156-1</f>
        <v>-3.8001567691549831E-2</v>
      </c>
      <c r="X156" s="89">
        <f>R156/'2015'!Q156-1</f>
        <v>6.7180348098087261E-2</v>
      </c>
      <c r="Y156" s="89">
        <f>S156/'2015'!R156-1</f>
        <v>9.4237188527848126E-3</v>
      </c>
      <c r="Z156" s="52">
        <v>73.167699999999996</v>
      </c>
      <c r="AA156" s="52">
        <f t="shared" si="56"/>
        <v>718.18259999999998</v>
      </c>
      <c r="AB156" s="43">
        <v>4230.1000000000004</v>
      </c>
      <c r="AC156" s="43">
        <f t="shared" si="64"/>
        <v>1697.7910687690596</v>
      </c>
      <c r="AD156" s="42">
        <f t="shared" si="57"/>
        <v>8324037</v>
      </c>
      <c r="AE156" s="43">
        <v>275914</v>
      </c>
      <c r="AF156" s="43">
        <v>116102</v>
      </c>
      <c r="AG156" s="43">
        <f t="shared" si="58"/>
        <v>18518</v>
      </c>
    </row>
    <row r="157" spans="1:33" ht="15" customHeight="1" x14ac:dyDescent="0.15">
      <c r="A157" s="102">
        <v>42522</v>
      </c>
      <c r="B157" s="14" t="s">
        <v>36</v>
      </c>
      <c r="C157" s="32">
        <v>50192</v>
      </c>
      <c r="D157" s="33">
        <v>31373</v>
      </c>
      <c r="E157" s="33">
        <v>83271</v>
      </c>
      <c r="F157" s="32">
        <v>4251</v>
      </c>
      <c r="G157" s="33">
        <v>2903</v>
      </c>
      <c r="H157" s="19"/>
      <c r="I157" s="19"/>
      <c r="J157" s="32">
        <f t="shared" si="54"/>
        <v>51898</v>
      </c>
      <c r="K157" s="33">
        <f t="shared" si="55"/>
        <v>742.40000000000009</v>
      </c>
      <c r="L157" s="33">
        <v>790</v>
      </c>
      <c r="M157" s="33">
        <f>(AG$166-AG$156)/10</f>
        <v>173.6</v>
      </c>
      <c r="N157" s="77">
        <f>C157</f>
        <v>50192</v>
      </c>
      <c r="O157" s="78">
        <f>D157</f>
        <v>31373</v>
      </c>
      <c r="P157" s="78">
        <f>E157</f>
        <v>83271</v>
      </c>
      <c r="Q157" s="77">
        <f>Q$156+N157</f>
        <v>7963695</v>
      </c>
      <c r="R157" s="77">
        <f>R$156+O157</f>
        <v>3675748</v>
      </c>
      <c r="S157" s="77">
        <f>S$156+P157</f>
        <v>12051683</v>
      </c>
      <c r="T157" s="82">
        <f>N157/'2015'!M157-1</f>
        <v>-1.1559896807735504E-2</v>
      </c>
      <c r="U157" s="82">
        <f>O157/'2015'!N157-1</f>
        <v>0.10799929366060401</v>
      </c>
      <c r="V157" s="82">
        <f>P157/'2015'!O157-1</f>
        <v>2.453338582870912E-2</v>
      </c>
      <c r="W157" s="82">
        <f>Q157/'2015'!P157-1</f>
        <v>-3.7839347087860409E-2</v>
      </c>
      <c r="X157" s="82">
        <f>R157/'2015'!Q157-1</f>
        <v>6.7516013838000655E-2</v>
      </c>
      <c r="Y157" s="82">
        <f>S157/'2015'!R157-1</f>
        <v>9.5265897718663783E-3</v>
      </c>
      <c r="Z157" s="49">
        <f>Z$156+0.261*1</f>
        <v>73.428699999999992</v>
      </c>
      <c r="AA157" s="49">
        <f t="shared" si="56"/>
        <v>722.94080000000008</v>
      </c>
      <c r="AB157" s="33">
        <v>4230.1000000000004</v>
      </c>
      <c r="AC157" s="33">
        <f t="shared" si="64"/>
        <v>1709.0395026122314</v>
      </c>
      <c r="AD157" s="32">
        <f t="shared" si="57"/>
        <v>8375935</v>
      </c>
      <c r="AE157" s="33">
        <f t="shared" si="62"/>
        <v>276656.40000000002</v>
      </c>
      <c r="AF157" s="33">
        <f t="shared" si="62"/>
        <v>116892</v>
      </c>
      <c r="AG157" s="33">
        <f t="shared" si="58"/>
        <v>18691.599999999977</v>
      </c>
    </row>
    <row r="158" spans="1:33" ht="15" customHeight="1" x14ac:dyDescent="0.15">
      <c r="A158" s="102">
        <v>42523</v>
      </c>
      <c r="B158" s="20" t="s">
        <v>37</v>
      </c>
      <c r="C158" s="8">
        <v>46181</v>
      </c>
      <c r="D158" s="37">
        <v>32801</v>
      </c>
      <c r="E158" s="37">
        <v>80915</v>
      </c>
      <c r="F158" s="8">
        <v>4160</v>
      </c>
      <c r="G158" s="37">
        <v>2662</v>
      </c>
      <c r="H158" s="24"/>
      <c r="I158" s="36"/>
      <c r="J158" s="8">
        <f t="shared" si="54"/>
        <v>48114</v>
      </c>
      <c r="K158" s="37">
        <f t="shared" si="55"/>
        <v>967.40000000000009</v>
      </c>
      <c r="L158" s="37">
        <v>792</v>
      </c>
      <c r="M158" s="37">
        <f t="shared" ref="M158:M166" si="66">(AG$166-AG$156)/10</f>
        <v>173.6</v>
      </c>
      <c r="N158" s="74">
        <f t="shared" ref="N158:N175" si="67">N157+C158</f>
        <v>96373</v>
      </c>
      <c r="O158" s="75">
        <f t="shared" ref="O158:O175" si="68">O157+D158</f>
        <v>64174</v>
      </c>
      <c r="P158" s="75">
        <f t="shared" ref="P158:P175" si="69">P157+E158</f>
        <v>164186</v>
      </c>
      <c r="Q158" s="76">
        <f t="shared" ref="Q158:S186" si="70">Q$156+N158</f>
        <v>8009876</v>
      </c>
      <c r="R158" s="76">
        <f t="shared" si="70"/>
        <v>3708549</v>
      </c>
      <c r="S158" s="76">
        <f t="shared" si="70"/>
        <v>12132598</v>
      </c>
      <c r="T158" s="80">
        <f>N158/'2015'!M158-1</f>
        <v>-9.4417455201511014E-2</v>
      </c>
      <c r="U158" s="80">
        <f>O158/'2015'!N158-1</f>
        <v>0.11241311168506996</v>
      </c>
      <c r="V158" s="80">
        <f>P158/'2015'!O158-1</f>
        <v>-2.3272138871372694E-2</v>
      </c>
      <c r="W158" s="81">
        <f>Q158/'2015'!P158-1</f>
        <v>-3.8722097456846516E-2</v>
      </c>
      <c r="X158" s="81">
        <f>R158/'2015'!Q158-1</f>
        <v>6.7931773062961165E-2</v>
      </c>
      <c r="Y158" s="81">
        <f>S158/'2015'!R158-1</f>
        <v>8.9666535160406458E-3</v>
      </c>
      <c r="Z158" s="50">
        <f>Z$156+0.261*2</f>
        <v>73.689700000000002</v>
      </c>
      <c r="AA158" s="97">
        <f t="shared" si="56"/>
        <v>727.29790000000003</v>
      </c>
      <c r="AB158" s="105">
        <v>4230.1000000000004</v>
      </c>
      <c r="AC158" s="105">
        <f t="shared" si="64"/>
        <v>1719.3397319212311</v>
      </c>
      <c r="AD158" s="8">
        <f t="shared" si="57"/>
        <v>8424049</v>
      </c>
      <c r="AE158" s="37">
        <f t="shared" si="62"/>
        <v>277623.80000000005</v>
      </c>
      <c r="AF158" s="37">
        <f t="shared" si="62"/>
        <v>117684</v>
      </c>
      <c r="AG158" s="37">
        <f t="shared" si="58"/>
        <v>18865.199999999953</v>
      </c>
    </row>
    <row r="159" spans="1:33" ht="15" customHeight="1" x14ac:dyDescent="0.15">
      <c r="A159" s="102">
        <v>42524</v>
      </c>
      <c r="B159" s="20" t="s">
        <v>38</v>
      </c>
      <c r="C159" s="70">
        <v>44034</v>
      </c>
      <c r="D159" s="71">
        <v>34540</v>
      </c>
      <c r="E159" s="71">
        <v>81075</v>
      </c>
      <c r="F159" s="70">
        <v>4162</v>
      </c>
      <c r="G159" s="71">
        <v>2683</v>
      </c>
      <c r="H159" s="24"/>
      <c r="I159" s="24"/>
      <c r="J159" s="70">
        <f t="shared" si="54"/>
        <v>46535</v>
      </c>
      <c r="K159" s="71">
        <f t="shared" si="55"/>
        <v>1538.4</v>
      </c>
      <c r="L159" s="71">
        <v>789</v>
      </c>
      <c r="M159" s="71">
        <f t="shared" si="66"/>
        <v>173.6</v>
      </c>
      <c r="N159" s="74">
        <f t="shared" si="67"/>
        <v>140407</v>
      </c>
      <c r="O159" s="75">
        <f t="shared" si="68"/>
        <v>98714</v>
      </c>
      <c r="P159" s="75">
        <f t="shared" si="69"/>
        <v>245261</v>
      </c>
      <c r="Q159" s="76">
        <f t="shared" si="70"/>
        <v>8053910</v>
      </c>
      <c r="R159" s="76">
        <f t="shared" si="70"/>
        <v>3743089</v>
      </c>
      <c r="S159" s="76">
        <f t="shared" si="70"/>
        <v>12213673</v>
      </c>
      <c r="T159" s="80">
        <f>N159/'2015'!M159-1</f>
        <v>-0.11930777529668568</v>
      </c>
      <c r="U159" s="80">
        <f>O159/'2015'!N159-1</f>
        <v>0.13816282528738277</v>
      </c>
      <c r="V159" s="80">
        <f>P159/'2015'!O159-1</f>
        <v>-2.7652674479455741E-2</v>
      </c>
      <c r="W159" s="81">
        <f>Q159/'2015'!P159-1</f>
        <v>-3.9547382540603193E-2</v>
      </c>
      <c r="X159" s="81">
        <f>R159/'2015'!Q159-1</f>
        <v>6.893846624827793E-2</v>
      </c>
      <c r="Y159" s="81">
        <f>S159/'2015'!R159-1</f>
        <v>8.6513951622746443E-3</v>
      </c>
      <c r="Z159" s="97">
        <f>Z$156+0.261*3</f>
        <v>73.950699999999998</v>
      </c>
      <c r="AA159" s="97">
        <f t="shared" si="56"/>
        <v>731.44029999999998</v>
      </c>
      <c r="AB159" s="106"/>
      <c r="AC159" s="105"/>
      <c r="AD159" s="70">
        <f t="shared" si="57"/>
        <v>8470584</v>
      </c>
      <c r="AE159" s="71">
        <f t="shared" si="62"/>
        <v>279162.20000000007</v>
      </c>
      <c r="AF159" s="71">
        <f t="shared" si="62"/>
        <v>118473</v>
      </c>
      <c r="AG159" s="71">
        <f t="shared" si="58"/>
        <v>19038.79999999993</v>
      </c>
    </row>
    <row r="160" spans="1:33" ht="15" customHeight="1" x14ac:dyDescent="0.15">
      <c r="A160" s="102">
        <v>42525</v>
      </c>
      <c r="B160" s="20" t="s">
        <v>39</v>
      </c>
      <c r="C160" s="8">
        <v>44350</v>
      </c>
      <c r="D160" s="37">
        <v>34247</v>
      </c>
      <c r="E160" s="37">
        <v>80832</v>
      </c>
      <c r="F160" s="8">
        <v>4122</v>
      </c>
      <c r="G160" s="37">
        <v>2696</v>
      </c>
      <c r="H160" s="24"/>
      <c r="I160" s="36"/>
      <c r="J160" s="8">
        <f t="shared" si="54"/>
        <v>46585</v>
      </c>
      <c r="K160" s="37">
        <f t="shared" si="55"/>
        <v>1269.4000000000001</v>
      </c>
      <c r="L160" s="37">
        <v>792</v>
      </c>
      <c r="M160" s="37">
        <f t="shared" si="66"/>
        <v>173.6</v>
      </c>
      <c r="N160" s="74">
        <f t="shared" si="67"/>
        <v>184757</v>
      </c>
      <c r="O160" s="75">
        <f t="shared" si="68"/>
        <v>132961</v>
      </c>
      <c r="P160" s="75">
        <f t="shared" si="69"/>
        <v>326093</v>
      </c>
      <c r="Q160" s="76">
        <f t="shared" si="70"/>
        <v>8098260</v>
      </c>
      <c r="R160" s="76">
        <f t="shared" si="70"/>
        <v>3777336</v>
      </c>
      <c r="S160" s="76">
        <f t="shared" si="70"/>
        <v>12294505</v>
      </c>
      <c r="T160" s="80">
        <f>N160/'2015'!M160-1</f>
        <v>-0.11824390430147036</v>
      </c>
      <c r="U160" s="80">
        <f>O160/'2015'!N160-1</f>
        <v>0.14776896316566379</v>
      </c>
      <c r="V160" s="80">
        <f>P160/'2015'!O160-1</f>
        <v>-2.411192578183452E-2</v>
      </c>
      <c r="W160" s="81">
        <f>Q160/'2015'!P160-1</f>
        <v>-3.9994708167405468E-2</v>
      </c>
      <c r="X160" s="81">
        <f>R160/'2015'!Q160-1</f>
        <v>6.9824402401722052E-2</v>
      </c>
      <c r="Y160" s="81">
        <f>S160/'2015'!R160-1</f>
        <v>8.504508471450789E-3</v>
      </c>
      <c r="Z160" s="50">
        <f>Z$156+0.261*4</f>
        <v>74.211699999999993</v>
      </c>
      <c r="AA160" s="97">
        <f t="shared" si="56"/>
        <v>735.61430000000007</v>
      </c>
      <c r="AB160" s="105"/>
      <c r="AC160" s="105"/>
      <c r="AD160" s="8">
        <f t="shared" si="57"/>
        <v>8517169</v>
      </c>
      <c r="AE160" s="37">
        <f t="shared" si="62"/>
        <v>280431.60000000009</v>
      </c>
      <c r="AF160" s="37">
        <f t="shared" si="62"/>
        <v>119265</v>
      </c>
      <c r="AG160" s="37">
        <f t="shared" si="58"/>
        <v>19212.399999999907</v>
      </c>
    </row>
    <row r="161" spans="1:33" ht="15" customHeight="1" x14ac:dyDescent="0.15">
      <c r="A161" s="102">
        <v>42526</v>
      </c>
      <c r="B161" s="20" t="s">
        <v>1</v>
      </c>
      <c r="C161" s="8">
        <v>42250</v>
      </c>
      <c r="D161" s="37">
        <v>33403</v>
      </c>
      <c r="E161" s="37">
        <v>78095</v>
      </c>
      <c r="F161" s="8">
        <v>3849</v>
      </c>
      <c r="G161" s="37">
        <v>2707</v>
      </c>
      <c r="H161" s="24"/>
      <c r="I161" s="36"/>
      <c r="J161" s="8">
        <f t="shared" si="54"/>
        <v>44692</v>
      </c>
      <c r="K161" s="37">
        <f t="shared" si="55"/>
        <v>1476.4</v>
      </c>
      <c r="L161" s="37">
        <v>792</v>
      </c>
      <c r="M161" s="37">
        <f t="shared" si="66"/>
        <v>173.6</v>
      </c>
      <c r="N161" s="74">
        <f t="shared" si="67"/>
        <v>227007</v>
      </c>
      <c r="O161" s="75">
        <f t="shared" si="68"/>
        <v>166364</v>
      </c>
      <c r="P161" s="75">
        <f t="shared" si="69"/>
        <v>404188</v>
      </c>
      <c r="Q161" s="76">
        <f t="shared" si="70"/>
        <v>8140510</v>
      </c>
      <c r="R161" s="76">
        <f t="shared" si="70"/>
        <v>3810739</v>
      </c>
      <c r="S161" s="76">
        <f t="shared" si="70"/>
        <v>12372600</v>
      </c>
      <c r="T161" s="80">
        <f>N161/'2015'!M161-1</f>
        <v>-0.12771811177928494</v>
      </c>
      <c r="U161" s="80">
        <f>O161/'2015'!N161-1</f>
        <v>0.14722716427379434</v>
      </c>
      <c r="V161" s="80">
        <f>P161/'2015'!O161-1</f>
        <v>-2.8814455283771467E-2</v>
      </c>
      <c r="W161" s="81">
        <f>Q161/'2015'!P161-1</f>
        <v>-4.07528416505889E-2</v>
      </c>
      <c r="X161" s="81">
        <f>R161/'2015'!Q161-1</f>
        <v>7.0441023255526591E-2</v>
      </c>
      <c r="Y161" s="81">
        <f>S161/'2015'!R161-1</f>
        <v>8.1270393579067068E-3</v>
      </c>
      <c r="Z161" s="50">
        <f>Z$156+0.261*5</f>
        <v>74.472700000000003</v>
      </c>
      <c r="AA161" s="97">
        <f t="shared" si="56"/>
        <v>739.57830000000001</v>
      </c>
      <c r="AB161" s="105"/>
      <c r="AC161" s="105"/>
      <c r="AD161" s="8">
        <f t="shared" si="57"/>
        <v>8561861</v>
      </c>
      <c r="AE161" s="37">
        <f t="shared" si="62"/>
        <v>281908.00000000012</v>
      </c>
      <c r="AF161" s="37">
        <f t="shared" si="62"/>
        <v>120057</v>
      </c>
      <c r="AG161" s="37">
        <f t="shared" si="58"/>
        <v>19385.999999999884</v>
      </c>
    </row>
    <row r="162" spans="1:33" ht="15" customHeight="1" x14ac:dyDescent="0.15">
      <c r="A162" s="102">
        <v>42527</v>
      </c>
      <c r="B162" s="20" t="s">
        <v>34</v>
      </c>
      <c r="C162" s="8">
        <v>47585</v>
      </c>
      <c r="D162" s="37">
        <v>34441</v>
      </c>
      <c r="E162" s="37">
        <v>84481</v>
      </c>
      <c r="F162" s="8">
        <v>4279</v>
      </c>
      <c r="G162" s="37">
        <v>2690</v>
      </c>
      <c r="H162" s="24"/>
      <c r="I162" s="36"/>
      <c r="J162" s="8">
        <f t="shared" si="54"/>
        <v>50040</v>
      </c>
      <c r="K162" s="37">
        <f t="shared" si="55"/>
        <v>1490.4</v>
      </c>
      <c r="L162" s="37">
        <v>791</v>
      </c>
      <c r="M162" s="37">
        <f t="shared" si="66"/>
        <v>173.6</v>
      </c>
      <c r="N162" s="74">
        <f t="shared" si="67"/>
        <v>274592</v>
      </c>
      <c r="O162" s="75">
        <f t="shared" si="68"/>
        <v>200805</v>
      </c>
      <c r="P162" s="75">
        <f t="shared" si="69"/>
        <v>488669</v>
      </c>
      <c r="Q162" s="76">
        <f t="shared" si="70"/>
        <v>8188095</v>
      </c>
      <c r="R162" s="76">
        <f t="shared" si="70"/>
        <v>3845180</v>
      </c>
      <c r="S162" s="76">
        <f t="shared" si="70"/>
        <v>12457081</v>
      </c>
      <c r="T162" s="80">
        <f>N162/'2015'!M162-1</f>
        <v>-0.11717539336029681</v>
      </c>
      <c r="U162" s="80">
        <f>O162/'2015'!N162-1</f>
        <v>0.15555926409741438</v>
      </c>
      <c r="V162" s="80">
        <f>P162/'2015'!O162-1</f>
        <v>-1.9459554906324006E-2</v>
      </c>
      <c r="W162" s="81">
        <f>Q162/'2015'!P162-1</f>
        <v>-4.0886146260120215E-2</v>
      </c>
      <c r="X162" s="81">
        <f>R162/'2015'!Q162-1</f>
        <v>7.1459820047760525E-2</v>
      </c>
      <c r="Y162" s="81">
        <f>S162/'2015'!R162-1</f>
        <v>8.2586506160033935E-3</v>
      </c>
      <c r="Z162" s="50">
        <f>Z$156+0.261*6</f>
        <v>74.733699999999999</v>
      </c>
      <c r="AA162" s="97">
        <f t="shared" si="56"/>
        <v>744.07579999999996</v>
      </c>
      <c r="AB162" s="105"/>
      <c r="AC162" s="105"/>
      <c r="AD162" s="8">
        <f t="shared" si="57"/>
        <v>8611901</v>
      </c>
      <c r="AE162" s="37">
        <f t="shared" si="62"/>
        <v>283398.40000000014</v>
      </c>
      <c r="AF162" s="37">
        <f t="shared" si="62"/>
        <v>120848</v>
      </c>
      <c r="AG162" s="37">
        <f t="shared" si="58"/>
        <v>19559.59999999986</v>
      </c>
    </row>
    <row r="163" spans="1:33" ht="15" customHeight="1" x14ac:dyDescent="0.15">
      <c r="A163" s="102">
        <v>42528</v>
      </c>
      <c r="B163" s="20" t="s">
        <v>35</v>
      </c>
      <c r="C163" s="8">
        <v>49260</v>
      </c>
      <c r="D163" s="37">
        <v>35863</v>
      </c>
      <c r="E163" s="37">
        <v>88489</v>
      </c>
      <c r="F163" s="8">
        <v>4448</v>
      </c>
      <c r="G163" s="37">
        <v>2905</v>
      </c>
      <c r="H163" s="24"/>
      <c r="I163" s="36"/>
      <c r="J163" s="8">
        <f t="shared" si="54"/>
        <v>52626</v>
      </c>
      <c r="K163" s="37">
        <f t="shared" si="55"/>
        <v>2402.4</v>
      </c>
      <c r="L163" s="37">
        <v>790</v>
      </c>
      <c r="M163" s="37">
        <f t="shared" si="66"/>
        <v>173.6</v>
      </c>
      <c r="N163" s="74">
        <f t="shared" si="67"/>
        <v>323852</v>
      </c>
      <c r="O163" s="75">
        <f t="shared" si="68"/>
        <v>236668</v>
      </c>
      <c r="P163" s="75">
        <f t="shared" si="69"/>
        <v>577158</v>
      </c>
      <c r="Q163" s="76">
        <f t="shared" si="70"/>
        <v>8237355</v>
      </c>
      <c r="R163" s="76">
        <f t="shared" si="70"/>
        <v>3881043</v>
      </c>
      <c r="S163" s="76">
        <f t="shared" si="70"/>
        <v>12545570</v>
      </c>
      <c r="T163" s="80">
        <f>N163/'2015'!M163-1</f>
        <v>-9.1668419650244748E-2</v>
      </c>
      <c r="U163" s="80">
        <f>O163/'2015'!N163-1</f>
        <v>0.1668638819863526</v>
      </c>
      <c r="V163" s="80">
        <f>P163/'2015'!O163-1</f>
        <v>1.2976874100032454E-3</v>
      </c>
      <c r="W163" s="81">
        <f>Q163/'2015'!P163-1</f>
        <v>-4.0230963818488119E-2</v>
      </c>
      <c r="X163" s="81">
        <f>R163/'2015'!Q163-1</f>
        <v>7.2768915531371325E-2</v>
      </c>
      <c r="Y163" s="81">
        <f>S163/'2015'!R163-1</f>
        <v>9.0469881657717632E-3</v>
      </c>
      <c r="Z163" s="50">
        <f>Z$156+0.261*7</f>
        <v>74.994699999999995</v>
      </c>
      <c r="AA163" s="97">
        <f t="shared" si="56"/>
        <v>748.74080000000004</v>
      </c>
      <c r="AB163" s="105"/>
      <c r="AC163" s="105"/>
      <c r="AD163" s="8">
        <f t="shared" si="57"/>
        <v>8664527</v>
      </c>
      <c r="AE163" s="37">
        <f t="shared" si="62"/>
        <v>285800.80000000016</v>
      </c>
      <c r="AF163" s="37">
        <f t="shared" si="62"/>
        <v>121638</v>
      </c>
      <c r="AG163" s="37">
        <f t="shared" si="58"/>
        <v>19733.199999999837</v>
      </c>
    </row>
    <row r="164" spans="1:33" ht="15" customHeight="1" x14ac:dyDescent="0.15">
      <c r="A164" s="102">
        <v>42529</v>
      </c>
      <c r="B164" s="14" t="s">
        <v>36</v>
      </c>
      <c r="C164" s="32">
        <v>49838</v>
      </c>
      <c r="D164" s="33">
        <v>35060</v>
      </c>
      <c r="E164" s="33">
        <v>87392</v>
      </c>
      <c r="F164" s="32">
        <v>4478</v>
      </c>
      <c r="G164" s="33">
        <v>2965</v>
      </c>
      <c r="H164" s="19"/>
      <c r="I164" s="19"/>
      <c r="J164" s="32">
        <f t="shared" si="54"/>
        <v>52332</v>
      </c>
      <c r="K164" s="33">
        <f t="shared" si="55"/>
        <v>1530.4</v>
      </c>
      <c r="L164" s="33">
        <v>790</v>
      </c>
      <c r="M164" s="33">
        <f t="shared" si="66"/>
        <v>173.6</v>
      </c>
      <c r="N164" s="77">
        <f t="shared" si="67"/>
        <v>373690</v>
      </c>
      <c r="O164" s="78">
        <f t="shared" si="68"/>
        <v>271728</v>
      </c>
      <c r="P164" s="78">
        <f t="shared" si="69"/>
        <v>664550</v>
      </c>
      <c r="Q164" s="77">
        <f t="shared" si="70"/>
        <v>8287193</v>
      </c>
      <c r="R164" s="77">
        <f t="shared" si="70"/>
        <v>3916103</v>
      </c>
      <c r="S164" s="77">
        <f t="shared" si="70"/>
        <v>12632962</v>
      </c>
      <c r="T164" s="82">
        <f>N164/'2015'!M164-1</f>
        <v>-7.8457725552089408E-2</v>
      </c>
      <c r="U164" s="82">
        <f>O164/'2015'!N164-1</f>
        <v>0.16601942164187111</v>
      </c>
      <c r="V164" s="82">
        <f>P164/'2015'!O164-1</f>
        <v>8.7769897748524173E-3</v>
      </c>
      <c r="W164" s="82">
        <f>Q164/'2015'!P164-1</f>
        <v>-3.9902159654284786E-2</v>
      </c>
      <c r="X164" s="82">
        <f>R164/'2015'!Q164-1</f>
        <v>7.349432400693412E-2</v>
      </c>
      <c r="Y164" s="82">
        <f>S164/'2015'!R164-1</f>
        <v>9.3896773634754016E-3</v>
      </c>
      <c r="Z164" s="49">
        <f>Z$156+0.261*8</f>
        <v>75.25569999999999</v>
      </c>
      <c r="AA164" s="49">
        <f t="shared" si="56"/>
        <v>753.46360000000004</v>
      </c>
      <c r="AB164" s="33">
        <v>4230.1000000000004</v>
      </c>
      <c r="AC164" s="33">
        <f t="shared" si="64"/>
        <v>1781.1957164133235</v>
      </c>
      <c r="AD164" s="32">
        <f t="shared" si="57"/>
        <v>8716859</v>
      </c>
      <c r="AE164" s="33">
        <f t="shared" si="62"/>
        <v>287331.20000000019</v>
      </c>
      <c r="AF164" s="33">
        <f t="shared" si="62"/>
        <v>122428</v>
      </c>
      <c r="AG164" s="33">
        <f t="shared" si="58"/>
        <v>19906.799999999814</v>
      </c>
    </row>
    <row r="165" spans="1:33" ht="15" customHeight="1" x14ac:dyDescent="0.15">
      <c r="A165" s="13">
        <v>42530</v>
      </c>
      <c r="B165" s="20" t="s">
        <v>37</v>
      </c>
      <c r="C165" s="8">
        <v>36703</v>
      </c>
      <c r="D165" s="37">
        <v>26740</v>
      </c>
      <c r="E165" s="37">
        <v>65052</v>
      </c>
      <c r="F165" s="8">
        <v>3126</v>
      </c>
      <c r="G165" s="37">
        <v>2485</v>
      </c>
      <c r="H165" s="24"/>
      <c r="I165" s="36"/>
      <c r="J165" s="8">
        <f t="shared" si="54"/>
        <v>38312</v>
      </c>
      <c r="K165" s="37">
        <f t="shared" si="55"/>
        <v>646.40000000000009</v>
      </c>
      <c r="L165" s="37">
        <v>789</v>
      </c>
      <c r="M165" s="37">
        <f t="shared" si="66"/>
        <v>173.6</v>
      </c>
      <c r="N165" s="74">
        <f t="shared" si="67"/>
        <v>410393</v>
      </c>
      <c r="O165" s="75">
        <f t="shared" si="68"/>
        <v>298468</v>
      </c>
      <c r="P165" s="75">
        <f t="shared" si="69"/>
        <v>729602</v>
      </c>
      <c r="Q165" s="76">
        <f t="shared" si="70"/>
        <v>8323896</v>
      </c>
      <c r="R165" s="76">
        <f t="shared" si="70"/>
        <v>3942843</v>
      </c>
      <c r="S165" s="76">
        <f t="shared" si="70"/>
        <v>12698014</v>
      </c>
      <c r="T165" s="80">
        <f>N165/'2015'!M165-1</f>
        <v>-9.6544178510417189E-2</v>
      </c>
      <c r="U165" s="80">
        <f>O165/'2015'!N165-1</f>
        <v>0.13246520663540196</v>
      </c>
      <c r="V165" s="80">
        <f>P165/'2015'!O165-1</f>
        <v>-1.5126726493234433E-2</v>
      </c>
      <c r="W165" s="81">
        <f>Q165/'2015'!P165-1</f>
        <v>-4.106513603819939E-2</v>
      </c>
      <c r="X165" s="81">
        <f>R165/'2015'!Q165-1</f>
        <v>7.1857840382785199E-2</v>
      </c>
      <c r="Y165" s="81">
        <f>S165/'2015'!R165-1</f>
        <v>7.980004899390325E-3</v>
      </c>
      <c r="Z165" s="50">
        <f>Z$156+0.261*9</f>
        <v>75.5167</v>
      </c>
      <c r="AA165" s="97">
        <f t="shared" si="56"/>
        <v>756.87289999999996</v>
      </c>
      <c r="AB165" s="105">
        <v>4230.1000000000004</v>
      </c>
      <c r="AC165" s="105">
        <f t="shared" si="64"/>
        <v>1789.255336753268</v>
      </c>
      <c r="AD165" s="8">
        <f t="shared" si="57"/>
        <v>8755171</v>
      </c>
      <c r="AE165" s="37">
        <f t="shared" si="62"/>
        <v>287977.60000000021</v>
      </c>
      <c r="AF165" s="37">
        <f t="shared" si="62"/>
        <v>123217</v>
      </c>
      <c r="AG165" s="37">
        <f t="shared" si="58"/>
        <v>20080.39999999979</v>
      </c>
    </row>
    <row r="166" spans="1:33" ht="15" customHeight="1" x14ac:dyDescent="0.15">
      <c r="A166" s="13">
        <v>42531</v>
      </c>
      <c r="B166" s="20" t="s">
        <v>38</v>
      </c>
      <c r="C166" s="70">
        <v>45694</v>
      </c>
      <c r="D166" s="71">
        <v>28361</v>
      </c>
      <c r="E166" s="71">
        <v>76898</v>
      </c>
      <c r="F166" s="70">
        <v>3830</v>
      </c>
      <c r="G166" s="71">
        <v>2290</v>
      </c>
      <c r="H166" s="24"/>
      <c r="I166" s="24"/>
      <c r="J166" s="70">
        <f t="shared" si="54"/>
        <v>48537</v>
      </c>
      <c r="K166" s="71">
        <f t="shared" si="55"/>
        <v>1878.4</v>
      </c>
      <c r="L166" s="71">
        <v>791</v>
      </c>
      <c r="M166" s="71">
        <f t="shared" si="66"/>
        <v>173.6</v>
      </c>
      <c r="N166" s="74">
        <f t="shared" si="67"/>
        <v>456087</v>
      </c>
      <c r="O166" s="75">
        <f t="shared" si="68"/>
        <v>326829</v>
      </c>
      <c r="P166" s="75">
        <f t="shared" si="69"/>
        <v>806500</v>
      </c>
      <c r="Q166" s="76">
        <f t="shared" si="70"/>
        <v>8369590</v>
      </c>
      <c r="R166" s="76">
        <f t="shared" si="70"/>
        <v>3971204</v>
      </c>
      <c r="S166" s="76">
        <f t="shared" si="70"/>
        <v>12774912</v>
      </c>
      <c r="T166" s="80">
        <f>N166/'2015'!M166-1</f>
        <v>-9.3821278421960308E-2</v>
      </c>
      <c r="U166" s="80">
        <f>O166/'2015'!N166-1</f>
        <v>0.11053384483127693</v>
      </c>
      <c r="V166" s="80">
        <f>P166/'2015'!O166-1</f>
        <v>-2.026645351033729E-2</v>
      </c>
      <c r="W166" s="81">
        <f>Q166/'2015'!P166-1</f>
        <v>-4.1219939569840602E-2</v>
      </c>
      <c r="X166" s="81">
        <f>R166/'2015'!Q166-1</f>
        <v>7.0620092007669388E-2</v>
      </c>
      <c r="Y166" s="81">
        <f>S166/'2015'!R166-1</f>
        <v>7.4962178213151542E-3</v>
      </c>
      <c r="Z166" s="97">
        <v>75.775700000000001</v>
      </c>
      <c r="AA166" s="97">
        <f t="shared" si="56"/>
        <v>761.18329999999992</v>
      </c>
      <c r="AB166" s="106">
        <v>4230.1000000000004</v>
      </c>
      <c r="AC166" s="105">
        <f t="shared" si="64"/>
        <v>1799.4451667809267</v>
      </c>
      <c r="AD166" s="70">
        <f t="shared" si="57"/>
        <v>8803708</v>
      </c>
      <c r="AE166" s="71">
        <v>289856</v>
      </c>
      <c r="AF166" s="71">
        <f t="shared" si="62"/>
        <v>124008</v>
      </c>
      <c r="AG166" s="71">
        <f t="shared" si="58"/>
        <v>20254</v>
      </c>
    </row>
    <row r="167" spans="1:33" ht="15" customHeight="1" x14ac:dyDescent="0.15">
      <c r="A167" s="13">
        <v>42532</v>
      </c>
      <c r="B167" s="20" t="s">
        <v>39</v>
      </c>
      <c r="C167" s="8">
        <v>53883</v>
      </c>
      <c r="D167" s="37">
        <v>30297</v>
      </c>
      <c r="E167" s="37">
        <v>87341</v>
      </c>
      <c r="F167" s="8">
        <v>4375</v>
      </c>
      <c r="G167" s="37">
        <v>2825</v>
      </c>
      <c r="H167" s="24"/>
      <c r="I167" s="36"/>
      <c r="J167" s="8">
        <f t="shared" si="54"/>
        <v>57044</v>
      </c>
      <c r="K167" s="37">
        <f t="shared" si="55"/>
        <v>2228.1999999999998</v>
      </c>
      <c r="L167" s="37">
        <v>790</v>
      </c>
      <c r="M167" s="37">
        <f>(AG$176-AG$166)/10</f>
        <v>142.80000000000001</v>
      </c>
      <c r="N167" s="74">
        <f t="shared" si="67"/>
        <v>509970</v>
      </c>
      <c r="O167" s="75">
        <f t="shared" si="68"/>
        <v>357126</v>
      </c>
      <c r="P167" s="75">
        <f t="shared" si="69"/>
        <v>893841</v>
      </c>
      <c r="Q167" s="76">
        <f t="shared" si="70"/>
        <v>8423473</v>
      </c>
      <c r="R167" s="76">
        <f t="shared" si="70"/>
        <v>4001501</v>
      </c>
      <c r="S167" s="76">
        <f t="shared" si="70"/>
        <v>12862253</v>
      </c>
      <c r="T167" s="80">
        <f>N167/'2015'!M167-1</f>
        <v>-7.8186994441682867E-2</v>
      </c>
      <c r="U167" s="80">
        <f>O167/'2015'!N167-1</f>
        <v>9.7117473034871171E-2</v>
      </c>
      <c r="V167" s="80">
        <f>P167/'2015'!O167-1</f>
        <v>-1.4957891326340622E-2</v>
      </c>
      <c r="W167" s="81">
        <f>Q167/'2015'!P167-1</f>
        <v>-4.053383098693264E-2</v>
      </c>
      <c r="X167" s="81">
        <f>R167/'2015'!Q167-1</f>
        <v>6.9785615176702454E-2</v>
      </c>
      <c r="Y167" s="81">
        <f>S167/'2015'!R167-1</f>
        <v>7.690402106158345E-3</v>
      </c>
      <c r="Z167" s="50">
        <f>Z$166+0.368*1</f>
        <v>76.143699999999995</v>
      </c>
      <c r="AA167" s="97">
        <f t="shared" si="56"/>
        <v>766.20360000000005</v>
      </c>
      <c r="AB167" s="105"/>
      <c r="AC167" s="105"/>
      <c r="AD167" s="8">
        <f t="shared" si="57"/>
        <v>8860752</v>
      </c>
      <c r="AE167" s="37">
        <f t="shared" si="62"/>
        <v>292084.2</v>
      </c>
      <c r="AF167" s="37">
        <f t="shared" si="62"/>
        <v>124798</v>
      </c>
      <c r="AG167" s="37">
        <f t="shared" si="58"/>
        <v>20396.799999999988</v>
      </c>
    </row>
    <row r="168" spans="1:33" ht="15" customHeight="1" x14ac:dyDescent="0.15">
      <c r="A168" s="102">
        <v>42533</v>
      </c>
      <c r="B168" s="20" t="s">
        <v>1</v>
      </c>
      <c r="C168" s="8">
        <v>53254</v>
      </c>
      <c r="D168" s="37">
        <v>31065</v>
      </c>
      <c r="E168" s="37">
        <v>86956</v>
      </c>
      <c r="F168" s="8">
        <v>4470</v>
      </c>
      <c r="G168" s="37">
        <v>2985</v>
      </c>
      <c r="H168" s="24"/>
      <c r="I168" s="36"/>
      <c r="J168" s="8">
        <f t="shared" si="54"/>
        <v>55891</v>
      </c>
      <c r="K168" s="37">
        <f t="shared" si="55"/>
        <v>1706.1999999999998</v>
      </c>
      <c r="L168" s="37">
        <v>788</v>
      </c>
      <c r="M168" s="37">
        <f t="shared" ref="M168:M176" si="71">(AG$176-AG$166)/10</f>
        <v>142.80000000000001</v>
      </c>
      <c r="N168" s="74">
        <f t="shared" si="67"/>
        <v>563224</v>
      </c>
      <c r="O168" s="75">
        <f t="shared" si="68"/>
        <v>388191</v>
      </c>
      <c r="P168" s="75">
        <f t="shared" si="69"/>
        <v>980797</v>
      </c>
      <c r="Q168" s="76">
        <f t="shared" si="70"/>
        <v>8476727</v>
      </c>
      <c r="R168" s="76">
        <f t="shared" si="70"/>
        <v>4032566</v>
      </c>
      <c r="S168" s="76">
        <f t="shared" si="70"/>
        <v>12949209</v>
      </c>
      <c r="T168" s="80">
        <f>N168/'2015'!M168-1</f>
        <v>-6.4904360992633414E-2</v>
      </c>
      <c r="U168" s="80">
        <f>O168/'2015'!N168-1</f>
        <v>8.0643724493488778E-2</v>
      </c>
      <c r="V168" s="80">
        <f>P168/'2015'!O168-1</f>
        <v>-1.286758415510747E-2</v>
      </c>
      <c r="W168" s="81">
        <f>Q168/'2015'!P168-1</f>
        <v>-3.9837003769075507E-2</v>
      </c>
      <c r="X168" s="81">
        <f>R168/'2015'!Q168-1</f>
        <v>6.8461776720182055E-2</v>
      </c>
      <c r="Y168" s="81">
        <f>S168/'2015'!R168-1</f>
        <v>7.700155483235438E-3</v>
      </c>
      <c r="Z168" s="50">
        <f>Z$166+0.368*2</f>
        <v>76.511700000000005</v>
      </c>
      <c r="AA168" s="97">
        <f t="shared" si="56"/>
        <v>771.16099999999994</v>
      </c>
      <c r="AB168" s="105"/>
      <c r="AC168" s="105"/>
      <c r="AD168" s="8">
        <f t="shared" si="57"/>
        <v>8916643</v>
      </c>
      <c r="AE168" s="37">
        <f t="shared" si="62"/>
        <v>293790.40000000002</v>
      </c>
      <c r="AF168" s="37">
        <f t="shared" si="62"/>
        <v>125586</v>
      </c>
      <c r="AG168" s="37">
        <f t="shared" si="58"/>
        <v>20539.599999999977</v>
      </c>
    </row>
    <row r="169" spans="1:33" ht="15" customHeight="1" x14ac:dyDescent="0.15">
      <c r="A169" s="102">
        <v>42534</v>
      </c>
      <c r="B169" s="20" t="s">
        <v>34</v>
      </c>
      <c r="C169" s="8">
        <v>51911</v>
      </c>
      <c r="D169" s="37">
        <v>32870</v>
      </c>
      <c r="E169" s="37">
        <v>87435</v>
      </c>
      <c r="F169" s="8">
        <v>4385</v>
      </c>
      <c r="G169" s="37">
        <v>2864</v>
      </c>
      <c r="H169" s="24"/>
      <c r="I169" s="36"/>
      <c r="J169" s="8">
        <f t="shared" si="54"/>
        <v>54565</v>
      </c>
      <c r="K169" s="37">
        <f t="shared" si="55"/>
        <v>1723.1999999999998</v>
      </c>
      <c r="L169" s="37">
        <v>788</v>
      </c>
      <c r="M169" s="37">
        <f t="shared" si="71"/>
        <v>142.80000000000001</v>
      </c>
      <c r="N169" s="74">
        <f t="shared" si="67"/>
        <v>615135</v>
      </c>
      <c r="O169" s="75">
        <f t="shared" si="68"/>
        <v>421061</v>
      </c>
      <c r="P169" s="75">
        <f t="shared" si="69"/>
        <v>1068232</v>
      </c>
      <c r="Q169" s="76">
        <f t="shared" si="70"/>
        <v>8528638</v>
      </c>
      <c r="R169" s="76">
        <f t="shared" si="70"/>
        <v>4065436</v>
      </c>
      <c r="S169" s="76">
        <f t="shared" si="70"/>
        <v>13036644</v>
      </c>
      <c r="T169" s="80">
        <f>N169/'2015'!M169-1</f>
        <v>-5.3457890428327826E-2</v>
      </c>
      <c r="U169" s="80">
        <f>O169/'2015'!N169-1</f>
        <v>7.3762674174266074E-2</v>
      </c>
      <c r="V169" s="80">
        <f>P169/'2015'!O169-1</f>
        <v>-8.8819406107784049E-3</v>
      </c>
      <c r="W169" s="81">
        <f>Q169/'2015'!P169-1</f>
        <v>-3.9133238635851497E-2</v>
      </c>
      <c r="X169" s="81">
        <f>R169/'2015'!Q169-1</f>
        <v>6.7858337056646567E-2</v>
      </c>
      <c r="Y169" s="81">
        <f>S169/'2015'!R169-1</f>
        <v>7.8983442940858684E-3</v>
      </c>
      <c r="Z169" s="50">
        <f>Z$166+0.368*3</f>
        <v>76.8797</v>
      </c>
      <c r="AA169" s="97">
        <f t="shared" si="56"/>
        <v>775.98410000000001</v>
      </c>
      <c r="AB169" s="105"/>
      <c r="AC169" s="105"/>
      <c r="AD169" s="8">
        <f t="shared" si="57"/>
        <v>8971208</v>
      </c>
      <c r="AE169" s="37">
        <f t="shared" si="62"/>
        <v>295513.60000000003</v>
      </c>
      <c r="AF169" s="37">
        <f t="shared" si="62"/>
        <v>126374</v>
      </c>
      <c r="AG169" s="37">
        <f t="shared" si="58"/>
        <v>20682.399999999965</v>
      </c>
    </row>
    <row r="170" spans="1:33" ht="15" customHeight="1" x14ac:dyDescent="0.15">
      <c r="A170" s="102">
        <v>42535</v>
      </c>
      <c r="B170" s="20" t="s">
        <v>35</v>
      </c>
      <c r="C170" s="8">
        <v>55584</v>
      </c>
      <c r="D170" s="37">
        <v>33464</v>
      </c>
      <c r="E170" s="37">
        <v>91816</v>
      </c>
      <c r="F170" s="8">
        <v>4617</v>
      </c>
      <c r="G170" s="37">
        <v>2966</v>
      </c>
      <c r="H170" s="24"/>
      <c r="I170" s="36"/>
      <c r="J170" s="8">
        <f t="shared" si="54"/>
        <v>58352</v>
      </c>
      <c r="K170" s="37">
        <f t="shared" si="55"/>
        <v>1838.1999999999998</v>
      </c>
      <c r="L170" s="37">
        <v>787</v>
      </c>
      <c r="M170" s="37">
        <f t="shared" si="71"/>
        <v>142.80000000000001</v>
      </c>
      <c r="N170" s="74">
        <f t="shared" si="67"/>
        <v>670719</v>
      </c>
      <c r="O170" s="75">
        <f t="shared" si="68"/>
        <v>454525</v>
      </c>
      <c r="P170" s="75">
        <f t="shared" si="69"/>
        <v>1160048</v>
      </c>
      <c r="Q170" s="76">
        <f t="shared" si="70"/>
        <v>8584222</v>
      </c>
      <c r="R170" s="76">
        <f t="shared" si="70"/>
        <v>4098900</v>
      </c>
      <c r="S170" s="76">
        <f t="shared" si="70"/>
        <v>13128460</v>
      </c>
      <c r="T170" s="80">
        <f>N170/'2015'!M170-1</f>
        <v>-3.1465295035876806E-2</v>
      </c>
      <c r="U170" s="80">
        <f>O170/'2015'!N170-1</f>
        <v>7.1214777944323515E-2</v>
      </c>
      <c r="V170" s="80">
        <f>P170/'2015'!O170-1</f>
        <v>3.5329819959790676E-3</v>
      </c>
      <c r="W170" s="81">
        <f>Q170/'2015'!P170-1</f>
        <v>-3.7494041957402136E-2</v>
      </c>
      <c r="X170" s="81">
        <f>R170/'2015'!Q170-1</f>
        <v>6.7626225332192424E-2</v>
      </c>
      <c r="Y170" s="81">
        <f>S170/'2015'!R170-1</f>
        <v>8.900421605389619E-3</v>
      </c>
      <c r="Z170" s="50">
        <f>Z$166+0.368*4</f>
        <v>77.247699999999995</v>
      </c>
      <c r="AA170" s="97">
        <f t="shared" si="56"/>
        <v>781.17449999999997</v>
      </c>
      <c r="AB170" s="105"/>
      <c r="AC170" s="105"/>
      <c r="AD170" s="8">
        <f t="shared" si="57"/>
        <v>9029560</v>
      </c>
      <c r="AE170" s="37">
        <f t="shared" si="62"/>
        <v>297351.80000000005</v>
      </c>
      <c r="AF170" s="37">
        <f t="shared" si="62"/>
        <v>127161</v>
      </c>
      <c r="AG170" s="37">
        <f t="shared" si="58"/>
        <v>20825.199999999953</v>
      </c>
    </row>
    <row r="171" spans="1:33" ht="15" customHeight="1" x14ac:dyDescent="0.15">
      <c r="A171" s="102">
        <v>42536</v>
      </c>
      <c r="B171" s="14" t="s">
        <v>36</v>
      </c>
      <c r="C171" s="32">
        <v>55932</v>
      </c>
      <c r="D171" s="33">
        <v>33925</v>
      </c>
      <c r="E171" s="33">
        <v>92826</v>
      </c>
      <c r="F171" s="32">
        <v>4828</v>
      </c>
      <c r="G171" s="33">
        <v>3111</v>
      </c>
      <c r="H171" s="19"/>
      <c r="I171" s="19"/>
      <c r="J171" s="32">
        <f t="shared" si="54"/>
        <v>58901</v>
      </c>
      <c r="K171" s="33">
        <f t="shared" si="55"/>
        <v>2038.1999999999998</v>
      </c>
      <c r="L171" s="33">
        <v>788</v>
      </c>
      <c r="M171" s="33">
        <f t="shared" si="71"/>
        <v>142.80000000000001</v>
      </c>
      <c r="N171" s="77">
        <f t="shared" si="67"/>
        <v>726651</v>
      </c>
      <c r="O171" s="78">
        <f t="shared" si="68"/>
        <v>488450</v>
      </c>
      <c r="P171" s="78">
        <f t="shared" si="69"/>
        <v>1252874</v>
      </c>
      <c r="Q171" s="77">
        <f t="shared" si="70"/>
        <v>8640154</v>
      </c>
      <c r="R171" s="77">
        <f t="shared" si="70"/>
        <v>4132825</v>
      </c>
      <c r="S171" s="77">
        <f t="shared" si="70"/>
        <v>13221286</v>
      </c>
      <c r="T171" s="82">
        <f>N171/'2015'!M171-1</f>
        <v>-2.4399052662105403E-2</v>
      </c>
      <c r="U171" s="82">
        <f>O171/'2015'!N171-1</f>
        <v>7.6542633027785856E-2</v>
      </c>
      <c r="V171" s="82">
        <f>P171/'2015'!O171-1</f>
        <v>9.4176130069247854E-3</v>
      </c>
      <c r="W171" s="82">
        <f>Q171/'2015'!P171-1</f>
        <v>-3.6872200123688414E-2</v>
      </c>
      <c r="X171" s="82">
        <f>R171/'2015'!Q171-1</f>
        <v>6.8278362789562674E-2</v>
      </c>
      <c r="Y171" s="82">
        <f>S171/'2015'!R171-1</f>
        <v>9.4231402481457227E-3</v>
      </c>
      <c r="Z171" s="49">
        <f>Z$166+0.368*5</f>
        <v>77.615700000000004</v>
      </c>
      <c r="AA171" s="49">
        <f t="shared" si="56"/>
        <v>786.39969999999994</v>
      </c>
      <c r="AB171" s="33">
        <v>4230.1000000000004</v>
      </c>
      <c r="AC171" s="33">
        <f t="shared" si="64"/>
        <v>1859.0569962885033</v>
      </c>
      <c r="AD171" s="32">
        <f t="shared" si="57"/>
        <v>9088461</v>
      </c>
      <c r="AE171" s="33">
        <f t="shared" si="62"/>
        <v>299390.00000000006</v>
      </c>
      <c r="AF171" s="33">
        <f t="shared" si="62"/>
        <v>127949</v>
      </c>
      <c r="AG171" s="33">
        <f t="shared" si="58"/>
        <v>20967.999999999942</v>
      </c>
    </row>
    <row r="172" spans="1:33" ht="15" customHeight="1" x14ac:dyDescent="0.15">
      <c r="A172" s="102">
        <v>42537</v>
      </c>
      <c r="B172" s="20" t="s">
        <v>37</v>
      </c>
      <c r="C172" s="8">
        <v>50057</v>
      </c>
      <c r="D172" s="37">
        <v>33966</v>
      </c>
      <c r="E172" s="37">
        <v>85701</v>
      </c>
      <c r="F172" s="8">
        <v>4382</v>
      </c>
      <c r="G172" s="37">
        <v>2900</v>
      </c>
      <c r="H172" s="24"/>
      <c r="I172" s="36"/>
      <c r="J172" s="8">
        <f t="shared" si="54"/>
        <v>51735</v>
      </c>
      <c r="K172" s="37">
        <f t="shared" si="55"/>
        <v>749.2</v>
      </c>
      <c r="L172" s="37">
        <v>786</v>
      </c>
      <c r="M172" s="37">
        <f t="shared" si="71"/>
        <v>142.80000000000001</v>
      </c>
      <c r="N172" s="74">
        <f t="shared" si="67"/>
        <v>776708</v>
      </c>
      <c r="O172" s="75">
        <f t="shared" si="68"/>
        <v>522416</v>
      </c>
      <c r="P172" s="75">
        <f t="shared" si="69"/>
        <v>1338575</v>
      </c>
      <c r="Q172" s="76">
        <f t="shared" si="70"/>
        <v>8690211</v>
      </c>
      <c r="R172" s="76">
        <f t="shared" si="70"/>
        <v>4166791</v>
      </c>
      <c r="S172" s="76">
        <f t="shared" si="70"/>
        <v>13306987</v>
      </c>
      <c r="T172" s="80">
        <f>N172/'2015'!M172-1</f>
        <v>-3.0809871237673092E-2</v>
      </c>
      <c r="U172" s="80">
        <f>O172/'2015'!N172-1</f>
        <v>8.2070369702957668E-2</v>
      </c>
      <c r="V172" s="80">
        <f>P172/'2015'!O172-1</f>
        <v>6.4609896976048908E-3</v>
      </c>
      <c r="W172" s="81">
        <f>Q172/'2015'!P172-1</f>
        <v>-3.7363139125785261E-2</v>
      </c>
      <c r="X172" s="81">
        <f>R172/'2015'!Q172-1</f>
        <v>6.9024693733564346E-2</v>
      </c>
      <c r="Y172" s="81">
        <f>S172/'2015'!R172-1</f>
        <v>9.1249035009624002E-3</v>
      </c>
      <c r="Z172" s="50">
        <f>Z$166+0.368*6</f>
        <v>77.983699999999999</v>
      </c>
      <c r="AA172" s="97">
        <f t="shared" si="56"/>
        <v>791.03740000000005</v>
      </c>
      <c r="AB172" s="105">
        <v>4230.1000000000004</v>
      </c>
      <c r="AC172" s="105">
        <f t="shared" si="64"/>
        <v>1870.0205668896717</v>
      </c>
      <c r="AD172" s="8">
        <f t="shared" si="57"/>
        <v>9140196</v>
      </c>
      <c r="AE172" s="37">
        <f t="shared" si="62"/>
        <v>300139.20000000007</v>
      </c>
      <c r="AF172" s="37">
        <f t="shared" si="62"/>
        <v>128735</v>
      </c>
      <c r="AG172" s="37">
        <f t="shared" si="58"/>
        <v>21110.79999999993</v>
      </c>
    </row>
    <row r="173" spans="1:33" ht="15" customHeight="1" x14ac:dyDescent="0.15">
      <c r="A173" s="102">
        <v>42538</v>
      </c>
      <c r="B173" s="20" t="s">
        <v>38</v>
      </c>
      <c r="C173" s="70">
        <v>50377</v>
      </c>
      <c r="D173" s="71">
        <v>34471</v>
      </c>
      <c r="E173" s="71">
        <v>86850</v>
      </c>
      <c r="F173" s="70">
        <v>4389</v>
      </c>
      <c r="G173" s="71">
        <v>2835</v>
      </c>
      <c r="H173" s="24"/>
      <c r="I173" s="24"/>
      <c r="J173" s="70">
        <f t="shared" si="54"/>
        <v>52379</v>
      </c>
      <c r="K173" s="71">
        <f t="shared" si="55"/>
        <v>1072.2</v>
      </c>
      <c r="L173" s="71">
        <v>787</v>
      </c>
      <c r="M173" s="71">
        <f t="shared" si="71"/>
        <v>142.80000000000001</v>
      </c>
      <c r="N173" s="74">
        <f t="shared" si="67"/>
        <v>827085</v>
      </c>
      <c r="O173" s="75">
        <f t="shared" si="68"/>
        <v>556887</v>
      </c>
      <c r="P173" s="75">
        <f t="shared" si="69"/>
        <v>1425425</v>
      </c>
      <c r="Q173" s="76">
        <f t="shared" si="70"/>
        <v>8740588</v>
      </c>
      <c r="R173" s="76">
        <f t="shared" si="70"/>
        <v>4201262</v>
      </c>
      <c r="S173" s="76">
        <f t="shared" si="70"/>
        <v>13393837</v>
      </c>
      <c r="T173" s="80">
        <f>N173/'2015'!M173-1</f>
        <v>-3.5635831949704322E-2</v>
      </c>
      <c r="U173" s="80">
        <f>O173/'2015'!N173-1</f>
        <v>8.161751138647988E-2</v>
      </c>
      <c r="V173" s="80">
        <f>P173/'2015'!O173-1</f>
        <v>2.8599369617829939E-3</v>
      </c>
      <c r="W173" s="81">
        <f>Q173/'2015'!P173-1</f>
        <v>-3.7778205403139364E-2</v>
      </c>
      <c r="X173" s="81">
        <f>R173/'2015'!Q173-1</f>
        <v>6.9071830734318329E-2</v>
      </c>
      <c r="Y173" s="81">
        <f>S173/'2015'!R173-1</f>
        <v>8.7210926795058263E-3</v>
      </c>
      <c r="Z173" s="97">
        <f>Z$166+0.368*7</f>
        <v>78.351699999999994</v>
      </c>
      <c r="AA173" s="97">
        <f t="shared" si="56"/>
        <v>795.70710000000008</v>
      </c>
      <c r="AB173" s="106"/>
      <c r="AC173" s="105"/>
      <c r="AD173" s="70">
        <f t="shared" si="57"/>
        <v>9192575</v>
      </c>
      <c r="AE173" s="71">
        <f t="shared" si="62"/>
        <v>301211.40000000008</v>
      </c>
      <c r="AF173" s="71">
        <f t="shared" si="62"/>
        <v>129522</v>
      </c>
      <c r="AG173" s="71">
        <f t="shared" si="58"/>
        <v>21253.599999999919</v>
      </c>
    </row>
    <row r="174" spans="1:33" ht="15" customHeight="1" x14ac:dyDescent="0.15">
      <c r="A174" s="102">
        <v>42539</v>
      </c>
      <c r="B174" s="20" t="s">
        <v>39</v>
      </c>
      <c r="C174" s="8">
        <v>56093</v>
      </c>
      <c r="D174" s="37">
        <v>28404</v>
      </c>
      <c r="E174" s="37">
        <v>86540</v>
      </c>
      <c r="F174" s="8">
        <v>4364</v>
      </c>
      <c r="G174" s="37">
        <v>2911</v>
      </c>
      <c r="H174" s="24"/>
      <c r="I174" s="36"/>
      <c r="J174" s="8">
        <f t="shared" si="54"/>
        <v>58136</v>
      </c>
      <c r="K174" s="37">
        <f t="shared" si="55"/>
        <v>1115.2</v>
      </c>
      <c r="L174" s="37">
        <v>785</v>
      </c>
      <c r="M174" s="37">
        <f t="shared" si="71"/>
        <v>142.80000000000001</v>
      </c>
      <c r="N174" s="74">
        <f t="shared" si="67"/>
        <v>883178</v>
      </c>
      <c r="O174" s="75">
        <f t="shared" si="68"/>
        <v>585291</v>
      </c>
      <c r="P174" s="75">
        <f t="shared" si="69"/>
        <v>1511965</v>
      </c>
      <c r="Q174" s="76">
        <f t="shared" si="70"/>
        <v>8796681</v>
      </c>
      <c r="R174" s="76">
        <f t="shared" si="70"/>
        <v>4229666</v>
      </c>
      <c r="S174" s="76">
        <f t="shared" si="70"/>
        <v>13480377</v>
      </c>
      <c r="T174" s="80">
        <f>N174/'2015'!M174-1</f>
        <v>-2.72812980479058E-2</v>
      </c>
      <c r="U174" s="80">
        <f>O174/'2015'!N174-1</f>
        <v>7.0616405029578333E-2</v>
      </c>
      <c r="V174" s="80">
        <f>P174/'2015'!O174-1</f>
        <v>3.5503406309238539E-3</v>
      </c>
      <c r="W174" s="81">
        <f>Q174/'2015'!P174-1</f>
        <v>-3.6935946090104976E-2</v>
      </c>
      <c r="X174" s="81">
        <f>R174/'2015'!Q174-1</f>
        <v>6.7654505971386225E-2</v>
      </c>
      <c r="Y174" s="81">
        <f>S174/'2015'!R174-1</f>
        <v>8.7615373874136981E-3</v>
      </c>
      <c r="Z174" s="50">
        <f>Z$166+0.368*8</f>
        <v>78.719700000000003</v>
      </c>
      <c r="AA174" s="97">
        <f t="shared" si="56"/>
        <v>800.94839999999999</v>
      </c>
      <c r="AB174" s="105"/>
      <c r="AC174" s="105"/>
      <c r="AD174" s="8">
        <f t="shared" si="57"/>
        <v>9250711</v>
      </c>
      <c r="AE174" s="37">
        <f t="shared" si="62"/>
        <v>302326.60000000009</v>
      </c>
      <c r="AF174" s="37">
        <f t="shared" si="62"/>
        <v>130307</v>
      </c>
      <c r="AG174" s="37">
        <f t="shared" si="58"/>
        <v>21396.399999999907</v>
      </c>
    </row>
    <row r="175" spans="1:33" ht="15" customHeight="1" x14ac:dyDescent="0.15">
      <c r="A175" s="102">
        <v>42540</v>
      </c>
      <c r="B175" s="20" t="s">
        <v>1</v>
      </c>
      <c r="C175" s="8">
        <v>52737</v>
      </c>
      <c r="D175" s="37">
        <v>28282</v>
      </c>
      <c r="E175" s="37">
        <v>83320</v>
      </c>
      <c r="F175" s="8">
        <v>4080</v>
      </c>
      <c r="G175" s="37">
        <v>2897</v>
      </c>
      <c r="H175" s="24"/>
      <c r="I175" s="36"/>
      <c r="J175" s="8">
        <f t="shared" si="54"/>
        <v>55038</v>
      </c>
      <c r="K175" s="37">
        <f t="shared" si="55"/>
        <v>1373.1999999999998</v>
      </c>
      <c r="L175" s="37">
        <v>785</v>
      </c>
      <c r="M175" s="37">
        <f t="shared" si="71"/>
        <v>142.80000000000001</v>
      </c>
      <c r="N175" s="74">
        <f t="shared" si="67"/>
        <v>935915</v>
      </c>
      <c r="O175" s="75">
        <f t="shared" si="68"/>
        <v>613573</v>
      </c>
      <c r="P175" s="75">
        <f t="shared" si="69"/>
        <v>1595285</v>
      </c>
      <c r="Q175" s="76">
        <f t="shared" si="70"/>
        <v>8849418</v>
      </c>
      <c r="R175" s="76">
        <f t="shared" si="70"/>
        <v>4257948</v>
      </c>
      <c r="S175" s="76">
        <f t="shared" si="70"/>
        <v>13563697</v>
      </c>
      <c r="T175" s="80">
        <f>N175/'2015'!M175-1</f>
        <v>-1.9424697864226181E-2</v>
      </c>
      <c r="U175" s="80">
        <f>O175/'2015'!N175-1</f>
        <v>6.0468002219199457E-2</v>
      </c>
      <c r="V175" s="80">
        <f>P175/'2015'!O175-1</f>
        <v>4.1486906855567884E-3</v>
      </c>
      <c r="W175" s="81">
        <f>Q175/'2015'!P175-1</f>
        <v>-3.6070227937001209E-2</v>
      </c>
      <c r="X175" s="81">
        <f>R175/'2015'!Q175-1</f>
        <v>6.6207859485209131E-2</v>
      </c>
      <c r="Y175" s="81">
        <f>S175/'2015'!R175-1</f>
        <v>8.8004259011948971E-3</v>
      </c>
      <c r="Z175" s="50">
        <f>Z$166+0.368*9</f>
        <v>79.087699999999998</v>
      </c>
      <c r="AA175" s="97">
        <f t="shared" si="56"/>
        <v>805.8540999999999</v>
      </c>
      <c r="AB175" s="105"/>
      <c r="AC175" s="105"/>
      <c r="AD175" s="8">
        <f t="shared" si="57"/>
        <v>9305749</v>
      </c>
      <c r="AE175" s="37">
        <f t="shared" si="62"/>
        <v>303699.8000000001</v>
      </c>
      <c r="AF175" s="37">
        <f t="shared" si="62"/>
        <v>131092</v>
      </c>
      <c r="AG175" s="37">
        <f t="shared" si="58"/>
        <v>21539.199999999895</v>
      </c>
    </row>
    <row r="176" spans="1:33" ht="15" customHeight="1" x14ac:dyDescent="0.15">
      <c r="A176" s="102">
        <v>42541</v>
      </c>
      <c r="B176" s="20" t="s">
        <v>34</v>
      </c>
      <c r="C176" s="8">
        <v>53666</v>
      </c>
      <c r="D176" s="37">
        <v>30617</v>
      </c>
      <c r="E176" s="37">
        <v>91284</v>
      </c>
      <c r="F176" s="8">
        <v>4743</v>
      </c>
      <c r="G176" s="37">
        <v>2813</v>
      </c>
      <c r="H176" s="24"/>
      <c r="I176" s="36"/>
      <c r="J176" s="8">
        <f t="shared" si="54"/>
        <v>60667</v>
      </c>
      <c r="K176" s="37">
        <f t="shared" si="55"/>
        <v>6072.2</v>
      </c>
      <c r="L176" s="37">
        <v>786</v>
      </c>
      <c r="M176" s="37">
        <f t="shared" si="71"/>
        <v>142.80000000000001</v>
      </c>
      <c r="N176" s="74">
        <v>989581</v>
      </c>
      <c r="O176" s="75">
        <v>643197</v>
      </c>
      <c r="P176" s="75">
        <v>1680575</v>
      </c>
      <c r="Q176" s="76">
        <f t="shared" si="70"/>
        <v>8903084</v>
      </c>
      <c r="R176" s="76">
        <f t="shared" si="70"/>
        <v>4287572</v>
      </c>
      <c r="S176" s="76">
        <f t="shared" si="70"/>
        <v>13648987</v>
      </c>
      <c r="T176" s="80">
        <f>N176/'2015'!M176-1</f>
        <v>1.2941388361047412E-3</v>
      </c>
      <c r="U176" s="80">
        <f>O176/'2015'!N176-1</f>
        <v>6.7507908424920604E-2</v>
      </c>
      <c r="V176" s="80">
        <f>P176/'2015'!O176-1</f>
        <v>1.8703173871929879E-2</v>
      </c>
      <c r="W176" s="81">
        <f>Q176/'2015'!P176-1</f>
        <v>-3.3786862099689507E-2</v>
      </c>
      <c r="X176" s="81">
        <f>R176/'2015'!Q176-1</f>
        <v>6.7229474005962464E-2</v>
      </c>
      <c r="Y176" s="81">
        <f>S176/'2015'!R176-1</f>
        <v>1.0557144843503119E-2</v>
      </c>
      <c r="Z176" s="50">
        <v>79.462400000000002</v>
      </c>
      <c r="AA176" s="97">
        <f t="shared" si="56"/>
        <v>810.846</v>
      </c>
      <c r="AB176" s="105">
        <v>4230.1000000000004</v>
      </c>
      <c r="AC176" s="105">
        <f t="shared" si="64"/>
        <v>1916.8483014585943</v>
      </c>
      <c r="AD176" s="8">
        <f t="shared" si="57"/>
        <v>9361415</v>
      </c>
      <c r="AE176" s="37">
        <v>304771</v>
      </c>
      <c r="AF176" s="37">
        <f t="shared" si="62"/>
        <v>131878</v>
      </c>
      <c r="AG176" s="37">
        <f t="shared" si="58"/>
        <v>21682</v>
      </c>
    </row>
    <row r="177" spans="1:33" ht="15" customHeight="1" x14ac:dyDescent="0.15">
      <c r="A177" s="102">
        <v>42542</v>
      </c>
      <c r="B177" s="20" t="s">
        <v>35</v>
      </c>
      <c r="C177" s="8">
        <v>65591</v>
      </c>
      <c r="D177" s="37">
        <v>29715</v>
      </c>
      <c r="E177" s="37">
        <v>99132</v>
      </c>
      <c r="F177" s="8">
        <v>4900</v>
      </c>
      <c r="G177" s="37">
        <v>3092</v>
      </c>
      <c r="H177" s="24"/>
      <c r="I177" s="36"/>
      <c r="J177" s="8">
        <f t="shared" si="54"/>
        <v>69417</v>
      </c>
      <c r="K177" s="37">
        <f t="shared" si="55"/>
        <v>2877.7</v>
      </c>
      <c r="L177" s="37">
        <v>780</v>
      </c>
      <c r="M177" s="37">
        <f>(AG$186-AG$176)/10</f>
        <v>168.3</v>
      </c>
      <c r="N177" s="74">
        <f t="shared" ref="N177:N186" si="72">N176+C177</f>
        <v>1055172</v>
      </c>
      <c r="O177" s="75">
        <f t="shared" ref="O177:O185" si="73">O176+D177</f>
        <v>672912</v>
      </c>
      <c r="P177" s="75">
        <f t="shared" ref="P177:P185" si="74">P176+E177</f>
        <v>1779707</v>
      </c>
      <c r="Q177" s="76">
        <f t="shared" si="70"/>
        <v>8968675</v>
      </c>
      <c r="R177" s="76">
        <f t="shared" si="70"/>
        <v>4317287</v>
      </c>
      <c r="S177" s="76">
        <f t="shared" si="70"/>
        <v>13748119</v>
      </c>
      <c r="T177" s="80">
        <f>N177/'2015'!M177-1</f>
        <v>2.6872422897371351E-2</v>
      </c>
      <c r="U177" s="80">
        <f>O177/'2015'!N177-1</f>
        <v>7.1710469734951987E-2</v>
      </c>
      <c r="V177" s="80">
        <f>P177/'2015'!O177-1</f>
        <v>3.6787549976435407E-2</v>
      </c>
      <c r="W177" s="81">
        <f>Q177/'2015'!P177-1</f>
        <v>-3.0797736724262892E-2</v>
      </c>
      <c r="X177" s="81">
        <f>R177/'2015'!Q177-1</f>
        <v>6.7883912385417799E-2</v>
      </c>
      <c r="Y177" s="81">
        <f>S177/'2015'!R177-1</f>
        <v>1.2884325235019478E-2</v>
      </c>
      <c r="Z177" s="50">
        <f>Z$176+0.505*1</f>
        <v>79.967399999999998</v>
      </c>
      <c r="AA177" s="97">
        <f t="shared" si="56"/>
        <v>816.90009999999995</v>
      </c>
      <c r="AB177" s="105"/>
      <c r="AC177" s="105"/>
      <c r="AD177" s="8">
        <f t="shared" si="57"/>
        <v>9430832</v>
      </c>
      <c r="AE177" s="37">
        <f t="shared" si="62"/>
        <v>307648.7</v>
      </c>
      <c r="AF177" s="37">
        <f t="shared" si="62"/>
        <v>132658</v>
      </c>
      <c r="AG177" s="37">
        <f t="shared" si="58"/>
        <v>21850.299999999988</v>
      </c>
    </row>
    <row r="178" spans="1:33" ht="15" customHeight="1" x14ac:dyDescent="0.15">
      <c r="A178" s="102">
        <v>42543</v>
      </c>
      <c r="B178" s="14" t="s">
        <v>36</v>
      </c>
      <c r="C178" s="32">
        <v>68383</v>
      </c>
      <c r="D178" s="33">
        <v>33196</v>
      </c>
      <c r="E178" s="33">
        <v>104915</v>
      </c>
      <c r="F178" s="32">
        <v>5271</v>
      </c>
      <c r="G178" s="33">
        <v>3411</v>
      </c>
      <c r="H178" s="19"/>
      <c r="I178" s="19"/>
      <c r="J178" s="32">
        <f t="shared" si="54"/>
        <v>71719</v>
      </c>
      <c r="K178" s="33">
        <f t="shared" si="55"/>
        <v>2389.6999999999998</v>
      </c>
      <c r="L178" s="33">
        <v>778</v>
      </c>
      <c r="M178" s="33">
        <f t="shared" ref="M178:M186" si="75">(AG$186-AG$176)/10</f>
        <v>168.3</v>
      </c>
      <c r="N178" s="77">
        <f t="shared" si="72"/>
        <v>1123555</v>
      </c>
      <c r="O178" s="78">
        <f t="shared" si="73"/>
        <v>706108</v>
      </c>
      <c r="P178" s="78">
        <f t="shared" si="74"/>
        <v>1884622</v>
      </c>
      <c r="Q178" s="77">
        <f t="shared" si="70"/>
        <v>9037058</v>
      </c>
      <c r="R178" s="77">
        <f t="shared" si="70"/>
        <v>4350483</v>
      </c>
      <c r="S178" s="77">
        <f t="shared" si="70"/>
        <v>13853034</v>
      </c>
      <c r="T178" s="82">
        <f>N178/'2015'!M178-1</f>
        <v>4.4643662386951943E-2</v>
      </c>
      <c r="U178" s="82">
        <f>O178/'2015'!N178-1</f>
        <v>7.6919322712201588E-2</v>
      </c>
      <c r="V178" s="82">
        <f>P178/'2015'!O178-1</f>
        <v>5.0320732529690826E-2</v>
      </c>
      <c r="W178" s="82">
        <f>Q178/'2015'!P178-1</f>
        <v>-2.8445392520270896E-2</v>
      </c>
      <c r="X178" s="82">
        <f>R178/'2015'!Q178-1</f>
        <v>6.874904652374525E-2</v>
      </c>
      <c r="Y178" s="82">
        <f>S178/'2015'!R178-1</f>
        <v>1.479934668560734E-2</v>
      </c>
      <c r="Z178" s="49">
        <f>Z$176+0.505*2</f>
        <v>80.472400000000007</v>
      </c>
      <c r="AA178" s="49">
        <f t="shared" si="56"/>
        <v>823.23339999999996</v>
      </c>
      <c r="AB178" s="33">
        <v>4230.1000000000004</v>
      </c>
      <c r="AC178" s="33">
        <f t="shared" si="64"/>
        <v>1946.1322427365781</v>
      </c>
      <c r="AD178" s="32">
        <f t="shared" si="57"/>
        <v>9502551</v>
      </c>
      <c r="AE178" s="33">
        <f t="shared" si="62"/>
        <v>310038.40000000002</v>
      </c>
      <c r="AF178" s="33">
        <f t="shared" si="62"/>
        <v>133436</v>
      </c>
      <c r="AG178" s="33">
        <f t="shared" si="58"/>
        <v>22018.599999999977</v>
      </c>
    </row>
    <row r="179" spans="1:33" ht="15" customHeight="1" x14ac:dyDescent="0.15">
      <c r="A179" s="102">
        <v>42544</v>
      </c>
      <c r="B179" s="20" t="s">
        <v>37</v>
      </c>
      <c r="C179" s="8">
        <v>71944</v>
      </c>
      <c r="D179" s="37">
        <v>35205</v>
      </c>
      <c r="E179" s="37">
        <v>110153</v>
      </c>
      <c r="F179" s="8">
        <v>5366</v>
      </c>
      <c r="G179" s="37">
        <v>3550</v>
      </c>
      <c r="H179" s="24"/>
      <c r="I179" s="36"/>
      <c r="J179" s="8">
        <f t="shared" si="54"/>
        <v>74948</v>
      </c>
      <c r="K179" s="37">
        <f t="shared" si="55"/>
        <v>2062.6999999999998</v>
      </c>
      <c r="L179" s="37">
        <v>773</v>
      </c>
      <c r="M179" s="37">
        <f t="shared" si="75"/>
        <v>168.3</v>
      </c>
      <c r="N179" s="74">
        <f t="shared" si="72"/>
        <v>1195499</v>
      </c>
      <c r="O179" s="75">
        <f t="shared" si="73"/>
        <v>741313</v>
      </c>
      <c r="P179" s="75">
        <f t="shared" si="74"/>
        <v>1994775</v>
      </c>
      <c r="Q179" s="76">
        <f t="shared" si="70"/>
        <v>9109002</v>
      </c>
      <c r="R179" s="76">
        <f t="shared" si="70"/>
        <v>4385688</v>
      </c>
      <c r="S179" s="76">
        <f t="shared" si="70"/>
        <v>13963187</v>
      </c>
      <c r="T179" s="80">
        <f>N179/'2015'!M179-1</f>
        <v>5.8951446747674385E-2</v>
      </c>
      <c r="U179" s="80">
        <f>O179/'2015'!N179-1</f>
        <v>7.88430836936449E-2</v>
      </c>
      <c r="V179" s="80">
        <f>P179/'2015'!O179-1</f>
        <v>5.9930839017930948E-2</v>
      </c>
      <c r="W179" s="81">
        <f>Q179/'2015'!P179-1</f>
        <v>-2.6301505047432117E-2</v>
      </c>
      <c r="X179" s="81">
        <f>R179/'2015'!Q179-1</f>
        <v>6.9133959387571275E-2</v>
      </c>
      <c r="Y179" s="81">
        <f>S179/'2015'!R179-1</f>
        <v>1.6342418738823472E-2</v>
      </c>
      <c r="Z179" s="50">
        <f>Z$176+0.505*3</f>
        <v>80.977400000000003</v>
      </c>
      <c r="AA179" s="97">
        <f t="shared" si="56"/>
        <v>829.92280000000005</v>
      </c>
      <c r="AB179" s="105">
        <v>4230.1000000000004</v>
      </c>
      <c r="AC179" s="105">
        <f t="shared" si="64"/>
        <v>1961.9460532847925</v>
      </c>
      <c r="AD179" s="8">
        <f t="shared" si="57"/>
        <v>9577499</v>
      </c>
      <c r="AE179" s="37">
        <f t="shared" si="62"/>
        <v>312101.10000000003</v>
      </c>
      <c r="AF179" s="37">
        <f t="shared" si="62"/>
        <v>134209</v>
      </c>
      <c r="AG179" s="37">
        <f t="shared" si="58"/>
        <v>22186.899999999965</v>
      </c>
    </row>
    <row r="180" spans="1:33" ht="15" customHeight="1" x14ac:dyDescent="0.15">
      <c r="A180" s="102">
        <v>42545</v>
      </c>
      <c r="B180" s="20" t="s">
        <v>38</v>
      </c>
      <c r="C180" s="70">
        <v>71330</v>
      </c>
      <c r="D180" s="71">
        <f>24072+11989</f>
        <v>36061</v>
      </c>
      <c r="E180" s="71">
        <v>110680</v>
      </c>
      <c r="F180" s="70">
        <v>5480</v>
      </c>
      <c r="G180" s="71">
        <v>3723</v>
      </c>
      <c r="H180" s="24"/>
      <c r="I180" s="24"/>
      <c r="J180" s="70">
        <f t="shared" si="54"/>
        <v>74619</v>
      </c>
      <c r="K180" s="71">
        <f t="shared" si="55"/>
        <v>2341.6999999999998</v>
      </c>
      <c r="L180" s="71">
        <v>779</v>
      </c>
      <c r="M180" s="71">
        <f t="shared" si="75"/>
        <v>168.3</v>
      </c>
      <c r="N180" s="74">
        <f t="shared" si="72"/>
        <v>1266829</v>
      </c>
      <c r="O180" s="75">
        <f t="shared" si="73"/>
        <v>777374</v>
      </c>
      <c r="P180" s="75">
        <f t="shared" si="74"/>
        <v>2105455</v>
      </c>
      <c r="Q180" s="76">
        <f t="shared" si="70"/>
        <v>9180332</v>
      </c>
      <c r="R180" s="76">
        <f t="shared" si="70"/>
        <v>4421749</v>
      </c>
      <c r="S180" s="76">
        <f t="shared" si="70"/>
        <v>14073867</v>
      </c>
      <c r="T180" s="80">
        <f>N180/'2015'!M180-1</f>
        <v>6.7087325974743539E-2</v>
      </c>
      <c r="U180" s="80">
        <f>O180/'2015'!N180-1</f>
        <v>8.024123507913794E-2</v>
      </c>
      <c r="V180" s="80">
        <f>P180/'2015'!O180-1</f>
        <v>6.5750976938184547E-2</v>
      </c>
      <c r="W180" s="81">
        <f>Q180/'2015'!P180-1</f>
        <v>-2.4747984020892955E-2</v>
      </c>
      <c r="X180" s="81">
        <f>R180/'2015'!Q180-1</f>
        <v>6.9453611690841299E-2</v>
      </c>
      <c r="Y180" s="81">
        <f>S180/'2015'!R180-1</f>
        <v>1.7468539798115135E-2</v>
      </c>
      <c r="Z180" s="97">
        <f>Z$176+0.505*4</f>
        <v>81.482399999999998</v>
      </c>
      <c r="AA180" s="97">
        <f t="shared" si="56"/>
        <v>836.55079999999998</v>
      </c>
      <c r="AB180" s="106"/>
      <c r="AC180" s="105"/>
      <c r="AD180" s="70">
        <f t="shared" si="57"/>
        <v>9652118</v>
      </c>
      <c r="AE180" s="71">
        <f t="shared" si="62"/>
        <v>314442.80000000005</v>
      </c>
      <c r="AF180" s="71">
        <f t="shared" si="62"/>
        <v>134988</v>
      </c>
      <c r="AG180" s="71">
        <f t="shared" si="58"/>
        <v>22355.199999999953</v>
      </c>
    </row>
    <row r="181" spans="1:33" ht="15" customHeight="1" x14ac:dyDescent="0.15">
      <c r="A181" s="102">
        <v>42546</v>
      </c>
      <c r="B181" s="20" t="s">
        <v>39</v>
      </c>
      <c r="C181" s="8">
        <v>58395</v>
      </c>
      <c r="D181" s="37">
        <f>23098+8808</f>
        <v>31906</v>
      </c>
      <c r="E181" s="37">
        <v>92624</v>
      </c>
      <c r="F181" s="8">
        <v>4555</v>
      </c>
      <c r="G181" s="37">
        <v>3220</v>
      </c>
      <c r="H181" s="24"/>
      <c r="I181" s="36"/>
      <c r="J181" s="8">
        <f t="shared" si="54"/>
        <v>60718</v>
      </c>
      <c r="K181" s="37">
        <f t="shared" si="55"/>
        <v>1376.6999999999998</v>
      </c>
      <c r="L181" s="37">
        <v>778</v>
      </c>
      <c r="M181" s="37">
        <f t="shared" si="75"/>
        <v>168.3</v>
      </c>
      <c r="N181" s="74">
        <f t="shared" si="72"/>
        <v>1325224</v>
      </c>
      <c r="O181" s="75">
        <f t="shared" si="73"/>
        <v>809280</v>
      </c>
      <c r="P181" s="75">
        <f t="shared" si="74"/>
        <v>2198079</v>
      </c>
      <c r="Q181" s="76">
        <f t="shared" si="70"/>
        <v>9238727</v>
      </c>
      <c r="R181" s="76">
        <f t="shared" si="70"/>
        <v>4453655</v>
      </c>
      <c r="S181" s="76">
        <f t="shared" si="70"/>
        <v>14166491</v>
      </c>
      <c r="T181" s="80">
        <f>N181/'2015'!M181-1</f>
        <v>5.9016823134927066E-2</v>
      </c>
      <c r="U181" s="80">
        <f>O181/'2015'!N181-1</f>
        <v>7.5834014636383618E-2</v>
      </c>
      <c r="V181" s="80">
        <f>P181/'2015'!O181-1</f>
        <v>5.9368787336226747E-2</v>
      </c>
      <c r="W181" s="81">
        <f>Q181/'2015'!P181-1</f>
        <v>-2.5191612116300943E-2</v>
      </c>
      <c r="X181" s="81">
        <f>R181/'2015'!Q181-1</f>
        <v>6.8742452951531918E-2</v>
      </c>
      <c r="Y181" s="81">
        <f>S181/'2015'!R181-1</f>
        <v>1.6862273915515535E-2</v>
      </c>
      <c r="Z181" s="50">
        <f>Z$176+0.505*5</f>
        <v>81.987400000000008</v>
      </c>
      <c r="AA181" s="97">
        <f t="shared" si="56"/>
        <v>841.88530000000003</v>
      </c>
      <c r="AB181" s="105"/>
      <c r="AC181" s="105"/>
      <c r="AD181" s="8">
        <f t="shared" si="57"/>
        <v>9712836</v>
      </c>
      <c r="AE181" s="37">
        <f t="shared" si="62"/>
        <v>315819.50000000006</v>
      </c>
      <c r="AF181" s="37">
        <f t="shared" si="62"/>
        <v>135766</v>
      </c>
      <c r="AG181" s="37">
        <f t="shared" si="58"/>
        <v>22523.499999999942</v>
      </c>
    </row>
    <row r="182" spans="1:33" ht="15" customHeight="1" x14ac:dyDescent="0.15">
      <c r="A182" s="102">
        <v>42547</v>
      </c>
      <c r="B182" s="20" t="s">
        <v>1</v>
      </c>
      <c r="C182" s="8">
        <v>46046</v>
      </c>
      <c r="D182" s="37">
        <f>24712+8455</f>
        <v>33167</v>
      </c>
      <c r="E182" s="37">
        <v>80859</v>
      </c>
      <c r="F182" s="8">
        <v>3960</v>
      </c>
      <c r="G182" s="37">
        <v>2970</v>
      </c>
      <c r="H182" s="24"/>
      <c r="I182" s="36"/>
      <c r="J182" s="8">
        <f t="shared" si="54"/>
        <v>47692</v>
      </c>
      <c r="K182" s="37">
        <f t="shared" si="55"/>
        <v>697.7</v>
      </c>
      <c r="L182" s="37">
        <v>780</v>
      </c>
      <c r="M182" s="37">
        <f t="shared" si="75"/>
        <v>168.3</v>
      </c>
      <c r="N182" s="74">
        <f t="shared" si="72"/>
        <v>1371270</v>
      </c>
      <c r="O182" s="75">
        <f t="shared" si="73"/>
        <v>842447</v>
      </c>
      <c r="P182" s="75">
        <f t="shared" si="74"/>
        <v>2278938</v>
      </c>
      <c r="Q182" s="76">
        <f t="shared" si="70"/>
        <v>9284773</v>
      </c>
      <c r="R182" s="76">
        <f t="shared" si="70"/>
        <v>4486822</v>
      </c>
      <c r="S182" s="76">
        <f t="shared" si="70"/>
        <v>14247350</v>
      </c>
      <c r="T182" s="80">
        <f>N182/'2015'!M182-1</f>
        <v>4.3008994276369616E-2</v>
      </c>
      <c r="U182" s="80">
        <f>O182/'2015'!N182-1</f>
        <v>7.0959843788932053E-2</v>
      </c>
      <c r="V182" s="80">
        <f>P182/'2015'!O182-1</f>
        <v>4.7609853776531708E-2</v>
      </c>
      <c r="W182" s="81">
        <f>Q182/'2015'!P182-1</f>
        <v>-2.6838327429062003E-2</v>
      </c>
      <c r="X182" s="81">
        <f>R182/'2015'!Q182-1</f>
        <v>6.7887951808662583E-2</v>
      </c>
      <c r="Y182" s="81">
        <f>S182/'2015'!R182-1</f>
        <v>1.5343662973762884E-2</v>
      </c>
      <c r="Z182" s="50">
        <f>Z$176+0.505*6</f>
        <v>82.492400000000004</v>
      </c>
      <c r="AA182" s="97">
        <f t="shared" si="56"/>
        <v>845.98490000000004</v>
      </c>
      <c r="AB182" s="105"/>
      <c r="AC182" s="105"/>
      <c r="AD182" s="8">
        <f t="shared" si="57"/>
        <v>9760528</v>
      </c>
      <c r="AE182" s="37">
        <f t="shared" si="62"/>
        <v>316517.20000000007</v>
      </c>
      <c r="AF182" s="37">
        <f t="shared" si="62"/>
        <v>136546</v>
      </c>
      <c r="AG182" s="37">
        <f t="shared" si="58"/>
        <v>22691.79999999993</v>
      </c>
    </row>
    <row r="183" spans="1:33" ht="15" customHeight="1" x14ac:dyDescent="0.15">
      <c r="A183" s="102">
        <v>42548</v>
      </c>
      <c r="B183" s="20" t="s">
        <v>34</v>
      </c>
      <c r="C183" s="8">
        <v>52086</v>
      </c>
      <c r="D183" s="37">
        <v>34834</v>
      </c>
      <c r="E183" s="37">
        <v>88891</v>
      </c>
      <c r="F183" s="8">
        <v>4510</v>
      </c>
      <c r="G183" s="37">
        <v>2810</v>
      </c>
      <c r="H183" s="24"/>
      <c r="I183" s="36"/>
      <c r="J183" s="8">
        <f t="shared" si="54"/>
        <v>54057</v>
      </c>
      <c r="K183" s="37">
        <f t="shared" si="55"/>
        <v>1023.7</v>
      </c>
      <c r="L183" s="37">
        <v>779</v>
      </c>
      <c r="M183" s="37">
        <f t="shared" si="75"/>
        <v>168.3</v>
      </c>
      <c r="N183" s="74">
        <f t="shared" si="72"/>
        <v>1423356</v>
      </c>
      <c r="O183" s="75">
        <f t="shared" si="73"/>
        <v>877281</v>
      </c>
      <c r="P183" s="75">
        <f t="shared" si="74"/>
        <v>2367829</v>
      </c>
      <c r="Q183" s="76">
        <f t="shared" si="70"/>
        <v>9336859</v>
      </c>
      <c r="R183" s="76">
        <f t="shared" si="70"/>
        <v>4521656</v>
      </c>
      <c r="S183" s="76">
        <f t="shared" si="70"/>
        <v>14336241</v>
      </c>
      <c r="T183" s="80">
        <f>N183/'2015'!M183-1</f>
        <v>3.369601687197421E-2</v>
      </c>
      <c r="U183" s="80">
        <f>O183/'2015'!N183-1</f>
        <v>6.7433626165040339E-2</v>
      </c>
      <c r="V183" s="80">
        <f>P183/'2015'!O183-1</f>
        <v>4.1255242931661718E-2</v>
      </c>
      <c r="W183" s="81">
        <f>Q183/'2015'!P183-1</f>
        <v>-2.7721042425408737E-2</v>
      </c>
      <c r="X183" s="81">
        <f>R183/'2015'!Q183-1</f>
        <v>6.7229479111323487E-2</v>
      </c>
      <c r="Y183" s="81">
        <f>S183/'2015'!R183-1</f>
        <v>1.4546279828334008E-2</v>
      </c>
      <c r="Z183" s="50">
        <f>Z$176+0.505*7</f>
        <v>82.997399999999999</v>
      </c>
      <c r="AA183" s="97">
        <f t="shared" si="56"/>
        <v>850.68849999999998</v>
      </c>
      <c r="AB183" s="105"/>
      <c r="AC183" s="105"/>
      <c r="AD183" s="8">
        <f t="shared" si="57"/>
        <v>9814585</v>
      </c>
      <c r="AE183" s="37">
        <f t="shared" si="62"/>
        <v>317540.90000000008</v>
      </c>
      <c r="AF183" s="37">
        <f t="shared" si="62"/>
        <v>137325</v>
      </c>
      <c r="AG183" s="37">
        <f t="shared" si="58"/>
        <v>22860.099999999919</v>
      </c>
    </row>
    <row r="184" spans="1:33" ht="15" customHeight="1" x14ac:dyDescent="0.15">
      <c r="A184" s="102">
        <v>42549</v>
      </c>
      <c r="B184" s="20" t="s">
        <v>35</v>
      </c>
      <c r="C184" s="8">
        <v>56264</v>
      </c>
      <c r="D184" s="37">
        <v>35854</v>
      </c>
      <c r="E184" s="37">
        <v>93776</v>
      </c>
      <c r="F184" s="8">
        <v>4740</v>
      </c>
      <c r="G184" s="37">
        <v>3052</v>
      </c>
      <c r="H184" s="24"/>
      <c r="I184" s="36"/>
      <c r="J184" s="8">
        <f t="shared" si="54"/>
        <v>57922</v>
      </c>
      <c r="K184" s="37">
        <f t="shared" si="55"/>
        <v>709.7</v>
      </c>
      <c r="L184" s="37">
        <v>780</v>
      </c>
      <c r="M184" s="37">
        <f t="shared" si="75"/>
        <v>168.3</v>
      </c>
      <c r="N184" s="74">
        <f t="shared" si="72"/>
        <v>1479620</v>
      </c>
      <c r="O184" s="75">
        <f t="shared" si="73"/>
        <v>913135</v>
      </c>
      <c r="P184" s="75">
        <f t="shared" si="74"/>
        <v>2461605</v>
      </c>
      <c r="Q184" s="76">
        <f t="shared" si="70"/>
        <v>9393123</v>
      </c>
      <c r="R184" s="76">
        <f t="shared" si="70"/>
        <v>4557510</v>
      </c>
      <c r="S184" s="76">
        <f t="shared" si="70"/>
        <v>14430017</v>
      </c>
      <c r="T184" s="80">
        <f>N184/'2015'!M184-1</f>
        <v>3.2419314548709943E-2</v>
      </c>
      <c r="U184" s="80">
        <f>O184/'2015'!N184-1</f>
        <v>6.7720665700832239E-2</v>
      </c>
      <c r="V184" s="80">
        <f>P184/'2015'!O184-1</f>
        <v>4.0950774833535375E-2</v>
      </c>
      <c r="W184" s="81">
        <f>Q184/'2015'!P184-1</f>
        <v>-2.7553128778108005E-2</v>
      </c>
      <c r="X184" s="81">
        <f>R184/'2015'!Q184-1</f>
        <v>6.7288561408241687E-2</v>
      </c>
      <c r="Y184" s="81">
        <f>S184/'2015'!R184-1</f>
        <v>1.4666091572698159E-2</v>
      </c>
      <c r="Z184" s="50">
        <f>Z$176+0.505*8</f>
        <v>83.502400000000009</v>
      </c>
      <c r="AA184" s="97">
        <f t="shared" si="56"/>
        <v>855.80990000000008</v>
      </c>
      <c r="AB184" s="105"/>
      <c r="AC184" s="105"/>
      <c r="AD184" s="8">
        <f t="shared" si="57"/>
        <v>9872507</v>
      </c>
      <c r="AE184" s="37">
        <f t="shared" si="62"/>
        <v>318250.60000000009</v>
      </c>
      <c r="AF184" s="37">
        <f t="shared" si="62"/>
        <v>138105</v>
      </c>
      <c r="AG184" s="37">
        <f t="shared" si="58"/>
        <v>23028.399999999907</v>
      </c>
    </row>
    <row r="185" spans="1:33" ht="15" customHeight="1" x14ac:dyDescent="0.15">
      <c r="A185" s="102">
        <v>42550</v>
      </c>
      <c r="B185" s="14" t="s">
        <v>36</v>
      </c>
      <c r="C185" s="32">
        <v>50566</v>
      </c>
      <c r="D185" s="33">
        <v>38262</v>
      </c>
      <c r="E185" s="33">
        <v>90780</v>
      </c>
      <c r="F185" s="32">
        <v>4619</v>
      </c>
      <c r="G185" s="33">
        <v>3107</v>
      </c>
      <c r="H185" s="19"/>
      <c r="I185" s="19"/>
      <c r="J185" s="32">
        <f t="shared" si="54"/>
        <v>52518</v>
      </c>
      <c r="K185" s="33">
        <f t="shared" si="55"/>
        <v>998.7</v>
      </c>
      <c r="L185" s="33">
        <v>785</v>
      </c>
      <c r="M185" s="33">
        <f t="shared" si="75"/>
        <v>168.3</v>
      </c>
      <c r="N185" s="77">
        <f t="shared" si="72"/>
        <v>1530186</v>
      </c>
      <c r="O185" s="78">
        <f t="shared" si="73"/>
        <v>951397</v>
      </c>
      <c r="P185" s="78">
        <f t="shared" si="74"/>
        <v>2552385</v>
      </c>
      <c r="Q185" s="77">
        <f t="shared" si="70"/>
        <v>9443689</v>
      </c>
      <c r="R185" s="77">
        <f t="shared" si="70"/>
        <v>4595772</v>
      </c>
      <c r="S185" s="77">
        <f t="shared" si="70"/>
        <v>14520797</v>
      </c>
      <c r="T185" s="82">
        <f>N185/'2015'!M185-1</f>
        <v>2.1733570952106485E-2</v>
      </c>
      <c r="U185" s="82">
        <f>O185/'2015'!N185-1</f>
        <v>7.0796121531353506E-2</v>
      </c>
      <c r="V185" s="82">
        <f>P185/'2015'!O185-1</f>
        <v>3.6102229029300048E-2</v>
      </c>
      <c r="W185" s="82">
        <f>Q185/'2015'!P185-1</f>
        <v>-2.8801248901529242E-2</v>
      </c>
      <c r="X185" s="82">
        <f>R185/'2015'!Q185-1</f>
        <v>6.7926864294059808E-2</v>
      </c>
      <c r="Y185" s="82">
        <f>S185/'2015'!R185-1</f>
        <v>1.4013143877844136E-2</v>
      </c>
      <c r="Z185" s="49">
        <f>Z$176+0.505*9</f>
        <v>84.007400000000004</v>
      </c>
      <c r="AA185" s="49">
        <f t="shared" si="56"/>
        <v>860.36150000000009</v>
      </c>
      <c r="AB185" s="33">
        <v>4230.1000000000004</v>
      </c>
      <c r="AC185" s="33">
        <f t="shared" si="64"/>
        <v>2033.9034538190585</v>
      </c>
      <c r="AD185" s="32">
        <f t="shared" si="57"/>
        <v>9925025</v>
      </c>
      <c r="AE185" s="33">
        <f t="shared" si="62"/>
        <v>319249.3000000001</v>
      </c>
      <c r="AF185" s="33">
        <f t="shared" si="62"/>
        <v>138890</v>
      </c>
      <c r="AG185" s="33">
        <f t="shared" si="58"/>
        <v>23196.699999999895</v>
      </c>
    </row>
    <row r="186" spans="1:33" s="1" customFormat="1" ht="15" customHeight="1" x14ac:dyDescent="0.15">
      <c r="A186" s="25">
        <v>42551</v>
      </c>
      <c r="B186" s="25" t="s">
        <v>37</v>
      </c>
      <c r="C186" s="42">
        <v>51762</v>
      </c>
      <c r="D186" s="43">
        <v>39035</v>
      </c>
      <c r="E186" s="43">
        <v>92651</v>
      </c>
      <c r="F186" s="42">
        <v>4637</v>
      </c>
      <c r="G186" s="43">
        <v>2899</v>
      </c>
      <c r="H186" s="30"/>
      <c r="I186" s="30"/>
      <c r="J186" s="42">
        <f t="shared" si="54"/>
        <v>53616</v>
      </c>
      <c r="K186" s="43">
        <f t="shared" si="55"/>
        <v>900.7</v>
      </c>
      <c r="L186" s="43">
        <v>785</v>
      </c>
      <c r="M186" s="43">
        <f t="shared" si="75"/>
        <v>168.3</v>
      </c>
      <c r="N186" s="87">
        <f t="shared" si="72"/>
        <v>1581948</v>
      </c>
      <c r="O186" s="88">
        <v>996425</v>
      </c>
      <c r="P186" s="88">
        <v>2651030</v>
      </c>
      <c r="Q186" s="87">
        <f t="shared" si="70"/>
        <v>9495451</v>
      </c>
      <c r="R186" s="87">
        <f t="shared" si="70"/>
        <v>4640800</v>
      </c>
      <c r="S186" s="87">
        <f t="shared" si="70"/>
        <v>14619442</v>
      </c>
      <c r="T186" s="89">
        <f>N186/'2015'!M186-1</f>
        <v>1.1705342325144086E-2</v>
      </c>
      <c r="U186" s="89">
        <f>O186/'2015'!N186-1</f>
        <v>7.6716852400346314E-2</v>
      </c>
      <c r="V186" s="89">
        <f>P186/'2015'!O186-1</f>
        <v>3.2297581818684584E-2</v>
      </c>
      <c r="W186" s="89">
        <f>Q186/'2015'!P186-1</f>
        <v>-3.0062249783012862E-2</v>
      </c>
      <c r="X186" s="89">
        <f>R186/'2015'!Q186-1</f>
        <v>6.9213659798921023E-2</v>
      </c>
      <c r="Y186" s="89">
        <f>S186/'2015'!R186-1</f>
        <v>1.3496025758478636E-2</v>
      </c>
      <c r="Z186" s="52">
        <v>84.507000000000005</v>
      </c>
      <c r="AA186" s="52">
        <f t="shared" si="56"/>
        <v>865.03809999999999</v>
      </c>
      <c r="AB186" s="43">
        <v>4233.1000000000004</v>
      </c>
      <c r="AC186" s="43">
        <f t="shared" si="64"/>
        <v>2043.5097210082445</v>
      </c>
      <c r="AD186" s="42">
        <f t="shared" si="57"/>
        <v>9978642</v>
      </c>
      <c r="AE186" s="43">
        <v>320153</v>
      </c>
      <c r="AF186" s="43">
        <v>139673</v>
      </c>
      <c r="AG186" s="43">
        <f t="shared" si="58"/>
        <v>23365</v>
      </c>
    </row>
    <row r="187" spans="1:33" ht="15" customHeight="1" x14ac:dyDescent="0.15">
      <c r="A187" s="102">
        <v>42552</v>
      </c>
      <c r="B187" s="20" t="s">
        <v>38</v>
      </c>
      <c r="C187" s="70">
        <v>52702</v>
      </c>
      <c r="D187" s="71">
        <v>42073</v>
      </c>
      <c r="E187" s="71">
        <v>96231</v>
      </c>
      <c r="F187" s="70">
        <v>4699</v>
      </c>
      <c r="G187" s="71">
        <v>3127</v>
      </c>
      <c r="H187" s="24"/>
      <c r="I187" s="24"/>
      <c r="J187" s="70">
        <f t="shared" si="54"/>
        <v>54158</v>
      </c>
      <c r="K187" s="71">
        <f t="shared" si="55"/>
        <v>472.70000000000005</v>
      </c>
      <c r="L187" s="71">
        <v>782</v>
      </c>
      <c r="M187" s="71">
        <f>(AG$196-AG$186)/10</f>
        <v>201.3</v>
      </c>
      <c r="N187" s="74">
        <f>C187</f>
        <v>52702</v>
      </c>
      <c r="O187" s="75">
        <f>D187</f>
        <v>42073</v>
      </c>
      <c r="P187" s="75">
        <f>E187</f>
        <v>96231</v>
      </c>
      <c r="Q187" s="76">
        <f t="shared" ref="Q187:S202" si="76">Q$186+N187</f>
        <v>9548153</v>
      </c>
      <c r="R187" s="76">
        <f t="shared" si="76"/>
        <v>4682873</v>
      </c>
      <c r="S187" s="76">
        <f t="shared" si="76"/>
        <v>14715673</v>
      </c>
      <c r="T187" s="80">
        <f>N187/'2015'!M187-1</f>
        <v>0.10287531913112624</v>
      </c>
      <c r="U187" s="80">
        <f>O187/'2015'!N187-1</f>
        <v>7.7165314012135555E-2</v>
      </c>
      <c r="V187" s="80">
        <f>P187/'2015'!O187-1</f>
        <v>8.3633620107202322E-2</v>
      </c>
      <c r="W187" s="81">
        <f>Q187/'2015'!P187-1</f>
        <v>-2.9416503456809684E-2</v>
      </c>
      <c r="X187" s="81">
        <f>R187/'2015'!Q187-1</f>
        <v>6.9284578297021726E-2</v>
      </c>
      <c r="Y187" s="81">
        <f>S187/'2015'!R187-1</f>
        <v>1.392517581306163E-2</v>
      </c>
      <c r="Z187" s="97">
        <f>Z$186+0.374*1</f>
        <v>84.881</v>
      </c>
      <c r="AA187" s="97">
        <f t="shared" si="56"/>
        <v>869.93430000000001</v>
      </c>
      <c r="AB187" s="106"/>
      <c r="AC187" s="105"/>
      <c r="AD187" s="70">
        <f t="shared" si="57"/>
        <v>10032800</v>
      </c>
      <c r="AE187" s="71">
        <f t="shared" si="62"/>
        <v>320625.7</v>
      </c>
      <c r="AF187" s="71">
        <f t="shared" si="62"/>
        <v>140455</v>
      </c>
      <c r="AG187" s="71">
        <f t="shared" si="58"/>
        <v>23566.299999999988</v>
      </c>
    </row>
    <row r="188" spans="1:33" ht="15" customHeight="1" x14ac:dyDescent="0.15">
      <c r="A188" s="102">
        <v>42553</v>
      </c>
      <c r="B188" s="20" t="s">
        <v>39</v>
      </c>
      <c r="C188" s="8">
        <v>54478</v>
      </c>
      <c r="D188" s="37">
        <v>42336</v>
      </c>
      <c r="E188" s="37">
        <v>98576</v>
      </c>
      <c r="F188" s="8">
        <v>4901</v>
      </c>
      <c r="G188" s="37">
        <v>3257</v>
      </c>
      <c r="H188" s="24"/>
      <c r="I188" s="36"/>
      <c r="J188" s="8">
        <f t="shared" si="54"/>
        <v>56240</v>
      </c>
      <c r="K188" s="37">
        <f t="shared" si="55"/>
        <v>783.7</v>
      </c>
      <c r="L188" s="37">
        <v>777</v>
      </c>
      <c r="M188" s="37">
        <f t="shared" ref="M188:M196" si="77">(AG$196-AG$186)/10</f>
        <v>201.3</v>
      </c>
      <c r="N188" s="74">
        <f t="shared" ref="N188:N217" si="78">C188+N187</f>
        <v>107180</v>
      </c>
      <c r="O188" s="75">
        <f t="shared" ref="O188:O217" si="79">D188+O187</f>
        <v>84409</v>
      </c>
      <c r="P188" s="75">
        <f t="shared" ref="P188:P216" si="80">E188+P187</f>
        <v>194807</v>
      </c>
      <c r="Q188" s="76">
        <f t="shared" si="76"/>
        <v>9602631</v>
      </c>
      <c r="R188" s="76">
        <f t="shared" si="76"/>
        <v>4725209</v>
      </c>
      <c r="S188" s="76">
        <f t="shared" si="76"/>
        <v>14814249</v>
      </c>
      <c r="T188" s="80">
        <f>N188/'2015'!M188-1</f>
        <v>0.16217036780013871</v>
      </c>
      <c r="U188" s="80">
        <f>O188/'2015'!N188-1</f>
        <v>5.0516490354698185E-2</v>
      </c>
      <c r="V188" s="80">
        <f>P188/'2015'!O188-1</f>
        <v>0.10810457218916736</v>
      </c>
      <c r="W188" s="81">
        <f>Q188/'2015'!P188-1</f>
        <v>-2.8268230132492689E-2</v>
      </c>
      <c r="X188" s="81">
        <f>R188/'2015'!Q188-1</f>
        <v>6.8873825534933486E-2</v>
      </c>
      <c r="Y188" s="81">
        <f>S188/'2015'!R188-1</f>
        <v>1.4635185058224032E-2</v>
      </c>
      <c r="Z188" s="50">
        <f>Z$186+0.374*2</f>
        <v>85.25500000000001</v>
      </c>
      <c r="AA188" s="97">
        <f t="shared" si="56"/>
        <v>875.00810000000001</v>
      </c>
      <c r="AB188" s="105"/>
      <c r="AC188" s="105"/>
      <c r="AD188" s="8">
        <f t="shared" si="57"/>
        <v>10089040</v>
      </c>
      <c r="AE188" s="37">
        <f t="shared" si="62"/>
        <v>321409.40000000002</v>
      </c>
      <c r="AF188" s="37">
        <f t="shared" si="62"/>
        <v>141232</v>
      </c>
      <c r="AG188" s="37">
        <f t="shared" si="58"/>
        <v>23767.599999999977</v>
      </c>
    </row>
    <row r="189" spans="1:33" ht="15" customHeight="1" x14ac:dyDescent="0.15">
      <c r="A189" s="102">
        <v>42554</v>
      </c>
      <c r="B189" s="20" t="s">
        <v>1</v>
      </c>
      <c r="C189" s="8">
        <v>51889</v>
      </c>
      <c r="D189" s="37">
        <v>41685</v>
      </c>
      <c r="E189" s="37">
        <v>94939</v>
      </c>
      <c r="F189" s="8">
        <v>4510</v>
      </c>
      <c r="G189" s="37">
        <v>3279</v>
      </c>
      <c r="H189" s="24"/>
      <c r="I189" s="36"/>
      <c r="J189" s="8">
        <f t="shared" si="54"/>
        <v>53254</v>
      </c>
      <c r="K189" s="37">
        <f t="shared" si="55"/>
        <v>386.70000000000005</v>
      </c>
      <c r="L189" s="37">
        <v>777</v>
      </c>
      <c r="M189" s="37">
        <f t="shared" si="77"/>
        <v>201.3</v>
      </c>
      <c r="N189" s="74">
        <f t="shared" si="78"/>
        <v>159069</v>
      </c>
      <c r="O189" s="75">
        <f t="shared" si="79"/>
        <v>126094</v>
      </c>
      <c r="P189" s="75">
        <f t="shared" si="80"/>
        <v>289746</v>
      </c>
      <c r="Q189" s="76">
        <f t="shared" si="76"/>
        <v>9654520</v>
      </c>
      <c r="R189" s="76">
        <f t="shared" si="76"/>
        <v>4766894</v>
      </c>
      <c r="S189" s="76">
        <f t="shared" si="76"/>
        <v>14909188</v>
      </c>
      <c r="T189" s="80">
        <f>N189/'2015'!M189-1</f>
        <v>0.16726472206934506</v>
      </c>
      <c r="U189" s="80">
        <f>O189/'2015'!N189-1</f>
        <v>5.3108948928884514E-2</v>
      </c>
      <c r="V189" s="80">
        <f>P189/'2015'!O189-1</f>
        <v>0.10636949241854365</v>
      </c>
      <c r="W189" s="81">
        <f>Q189/'2015'!P189-1</f>
        <v>-2.7353136622221941E-2</v>
      </c>
      <c r="X189" s="81">
        <f>R189/'2015'!Q189-1</f>
        <v>6.8781317816265508E-2</v>
      </c>
      <c r="Y189" s="81">
        <f>S189/'2015'!R189-1</f>
        <v>1.5152123826162267E-2</v>
      </c>
      <c r="Z189" s="50">
        <f>Z$186+0.374*3</f>
        <v>85.629000000000005</v>
      </c>
      <c r="AA189" s="97">
        <f t="shared" si="56"/>
        <v>879.82299999999998</v>
      </c>
      <c r="AB189" s="105"/>
      <c r="AC189" s="105"/>
      <c r="AD189" s="8">
        <f t="shared" si="57"/>
        <v>10142294</v>
      </c>
      <c r="AE189" s="37">
        <f t="shared" si="62"/>
        <v>321796.10000000003</v>
      </c>
      <c r="AF189" s="37">
        <f t="shared" si="62"/>
        <v>142009</v>
      </c>
      <c r="AG189" s="37">
        <f t="shared" si="58"/>
        <v>23968.899999999965</v>
      </c>
    </row>
    <row r="190" spans="1:33" ht="15" customHeight="1" x14ac:dyDescent="0.15">
      <c r="A190" s="102">
        <v>42555</v>
      </c>
      <c r="B190" s="20" t="s">
        <v>34</v>
      </c>
      <c r="C190" s="8">
        <v>59754</v>
      </c>
      <c r="D190" s="37">
        <v>42673</v>
      </c>
      <c r="E190" s="37">
        <v>104641</v>
      </c>
      <c r="F190" s="8">
        <v>5257</v>
      </c>
      <c r="G190" s="37">
        <v>3257</v>
      </c>
      <c r="H190" s="24"/>
      <c r="I190" s="36"/>
      <c r="J190" s="8">
        <f t="shared" si="54"/>
        <v>61968</v>
      </c>
      <c r="K190" s="37">
        <f t="shared" si="55"/>
        <v>1238.7</v>
      </c>
      <c r="L190" s="37">
        <v>774</v>
      </c>
      <c r="M190" s="37">
        <f t="shared" si="77"/>
        <v>201.3</v>
      </c>
      <c r="N190" s="74">
        <f t="shared" si="78"/>
        <v>218823</v>
      </c>
      <c r="O190" s="75">
        <f t="shared" si="79"/>
        <v>168767</v>
      </c>
      <c r="P190" s="75">
        <f t="shared" si="80"/>
        <v>394387</v>
      </c>
      <c r="Q190" s="76">
        <f t="shared" si="76"/>
        <v>9714274</v>
      </c>
      <c r="R190" s="76">
        <f t="shared" si="76"/>
        <v>4809567</v>
      </c>
      <c r="S190" s="76">
        <f t="shared" si="76"/>
        <v>15013829</v>
      </c>
      <c r="T190" s="80">
        <f>N190/'2015'!M190-1</f>
        <v>0.24109826786301713</v>
      </c>
      <c r="U190" s="80">
        <f>O190/'2015'!N190-1</f>
        <v>8.3006057805842248E-2</v>
      </c>
      <c r="V190" s="80">
        <f>P190/'2015'!O190-1</f>
        <v>0.15653298456341203</v>
      </c>
      <c r="W190" s="81">
        <f>Q190/'2015'!P190-1</f>
        <v>-2.5265031832517271E-2</v>
      </c>
      <c r="X190" s="81">
        <f>R190/'2015'!Q190-1</f>
        <v>6.9691683098995538E-2</v>
      </c>
      <c r="Y190" s="81">
        <f>S190/'2015'!R190-1</f>
        <v>1.6799391403348851E-2</v>
      </c>
      <c r="Z190" s="50">
        <f>Z$186+0.374*4</f>
        <v>86.003</v>
      </c>
      <c r="AA190" s="97">
        <f t="shared" si="56"/>
        <v>885.42439999999999</v>
      </c>
      <c r="AB190" s="105"/>
      <c r="AC190" s="105"/>
      <c r="AD190" s="8">
        <f t="shared" si="57"/>
        <v>10204262</v>
      </c>
      <c r="AE190" s="37">
        <f t="shared" si="62"/>
        <v>323034.80000000005</v>
      </c>
      <c r="AF190" s="37">
        <f t="shared" si="62"/>
        <v>142783</v>
      </c>
      <c r="AG190" s="37">
        <f t="shared" si="58"/>
        <v>24170.199999999953</v>
      </c>
    </row>
    <row r="191" spans="1:33" ht="15" customHeight="1" x14ac:dyDescent="0.15">
      <c r="A191" s="102">
        <v>42556</v>
      </c>
      <c r="B191" s="20" t="s">
        <v>35</v>
      </c>
      <c r="C191" s="8">
        <v>60696</v>
      </c>
      <c r="D191" s="37">
        <v>43664</v>
      </c>
      <c r="E191" s="37">
        <v>107756</v>
      </c>
      <c r="F191" s="8">
        <v>5424</v>
      </c>
      <c r="G191" s="37">
        <v>3505</v>
      </c>
      <c r="H191" s="24"/>
      <c r="I191" s="36"/>
      <c r="J191" s="8">
        <f t="shared" si="54"/>
        <v>64092</v>
      </c>
      <c r="K191" s="37">
        <f t="shared" si="55"/>
        <v>2419.6999999999998</v>
      </c>
      <c r="L191" s="37">
        <v>775</v>
      </c>
      <c r="M191" s="37">
        <f t="shared" si="77"/>
        <v>201.3</v>
      </c>
      <c r="N191" s="74">
        <f t="shared" si="78"/>
        <v>279519</v>
      </c>
      <c r="O191" s="75">
        <f t="shared" si="79"/>
        <v>212431</v>
      </c>
      <c r="P191" s="75">
        <f t="shared" si="80"/>
        <v>502143</v>
      </c>
      <c r="Q191" s="76">
        <f t="shared" si="76"/>
        <v>9774970</v>
      </c>
      <c r="R191" s="76">
        <f t="shared" si="76"/>
        <v>4853231</v>
      </c>
      <c r="S191" s="76">
        <f t="shared" si="76"/>
        <v>15121585</v>
      </c>
      <c r="T191" s="80">
        <f>N191/'2015'!M191-1</f>
        <v>0.34573702378831728</v>
      </c>
      <c r="U191" s="80">
        <f>O191/'2015'!N191-1</f>
        <v>0.10777309609728625</v>
      </c>
      <c r="V191" s="80">
        <f>P191/'2015'!O191-1</f>
        <v>0.21978254215796311</v>
      </c>
      <c r="W191" s="81">
        <f>Q191/'2015'!P191-1</f>
        <v>-2.2254652681781173E-2</v>
      </c>
      <c r="X191" s="81">
        <f>R191/'2015'!Q191-1</f>
        <v>7.0845183853138094E-2</v>
      </c>
      <c r="Y191" s="81">
        <f>S191/'2015'!R191-1</f>
        <v>1.9219851458885273E-2</v>
      </c>
      <c r="Z191" s="50">
        <f>Z$186+0.374*5</f>
        <v>86.37700000000001</v>
      </c>
      <c r="AA191" s="97">
        <f t="shared" si="56"/>
        <v>891.11999999999989</v>
      </c>
      <c r="AB191" s="105"/>
      <c r="AC191" s="105"/>
      <c r="AD191" s="8">
        <f t="shared" si="57"/>
        <v>10268354</v>
      </c>
      <c r="AE191" s="37">
        <f t="shared" si="62"/>
        <v>325454.50000000006</v>
      </c>
      <c r="AF191" s="37">
        <f t="shared" si="62"/>
        <v>143558</v>
      </c>
      <c r="AG191" s="37">
        <f t="shared" si="58"/>
        <v>24371.499999999942</v>
      </c>
    </row>
    <row r="192" spans="1:33" ht="15" customHeight="1" x14ac:dyDescent="0.15">
      <c r="A192" s="102">
        <v>42557</v>
      </c>
      <c r="B192" s="14" t="s">
        <v>36</v>
      </c>
      <c r="C192" s="32">
        <v>63220</v>
      </c>
      <c r="D192" s="33">
        <v>42723</v>
      </c>
      <c r="E192" s="33">
        <v>109204</v>
      </c>
      <c r="F192" s="59">
        <v>5406</v>
      </c>
      <c r="G192" s="33">
        <v>3550</v>
      </c>
      <c r="H192" s="19"/>
      <c r="I192" s="19"/>
      <c r="J192" s="32">
        <f t="shared" si="54"/>
        <v>66481</v>
      </c>
      <c r="K192" s="33">
        <f t="shared" si="55"/>
        <v>2286.6999999999998</v>
      </c>
      <c r="L192" s="33">
        <v>773</v>
      </c>
      <c r="M192" s="33">
        <f t="shared" si="77"/>
        <v>201.3</v>
      </c>
      <c r="N192" s="77">
        <f t="shared" si="78"/>
        <v>342739</v>
      </c>
      <c r="O192" s="78">
        <f t="shared" si="79"/>
        <v>255154</v>
      </c>
      <c r="P192" s="78">
        <f t="shared" si="80"/>
        <v>611347</v>
      </c>
      <c r="Q192" s="77">
        <f t="shared" si="76"/>
        <v>9838190</v>
      </c>
      <c r="R192" s="77">
        <f t="shared" si="76"/>
        <v>4895954</v>
      </c>
      <c r="S192" s="77">
        <f t="shared" si="76"/>
        <v>15230789</v>
      </c>
      <c r="T192" s="82">
        <f>N192/'2015'!M192-1</f>
        <v>0.41566847305290278</v>
      </c>
      <c r="U192" s="82">
        <f>O192/'2015'!N192-1</f>
        <v>0.11876773053532519</v>
      </c>
      <c r="V192" s="82">
        <f>P192/'2015'!O192-1</f>
        <v>0.25756890075575867</v>
      </c>
      <c r="W192" s="82">
        <f>Q192/'2015'!P192-1</f>
        <v>-1.9305199426188024E-2</v>
      </c>
      <c r="X192" s="82">
        <f>R192/'2015'!Q192-1</f>
        <v>7.1687505595438905E-2</v>
      </c>
      <c r="Y192" s="82">
        <f>S192/'2015'!R192-1</f>
        <v>2.1453434833137885E-2</v>
      </c>
      <c r="Z192" s="49">
        <f>Z$186+0.374*6</f>
        <v>86.751000000000005</v>
      </c>
      <c r="AA192" s="49">
        <f t="shared" si="56"/>
        <v>897.06799999999998</v>
      </c>
      <c r="AB192" s="33">
        <v>4233.1000000000004</v>
      </c>
      <c r="AC192" s="33">
        <f t="shared" si="64"/>
        <v>2119.175072641799</v>
      </c>
      <c r="AD192" s="32">
        <f t="shared" si="57"/>
        <v>10334835</v>
      </c>
      <c r="AE192" s="33">
        <f t="shared" si="62"/>
        <v>327741.20000000007</v>
      </c>
      <c r="AF192" s="33">
        <f t="shared" si="62"/>
        <v>144331</v>
      </c>
      <c r="AG192" s="33">
        <f t="shared" si="58"/>
        <v>24572.79999999993</v>
      </c>
    </row>
    <row r="193" spans="1:33" ht="15" customHeight="1" x14ac:dyDescent="0.15">
      <c r="A193" s="102">
        <v>42558</v>
      </c>
      <c r="B193" s="20" t="s">
        <v>37</v>
      </c>
      <c r="C193" s="8">
        <v>61702</v>
      </c>
      <c r="D193" s="37">
        <v>43508</v>
      </c>
      <c r="E193" s="37">
        <v>109416</v>
      </c>
      <c r="F193" s="55">
        <v>5439</v>
      </c>
      <c r="G193" s="37">
        <v>3619</v>
      </c>
      <c r="H193" s="24"/>
      <c r="I193" s="36"/>
      <c r="J193" s="8">
        <f t="shared" ref="J193:J256" si="81">E193-D193</f>
        <v>65908</v>
      </c>
      <c r="K193" s="37">
        <f t="shared" si="55"/>
        <v>3261.7</v>
      </c>
      <c r="L193" s="37">
        <v>743</v>
      </c>
      <c r="M193" s="37">
        <f t="shared" si="77"/>
        <v>201.3</v>
      </c>
      <c r="N193" s="74">
        <f t="shared" si="78"/>
        <v>404441</v>
      </c>
      <c r="O193" s="75">
        <f t="shared" si="79"/>
        <v>298662</v>
      </c>
      <c r="P193" s="75">
        <f t="shared" si="80"/>
        <v>720763</v>
      </c>
      <c r="Q193" s="76">
        <f t="shared" si="76"/>
        <v>9899892</v>
      </c>
      <c r="R193" s="76">
        <f t="shared" si="76"/>
        <v>4939462</v>
      </c>
      <c r="S193" s="76">
        <f t="shared" si="76"/>
        <v>15340205</v>
      </c>
      <c r="T193" s="80">
        <f>N193/'2015'!M193-1</f>
        <v>0.46615745456786462</v>
      </c>
      <c r="U193" s="80">
        <f>O193/'2015'!N193-1</f>
        <v>0.12498869971372617</v>
      </c>
      <c r="V193" s="80">
        <f>P193/'2015'!O193-1</f>
        <v>0.28342589740256741</v>
      </c>
      <c r="W193" s="81">
        <f>Q193/'2015'!P193-1</f>
        <v>-1.6463194856463637E-2</v>
      </c>
      <c r="X193" s="81">
        <f>R193/'2015'!Q193-1</f>
        <v>7.2428507472861892E-2</v>
      </c>
      <c r="Y193" s="81">
        <f>S193/'2015'!R193-1</f>
        <v>2.361127366635718E-2</v>
      </c>
      <c r="Z193" s="50">
        <f>Z$186+0.374*7</f>
        <v>87.125</v>
      </c>
      <c r="AA193" s="97">
        <f t="shared" si="56"/>
        <v>902.86419999999998</v>
      </c>
      <c r="AB193" s="105">
        <v>4233.1000000000004</v>
      </c>
      <c r="AC193" s="105">
        <f t="shared" si="64"/>
        <v>2132.8676383737684</v>
      </c>
      <c r="AD193" s="8">
        <f t="shared" si="57"/>
        <v>10400743</v>
      </c>
      <c r="AE193" s="37">
        <f t="shared" si="62"/>
        <v>331002.90000000008</v>
      </c>
      <c r="AF193" s="37">
        <f t="shared" si="62"/>
        <v>145074</v>
      </c>
      <c r="AG193" s="37">
        <f t="shared" si="58"/>
        <v>24774.099999999919</v>
      </c>
    </row>
    <row r="194" spans="1:33" ht="15" customHeight="1" x14ac:dyDescent="0.15">
      <c r="A194" s="102">
        <v>42559</v>
      </c>
      <c r="B194" s="20" t="s">
        <v>38</v>
      </c>
      <c r="C194" s="70">
        <v>59348</v>
      </c>
      <c r="D194" s="71">
        <f>31223+11277</f>
        <v>42500</v>
      </c>
      <c r="E194" s="71">
        <v>106407</v>
      </c>
      <c r="F194" s="107">
        <v>5293.4</v>
      </c>
      <c r="G194" s="71">
        <v>3546.5</v>
      </c>
      <c r="H194" s="24"/>
      <c r="I194" s="24"/>
      <c r="J194" s="70">
        <f t="shared" si="81"/>
        <v>63907</v>
      </c>
      <c r="K194" s="71">
        <f t="shared" si="55"/>
        <v>3589.7</v>
      </c>
      <c r="L194" s="71">
        <v>768</v>
      </c>
      <c r="M194" s="71">
        <f t="shared" si="77"/>
        <v>201.3</v>
      </c>
      <c r="N194" s="74">
        <f t="shared" si="78"/>
        <v>463789</v>
      </c>
      <c r="O194" s="75">
        <f t="shared" si="79"/>
        <v>341162</v>
      </c>
      <c r="P194" s="75">
        <f t="shared" si="80"/>
        <v>827170</v>
      </c>
      <c r="Q194" s="76">
        <f t="shared" si="76"/>
        <v>9959240</v>
      </c>
      <c r="R194" s="76">
        <f t="shared" si="76"/>
        <v>4981962</v>
      </c>
      <c r="S194" s="76">
        <f t="shared" si="76"/>
        <v>15446612</v>
      </c>
      <c r="T194" s="80">
        <f>N194/'2015'!M194-1</f>
        <v>0.49043470436439707</v>
      </c>
      <c r="U194" s="80">
        <f>O194/'2015'!N194-1</f>
        <v>0.1300197411131867</v>
      </c>
      <c r="V194" s="80">
        <f>P194/'2015'!O194-1</f>
        <v>0.29645796468152397</v>
      </c>
      <c r="W194" s="81">
        <f>Q194/'2015'!P194-1</f>
        <v>-1.4027421237450377E-2</v>
      </c>
      <c r="X194" s="81">
        <f>R194/'2015'!Q194-1</f>
        <v>7.3168136270559403E-2</v>
      </c>
      <c r="Y194" s="81">
        <f>S194/'2015'!R194-1</f>
        <v>2.5481604069578667E-2</v>
      </c>
      <c r="Z194" s="97">
        <f>Z$186+0.374*8</f>
        <v>87.499000000000009</v>
      </c>
      <c r="AA194" s="97">
        <f t="shared" si="56"/>
        <v>908.42499999999995</v>
      </c>
      <c r="AB194" s="106"/>
      <c r="AC194" s="105"/>
      <c r="AD194" s="70">
        <f t="shared" si="57"/>
        <v>10464650</v>
      </c>
      <c r="AE194" s="71">
        <f t="shared" si="62"/>
        <v>334592.60000000009</v>
      </c>
      <c r="AF194" s="71">
        <f t="shared" si="62"/>
        <v>145842</v>
      </c>
      <c r="AG194" s="71">
        <f t="shared" si="58"/>
        <v>24975.399999999907</v>
      </c>
    </row>
    <row r="195" spans="1:33" ht="15" customHeight="1" x14ac:dyDescent="0.15">
      <c r="A195" s="102">
        <v>42560</v>
      </c>
      <c r="B195" s="20" t="s">
        <v>39</v>
      </c>
      <c r="C195" s="8">
        <v>66859</v>
      </c>
      <c r="D195" s="37">
        <f>19918+10380</f>
        <v>30298</v>
      </c>
      <c r="E195" s="37">
        <v>101470</v>
      </c>
      <c r="F195" s="55">
        <v>5000.6000000000004</v>
      </c>
      <c r="G195" s="37">
        <v>3473.6</v>
      </c>
      <c r="H195" s="24"/>
      <c r="I195" s="36"/>
      <c r="J195" s="8">
        <f t="shared" si="81"/>
        <v>71172</v>
      </c>
      <c r="K195" s="37">
        <f t="shared" si="55"/>
        <v>3354.7</v>
      </c>
      <c r="L195" s="37">
        <v>757</v>
      </c>
      <c r="M195" s="37">
        <f t="shared" si="77"/>
        <v>201.3</v>
      </c>
      <c r="N195" s="74">
        <f t="shared" si="78"/>
        <v>530648</v>
      </c>
      <c r="O195" s="75">
        <f t="shared" si="79"/>
        <v>371460</v>
      </c>
      <c r="P195" s="75">
        <f t="shared" si="80"/>
        <v>928640</v>
      </c>
      <c r="Q195" s="76">
        <f t="shared" si="76"/>
        <v>10026099</v>
      </c>
      <c r="R195" s="76">
        <f t="shared" si="76"/>
        <v>5012260</v>
      </c>
      <c r="S195" s="76">
        <f t="shared" si="76"/>
        <v>15548082</v>
      </c>
      <c r="T195" s="80">
        <f>N195/'2015'!M195-1</f>
        <v>0.52182878250370668</v>
      </c>
      <c r="U195" s="80">
        <f>O195/'2015'!N195-1</f>
        <v>9.7828046542282054E-2</v>
      </c>
      <c r="V195" s="80">
        <f>P195/'2015'!O195-1</f>
        <v>0.29590633481952855</v>
      </c>
      <c r="W195" s="81">
        <f>Q195/'2015'!P195-1</f>
        <v>-1.1081088971838238E-2</v>
      </c>
      <c r="X195" s="81">
        <f>R195/'2015'!Q195-1</f>
        <v>7.1283004309916409E-2</v>
      </c>
      <c r="Y195" s="81">
        <f>S195/'2015'!R195-1</f>
        <v>2.6861655756154068E-2</v>
      </c>
      <c r="Z195" s="50">
        <f>Z$186+0.374*9</f>
        <v>87.873000000000005</v>
      </c>
      <c r="AA195" s="97">
        <f t="shared" si="56"/>
        <v>914.73689999999999</v>
      </c>
      <c r="AB195" s="105"/>
      <c r="AC195" s="105"/>
      <c r="AD195" s="8">
        <f t="shared" si="57"/>
        <v>10535822</v>
      </c>
      <c r="AE195" s="37">
        <f t="shared" si="62"/>
        <v>337947.3000000001</v>
      </c>
      <c r="AF195" s="37">
        <f t="shared" si="62"/>
        <v>146599</v>
      </c>
      <c r="AG195" s="37">
        <f t="shared" si="58"/>
        <v>25176.699999999895</v>
      </c>
    </row>
    <row r="196" spans="1:33" ht="15" customHeight="1" x14ac:dyDescent="0.15">
      <c r="A196" s="102">
        <v>42561</v>
      </c>
      <c r="B196" s="20" t="s">
        <v>1</v>
      </c>
      <c r="C196" s="8">
        <v>64613</v>
      </c>
      <c r="D196" s="37">
        <f>16787+10732</f>
        <v>27519</v>
      </c>
      <c r="E196" s="37">
        <v>95183</v>
      </c>
      <c r="F196" s="55">
        <v>4572.3999999999996</v>
      </c>
      <c r="G196" s="37">
        <v>3322.4</v>
      </c>
      <c r="H196" s="24"/>
      <c r="I196" s="36"/>
      <c r="J196" s="8">
        <f t="shared" si="81"/>
        <v>67664</v>
      </c>
      <c r="K196" s="37">
        <f t="shared" si="55"/>
        <v>2081.6999999999998</v>
      </c>
      <c r="L196" s="37">
        <v>768</v>
      </c>
      <c r="M196" s="37">
        <f t="shared" si="77"/>
        <v>201.3</v>
      </c>
      <c r="N196" s="74">
        <f t="shared" si="78"/>
        <v>595261</v>
      </c>
      <c r="O196" s="75">
        <f t="shared" si="79"/>
        <v>398979</v>
      </c>
      <c r="P196" s="75">
        <f t="shared" si="80"/>
        <v>1023823</v>
      </c>
      <c r="Q196" s="76">
        <f t="shared" si="76"/>
        <v>10090712</v>
      </c>
      <c r="R196" s="76">
        <f t="shared" si="76"/>
        <v>5039779</v>
      </c>
      <c r="S196" s="76">
        <f t="shared" si="76"/>
        <v>15643265</v>
      </c>
      <c r="T196" s="80">
        <f>N196/'2015'!M196-1</f>
        <v>0.54386679288835871</v>
      </c>
      <c r="U196" s="80">
        <f>O196/'2015'!N196-1</f>
        <v>7.4068889397385984E-2</v>
      </c>
      <c r="V196" s="80">
        <f>P196/'2015'!O196-1</f>
        <v>0.29351752299106892</v>
      </c>
      <c r="W196" s="81">
        <f>Q196/'2015'!P196-1</f>
        <v>-8.3148261312324667E-3</v>
      </c>
      <c r="X196" s="81">
        <f>R196/'2015'!Q196-1</f>
        <v>6.959642824019685E-2</v>
      </c>
      <c r="Y196" s="81">
        <f>S196/'2015'!R196-1</f>
        <v>2.8061874304527334E-2</v>
      </c>
      <c r="Z196" s="50">
        <v>88.247799999999998</v>
      </c>
      <c r="AA196" s="97">
        <f t="shared" si="56"/>
        <v>920.82339999999999</v>
      </c>
      <c r="AB196" s="105">
        <v>4233.1000000000004</v>
      </c>
      <c r="AC196" s="105">
        <f t="shared" si="64"/>
        <v>2175.2932838817887</v>
      </c>
      <c r="AD196" s="8">
        <f t="shared" si="57"/>
        <v>10603486</v>
      </c>
      <c r="AE196" s="37">
        <v>340018</v>
      </c>
      <c r="AF196" s="37">
        <v>147378</v>
      </c>
      <c r="AG196" s="37">
        <f t="shared" si="58"/>
        <v>25378</v>
      </c>
    </row>
    <row r="197" spans="1:33" ht="15" customHeight="1" x14ac:dyDescent="0.15">
      <c r="A197" s="102">
        <v>42562</v>
      </c>
      <c r="B197" s="20" t="s">
        <v>34</v>
      </c>
      <c r="C197" s="8">
        <v>63073</v>
      </c>
      <c r="D197" s="37">
        <f>26713+11472</f>
        <v>38185</v>
      </c>
      <c r="E197" s="37">
        <v>103149</v>
      </c>
      <c r="F197" s="55">
        <v>5182.7</v>
      </c>
      <c r="G197" s="37">
        <v>3303.5</v>
      </c>
      <c r="H197" s="24"/>
      <c r="I197" s="36"/>
      <c r="J197" s="8">
        <f t="shared" si="81"/>
        <v>64964</v>
      </c>
      <c r="K197" s="37">
        <f t="shared" si="55"/>
        <v>812.69809523810227</v>
      </c>
      <c r="L197" s="37">
        <v>768</v>
      </c>
      <c r="M197" s="37">
        <f>(AG$217-AG$196)/21</f>
        <v>310.30190476189767</v>
      </c>
      <c r="N197" s="74">
        <f t="shared" si="78"/>
        <v>658334</v>
      </c>
      <c r="O197" s="75">
        <f t="shared" si="79"/>
        <v>437164</v>
      </c>
      <c r="P197" s="75">
        <f t="shared" si="80"/>
        <v>1126972</v>
      </c>
      <c r="Q197" s="76">
        <f t="shared" si="76"/>
        <v>10153785</v>
      </c>
      <c r="R197" s="76">
        <f t="shared" si="76"/>
        <v>5077964</v>
      </c>
      <c r="S197" s="76">
        <f t="shared" si="76"/>
        <v>15746414</v>
      </c>
      <c r="T197" s="80">
        <f>N197/'2015'!M197-1</f>
        <v>0.57111662128331853</v>
      </c>
      <c r="U197" s="80">
        <f>O197/'2015'!N197-1</f>
        <v>0.10978426982265344</v>
      </c>
      <c r="V197" s="80">
        <f>P197/'2015'!O197-1</f>
        <v>0.32357908434708471</v>
      </c>
      <c r="W197" s="81">
        <f>Q197/'2015'!P197-1</f>
        <v>-5.3866398870932031E-3</v>
      </c>
      <c r="X197" s="81">
        <f>R197/'2015'!Q197-1</f>
        <v>7.2589339425605193E-2</v>
      </c>
      <c r="Y197" s="81">
        <f>S197/'2015'!R197-1</f>
        <v>3.0779270504234013E-2</v>
      </c>
      <c r="Z197" s="50">
        <f>Z$196+0.552*1</f>
        <v>88.799800000000005</v>
      </c>
      <c r="AA197" s="97">
        <f t="shared" si="56"/>
        <v>926.57870000000003</v>
      </c>
      <c r="AB197" s="105"/>
      <c r="AC197" s="105"/>
      <c r="AD197" s="8">
        <f t="shared" si="57"/>
        <v>10668450</v>
      </c>
      <c r="AE197" s="37">
        <f t="shared" si="62"/>
        <v>340830.69809523813</v>
      </c>
      <c r="AF197" s="37">
        <f t="shared" si="62"/>
        <v>148146</v>
      </c>
      <c r="AG197" s="37">
        <f t="shared" si="58"/>
        <v>25688.301904761873</v>
      </c>
    </row>
    <row r="198" spans="1:33" ht="15" customHeight="1" x14ac:dyDescent="0.15">
      <c r="A198" s="102">
        <v>42563</v>
      </c>
      <c r="B198" s="20" t="s">
        <v>35</v>
      </c>
      <c r="C198" s="8">
        <v>64121</v>
      </c>
      <c r="D198" s="37">
        <f>31717+11658</f>
        <v>43375</v>
      </c>
      <c r="E198" s="37">
        <v>109289</v>
      </c>
      <c r="F198" s="55">
        <v>5411.8</v>
      </c>
      <c r="G198" s="37">
        <v>3482.4</v>
      </c>
      <c r="H198" s="24"/>
      <c r="I198" s="36"/>
      <c r="J198" s="8">
        <f t="shared" si="81"/>
        <v>65914</v>
      </c>
      <c r="K198" s="37">
        <f t="shared" ref="K198:K261" si="82">J198-C198-M198-L198</f>
        <v>716.69809523810227</v>
      </c>
      <c r="L198" s="37">
        <v>766</v>
      </c>
      <c r="M198" s="37">
        <f t="shared" ref="M198:M217" si="83">(AG$217-AG$196)/21</f>
        <v>310.30190476189767</v>
      </c>
      <c r="N198" s="74">
        <f t="shared" si="78"/>
        <v>722455</v>
      </c>
      <c r="O198" s="75">
        <f t="shared" si="79"/>
        <v>480539</v>
      </c>
      <c r="P198" s="75">
        <f t="shared" si="80"/>
        <v>1236261</v>
      </c>
      <c r="Q198" s="76">
        <f t="shared" si="76"/>
        <v>10217906</v>
      </c>
      <c r="R198" s="76">
        <f t="shared" si="76"/>
        <v>5121339</v>
      </c>
      <c r="S198" s="76">
        <f t="shared" si="76"/>
        <v>15855703</v>
      </c>
      <c r="T198" s="80">
        <f>N198/'2015'!M198-1</f>
        <v>0.55988945146768287</v>
      </c>
      <c r="U198" s="80">
        <f>O198/'2015'!N198-1</f>
        <v>0.14894140993915039</v>
      </c>
      <c r="V198" s="80">
        <f>P198/'2015'!O198-1</f>
        <v>0.33994457095600472</v>
      </c>
      <c r="W198" s="81">
        <f>Q198/'2015'!P198-1</f>
        <v>-3.4128887266799968E-3</v>
      </c>
      <c r="X198" s="81">
        <f>R198/'2015'!Q198-1</f>
        <v>7.622108123113569E-2</v>
      </c>
      <c r="Y198" s="81">
        <f>S198/'2015'!R198-1</f>
        <v>3.3120754244403638E-2</v>
      </c>
      <c r="Z198" s="50">
        <f>Z$196+0.552*2</f>
        <v>89.351799999999997</v>
      </c>
      <c r="AA198" s="97">
        <f t="shared" ref="AA198:AA261" si="84">Q198/10000-Z198</f>
        <v>932.43880000000001</v>
      </c>
      <c r="AB198" s="105"/>
      <c r="AC198" s="105"/>
      <c r="AD198" s="8">
        <f t="shared" ref="AD198:AD261" si="85">S198-R198</f>
        <v>10734364</v>
      </c>
      <c r="AE198" s="37">
        <f t="shared" si="62"/>
        <v>341547.39619047625</v>
      </c>
      <c r="AF198" s="37">
        <f t="shared" si="62"/>
        <v>148912</v>
      </c>
      <c r="AG198" s="37">
        <f t="shared" ref="AG198:AG261" si="86">AD198-Q198-AE198-AF198</f>
        <v>25998.603809523745</v>
      </c>
    </row>
    <row r="199" spans="1:33" ht="15" customHeight="1" x14ac:dyDescent="0.15">
      <c r="A199" s="102">
        <v>42564</v>
      </c>
      <c r="B199" s="14" t="s">
        <v>36</v>
      </c>
      <c r="C199" s="32">
        <v>70308</v>
      </c>
      <c r="D199" s="33">
        <v>41578</v>
      </c>
      <c r="E199" s="33">
        <v>114980</v>
      </c>
      <c r="F199" s="59">
        <v>5684</v>
      </c>
      <c r="G199" s="33">
        <v>3674</v>
      </c>
      <c r="H199" s="19"/>
      <c r="I199" s="19"/>
      <c r="J199" s="32">
        <f t="shared" si="81"/>
        <v>73402</v>
      </c>
      <c r="K199" s="33">
        <f t="shared" si="82"/>
        <v>2018.6980952381023</v>
      </c>
      <c r="L199" s="33">
        <v>765</v>
      </c>
      <c r="M199" s="33">
        <f t="shared" si="83"/>
        <v>310.30190476189767</v>
      </c>
      <c r="N199" s="77">
        <f t="shared" si="78"/>
        <v>792763</v>
      </c>
      <c r="O199" s="78">
        <f t="shared" si="79"/>
        <v>522117</v>
      </c>
      <c r="P199" s="78">
        <f t="shared" si="80"/>
        <v>1351241</v>
      </c>
      <c r="Q199" s="77">
        <f t="shared" si="76"/>
        <v>10288214</v>
      </c>
      <c r="R199" s="77">
        <f t="shared" si="76"/>
        <v>5162917</v>
      </c>
      <c r="S199" s="77">
        <f t="shared" si="76"/>
        <v>15970683</v>
      </c>
      <c r="T199" s="82">
        <f>N199/'2015'!M199-1</f>
        <v>0.53501777512721405</v>
      </c>
      <c r="U199" s="82">
        <f>O199/'2015'!N199-1</f>
        <v>0.15688959497995847</v>
      </c>
      <c r="V199" s="82">
        <f>P199/'2015'!O199-1</f>
        <v>0.33614919484423433</v>
      </c>
      <c r="W199" s="82">
        <f>Q199/'2015'!P199-1</f>
        <v>-1.7456474036757763E-3</v>
      </c>
      <c r="X199" s="82">
        <f>R199/'2015'!Q199-1</f>
        <v>7.7471509571661157E-2</v>
      </c>
      <c r="Y199" s="82">
        <f>S199/'2015'!R199-1</f>
        <v>3.4634680093236225E-2</v>
      </c>
      <c r="Z199" s="49">
        <f>Z$196+0.552*3</f>
        <v>89.903800000000004</v>
      </c>
      <c r="AA199" s="49">
        <f t="shared" si="84"/>
        <v>938.91759999999999</v>
      </c>
      <c r="AB199" s="33">
        <v>4233.1000000000004</v>
      </c>
      <c r="AC199" s="33">
        <f t="shared" si="64"/>
        <v>2218.0378446056079</v>
      </c>
      <c r="AD199" s="32">
        <f t="shared" si="85"/>
        <v>10807766</v>
      </c>
      <c r="AE199" s="33">
        <f t="shared" ref="AE199:AF262" si="87">AE198+K199</f>
        <v>343566.09428571438</v>
      </c>
      <c r="AF199" s="33">
        <f t="shared" si="87"/>
        <v>149677</v>
      </c>
      <c r="AG199" s="33">
        <f t="shared" si="86"/>
        <v>26308.905714285618</v>
      </c>
    </row>
    <row r="200" spans="1:33" ht="15" customHeight="1" x14ac:dyDescent="0.15">
      <c r="A200" s="102">
        <v>42565</v>
      </c>
      <c r="B200" s="20" t="s">
        <v>37</v>
      </c>
      <c r="C200" s="8">
        <v>70257</v>
      </c>
      <c r="D200" s="37">
        <v>43334</v>
      </c>
      <c r="E200" s="37">
        <v>115434</v>
      </c>
      <c r="F200" s="55">
        <v>5731</v>
      </c>
      <c r="G200" s="37">
        <v>3797</v>
      </c>
      <c r="H200" s="24"/>
      <c r="I200" s="36"/>
      <c r="J200" s="8">
        <f t="shared" si="81"/>
        <v>72100</v>
      </c>
      <c r="K200" s="37">
        <f t="shared" si="82"/>
        <v>768.69809523810227</v>
      </c>
      <c r="L200" s="37">
        <v>764</v>
      </c>
      <c r="M200" s="37">
        <f t="shared" si="83"/>
        <v>310.30190476189767</v>
      </c>
      <c r="N200" s="74">
        <f t="shared" si="78"/>
        <v>863020</v>
      </c>
      <c r="O200" s="75">
        <f t="shared" si="79"/>
        <v>565451</v>
      </c>
      <c r="P200" s="75">
        <f t="shared" si="80"/>
        <v>1466675</v>
      </c>
      <c r="Q200" s="76">
        <f t="shared" si="76"/>
        <v>10358471</v>
      </c>
      <c r="R200" s="76">
        <f t="shared" si="76"/>
        <v>5206251</v>
      </c>
      <c r="S200" s="76">
        <f t="shared" si="76"/>
        <v>16086117</v>
      </c>
      <c r="T200" s="80">
        <f>N200/'2015'!M200-1</f>
        <v>0.49860301484850211</v>
      </c>
      <c r="U200" s="80">
        <f>O200/'2015'!N200-1</f>
        <v>0.16143615655585331</v>
      </c>
      <c r="V200" s="80">
        <f>P200/'2015'!O200-1</f>
        <v>0.3242971633715932</v>
      </c>
      <c r="W200" s="81">
        <f>Q200/'2015'!P200-1</f>
        <v>-6.9122627883133614E-4</v>
      </c>
      <c r="X200" s="81">
        <f>R200/'2015'!Q200-1</f>
        <v>7.8514828656783386E-2</v>
      </c>
      <c r="Y200" s="81">
        <f>S200/'2015'!R200-1</f>
        <v>3.5657360475865874E-2</v>
      </c>
      <c r="Z200" s="50">
        <f>Z$196+0.552*4</f>
        <v>90.455799999999996</v>
      </c>
      <c r="AA200" s="97">
        <f t="shared" si="84"/>
        <v>945.3913</v>
      </c>
      <c r="AB200" s="105">
        <v>4233.1000000000004</v>
      </c>
      <c r="AC200" s="105">
        <f t="shared" si="64"/>
        <v>2233.3308922539036</v>
      </c>
      <c r="AD200" s="8">
        <f t="shared" si="85"/>
        <v>10879866</v>
      </c>
      <c r="AE200" s="37">
        <f t="shared" si="87"/>
        <v>344334.79238095251</v>
      </c>
      <c r="AF200" s="37">
        <f t="shared" si="87"/>
        <v>150441</v>
      </c>
      <c r="AG200" s="37">
        <f t="shared" si="86"/>
        <v>26619.207619047491</v>
      </c>
    </row>
    <row r="201" spans="1:33" ht="15" customHeight="1" x14ac:dyDescent="0.15">
      <c r="A201" s="102">
        <v>42566</v>
      </c>
      <c r="B201" s="20" t="s">
        <v>38</v>
      </c>
      <c r="C201" s="70">
        <v>73242</v>
      </c>
      <c r="D201" s="71">
        <f>31936+11531</f>
        <v>43467</v>
      </c>
      <c r="E201" s="71">
        <v>118759</v>
      </c>
      <c r="F201" s="107">
        <v>5856.3</v>
      </c>
      <c r="G201" s="71">
        <v>3792.9</v>
      </c>
      <c r="H201" s="24"/>
      <c r="I201" s="24"/>
      <c r="J201" s="70">
        <f t="shared" si="81"/>
        <v>75292</v>
      </c>
      <c r="K201" s="71">
        <f t="shared" si="82"/>
        <v>975.69809523810227</v>
      </c>
      <c r="L201" s="71">
        <v>764</v>
      </c>
      <c r="M201" s="71">
        <f t="shared" si="83"/>
        <v>310.30190476189767</v>
      </c>
      <c r="N201" s="74">
        <f t="shared" si="78"/>
        <v>936262</v>
      </c>
      <c r="O201" s="75">
        <f t="shared" si="79"/>
        <v>608918</v>
      </c>
      <c r="P201" s="75">
        <f t="shared" si="80"/>
        <v>1585434</v>
      </c>
      <c r="Q201" s="76">
        <f t="shared" si="76"/>
        <v>10431713</v>
      </c>
      <c r="R201" s="76">
        <f t="shared" si="76"/>
        <v>5249718</v>
      </c>
      <c r="S201" s="76">
        <f t="shared" si="76"/>
        <v>16204876</v>
      </c>
      <c r="T201" s="80">
        <f>N201/'2015'!M201-1</f>
        <v>0.47512525602646916</v>
      </c>
      <c r="U201" s="80">
        <f>O201/'2015'!N201-1</f>
        <v>0.16104687523834227</v>
      </c>
      <c r="V201" s="80">
        <f>P201/'2015'!O201-1</f>
        <v>0.31528171263361804</v>
      </c>
      <c r="W201" s="81">
        <f>Q201/'2015'!P201-1</f>
        <v>6.9643941989094849E-4</v>
      </c>
      <c r="X201" s="81">
        <f>R201/'2015'!Q201-1</f>
        <v>7.9113771834727675E-2</v>
      </c>
      <c r="Y201" s="81">
        <f>S201/'2015'!R201-1</f>
        <v>3.6769681180486957E-2</v>
      </c>
      <c r="Z201" s="97">
        <f>Z$196+0.552*5</f>
        <v>91.007800000000003</v>
      </c>
      <c r="AA201" s="97">
        <f t="shared" si="84"/>
        <v>952.1635</v>
      </c>
      <c r="AB201" s="106"/>
      <c r="AC201" s="105"/>
      <c r="AD201" s="70">
        <f t="shared" si="85"/>
        <v>10955158</v>
      </c>
      <c r="AE201" s="71">
        <f t="shared" si="87"/>
        <v>345310.49047619064</v>
      </c>
      <c r="AF201" s="71">
        <f t="shared" si="87"/>
        <v>151205</v>
      </c>
      <c r="AG201" s="71">
        <f t="shared" si="86"/>
        <v>26929.509523809364</v>
      </c>
    </row>
    <row r="202" spans="1:33" ht="15" customHeight="1" x14ac:dyDescent="0.15">
      <c r="A202" s="102">
        <v>42567</v>
      </c>
      <c r="B202" s="20" t="s">
        <v>39</v>
      </c>
      <c r="C202" s="8">
        <v>63749</v>
      </c>
      <c r="D202" s="37">
        <f>30344+11690</f>
        <v>42034</v>
      </c>
      <c r="E202" s="37">
        <v>107196</v>
      </c>
      <c r="F202" s="55">
        <v>5184.3</v>
      </c>
      <c r="G202" s="37">
        <v>3862.4</v>
      </c>
      <c r="H202" s="24"/>
      <c r="I202" s="36"/>
      <c r="J202" s="8">
        <f t="shared" si="81"/>
        <v>65162</v>
      </c>
      <c r="K202" s="37">
        <f t="shared" si="82"/>
        <v>340.69809523810227</v>
      </c>
      <c r="L202" s="37">
        <v>762</v>
      </c>
      <c r="M202" s="37">
        <f t="shared" si="83"/>
        <v>310.30190476189767</v>
      </c>
      <c r="N202" s="74">
        <f t="shared" si="78"/>
        <v>1000011</v>
      </c>
      <c r="O202" s="75">
        <f t="shared" si="79"/>
        <v>650952</v>
      </c>
      <c r="P202" s="75">
        <f t="shared" si="80"/>
        <v>1692630</v>
      </c>
      <c r="Q202" s="76">
        <f t="shared" si="76"/>
        <v>10495462</v>
      </c>
      <c r="R202" s="76">
        <f t="shared" si="76"/>
        <v>5291752</v>
      </c>
      <c r="S202" s="76">
        <f t="shared" si="76"/>
        <v>16312072</v>
      </c>
      <c r="T202" s="80">
        <f>N202/'2015'!M202-1</f>
        <v>0.43712572268664829</v>
      </c>
      <c r="U202" s="80">
        <f>O202/'2015'!N202-1</f>
        <v>0.16277349967043397</v>
      </c>
      <c r="V202" s="80">
        <f>P202/'2015'!O202-1</f>
        <v>0.29916092546881323</v>
      </c>
      <c r="W202" s="81">
        <f>Q202/'2015'!P202-1</f>
        <v>9.4110071398900708E-4</v>
      </c>
      <c r="X202" s="81">
        <f>R202/'2015'!Q202-1</f>
        <v>7.9902445056980076E-2</v>
      </c>
      <c r="Y202" s="81">
        <f>S202/'2015'!R202-1</f>
        <v>3.716027380859499E-2</v>
      </c>
      <c r="Z202" s="50">
        <f>Z$196+0.552*6</f>
        <v>91.559799999999996</v>
      </c>
      <c r="AA202" s="97">
        <f t="shared" si="84"/>
        <v>957.9864</v>
      </c>
      <c r="AB202" s="105"/>
      <c r="AC202" s="105"/>
      <c r="AD202" s="8">
        <f t="shared" si="85"/>
        <v>11020320</v>
      </c>
      <c r="AE202" s="37">
        <f t="shared" si="87"/>
        <v>345651.18857142876</v>
      </c>
      <c r="AF202" s="37">
        <f t="shared" si="87"/>
        <v>151967</v>
      </c>
      <c r="AG202" s="37">
        <f t="shared" si="86"/>
        <v>27239.811428571236</v>
      </c>
    </row>
    <row r="203" spans="1:33" ht="15" customHeight="1" x14ac:dyDescent="0.15">
      <c r="A203" s="102">
        <v>42568</v>
      </c>
      <c r="B203" s="20" t="s">
        <v>1</v>
      </c>
      <c r="C203" s="8">
        <v>56955</v>
      </c>
      <c r="D203" s="37">
        <f>31061+11476</f>
        <v>42537</v>
      </c>
      <c r="E203" s="37">
        <v>100767</v>
      </c>
      <c r="F203" s="55">
        <v>4765.5</v>
      </c>
      <c r="G203" s="37">
        <v>3467.8</v>
      </c>
      <c r="H203" s="24"/>
      <c r="I203" s="36"/>
      <c r="J203" s="8">
        <f t="shared" si="81"/>
        <v>58230</v>
      </c>
      <c r="K203" s="37">
        <f t="shared" si="82"/>
        <v>203.69809523810227</v>
      </c>
      <c r="L203" s="37">
        <v>761</v>
      </c>
      <c r="M203" s="37">
        <f t="shared" si="83"/>
        <v>310.30190476189767</v>
      </c>
      <c r="N203" s="74">
        <f t="shared" si="78"/>
        <v>1056966</v>
      </c>
      <c r="O203" s="75">
        <f t="shared" si="79"/>
        <v>693489</v>
      </c>
      <c r="P203" s="75">
        <f t="shared" si="80"/>
        <v>1793397</v>
      </c>
      <c r="Q203" s="76">
        <f t="shared" ref="Q203:S217" si="88">Q$186+N203</f>
        <v>10552417</v>
      </c>
      <c r="R203" s="76">
        <f t="shared" si="88"/>
        <v>5334289</v>
      </c>
      <c r="S203" s="76">
        <f t="shared" si="88"/>
        <v>16412839</v>
      </c>
      <c r="T203" s="80">
        <f>N203/'2015'!M203-1</f>
        <v>0.40840727598341831</v>
      </c>
      <c r="U203" s="80">
        <f>O203/'2015'!N203-1</f>
        <v>0.15487570109644166</v>
      </c>
      <c r="V203" s="80">
        <f>P203/'2015'!O203-1</f>
        <v>0.28161852668649523</v>
      </c>
      <c r="W203" s="81">
        <f>Q203/'2015'!P203-1</f>
        <v>1.156996503489216E-3</v>
      </c>
      <c r="X203" s="81">
        <f>R203/'2015'!Q203-1</f>
        <v>7.9624576542530745E-2</v>
      </c>
      <c r="Y203" s="81">
        <f>S203/'2015'!R203-1</f>
        <v>3.7206064400429506E-2</v>
      </c>
      <c r="Z203" s="50">
        <f>Z$196+0.552*7</f>
        <v>92.111800000000002</v>
      </c>
      <c r="AA203" s="97">
        <f t="shared" si="84"/>
        <v>963.12990000000002</v>
      </c>
      <c r="AB203" s="105"/>
      <c r="AC203" s="105"/>
      <c r="AD203" s="8">
        <f t="shared" si="85"/>
        <v>11078550</v>
      </c>
      <c r="AE203" s="37">
        <f t="shared" si="87"/>
        <v>345854.88666666689</v>
      </c>
      <c r="AF203" s="37">
        <f t="shared" si="87"/>
        <v>152728</v>
      </c>
      <c r="AG203" s="37">
        <f t="shared" si="86"/>
        <v>27550.113333333109</v>
      </c>
    </row>
    <row r="204" spans="1:33" ht="15" customHeight="1" x14ac:dyDescent="0.15">
      <c r="A204" s="102">
        <v>42569</v>
      </c>
      <c r="B204" s="20" t="s">
        <v>34</v>
      </c>
      <c r="C204" s="8">
        <v>64186</v>
      </c>
      <c r="D204" s="37">
        <f>30540+11151</f>
        <v>41691</v>
      </c>
      <c r="E204" s="37">
        <v>107478</v>
      </c>
      <c r="F204" s="55">
        <v>5464.3</v>
      </c>
      <c r="G204" s="37">
        <v>3497</v>
      </c>
      <c r="H204" s="24"/>
      <c r="I204" s="36"/>
      <c r="J204" s="8">
        <f t="shared" si="81"/>
        <v>65787</v>
      </c>
      <c r="K204" s="37">
        <f t="shared" si="82"/>
        <v>527.69809523810227</v>
      </c>
      <c r="L204" s="37">
        <v>763</v>
      </c>
      <c r="M204" s="37">
        <f t="shared" si="83"/>
        <v>310.30190476189767</v>
      </c>
      <c r="N204" s="74">
        <f t="shared" si="78"/>
        <v>1121152</v>
      </c>
      <c r="O204" s="75">
        <f t="shared" si="79"/>
        <v>735180</v>
      </c>
      <c r="P204" s="75">
        <f t="shared" si="80"/>
        <v>1900875</v>
      </c>
      <c r="Q204" s="76">
        <f t="shared" si="88"/>
        <v>10616603</v>
      </c>
      <c r="R204" s="76">
        <f t="shared" si="88"/>
        <v>5375980</v>
      </c>
      <c r="S204" s="76">
        <f t="shared" si="88"/>
        <v>16520317</v>
      </c>
      <c r="T204" s="80">
        <f>N204/'2015'!M204-1</f>
        <v>0.39583745740533938</v>
      </c>
      <c r="U204" s="80">
        <f>O204/'2015'!N204-1</f>
        <v>0.14928621006622023</v>
      </c>
      <c r="V204" s="80">
        <f>P204/'2015'!O204-1</f>
        <v>0.27348242297805458</v>
      </c>
      <c r="W204" s="81">
        <f>Q204/'2015'!P204-1</f>
        <v>2.2315756005590881E-3</v>
      </c>
      <c r="X204" s="81">
        <f>R204/'2015'!Q204-1</f>
        <v>7.9498882545827598E-2</v>
      </c>
      <c r="Y204" s="81">
        <f>S204/'2015'!R204-1</f>
        <v>3.7876292043235171E-2</v>
      </c>
      <c r="Z204" s="50">
        <f>Z$196+0.552*8</f>
        <v>92.663799999999995</v>
      </c>
      <c r="AA204" s="97">
        <f t="shared" si="84"/>
        <v>968.99649999999997</v>
      </c>
      <c r="AB204" s="105"/>
      <c r="AC204" s="105"/>
      <c r="AD204" s="8">
        <f t="shared" si="85"/>
        <v>11144337</v>
      </c>
      <c r="AE204" s="37">
        <f t="shared" si="87"/>
        <v>346382.58476190502</v>
      </c>
      <c r="AF204" s="37">
        <f t="shared" si="87"/>
        <v>153491</v>
      </c>
      <c r="AG204" s="37">
        <f t="shared" si="86"/>
        <v>27860.415238094982</v>
      </c>
    </row>
    <row r="205" spans="1:33" ht="15" customHeight="1" x14ac:dyDescent="0.15">
      <c r="A205" s="102">
        <v>42570</v>
      </c>
      <c r="B205" s="20" t="s">
        <v>35</v>
      </c>
      <c r="C205" s="8">
        <v>67415</v>
      </c>
      <c r="D205" s="37">
        <f>30631+11089</f>
        <v>41720</v>
      </c>
      <c r="E205" s="37">
        <v>110450</v>
      </c>
      <c r="F205" s="55">
        <v>5544.7</v>
      </c>
      <c r="G205" s="37">
        <v>3494</v>
      </c>
      <c r="H205" s="24"/>
      <c r="I205" s="36"/>
      <c r="J205" s="8">
        <f t="shared" si="81"/>
        <v>68730</v>
      </c>
      <c r="K205" s="37">
        <f t="shared" si="82"/>
        <v>243.69809523810227</v>
      </c>
      <c r="L205" s="37">
        <v>761</v>
      </c>
      <c r="M205" s="37">
        <f t="shared" si="83"/>
        <v>310.30190476189767</v>
      </c>
      <c r="N205" s="74">
        <f t="shared" si="78"/>
        <v>1188567</v>
      </c>
      <c r="O205" s="75">
        <f t="shared" si="79"/>
        <v>776900</v>
      </c>
      <c r="P205" s="75">
        <f t="shared" si="80"/>
        <v>2011325</v>
      </c>
      <c r="Q205" s="76">
        <f t="shared" si="88"/>
        <v>10684018</v>
      </c>
      <c r="R205" s="76">
        <f t="shared" si="88"/>
        <v>5417700</v>
      </c>
      <c r="S205" s="76">
        <f t="shared" si="88"/>
        <v>16630767</v>
      </c>
      <c r="T205" s="80">
        <f>N205/'2015'!M205-1</f>
        <v>0.39332111046766527</v>
      </c>
      <c r="U205" s="80">
        <f>O205/'2015'!N205-1</f>
        <v>0.14617111867127353</v>
      </c>
      <c r="V205" s="80">
        <f>P205/'2015'!O205-1</f>
        <v>0.27132571335384226</v>
      </c>
      <c r="W205" s="81">
        <f>Q205/'2015'!P205-1</f>
        <v>3.8729473327459019E-3</v>
      </c>
      <c r="X205" s="81">
        <f>R205/'2015'!Q205-1</f>
        <v>7.9608497694794611E-2</v>
      </c>
      <c r="Y205" s="81">
        <f>S205/'2015'!R205-1</f>
        <v>3.897916352477937E-2</v>
      </c>
      <c r="Z205" s="50">
        <f>Z$196+0.552*9</f>
        <v>93.215800000000002</v>
      </c>
      <c r="AA205" s="97">
        <f t="shared" si="84"/>
        <v>975.18600000000015</v>
      </c>
      <c r="AB205" s="105"/>
      <c r="AC205" s="105"/>
      <c r="AD205" s="8">
        <f t="shared" si="85"/>
        <v>11213067</v>
      </c>
      <c r="AE205" s="37">
        <f t="shared" si="87"/>
        <v>346626.28285714315</v>
      </c>
      <c r="AF205" s="37">
        <f t="shared" si="87"/>
        <v>154252</v>
      </c>
      <c r="AG205" s="37">
        <f t="shared" si="86"/>
        <v>28170.717142856854</v>
      </c>
    </row>
    <row r="206" spans="1:33" ht="15" customHeight="1" x14ac:dyDescent="0.15">
      <c r="A206" s="102">
        <v>42571</v>
      </c>
      <c r="B206" s="14" t="s">
        <v>36</v>
      </c>
      <c r="C206" s="32">
        <v>73216</v>
      </c>
      <c r="D206" s="33">
        <f>31178+11085</f>
        <v>42263</v>
      </c>
      <c r="E206" s="33">
        <v>116889</v>
      </c>
      <c r="F206" s="59">
        <v>5747.1</v>
      </c>
      <c r="G206" s="33">
        <v>3676.5</v>
      </c>
      <c r="H206" s="19"/>
      <c r="I206" s="19"/>
      <c r="J206" s="32">
        <f t="shared" si="81"/>
        <v>74626</v>
      </c>
      <c r="K206" s="33">
        <f t="shared" si="82"/>
        <v>341.69809523810227</v>
      </c>
      <c r="L206" s="33">
        <v>758</v>
      </c>
      <c r="M206" s="33">
        <f t="shared" si="83"/>
        <v>310.30190476189767</v>
      </c>
      <c r="N206" s="77">
        <f t="shared" si="78"/>
        <v>1261783</v>
      </c>
      <c r="O206" s="78">
        <f t="shared" si="79"/>
        <v>819163</v>
      </c>
      <c r="P206" s="78">
        <f t="shared" si="80"/>
        <v>2128214</v>
      </c>
      <c r="Q206" s="77">
        <f t="shared" si="88"/>
        <v>10757234</v>
      </c>
      <c r="R206" s="77">
        <f t="shared" si="88"/>
        <v>5459963</v>
      </c>
      <c r="S206" s="77">
        <f t="shared" si="88"/>
        <v>16747656</v>
      </c>
      <c r="T206" s="82">
        <f>N206/'2015'!M206-1</f>
        <v>0.38809705589206622</v>
      </c>
      <c r="U206" s="82">
        <f>O206/'2015'!N206-1</f>
        <v>0.14173037388062304</v>
      </c>
      <c r="V206" s="82">
        <f>P206/'2015'!O206-1</f>
        <v>0.26730096800625014</v>
      </c>
      <c r="W206" s="82">
        <f>Q206/'2015'!P206-1</f>
        <v>5.4659630957059058E-3</v>
      </c>
      <c r="X206" s="82">
        <f>R206/'2015'!Q206-1</f>
        <v>7.9500405408531316E-2</v>
      </c>
      <c r="Y206" s="82">
        <f>S206/'2015'!R206-1</f>
        <v>3.9962697681887427E-2</v>
      </c>
      <c r="Z206" s="49">
        <v>93.766499999999994</v>
      </c>
      <c r="AA206" s="49">
        <f t="shared" si="84"/>
        <v>981.95690000000013</v>
      </c>
      <c r="AB206" s="33">
        <v>4233.1000000000004</v>
      </c>
      <c r="AC206" s="33">
        <f t="shared" ref="AC206:AC263" si="89">AA206*10000/AB206</f>
        <v>2319.7110864378355</v>
      </c>
      <c r="AD206" s="32">
        <f t="shared" si="85"/>
        <v>11287693</v>
      </c>
      <c r="AE206" s="33">
        <f t="shared" si="87"/>
        <v>346967.98095238127</v>
      </c>
      <c r="AF206" s="33">
        <f t="shared" si="87"/>
        <v>155010</v>
      </c>
      <c r="AG206" s="33">
        <f t="shared" si="86"/>
        <v>28481.019047618727</v>
      </c>
    </row>
    <row r="207" spans="1:33" ht="15" customHeight="1" x14ac:dyDescent="0.15">
      <c r="A207" s="102">
        <v>42572</v>
      </c>
      <c r="B207" s="20" t="s">
        <v>37</v>
      </c>
      <c r="C207" s="8">
        <v>76413</v>
      </c>
      <c r="D207" s="37">
        <v>44286</v>
      </c>
      <c r="E207" s="37">
        <v>122815</v>
      </c>
      <c r="F207" s="55">
        <v>6052</v>
      </c>
      <c r="G207" s="37">
        <v>3917</v>
      </c>
      <c r="H207" s="24"/>
      <c r="I207" s="36"/>
      <c r="J207" s="8">
        <f t="shared" si="81"/>
        <v>78529</v>
      </c>
      <c r="K207" s="37">
        <f t="shared" si="82"/>
        <v>1046.6980952381023</v>
      </c>
      <c r="L207" s="37">
        <v>759</v>
      </c>
      <c r="M207" s="37">
        <f t="shared" si="83"/>
        <v>310.30190476189767</v>
      </c>
      <c r="N207" s="74">
        <f t="shared" si="78"/>
        <v>1338196</v>
      </c>
      <c r="O207" s="75">
        <f t="shared" si="79"/>
        <v>863449</v>
      </c>
      <c r="P207" s="75">
        <f t="shared" si="80"/>
        <v>2251029</v>
      </c>
      <c r="Q207" s="76">
        <f t="shared" si="88"/>
        <v>10833647</v>
      </c>
      <c r="R207" s="76">
        <f t="shared" si="88"/>
        <v>5504249</v>
      </c>
      <c r="S207" s="76">
        <f t="shared" si="88"/>
        <v>16870471</v>
      </c>
      <c r="T207" s="80">
        <f>N207/'2015'!M207-1</f>
        <v>0.39167240378795598</v>
      </c>
      <c r="U207" s="80">
        <f>O207/'2015'!N207-1</f>
        <v>0.1384779490100525</v>
      </c>
      <c r="V207" s="80">
        <f>P207/'2015'!O207-1</f>
        <v>0.26872214666599792</v>
      </c>
      <c r="W207" s="81">
        <f>Q207/'2015'!P207-1</f>
        <v>7.6567292577001123E-3</v>
      </c>
      <c r="X207" s="81">
        <f>R207/'2015'!Q207-1</f>
        <v>7.9516396963212888E-2</v>
      </c>
      <c r="Y207" s="81">
        <f>S207/'2015'!R207-1</f>
        <v>4.1450485813519178E-2</v>
      </c>
      <c r="Z207" s="50">
        <f>Z$206+0.71*1</f>
        <v>94.476499999999987</v>
      </c>
      <c r="AA207" s="97">
        <f t="shared" si="84"/>
        <v>988.8882000000001</v>
      </c>
      <c r="AB207" s="105">
        <v>4233.1000000000004</v>
      </c>
      <c r="AC207" s="105">
        <f t="shared" si="89"/>
        <v>2336.0851385509441</v>
      </c>
      <c r="AD207" s="8">
        <f t="shared" si="85"/>
        <v>11366222</v>
      </c>
      <c r="AE207" s="37">
        <f t="shared" si="87"/>
        <v>348014.6790476194</v>
      </c>
      <c r="AF207" s="37">
        <f t="shared" si="87"/>
        <v>155769</v>
      </c>
      <c r="AG207" s="37">
        <f t="shared" si="86"/>
        <v>28791.3209523806</v>
      </c>
    </row>
    <row r="208" spans="1:33" ht="15" customHeight="1" x14ac:dyDescent="0.15">
      <c r="A208" s="102">
        <v>42573</v>
      </c>
      <c r="B208" s="20" t="s">
        <v>38</v>
      </c>
      <c r="C208" s="70">
        <v>79952</v>
      </c>
      <c r="D208" s="71">
        <f>34315+10896</f>
        <v>45211</v>
      </c>
      <c r="E208" s="71">
        <v>127197</v>
      </c>
      <c r="F208" s="107">
        <v>3228.8</v>
      </c>
      <c r="G208" s="71">
        <v>4115.2</v>
      </c>
      <c r="H208" s="24"/>
      <c r="I208" s="24"/>
      <c r="J208" s="70">
        <f t="shared" si="81"/>
        <v>81986</v>
      </c>
      <c r="K208" s="71">
        <f t="shared" si="82"/>
        <v>968.69809523810227</v>
      </c>
      <c r="L208" s="71">
        <v>755</v>
      </c>
      <c r="M208" s="71">
        <f t="shared" si="83"/>
        <v>310.30190476189767</v>
      </c>
      <c r="N208" s="74">
        <f t="shared" si="78"/>
        <v>1418148</v>
      </c>
      <c r="O208" s="75">
        <f t="shared" si="79"/>
        <v>908660</v>
      </c>
      <c r="P208" s="75">
        <f t="shared" si="80"/>
        <v>2378226</v>
      </c>
      <c r="Q208" s="76">
        <f t="shared" si="88"/>
        <v>10913599</v>
      </c>
      <c r="R208" s="76">
        <f t="shared" si="88"/>
        <v>5549460</v>
      </c>
      <c r="S208" s="76">
        <f t="shared" si="88"/>
        <v>16997668</v>
      </c>
      <c r="T208" s="80">
        <f>N208/'2015'!M208-1</f>
        <v>0.39599633023188052</v>
      </c>
      <c r="U208" s="80">
        <f>O208/'2015'!N208-1</f>
        <v>0.13625393586078749</v>
      </c>
      <c r="V208" s="80">
        <f>P208/'2015'!O208-1</f>
        <v>0.27108053491478201</v>
      </c>
      <c r="W208" s="81">
        <f>Q208/'2015'!P208-1</f>
        <v>9.9927621003919054E-3</v>
      </c>
      <c r="X208" s="81">
        <f>R208/'2015'!Q208-1</f>
        <v>7.9643834614375963E-2</v>
      </c>
      <c r="Y208" s="81">
        <f>S208/'2015'!R208-1</f>
        <v>4.3070996487927671E-2</v>
      </c>
      <c r="Z208" s="97">
        <f>Z$206+0.71*2</f>
        <v>95.186499999999995</v>
      </c>
      <c r="AA208" s="97">
        <f t="shared" si="84"/>
        <v>996.1733999999999</v>
      </c>
      <c r="AB208" s="106"/>
      <c r="AC208" s="105"/>
      <c r="AD208" s="70">
        <f t="shared" si="85"/>
        <v>11448208</v>
      </c>
      <c r="AE208" s="71">
        <f t="shared" si="87"/>
        <v>348983.37714285753</v>
      </c>
      <c r="AF208" s="71">
        <f t="shared" si="87"/>
        <v>156524</v>
      </c>
      <c r="AG208" s="71">
        <f t="shared" si="86"/>
        <v>29101.622857142473</v>
      </c>
    </row>
    <row r="209" spans="1:33" ht="15" customHeight="1" x14ac:dyDescent="0.15">
      <c r="A209" s="102">
        <v>42574</v>
      </c>
      <c r="B209" s="20" t="s">
        <v>39</v>
      </c>
      <c r="C209" s="8">
        <v>78303</v>
      </c>
      <c r="D209" s="37">
        <f>35314+10731</f>
        <v>46045</v>
      </c>
      <c r="E209" s="37">
        <v>126589</v>
      </c>
      <c r="F209" s="55">
        <v>6105.1</v>
      </c>
      <c r="G209" s="37">
        <v>4186.1000000000004</v>
      </c>
      <c r="H209" s="24"/>
      <c r="I209" s="36"/>
      <c r="J209" s="8">
        <f t="shared" si="81"/>
        <v>80544</v>
      </c>
      <c r="K209" s="37">
        <f t="shared" si="82"/>
        <v>1176.6980952381023</v>
      </c>
      <c r="L209" s="37">
        <v>754</v>
      </c>
      <c r="M209" s="37">
        <f t="shared" si="83"/>
        <v>310.30190476189767</v>
      </c>
      <c r="N209" s="74">
        <f t="shared" si="78"/>
        <v>1496451</v>
      </c>
      <c r="O209" s="75">
        <f t="shared" si="79"/>
        <v>954705</v>
      </c>
      <c r="P209" s="75">
        <f t="shared" si="80"/>
        <v>2504815</v>
      </c>
      <c r="Q209" s="76">
        <f t="shared" si="88"/>
        <v>10991902</v>
      </c>
      <c r="R209" s="76">
        <f t="shared" si="88"/>
        <v>5595505</v>
      </c>
      <c r="S209" s="76">
        <f t="shared" si="88"/>
        <v>17124257</v>
      </c>
      <c r="T209" s="80">
        <f>N209/'2015'!M209-1</f>
        <v>0.39885302448189797</v>
      </c>
      <c r="U209" s="80">
        <f>O209/'2015'!N209-1</f>
        <v>0.13516029730176404</v>
      </c>
      <c r="V209" s="80">
        <f>P209/'2015'!O209-1</f>
        <v>0.27231218802556589</v>
      </c>
      <c r="W209" s="81">
        <f>Q209/'2015'!P209-1</f>
        <v>1.2190130266310995E-2</v>
      </c>
      <c r="X209" s="81">
        <f>R209/'2015'!Q209-1</f>
        <v>7.9917906626700841E-2</v>
      </c>
      <c r="Y209" s="81">
        <f>S209/'2015'!R209-1</f>
        <v>4.4577550240107788E-2</v>
      </c>
      <c r="Z209" s="50">
        <f>Z$206+0.71*3</f>
        <v>95.896499999999989</v>
      </c>
      <c r="AA209" s="97">
        <f t="shared" si="84"/>
        <v>1003.2937000000001</v>
      </c>
      <c r="AB209" s="105"/>
      <c r="AC209" s="105"/>
      <c r="AD209" s="8">
        <f t="shared" si="85"/>
        <v>11528752</v>
      </c>
      <c r="AE209" s="37">
        <f t="shared" si="87"/>
        <v>350160.07523809565</v>
      </c>
      <c r="AF209" s="37">
        <f t="shared" si="87"/>
        <v>157278</v>
      </c>
      <c r="AG209" s="37">
        <f t="shared" si="86"/>
        <v>29411.924761904345</v>
      </c>
    </row>
    <row r="210" spans="1:33" ht="15" customHeight="1" x14ac:dyDescent="0.15">
      <c r="A210" s="102">
        <v>42575</v>
      </c>
      <c r="B210" s="20" t="s">
        <v>1</v>
      </c>
      <c r="C210" s="8">
        <v>76185</v>
      </c>
      <c r="D210" s="37">
        <f>32660+10660</f>
        <v>43320</v>
      </c>
      <c r="E210" s="37">
        <v>121680</v>
      </c>
      <c r="F210" s="55">
        <v>5730.9</v>
      </c>
      <c r="G210" s="37">
        <v>4197.1000000000004</v>
      </c>
      <c r="H210" s="24"/>
      <c r="I210" s="36"/>
      <c r="J210" s="8">
        <f t="shared" si="81"/>
        <v>78360</v>
      </c>
      <c r="K210" s="37">
        <f t="shared" si="82"/>
        <v>1109.6980952381023</v>
      </c>
      <c r="L210" s="37">
        <v>755</v>
      </c>
      <c r="M210" s="37">
        <f t="shared" si="83"/>
        <v>310.30190476189767</v>
      </c>
      <c r="N210" s="74">
        <f t="shared" si="78"/>
        <v>1572636</v>
      </c>
      <c r="O210" s="75">
        <f t="shared" si="79"/>
        <v>998025</v>
      </c>
      <c r="P210" s="75">
        <f t="shared" si="80"/>
        <v>2626495</v>
      </c>
      <c r="Q210" s="76">
        <f t="shared" si="88"/>
        <v>11068087</v>
      </c>
      <c r="R210" s="76">
        <f t="shared" si="88"/>
        <v>5638825</v>
      </c>
      <c r="S210" s="76">
        <f t="shared" si="88"/>
        <v>17245937</v>
      </c>
      <c r="T210" s="80">
        <f>N210/'2015'!M210-1</f>
        <v>0.3967167339282669</v>
      </c>
      <c r="U210" s="80">
        <f>O210/'2015'!N210-1</f>
        <v>0.13104365061826195</v>
      </c>
      <c r="V210" s="80">
        <f>P210/'2015'!O210-1</f>
        <v>0.26988781548419971</v>
      </c>
      <c r="W210" s="81">
        <f>Q210/'2015'!P210-1</f>
        <v>1.3959886237306707E-2</v>
      </c>
      <c r="X210" s="81">
        <f>R210/'2015'!Q210-1</f>
        <v>7.9659889878549439E-2</v>
      </c>
      <c r="Y210" s="81">
        <f>S210/'2015'!R210-1</f>
        <v>4.5648489358004918E-2</v>
      </c>
      <c r="Z210" s="50">
        <f>Z$206+0.71*4</f>
        <v>96.606499999999997</v>
      </c>
      <c r="AA210" s="97">
        <f t="shared" si="84"/>
        <v>1010.2022000000001</v>
      </c>
      <c r="AB210" s="105"/>
      <c r="AC210" s="105"/>
      <c r="AD210" s="8">
        <f t="shared" si="85"/>
        <v>11607112</v>
      </c>
      <c r="AE210" s="37">
        <f t="shared" si="87"/>
        <v>351269.77333333378</v>
      </c>
      <c r="AF210" s="37">
        <f t="shared" si="87"/>
        <v>158033</v>
      </c>
      <c r="AG210" s="37">
        <f t="shared" si="86"/>
        <v>29722.226666666218</v>
      </c>
    </row>
    <row r="211" spans="1:33" ht="15" customHeight="1" x14ac:dyDescent="0.15">
      <c r="A211" s="102">
        <v>42576</v>
      </c>
      <c r="B211" s="20" t="s">
        <v>34</v>
      </c>
      <c r="C211" s="8">
        <v>80791</v>
      </c>
      <c r="D211" s="37">
        <f>34291+10753</f>
        <v>45044</v>
      </c>
      <c r="E211" s="37">
        <v>127772</v>
      </c>
      <c r="F211" s="55">
        <v>6249.7</v>
      </c>
      <c r="G211" s="37">
        <v>4092.8</v>
      </c>
      <c r="H211" s="24"/>
      <c r="I211" s="36"/>
      <c r="J211" s="8">
        <f t="shared" si="81"/>
        <v>82728</v>
      </c>
      <c r="K211" s="37">
        <f t="shared" si="82"/>
        <v>875.69809523810227</v>
      </c>
      <c r="L211" s="37">
        <v>751</v>
      </c>
      <c r="M211" s="37">
        <f t="shared" si="83"/>
        <v>310.30190476189767</v>
      </c>
      <c r="N211" s="74">
        <f t="shared" si="78"/>
        <v>1653427</v>
      </c>
      <c r="O211" s="75">
        <f t="shared" si="79"/>
        <v>1043069</v>
      </c>
      <c r="P211" s="75">
        <f t="shared" si="80"/>
        <v>2754267</v>
      </c>
      <c r="Q211" s="76">
        <f t="shared" si="88"/>
        <v>11148878</v>
      </c>
      <c r="R211" s="76">
        <f t="shared" si="88"/>
        <v>5683869</v>
      </c>
      <c r="S211" s="76">
        <f t="shared" si="88"/>
        <v>17373709</v>
      </c>
      <c r="T211" s="80">
        <f>N211/'2015'!M211-1</f>
        <v>0.39576819179469869</v>
      </c>
      <c r="U211" s="80">
        <f>O211/'2015'!N211-1</f>
        <v>0.13046772039952836</v>
      </c>
      <c r="V211" s="80">
        <f>P211/'2015'!O211-1</f>
        <v>0.2697659044199614</v>
      </c>
      <c r="W211" s="81">
        <f>Q211/'2015'!P211-1</f>
        <v>1.5902987629430099E-2</v>
      </c>
      <c r="X211" s="81">
        <f>R211/'2015'!Q211-1</f>
        <v>7.9952324440051514E-2</v>
      </c>
      <c r="Y211" s="81">
        <f>S211/'2015'!R211-1</f>
        <v>4.6995039556453344E-2</v>
      </c>
      <c r="Z211" s="50">
        <f>Z$206+0.71*5</f>
        <v>97.316499999999991</v>
      </c>
      <c r="AA211" s="97">
        <f t="shared" si="84"/>
        <v>1017.5713</v>
      </c>
      <c r="AB211" s="105">
        <v>4233.1000000000004</v>
      </c>
      <c r="AC211" s="105">
        <f t="shared" si="89"/>
        <v>2403.8442276345936</v>
      </c>
      <c r="AD211" s="8">
        <f t="shared" si="85"/>
        <v>11689840</v>
      </c>
      <c r="AE211" s="37">
        <f t="shared" si="87"/>
        <v>352145.47142857191</v>
      </c>
      <c r="AF211" s="37">
        <f t="shared" si="87"/>
        <v>158784</v>
      </c>
      <c r="AG211" s="37">
        <f t="shared" si="86"/>
        <v>30032.528571428091</v>
      </c>
    </row>
    <row r="212" spans="1:33" ht="15" customHeight="1" x14ac:dyDescent="0.15">
      <c r="A212" s="102">
        <v>42577</v>
      </c>
      <c r="B212" s="20" t="s">
        <v>35</v>
      </c>
      <c r="C212" s="8">
        <v>82261</v>
      </c>
      <c r="D212" s="37">
        <f>35227+10753</f>
        <v>45980</v>
      </c>
      <c r="E212" s="37">
        <v>130148</v>
      </c>
      <c r="F212" s="55">
        <v>6395</v>
      </c>
      <c r="G212" s="37">
        <v>4256</v>
      </c>
      <c r="H212" s="24"/>
      <c r="I212" s="36"/>
      <c r="J212" s="8">
        <f t="shared" si="81"/>
        <v>84168</v>
      </c>
      <c r="K212" s="37">
        <f t="shared" si="82"/>
        <v>845.69809523810227</v>
      </c>
      <c r="L212" s="37">
        <v>751</v>
      </c>
      <c r="M212" s="37">
        <f t="shared" si="83"/>
        <v>310.30190476189767</v>
      </c>
      <c r="N212" s="74">
        <f t="shared" si="78"/>
        <v>1735688</v>
      </c>
      <c r="O212" s="75">
        <f t="shared" si="79"/>
        <v>1089049</v>
      </c>
      <c r="P212" s="75">
        <f t="shared" si="80"/>
        <v>2884415</v>
      </c>
      <c r="Q212" s="76">
        <f t="shared" si="88"/>
        <v>11231139</v>
      </c>
      <c r="R212" s="76">
        <f t="shared" si="88"/>
        <v>5729849</v>
      </c>
      <c r="S212" s="76">
        <f t="shared" si="88"/>
        <v>17503857</v>
      </c>
      <c r="T212" s="80">
        <f>N212/'2015'!M212-1</f>
        <v>0.39719175154495523</v>
      </c>
      <c r="U212" s="80">
        <f>O212/'2015'!N212-1</f>
        <v>0.13078280083024163</v>
      </c>
      <c r="V212" s="80">
        <f>P212/'2015'!O212-1</f>
        <v>0.27140784192379885</v>
      </c>
      <c r="W212" s="81">
        <f>Q212/'2015'!P212-1</f>
        <v>1.8049003165512278E-2</v>
      </c>
      <c r="X212" s="81">
        <f>R212/'2015'!Q212-1</f>
        <v>8.0394397715160215E-2</v>
      </c>
      <c r="Y212" s="81">
        <f>S212/'2015'!R212-1</f>
        <v>4.8546845608781863E-2</v>
      </c>
      <c r="Z212" s="50">
        <f>Z$206+0.71*6</f>
        <v>98.026499999999999</v>
      </c>
      <c r="AA212" s="97">
        <f t="shared" si="84"/>
        <v>1025.0874000000001</v>
      </c>
      <c r="AB212" s="105"/>
      <c r="AC212" s="105"/>
      <c r="AD212" s="8">
        <f t="shared" si="85"/>
        <v>11774008</v>
      </c>
      <c r="AE212" s="37">
        <f t="shared" si="87"/>
        <v>352991.16952381004</v>
      </c>
      <c r="AF212" s="37">
        <f t="shared" si="87"/>
        <v>159535</v>
      </c>
      <c r="AG212" s="37">
        <f t="shared" si="86"/>
        <v>30342.830476189964</v>
      </c>
    </row>
    <row r="213" spans="1:33" ht="15" customHeight="1" x14ac:dyDescent="0.15">
      <c r="A213" s="102">
        <v>42578</v>
      </c>
      <c r="B213" s="14" t="s">
        <v>36</v>
      </c>
      <c r="C213" s="32">
        <v>80409</v>
      </c>
      <c r="D213" s="33">
        <f>37574+10772</f>
        <v>48346</v>
      </c>
      <c r="E213" s="33">
        <v>130825</v>
      </c>
      <c r="F213" s="59">
        <v>6547</v>
      </c>
      <c r="G213" s="33">
        <v>4291</v>
      </c>
      <c r="H213" s="19"/>
      <c r="I213" s="19"/>
      <c r="J213" s="32">
        <f t="shared" si="81"/>
        <v>82479</v>
      </c>
      <c r="K213" s="33">
        <f t="shared" si="82"/>
        <v>1012.6980952381023</v>
      </c>
      <c r="L213" s="33">
        <v>747</v>
      </c>
      <c r="M213" s="33">
        <f t="shared" si="83"/>
        <v>310.30190476189767</v>
      </c>
      <c r="N213" s="77">
        <f t="shared" si="78"/>
        <v>1816097</v>
      </c>
      <c r="O213" s="78">
        <f t="shared" si="79"/>
        <v>1137395</v>
      </c>
      <c r="P213" s="78">
        <f t="shared" si="80"/>
        <v>3015240</v>
      </c>
      <c r="Q213" s="77">
        <f t="shared" si="88"/>
        <v>11311548</v>
      </c>
      <c r="R213" s="77">
        <f t="shared" si="88"/>
        <v>5778195</v>
      </c>
      <c r="S213" s="77">
        <f t="shared" si="88"/>
        <v>17634682</v>
      </c>
      <c r="T213" s="82">
        <f>N213/'2015'!M213-1</f>
        <v>0.38581522941800395</v>
      </c>
      <c r="U213" s="82">
        <f>O213/'2015'!N213-1</f>
        <v>0.1324586129063412</v>
      </c>
      <c r="V213" s="82">
        <f>P213/'2015'!O213-1</f>
        <v>0.26694376141839338</v>
      </c>
      <c r="W213" s="82">
        <f>Q213/'2015'!P213-1</f>
        <v>1.9036069750905549E-2</v>
      </c>
      <c r="X213" s="82">
        <f>R213/'2015'!Q213-1</f>
        <v>8.1098349874502818E-2</v>
      </c>
      <c r="Y213" s="82">
        <f>S213/'2015'!R213-1</f>
        <v>4.9390060409896019E-2</v>
      </c>
      <c r="Z213" s="49">
        <f>Z$206+0.71*7</f>
        <v>98.736499999999992</v>
      </c>
      <c r="AA213" s="49">
        <f t="shared" si="84"/>
        <v>1032.4183</v>
      </c>
      <c r="AB213" s="33">
        <v>4233.1000000000004</v>
      </c>
      <c r="AC213" s="33">
        <f t="shared" si="89"/>
        <v>2438.9178143677209</v>
      </c>
      <c r="AD213" s="32">
        <f t="shared" si="85"/>
        <v>11856487</v>
      </c>
      <c r="AE213" s="33">
        <f t="shared" si="87"/>
        <v>354003.86761904816</v>
      </c>
      <c r="AF213" s="33">
        <f t="shared" si="87"/>
        <v>160282</v>
      </c>
      <c r="AG213" s="33">
        <f t="shared" si="86"/>
        <v>30653.132380951836</v>
      </c>
    </row>
    <row r="214" spans="1:33" ht="15" customHeight="1" x14ac:dyDescent="0.15">
      <c r="A214" s="102">
        <v>42579</v>
      </c>
      <c r="B214" s="20" t="s">
        <v>37</v>
      </c>
      <c r="C214" s="8">
        <v>80721</v>
      </c>
      <c r="D214" s="37">
        <v>47885</v>
      </c>
      <c r="E214" s="37">
        <v>130003</v>
      </c>
      <c r="F214" s="55">
        <v>6448</v>
      </c>
      <c r="G214" s="37">
        <v>4253</v>
      </c>
      <c r="H214" s="24"/>
      <c r="I214" s="36"/>
      <c r="J214" s="8">
        <f t="shared" si="81"/>
        <v>82118</v>
      </c>
      <c r="K214" s="37">
        <f t="shared" si="82"/>
        <v>334.69809523810227</v>
      </c>
      <c r="L214" s="37">
        <v>752</v>
      </c>
      <c r="M214" s="37">
        <f t="shared" si="83"/>
        <v>310.30190476189767</v>
      </c>
      <c r="N214" s="74">
        <f t="shared" si="78"/>
        <v>1896818</v>
      </c>
      <c r="O214" s="75">
        <f t="shared" si="79"/>
        <v>1185280</v>
      </c>
      <c r="P214" s="75">
        <f t="shared" si="80"/>
        <v>3145243</v>
      </c>
      <c r="Q214" s="76">
        <f t="shared" si="88"/>
        <v>11392269</v>
      </c>
      <c r="R214" s="76">
        <f t="shared" si="88"/>
        <v>5826080</v>
      </c>
      <c r="S214" s="76">
        <f t="shared" si="88"/>
        <v>17764685</v>
      </c>
      <c r="T214" s="80">
        <f>N214/'2015'!M214-1</f>
        <v>0.37173251180584188</v>
      </c>
      <c r="U214" s="80">
        <f>O214/'2015'!N214-1</f>
        <v>0.13434561327282357</v>
      </c>
      <c r="V214" s="80">
        <f>P214/'2015'!O214-1</f>
        <v>0.26109861470299323</v>
      </c>
      <c r="W214" s="81">
        <f>Q214/'2015'!P214-1</f>
        <v>1.9666605892678213E-2</v>
      </c>
      <c r="X214" s="81">
        <f>R214/'2015'!Q214-1</f>
        <v>8.1851147051002604E-2</v>
      </c>
      <c r="Y214" s="81">
        <f>S214/'2015'!R214-1</f>
        <v>4.9995818265049952E-2</v>
      </c>
      <c r="Z214" s="50">
        <f>Z$206+0.71*8</f>
        <v>99.446499999999986</v>
      </c>
      <c r="AA214" s="97">
        <f t="shared" si="84"/>
        <v>1039.7803999999999</v>
      </c>
      <c r="AB214" s="105">
        <v>4233</v>
      </c>
      <c r="AC214" s="105">
        <f t="shared" si="89"/>
        <v>2456.3675879990546</v>
      </c>
      <c r="AD214" s="8">
        <f t="shared" si="85"/>
        <v>11938605</v>
      </c>
      <c r="AE214" s="37">
        <f t="shared" si="87"/>
        <v>354338.56571428629</v>
      </c>
      <c r="AF214" s="37">
        <f t="shared" si="87"/>
        <v>161034</v>
      </c>
      <c r="AG214" s="37">
        <f t="shared" si="86"/>
        <v>30963.434285713709</v>
      </c>
    </row>
    <row r="215" spans="1:33" ht="15" customHeight="1" x14ac:dyDescent="0.15">
      <c r="A215" s="102">
        <v>42580</v>
      </c>
      <c r="B215" s="20" t="s">
        <v>38</v>
      </c>
      <c r="C215" s="70">
        <v>81268</v>
      </c>
      <c r="D215" s="71">
        <f>36736+10755</f>
        <v>47491</v>
      </c>
      <c r="E215" s="71">
        <v>130151</v>
      </c>
      <c r="F215" s="107">
        <v>6419.2</v>
      </c>
      <c r="G215" s="71">
        <v>4309.5</v>
      </c>
      <c r="H215" s="24"/>
      <c r="I215" s="24"/>
      <c r="J215" s="70">
        <f t="shared" si="81"/>
        <v>82660</v>
      </c>
      <c r="K215" s="71">
        <f t="shared" si="82"/>
        <v>335.69809523810227</v>
      </c>
      <c r="L215" s="71">
        <v>746</v>
      </c>
      <c r="M215" s="71">
        <f t="shared" si="83"/>
        <v>310.30190476189767</v>
      </c>
      <c r="N215" s="74">
        <f t="shared" si="78"/>
        <v>1978086</v>
      </c>
      <c r="O215" s="75">
        <f t="shared" si="79"/>
        <v>1232771</v>
      </c>
      <c r="P215" s="75">
        <f t="shared" si="80"/>
        <v>3275394</v>
      </c>
      <c r="Q215" s="76">
        <f t="shared" si="88"/>
        <v>11473537</v>
      </c>
      <c r="R215" s="76">
        <f t="shared" si="88"/>
        <v>5873571</v>
      </c>
      <c r="S215" s="76">
        <f t="shared" si="88"/>
        <v>17894836</v>
      </c>
      <c r="T215" s="80">
        <f>N215/'2015'!M215-1</f>
        <v>0.36213994036593</v>
      </c>
      <c r="U215" s="80">
        <f>O215/'2015'!N215-1</f>
        <v>0.13563868742578511</v>
      </c>
      <c r="V215" s="80">
        <f>P215/'2015'!O215-1</f>
        <v>0.25708980528773906</v>
      </c>
      <c r="W215" s="81">
        <f>Q215/'2015'!P215-1</f>
        <v>2.0600887230970644E-2</v>
      </c>
      <c r="X215" s="81">
        <f>R215/'2015'!Q215-1</f>
        <v>8.2502920704463412E-2</v>
      </c>
      <c r="Y215" s="81">
        <f>S215/'2015'!R215-1</f>
        <v>5.0764455028454503E-2</v>
      </c>
      <c r="Z215" s="97">
        <f>Z$206+0.71*9</f>
        <v>100.15649999999999</v>
      </c>
      <c r="AA215" s="97">
        <f t="shared" si="84"/>
        <v>1047.1971999999998</v>
      </c>
      <c r="AB215" s="106"/>
      <c r="AC215" s="105"/>
      <c r="AD215" s="70">
        <f t="shared" si="85"/>
        <v>12021265</v>
      </c>
      <c r="AE215" s="71">
        <f t="shared" si="87"/>
        <v>354674.26380952442</v>
      </c>
      <c r="AF215" s="71">
        <f t="shared" si="87"/>
        <v>161780</v>
      </c>
      <c r="AG215" s="71">
        <f t="shared" si="86"/>
        <v>31273.736190475582</v>
      </c>
    </row>
    <row r="216" spans="1:33" ht="15" customHeight="1" x14ac:dyDescent="0.15">
      <c r="A216" s="102">
        <v>42581</v>
      </c>
      <c r="B216" s="20" t="s">
        <v>39</v>
      </c>
      <c r="C216" s="8">
        <v>77715</v>
      </c>
      <c r="D216" s="37">
        <f>36471+10851</f>
        <v>47322</v>
      </c>
      <c r="E216" s="37">
        <v>126460</v>
      </c>
      <c r="F216" s="55">
        <v>6155.6</v>
      </c>
      <c r="G216" s="37">
        <v>4278.2</v>
      </c>
      <c r="H216" s="24"/>
      <c r="I216" s="36"/>
      <c r="J216" s="8">
        <f t="shared" si="81"/>
        <v>79138</v>
      </c>
      <c r="K216" s="37">
        <f t="shared" si="82"/>
        <v>369.69809523810227</v>
      </c>
      <c r="L216" s="37">
        <v>743</v>
      </c>
      <c r="M216" s="37">
        <f t="shared" si="83"/>
        <v>310.30190476189767</v>
      </c>
      <c r="N216" s="74">
        <f t="shared" si="78"/>
        <v>2055801</v>
      </c>
      <c r="O216" s="75">
        <f t="shared" si="79"/>
        <v>1280093</v>
      </c>
      <c r="P216" s="75">
        <f t="shared" si="80"/>
        <v>3401854</v>
      </c>
      <c r="Q216" s="76">
        <f t="shared" si="88"/>
        <v>11551252</v>
      </c>
      <c r="R216" s="76">
        <f t="shared" si="88"/>
        <v>5920893</v>
      </c>
      <c r="S216" s="76">
        <f t="shared" si="88"/>
        <v>18021296</v>
      </c>
      <c r="T216" s="80">
        <f>N216/'2015'!M216-1</f>
        <v>0.35400609888626167</v>
      </c>
      <c r="U216" s="80">
        <f>O216/'2015'!N216-1</f>
        <v>0.13785134163371127</v>
      </c>
      <c r="V216" s="80">
        <f>P216/'2015'!O216-1</f>
        <v>0.25412539064069684</v>
      </c>
      <c r="W216" s="81">
        <f>Q216/'2015'!P216-1</f>
        <v>2.150580519404599E-2</v>
      </c>
      <c r="X216" s="81">
        <f>R216/'2015'!Q216-1</f>
        <v>8.3342192101394375E-2</v>
      </c>
      <c r="Y216" s="81">
        <f>S216/'2015'!R216-1</f>
        <v>5.1583400321731032E-2</v>
      </c>
      <c r="Z216" s="50">
        <f>Z$206+0.71*10</f>
        <v>100.86649999999999</v>
      </c>
      <c r="AA216" s="97">
        <f t="shared" si="84"/>
        <v>1054.2586999999999</v>
      </c>
      <c r="AB216" s="105"/>
      <c r="AC216" s="105"/>
      <c r="AD216" s="8">
        <f t="shared" si="85"/>
        <v>12100403</v>
      </c>
      <c r="AE216" s="37">
        <f t="shared" si="87"/>
        <v>355043.96190476255</v>
      </c>
      <c r="AF216" s="37">
        <f t="shared" si="87"/>
        <v>162523</v>
      </c>
      <c r="AG216" s="37">
        <f t="shared" si="86"/>
        <v>31584.038095237454</v>
      </c>
    </row>
    <row r="217" spans="1:33" s="101" customFormat="1" ht="15" customHeight="1" x14ac:dyDescent="0.15">
      <c r="A217" s="108">
        <v>42582</v>
      </c>
      <c r="B217" s="25" t="s">
        <v>1</v>
      </c>
      <c r="C217" s="42">
        <v>71139</v>
      </c>
      <c r="D217" s="43">
        <f>34333+10622</f>
        <v>44955</v>
      </c>
      <c r="E217" s="43">
        <v>117289</v>
      </c>
      <c r="F217" s="57">
        <v>5509.5</v>
      </c>
      <c r="G217" s="43">
        <v>4108.3999999999996</v>
      </c>
      <c r="H217" s="30"/>
      <c r="I217" s="30"/>
      <c r="J217" s="42">
        <f t="shared" si="81"/>
        <v>72334</v>
      </c>
      <c r="K217" s="43">
        <f t="shared" si="82"/>
        <v>137.69809523810227</v>
      </c>
      <c r="L217" s="43">
        <v>747</v>
      </c>
      <c r="M217" s="43">
        <f t="shared" si="83"/>
        <v>310.30190476189767</v>
      </c>
      <c r="N217" s="87">
        <f t="shared" si="78"/>
        <v>2126940</v>
      </c>
      <c r="O217" s="88">
        <f t="shared" si="79"/>
        <v>1325048</v>
      </c>
      <c r="P217" s="88">
        <f>3518459.18</f>
        <v>3518459.18</v>
      </c>
      <c r="Q217" s="87">
        <f t="shared" si="88"/>
        <v>11622391</v>
      </c>
      <c r="R217" s="87">
        <f t="shared" si="88"/>
        <v>5965848</v>
      </c>
      <c r="S217" s="87">
        <v>18137901.34</v>
      </c>
      <c r="T217" s="89">
        <f>N217/'2015'!M217-1</f>
        <v>0.34036957936919565</v>
      </c>
      <c r="U217" s="89">
        <f>O217/'2015'!N217-1</f>
        <v>0.13768884950767757</v>
      </c>
      <c r="V217" s="89">
        <f>P217/'2015'!O217-1</f>
        <v>0.24677863531346134</v>
      </c>
      <c r="W217" s="89">
        <f>Q217/'2015'!P217-1</f>
        <v>2.1606397843148661E-2</v>
      </c>
      <c r="X217" s="89">
        <f>R217/'2015'!Q217-1</f>
        <v>8.3700661390318398E-2</v>
      </c>
      <c r="Y217" s="89">
        <f>S217/'2015'!R217-1</f>
        <v>5.1667328528385292E-2</v>
      </c>
      <c r="Z217" s="52">
        <v>101.583816</v>
      </c>
      <c r="AA217" s="52">
        <f t="shared" si="84"/>
        <v>1060.6552839999999</v>
      </c>
      <c r="AB217" s="43">
        <v>4234</v>
      </c>
      <c r="AC217" s="43">
        <f t="shared" si="89"/>
        <v>2505.0904204062354</v>
      </c>
      <c r="AD217" s="42">
        <f t="shared" si="85"/>
        <v>12172053.34</v>
      </c>
      <c r="AE217" s="43">
        <v>354497</v>
      </c>
      <c r="AF217" s="43">
        <v>163271</v>
      </c>
      <c r="AG217" s="43">
        <f t="shared" si="86"/>
        <v>31894.339999999851</v>
      </c>
    </row>
    <row r="218" spans="1:33" ht="15" customHeight="1" x14ac:dyDescent="0.15">
      <c r="A218" s="102">
        <v>42583</v>
      </c>
      <c r="B218" s="20" t="s">
        <v>34</v>
      </c>
      <c r="C218" s="8">
        <v>73365</v>
      </c>
      <c r="D218" s="37">
        <f>34785+10703</f>
        <v>45488</v>
      </c>
      <c r="E218" s="37">
        <v>120238</v>
      </c>
      <c r="F218" s="55">
        <v>5853.7</v>
      </c>
      <c r="G218" s="37">
        <v>3890.6</v>
      </c>
      <c r="H218" s="24"/>
      <c r="I218" s="36"/>
      <c r="J218" s="8">
        <f t="shared" si="81"/>
        <v>74750</v>
      </c>
      <c r="K218" s="37">
        <v>323</v>
      </c>
      <c r="L218" s="37">
        <v>747</v>
      </c>
      <c r="M218" s="37">
        <f>(AG$248-AG$217)/31</f>
        <v>624.90322580645159</v>
      </c>
      <c r="N218" s="74">
        <f>C218</f>
        <v>73365</v>
      </c>
      <c r="O218" s="75">
        <f>D218</f>
        <v>45488</v>
      </c>
      <c r="P218" s="75">
        <f>E218</f>
        <v>120238</v>
      </c>
      <c r="Q218" s="76">
        <f>Q$217+N218</f>
        <v>11695756</v>
      </c>
      <c r="R218" s="76">
        <f>R$217+O218</f>
        <v>6011336</v>
      </c>
      <c r="S218" s="76">
        <f>S$217+P218</f>
        <v>18258139.34</v>
      </c>
      <c r="T218" s="80">
        <f>N218/'2015'!M218-1</f>
        <v>0.10531073446327688</v>
      </c>
      <c r="U218" s="80">
        <f>O218/'2015'!N218-1</f>
        <v>0.17902594541354544</v>
      </c>
      <c r="V218" s="80">
        <f>P218/'2015'!O218-1</f>
        <v>0.12848669144423175</v>
      </c>
      <c r="W218" s="81">
        <f>Q218/'2015'!P218-1</f>
        <v>2.2091925698588977E-2</v>
      </c>
      <c r="X218" s="81">
        <f>R218/'2015'!Q218-1</f>
        <v>8.4364077031544804E-2</v>
      </c>
      <c r="Y218" s="81">
        <f>S218/'2015'!R218-1</f>
        <v>5.2138992389539895E-2</v>
      </c>
      <c r="Z218" s="50">
        <f>Z$217+0.449*1</f>
        <v>102.032816</v>
      </c>
      <c r="AA218" s="97">
        <f t="shared" si="84"/>
        <v>1067.542784</v>
      </c>
      <c r="AB218" s="105"/>
      <c r="AC218" s="105"/>
      <c r="AD218" s="8">
        <f t="shared" si="85"/>
        <v>12246803.34</v>
      </c>
      <c r="AE218" s="37">
        <f t="shared" si="87"/>
        <v>354820</v>
      </c>
      <c r="AF218" s="37">
        <f t="shared" si="87"/>
        <v>164018</v>
      </c>
      <c r="AG218" s="37">
        <f t="shared" si="86"/>
        <v>32209.339999999851</v>
      </c>
    </row>
    <row r="219" spans="1:33" ht="15" customHeight="1" x14ac:dyDescent="0.15">
      <c r="A219" s="102">
        <v>42584</v>
      </c>
      <c r="B219" s="20" t="s">
        <v>35</v>
      </c>
      <c r="C219" s="8">
        <v>76756</v>
      </c>
      <c r="D219" s="37">
        <f>34093+10617</f>
        <v>44710</v>
      </c>
      <c r="E219" s="37">
        <v>122845</v>
      </c>
      <c r="F219" s="55">
        <v>6014.3</v>
      </c>
      <c r="G219" s="37">
        <v>4061.7</v>
      </c>
      <c r="H219" s="24"/>
      <c r="I219" s="36"/>
      <c r="J219" s="8">
        <f t="shared" si="81"/>
        <v>78135</v>
      </c>
      <c r="K219" s="37">
        <v>358</v>
      </c>
      <c r="L219" s="37">
        <v>747</v>
      </c>
      <c r="M219" s="37">
        <f t="shared" ref="M219:M248" si="90">(AG$248-AG$217)/31</f>
        <v>624.90322580645159</v>
      </c>
      <c r="N219" s="74">
        <f t="shared" ref="N219:N248" si="91">N218+C219</f>
        <v>150121</v>
      </c>
      <c r="O219" s="75">
        <f t="shared" ref="O219:O248" si="92">O218+D219</f>
        <v>90198</v>
      </c>
      <c r="P219" s="75">
        <f t="shared" ref="P219:P248" si="93">P218+E219</f>
        <v>243083</v>
      </c>
      <c r="Q219" s="76">
        <f t="shared" ref="Q219:S248" si="94">Q$217+N219</f>
        <v>11772512</v>
      </c>
      <c r="R219" s="76">
        <f t="shared" si="94"/>
        <v>6056046</v>
      </c>
      <c r="S219" s="76">
        <f t="shared" si="94"/>
        <v>18380984.34</v>
      </c>
      <c r="T219" s="80">
        <f>N219/'2015'!M219-1</f>
        <v>0.1462418300653594</v>
      </c>
      <c r="U219" s="80">
        <f>O219/'2015'!N219-1</f>
        <v>0.16619259412494825</v>
      </c>
      <c r="V219" s="80">
        <f>P219/'2015'!O219-1</f>
        <v>0.15187744038818751</v>
      </c>
      <c r="W219" s="81">
        <f>Q219/'2015'!P219-1</f>
        <v>2.3024879661634357E-2</v>
      </c>
      <c r="X219" s="81">
        <f>R219/'2015'!Q219-1</f>
        <v>8.4843582005920792E-2</v>
      </c>
      <c r="Y219" s="81">
        <f>S219/'2015'!R219-1</f>
        <v>5.2878677925564332E-2</v>
      </c>
      <c r="Z219" s="50">
        <f>Z$217+0.449*2</f>
        <v>102.48181599999999</v>
      </c>
      <c r="AA219" s="97">
        <f t="shared" si="84"/>
        <v>1074.7693839999999</v>
      </c>
      <c r="AB219" s="105"/>
      <c r="AC219" s="105"/>
      <c r="AD219" s="8">
        <f t="shared" si="85"/>
        <v>12324938.34</v>
      </c>
      <c r="AE219" s="37">
        <f t="shared" si="87"/>
        <v>355178</v>
      </c>
      <c r="AF219" s="37">
        <f t="shared" si="87"/>
        <v>164765</v>
      </c>
      <c r="AG219" s="37">
        <f t="shared" si="86"/>
        <v>32483.339999999851</v>
      </c>
    </row>
    <row r="220" spans="1:33" ht="15" customHeight="1" x14ac:dyDescent="0.15">
      <c r="A220" s="102">
        <v>42585</v>
      </c>
      <c r="B220" s="14" t="s">
        <v>36</v>
      </c>
      <c r="C220" s="32">
        <v>72355</v>
      </c>
      <c r="D220" s="33">
        <f>30915+10636</f>
        <v>41551</v>
      </c>
      <c r="E220" s="33">
        <v>115098</v>
      </c>
      <c r="F220" s="59">
        <v>5753.4</v>
      </c>
      <c r="G220" s="33">
        <v>3834.4</v>
      </c>
      <c r="H220" s="19"/>
      <c r="I220" s="19"/>
      <c r="J220" s="32">
        <f t="shared" si="81"/>
        <v>73547</v>
      </c>
      <c r="K220" s="33">
        <v>231</v>
      </c>
      <c r="L220" s="33">
        <v>754</v>
      </c>
      <c r="M220" s="33">
        <v>382</v>
      </c>
      <c r="N220" s="77">
        <f t="shared" si="91"/>
        <v>222476</v>
      </c>
      <c r="O220" s="78">
        <f t="shared" si="92"/>
        <v>131749</v>
      </c>
      <c r="P220" s="78">
        <f t="shared" si="93"/>
        <v>358181</v>
      </c>
      <c r="Q220" s="77">
        <f t="shared" si="94"/>
        <v>11844867</v>
      </c>
      <c r="R220" s="77">
        <f t="shared" si="94"/>
        <v>6097597</v>
      </c>
      <c r="S220" s="77">
        <f t="shared" si="94"/>
        <v>18496082.34</v>
      </c>
      <c r="T220" s="82">
        <f>N220/'2015'!M220-1</f>
        <v>7.6771177170956495E-2</v>
      </c>
      <c r="U220" s="82">
        <f>O220/'2015'!N220-1</f>
        <v>0.1356987078365961</v>
      </c>
      <c r="V220" s="82">
        <f>P220/'2015'!O220-1</f>
        <v>9.5565812373637815E-2</v>
      </c>
      <c r="W220" s="82">
        <f>Q220/'2015'!P220-1</f>
        <v>2.2590393430208078E-2</v>
      </c>
      <c r="X220" s="82">
        <f>R220/'2015'!Q220-1</f>
        <v>8.4773789791529275E-2</v>
      </c>
      <c r="Y220" s="82">
        <f>S220/'2015'!R220-1</f>
        <v>5.2484003691416481E-2</v>
      </c>
      <c r="Z220" s="49">
        <f>Z$217+0.449*3</f>
        <v>102.93081599999999</v>
      </c>
      <c r="AA220" s="49">
        <f t="shared" si="84"/>
        <v>1081.5558839999999</v>
      </c>
      <c r="AB220" s="33">
        <v>4233.1000000000004</v>
      </c>
      <c r="AC220" s="33">
        <f t="shared" si="89"/>
        <v>2554.9972455174689</v>
      </c>
      <c r="AD220" s="32">
        <f t="shared" si="85"/>
        <v>12398485.34</v>
      </c>
      <c r="AE220" s="33">
        <f t="shared" si="87"/>
        <v>355409</v>
      </c>
      <c r="AF220" s="33">
        <f t="shared" si="87"/>
        <v>165519</v>
      </c>
      <c r="AG220" s="33">
        <f t="shared" si="86"/>
        <v>32690.339999999851</v>
      </c>
    </row>
    <row r="221" spans="1:33" ht="15" customHeight="1" x14ac:dyDescent="0.15">
      <c r="A221" s="102">
        <v>42586</v>
      </c>
      <c r="B221" s="20" t="s">
        <v>37</v>
      </c>
      <c r="C221" s="8">
        <v>71610</v>
      </c>
      <c r="D221" s="37">
        <f>32489+10707</f>
        <v>43196</v>
      </c>
      <c r="E221" s="37">
        <v>115965</v>
      </c>
      <c r="F221" s="55">
        <v>5788.4</v>
      </c>
      <c r="G221" s="37">
        <v>3713.3</v>
      </c>
      <c r="H221" s="24"/>
      <c r="I221" s="36"/>
      <c r="J221" s="8">
        <f t="shared" si="81"/>
        <v>72769</v>
      </c>
      <c r="K221" s="37">
        <v>144</v>
      </c>
      <c r="L221" s="37">
        <v>747</v>
      </c>
      <c r="M221" s="37">
        <v>125</v>
      </c>
      <c r="N221" s="74">
        <f t="shared" si="91"/>
        <v>294086</v>
      </c>
      <c r="O221" s="75">
        <f t="shared" si="92"/>
        <v>174945</v>
      </c>
      <c r="P221" s="75">
        <f t="shared" si="93"/>
        <v>474146</v>
      </c>
      <c r="Q221" s="76">
        <f t="shared" si="94"/>
        <v>11916477</v>
      </c>
      <c r="R221" s="76">
        <f t="shared" si="94"/>
        <v>6140793</v>
      </c>
      <c r="S221" s="76">
        <f t="shared" si="94"/>
        <v>18612047.34</v>
      </c>
      <c r="T221" s="80">
        <f>N221/'2015'!M221-1</f>
        <v>4.5672572633435271E-2</v>
      </c>
      <c r="U221" s="80">
        <f>O221/'2015'!N221-1</f>
        <v>0.12248564370729209</v>
      </c>
      <c r="V221" s="80">
        <f>P221/'2015'!O221-1</f>
        <v>6.9208826149214753E-2</v>
      </c>
      <c r="W221" s="81">
        <f>Q221/'2015'!P221-1</f>
        <v>2.2186985994385733E-2</v>
      </c>
      <c r="X221" s="81">
        <f>R221/'2015'!Q221-1</f>
        <v>8.4768478649690726E-2</v>
      </c>
      <c r="Y221" s="81">
        <f>S221/'2015'!R221-1</f>
        <v>5.2107054390382102E-2</v>
      </c>
      <c r="Z221" s="50">
        <f>Z$217+0.449*4</f>
        <v>103.37981600000001</v>
      </c>
      <c r="AA221" s="97">
        <f t="shared" si="84"/>
        <v>1088.2678839999999</v>
      </c>
      <c r="AB221" s="105">
        <v>4234</v>
      </c>
      <c r="AC221" s="105">
        <f t="shared" si="89"/>
        <v>2570.3067642890878</v>
      </c>
      <c r="AD221" s="8">
        <f t="shared" si="85"/>
        <v>12471254.34</v>
      </c>
      <c r="AE221" s="37">
        <f t="shared" si="87"/>
        <v>355553</v>
      </c>
      <c r="AF221" s="37">
        <f t="shared" si="87"/>
        <v>166266</v>
      </c>
      <c r="AG221" s="37">
        <f t="shared" si="86"/>
        <v>32958.339999999851</v>
      </c>
    </row>
    <row r="222" spans="1:33" ht="15" customHeight="1" x14ac:dyDescent="0.15">
      <c r="A222" s="102">
        <v>42587</v>
      </c>
      <c r="B222" s="20" t="s">
        <v>38</v>
      </c>
      <c r="C222" s="70">
        <v>71959</v>
      </c>
      <c r="D222" s="71">
        <f>33958+10607</f>
        <v>44565</v>
      </c>
      <c r="E222" s="71">
        <v>118155</v>
      </c>
      <c r="F222" s="107">
        <v>5836.1</v>
      </c>
      <c r="G222" s="71">
        <v>3814.8</v>
      </c>
      <c r="H222" s="24"/>
      <c r="I222" s="24"/>
      <c r="J222" s="70">
        <f t="shared" si="81"/>
        <v>73590</v>
      </c>
      <c r="K222" s="71">
        <v>632</v>
      </c>
      <c r="L222" s="71">
        <v>752</v>
      </c>
      <c r="M222" s="71">
        <f t="shared" si="90"/>
        <v>624.90322580645159</v>
      </c>
      <c r="N222" s="74">
        <f t="shared" si="91"/>
        <v>366045</v>
      </c>
      <c r="O222" s="75">
        <f t="shared" si="92"/>
        <v>219510</v>
      </c>
      <c r="P222" s="75">
        <f t="shared" si="93"/>
        <v>592301</v>
      </c>
      <c r="Q222" s="76">
        <f t="shared" si="94"/>
        <v>11988436</v>
      </c>
      <c r="R222" s="76">
        <f t="shared" si="94"/>
        <v>6185358</v>
      </c>
      <c r="S222" s="76">
        <f t="shared" si="94"/>
        <v>18730202.34</v>
      </c>
      <c r="T222" s="80">
        <f>N222/'2015'!M222-1</f>
        <v>3.6467270348787828E-2</v>
      </c>
      <c r="U222" s="80">
        <f>O222/'2015'!N222-1</f>
        <v>0.11628119851101482</v>
      </c>
      <c r="V222" s="80">
        <f>P222/'2015'!O222-1</f>
        <v>6.0247671146562043E-2</v>
      </c>
      <c r="W222" s="81">
        <f>Q222/'2015'!P222-1</f>
        <v>2.2053837464566683E-2</v>
      </c>
      <c r="X222" s="81">
        <f>R222/'2015'!Q222-1</f>
        <v>8.4824317740244348E-2</v>
      </c>
      <c r="Y222" s="81">
        <f>S222/'2015'!R222-1</f>
        <v>5.1936535832373565E-2</v>
      </c>
      <c r="Z222" s="97">
        <f>Z$217+0.449*5</f>
        <v>103.828816</v>
      </c>
      <c r="AA222" s="97">
        <f t="shared" si="84"/>
        <v>1095.014784</v>
      </c>
      <c r="AB222" s="106"/>
      <c r="AC222" s="105"/>
      <c r="AD222" s="70">
        <f t="shared" si="85"/>
        <v>12544844.34</v>
      </c>
      <c r="AE222" s="71">
        <f t="shared" si="87"/>
        <v>356185</v>
      </c>
      <c r="AF222" s="71">
        <f t="shared" si="87"/>
        <v>167018</v>
      </c>
      <c r="AG222" s="71">
        <f t="shared" si="86"/>
        <v>33205.339999999851</v>
      </c>
    </row>
    <row r="223" spans="1:33" ht="15" customHeight="1" x14ac:dyDescent="0.15">
      <c r="A223" s="102">
        <v>42588</v>
      </c>
      <c r="B223" s="20" t="s">
        <v>39</v>
      </c>
      <c r="C223" s="8">
        <v>71086</v>
      </c>
      <c r="D223" s="37">
        <f>32902+10476</f>
        <v>43378</v>
      </c>
      <c r="E223" s="37">
        <v>115713</v>
      </c>
      <c r="F223" s="55">
        <v>5661.4</v>
      </c>
      <c r="G223" s="37">
        <v>3945.1</v>
      </c>
      <c r="H223" s="24"/>
      <c r="I223" s="36"/>
      <c r="J223" s="8">
        <f t="shared" si="81"/>
        <v>72335</v>
      </c>
      <c r="K223" s="37">
        <v>292</v>
      </c>
      <c r="L223" s="37">
        <v>750</v>
      </c>
      <c r="M223" s="37">
        <v>400</v>
      </c>
      <c r="N223" s="74">
        <f t="shared" si="91"/>
        <v>437131</v>
      </c>
      <c r="O223" s="75">
        <f t="shared" si="92"/>
        <v>262888</v>
      </c>
      <c r="P223" s="75">
        <f t="shared" si="93"/>
        <v>708014</v>
      </c>
      <c r="Q223" s="76">
        <f t="shared" si="94"/>
        <v>12059522</v>
      </c>
      <c r="R223" s="76">
        <f t="shared" si="94"/>
        <v>6228736</v>
      </c>
      <c r="S223" s="76">
        <f t="shared" si="94"/>
        <v>18845915.34</v>
      </c>
      <c r="T223" s="80">
        <f>N223/'2015'!M223-1</f>
        <v>3.6848072562358336E-2</v>
      </c>
      <c r="U223" s="80">
        <f>O223/'2015'!N223-1</f>
        <v>0.10325956950348947</v>
      </c>
      <c r="V223" s="80">
        <f>P223/'2015'!O223-1</f>
        <v>5.3879255809245574E-2</v>
      </c>
      <c r="W223" s="81">
        <f>Q223/'2015'!P223-1</f>
        <v>2.2151043635543877E-2</v>
      </c>
      <c r="X223" s="81">
        <f>R223/'2015'!Q223-1</f>
        <v>8.4512130805820318E-2</v>
      </c>
      <c r="Y223" s="81">
        <f>S223/'2015'!R223-1</f>
        <v>5.175025959027435E-2</v>
      </c>
      <c r="Z223" s="50">
        <f>Z$217+0.449*6</f>
        <v>104.277816</v>
      </c>
      <c r="AA223" s="97">
        <f t="shared" si="84"/>
        <v>1101.6743839999999</v>
      </c>
      <c r="AB223" s="105"/>
      <c r="AC223" s="105"/>
      <c r="AD223" s="8">
        <f t="shared" si="85"/>
        <v>12617179.34</v>
      </c>
      <c r="AE223" s="37">
        <f t="shared" si="87"/>
        <v>356477</v>
      </c>
      <c r="AF223" s="37">
        <f t="shared" si="87"/>
        <v>167768</v>
      </c>
      <c r="AG223" s="37">
        <f t="shared" si="86"/>
        <v>33412.339999999851</v>
      </c>
    </row>
    <row r="224" spans="1:33" ht="15" customHeight="1" x14ac:dyDescent="0.15">
      <c r="A224" s="102">
        <v>42589</v>
      </c>
      <c r="B224" s="20" t="s">
        <v>1</v>
      </c>
      <c r="C224" s="8">
        <v>66505</v>
      </c>
      <c r="D224" s="37">
        <f>31056+10599</f>
        <v>41655</v>
      </c>
      <c r="E224" s="37">
        <v>110382</v>
      </c>
      <c r="F224" s="55">
        <v>5217.8</v>
      </c>
      <c r="G224" s="37">
        <v>3782.1</v>
      </c>
      <c r="H224" s="24"/>
      <c r="I224" s="36"/>
      <c r="J224" s="8">
        <f t="shared" si="81"/>
        <v>68727</v>
      </c>
      <c r="K224" s="37">
        <v>690</v>
      </c>
      <c r="L224" s="37">
        <v>754</v>
      </c>
      <c r="M224" s="37">
        <v>750</v>
      </c>
      <c r="N224" s="74">
        <f t="shared" si="91"/>
        <v>503636</v>
      </c>
      <c r="O224" s="75">
        <f t="shared" si="92"/>
        <v>304543</v>
      </c>
      <c r="P224" s="75">
        <f t="shared" si="93"/>
        <v>818396</v>
      </c>
      <c r="Q224" s="76">
        <f t="shared" si="94"/>
        <v>12126027</v>
      </c>
      <c r="R224" s="76">
        <f t="shared" si="94"/>
        <v>6270391</v>
      </c>
      <c r="S224" s="76">
        <f t="shared" si="94"/>
        <v>18956297.34</v>
      </c>
      <c r="T224" s="80">
        <f>N224/'2015'!M224-1</f>
        <v>3.5165571489352176E-2</v>
      </c>
      <c r="U224" s="80">
        <f>O224/'2015'!N224-1</f>
        <v>9.2178310142016828E-2</v>
      </c>
      <c r="V224" s="80">
        <f>P224/'2015'!O224-1</f>
        <v>4.7968079330444446E-2</v>
      </c>
      <c r="W224" s="81">
        <f>Q224/'2015'!P224-1</f>
        <v>2.2162483348592055E-2</v>
      </c>
      <c r="X224" s="81">
        <f>R224/'2015'!Q224-1</f>
        <v>8.4109365463847174E-2</v>
      </c>
      <c r="Y224" s="81">
        <f>S224/'2015'!R224-1</f>
        <v>5.1507082334941501E-2</v>
      </c>
      <c r="Z224" s="50">
        <f>Z$217+0.449*7</f>
        <v>104.726816</v>
      </c>
      <c r="AA224" s="97">
        <f t="shared" si="84"/>
        <v>1107.8758839999998</v>
      </c>
      <c r="AB224" s="105"/>
      <c r="AC224" s="105"/>
      <c r="AD224" s="8">
        <f t="shared" si="85"/>
        <v>12685906.34</v>
      </c>
      <c r="AE224" s="37">
        <f t="shared" si="87"/>
        <v>357167</v>
      </c>
      <c r="AF224" s="37">
        <f t="shared" si="87"/>
        <v>168522</v>
      </c>
      <c r="AG224" s="37">
        <f t="shared" si="86"/>
        <v>34190.339999999851</v>
      </c>
    </row>
    <row r="225" spans="1:33" ht="15" customHeight="1" x14ac:dyDescent="0.15">
      <c r="A225" s="102">
        <v>42590</v>
      </c>
      <c r="B225" s="20" t="s">
        <v>34</v>
      </c>
      <c r="C225" s="8">
        <v>72830</v>
      </c>
      <c r="D225" s="37">
        <f>31603+10424</f>
        <v>42027</v>
      </c>
      <c r="E225" s="37">
        <v>116482</v>
      </c>
      <c r="F225" s="55">
        <v>5770.1</v>
      </c>
      <c r="G225" s="37">
        <v>3712.5</v>
      </c>
      <c r="H225" s="24"/>
      <c r="I225" s="36"/>
      <c r="J225" s="8">
        <f t="shared" si="81"/>
        <v>74455</v>
      </c>
      <c r="K225" s="37">
        <v>594</v>
      </c>
      <c r="L225" s="37">
        <v>754</v>
      </c>
      <c r="M225" s="37">
        <f t="shared" si="90"/>
        <v>624.90322580645159</v>
      </c>
      <c r="N225" s="74">
        <f t="shared" si="91"/>
        <v>576466</v>
      </c>
      <c r="O225" s="75">
        <f t="shared" si="92"/>
        <v>346570</v>
      </c>
      <c r="P225" s="75">
        <f t="shared" si="93"/>
        <v>934878</v>
      </c>
      <c r="Q225" s="76">
        <f t="shared" si="94"/>
        <v>12198857</v>
      </c>
      <c r="R225" s="76">
        <f t="shared" si="94"/>
        <v>6312418</v>
      </c>
      <c r="S225" s="76">
        <f t="shared" si="94"/>
        <v>19072779.34</v>
      </c>
      <c r="T225" s="80">
        <f>N225/'2015'!M225-1</f>
        <v>5.9146679797307922E-2</v>
      </c>
      <c r="U225" s="80">
        <f>O225/'2015'!N225-1</f>
        <v>9.7991382587758302E-2</v>
      </c>
      <c r="V225" s="80">
        <f>P225/'2015'!O225-1</f>
        <v>6.2548517068347298E-2</v>
      </c>
      <c r="W225" s="81">
        <f>Q225/'2015'!P225-1</f>
        <v>2.3320385160195745E-2</v>
      </c>
      <c r="X225" s="81">
        <f>R225/'2015'!Q225-1</f>
        <v>8.4475605209673787E-2</v>
      </c>
      <c r="Y225" s="81">
        <f>S225/'2015'!R225-1</f>
        <v>5.2195487859036271E-2</v>
      </c>
      <c r="Z225" s="50">
        <f>Z$217+0.449*8</f>
        <v>105.175816</v>
      </c>
      <c r="AA225" s="97">
        <f t="shared" si="84"/>
        <v>1114.7098840000001</v>
      </c>
      <c r="AB225" s="105"/>
      <c r="AC225" s="105"/>
      <c r="AD225" s="8">
        <f t="shared" si="85"/>
        <v>12760361.34</v>
      </c>
      <c r="AE225" s="37">
        <f t="shared" si="87"/>
        <v>357761</v>
      </c>
      <c r="AF225" s="37">
        <f t="shared" si="87"/>
        <v>169276</v>
      </c>
      <c r="AG225" s="37">
        <f t="shared" si="86"/>
        <v>34467.339999999851</v>
      </c>
    </row>
    <row r="226" spans="1:33" ht="15" customHeight="1" x14ac:dyDescent="0.15">
      <c r="A226" s="102">
        <v>42591</v>
      </c>
      <c r="B226" s="20" t="s">
        <v>35</v>
      </c>
      <c r="C226" s="8">
        <v>67660</v>
      </c>
      <c r="D226" s="37">
        <f>32663+10696</f>
        <v>43359</v>
      </c>
      <c r="E226" s="37">
        <v>112798</v>
      </c>
      <c r="F226" s="55">
        <v>5473.3</v>
      </c>
      <c r="G226" s="37">
        <v>3819.8</v>
      </c>
      <c r="H226" s="24"/>
      <c r="I226" s="36"/>
      <c r="J226" s="8">
        <f t="shared" si="81"/>
        <v>69439</v>
      </c>
      <c r="K226" s="37">
        <v>285</v>
      </c>
      <c r="L226" s="37">
        <v>753</v>
      </c>
      <c r="M226" s="37">
        <f t="shared" si="90"/>
        <v>624.90322580645159</v>
      </c>
      <c r="N226" s="74">
        <f t="shared" si="91"/>
        <v>644126</v>
      </c>
      <c r="O226" s="75">
        <f t="shared" si="92"/>
        <v>389929</v>
      </c>
      <c r="P226" s="75">
        <f t="shared" si="93"/>
        <v>1047676</v>
      </c>
      <c r="Q226" s="76">
        <f t="shared" si="94"/>
        <v>12266517</v>
      </c>
      <c r="R226" s="76">
        <f t="shared" si="94"/>
        <v>6355777</v>
      </c>
      <c r="S226" s="76">
        <f t="shared" si="94"/>
        <v>19185577.34</v>
      </c>
      <c r="T226" s="80">
        <f>N226/'2015'!M226-1</f>
        <v>9.527728560400206E-2</v>
      </c>
      <c r="U226" s="80">
        <f>O226/'2015'!N226-1</f>
        <v>0.10717094708746822</v>
      </c>
      <c r="V226" s="80">
        <f>P226/'2015'!O226-1</f>
        <v>8.6611461902904807E-2</v>
      </c>
      <c r="W226" s="81">
        <f>Q226/'2015'!P226-1</f>
        <v>2.5227507167347119E-2</v>
      </c>
      <c r="X226" s="81">
        <f>R226/'2015'!Q226-1</f>
        <v>8.5111882613954748E-2</v>
      </c>
      <c r="Y226" s="81">
        <f>S226/'2015'!R226-1</f>
        <v>5.3517422709923324E-2</v>
      </c>
      <c r="Z226" s="50">
        <f>Z$217+0.449*9</f>
        <v>105.624816</v>
      </c>
      <c r="AA226" s="97">
        <f t="shared" si="84"/>
        <v>1121.0268839999999</v>
      </c>
      <c r="AB226" s="105"/>
      <c r="AC226" s="105"/>
      <c r="AD226" s="8">
        <f t="shared" si="85"/>
        <v>12829800.34</v>
      </c>
      <c r="AE226" s="37">
        <f t="shared" si="87"/>
        <v>358046</v>
      </c>
      <c r="AF226" s="37">
        <f t="shared" si="87"/>
        <v>170029</v>
      </c>
      <c r="AG226" s="37">
        <f t="shared" si="86"/>
        <v>35208.339999999851</v>
      </c>
    </row>
    <row r="227" spans="1:33" ht="15" customHeight="1" x14ac:dyDescent="0.15">
      <c r="A227" s="102">
        <v>42592</v>
      </c>
      <c r="B227" s="14" t="s">
        <v>36</v>
      </c>
      <c r="C227" s="32">
        <v>71180</v>
      </c>
      <c r="D227" s="33">
        <f>33077+10800</f>
        <v>43877</v>
      </c>
      <c r="E227" s="33">
        <v>117045</v>
      </c>
      <c r="F227" s="59">
        <v>5779.7</v>
      </c>
      <c r="G227" s="33">
        <v>3739.7</v>
      </c>
      <c r="H227" s="19"/>
      <c r="I227" s="19"/>
      <c r="J227" s="32">
        <f t="shared" si="81"/>
        <v>73168</v>
      </c>
      <c r="K227" s="33">
        <v>434</v>
      </c>
      <c r="L227" s="33">
        <v>752</v>
      </c>
      <c r="M227" s="33">
        <f t="shared" si="90"/>
        <v>624.90322580645159</v>
      </c>
      <c r="N227" s="77">
        <f t="shared" si="91"/>
        <v>715306</v>
      </c>
      <c r="O227" s="78">
        <f t="shared" si="92"/>
        <v>433806</v>
      </c>
      <c r="P227" s="78">
        <f t="shared" si="93"/>
        <v>1164721</v>
      </c>
      <c r="Q227" s="77">
        <f t="shared" si="94"/>
        <v>12337697</v>
      </c>
      <c r="R227" s="77">
        <f t="shared" si="94"/>
        <v>6399654</v>
      </c>
      <c r="S227" s="77">
        <f t="shared" si="94"/>
        <v>19302622.34</v>
      </c>
      <c r="T227" s="82">
        <f>N227/'2015'!M227-1</f>
        <v>0.12833722692906502</v>
      </c>
      <c r="U227" s="82">
        <f>O227/'2015'!N227-1</f>
        <v>0.11458368126122465</v>
      </c>
      <c r="V227" s="82">
        <f>P227/'2015'!O227-1</f>
        <v>0.10790012622623513</v>
      </c>
      <c r="W227" s="82">
        <f>Q227/'2015'!P227-1</f>
        <v>2.7239928026496107E-2</v>
      </c>
      <c r="X227" s="82">
        <f>R227/'2015'!Q227-1</f>
        <v>8.5739918317405683E-2</v>
      </c>
      <c r="Y227" s="82">
        <f>S227/'2015'!R227-1</f>
        <v>5.4898092107089624E-2</v>
      </c>
      <c r="Z227" s="49">
        <f>Z$217+0.449*10</f>
        <v>106.07381599999999</v>
      </c>
      <c r="AA227" s="49">
        <f t="shared" si="84"/>
        <v>1127.695884</v>
      </c>
      <c r="AB227" s="33">
        <v>4233.1000000000004</v>
      </c>
      <c r="AC227" s="33">
        <f t="shared" si="89"/>
        <v>2663.9953792728729</v>
      </c>
      <c r="AD227" s="32">
        <f t="shared" si="85"/>
        <v>12902968.34</v>
      </c>
      <c r="AE227" s="33">
        <f t="shared" si="87"/>
        <v>358480</v>
      </c>
      <c r="AF227" s="33">
        <f t="shared" si="87"/>
        <v>170781</v>
      </c>
      <c r="AG227" s="33">
        <f t="shared" si="86"/>
        <v>36010.339999999851</v>
      </c>
    </row>
    <row r="228" spans="1:33" ht="15" customHeight="1" x14ac:dyDescent="0.15">
      <c r="A228" s="102">
        <v>42593</v>
      </c>
      <c r="B228" s="20" t="s">
        <v>37</v>
      </c>
      <c r="C228" s="8">
        <v>73674</v>
      </c>
      <c r="D228" s="37">
        <f>31840+10770</f>
        <v>42610</v>
      </c>
      <c r="E228" s="37">
        <v>118240</v>
      </c>
      <c r="F228" s="55">
        <v>5782.3</v>
      </c>
      <c r="G228" s="37">
        <v>3864</v>
      </c>
      <c r="H228" s="24"/>
      <c r="I228" s="36"/>
      <c r="J228" s="8">
        <f t="shared" si="81"/>
        <v>75630</v>
      </c>
      <c r="K228" s="37">
        <v>390</v>
      </c>
      <c r="L228" s="37">
        <v>751</v>
      </c>
      <c r="M228" s="37">
        <f t="shared" si="90"/>
        <v>624.90322580645159</v>
      </c>
      <c r="N228" s="74">
        <f t="shared" si="91"/>
        <v>788980</v>
      </c>
      <c r="O228" s="75">
        <f t="shared" si="92"/>
        <v>476416</v>
      </c>
      <c r="P228" s="75">
        <f t="shared" si="93"/>
        <v>1282961</v>
      </c>
      <c r="Q228" s="76">
        <f t="shared" si="94"/>
        <v>12411371</v>
      </c>
      <c r="R228" s="76">
        <f t="shared" si="94"/>
        <v>6442264</v>
      </c>
      <c r="S228" s="76">
        <f t="shared" si="94"/>
        <v>19420862.34</v>
      </c>
      <c r="T228" s="80">
        <f>N228/'2015'!M228-1</f>
        <v>0.15894385075832695</v>
      </c>
      <c r="U228" s="80">
        <f>O228/'2015'!N228-1</f>
        <v>0.1126249734347522</v>
      </c>
      <c r="V228" s="80">
        <f>P228/'2015'!O228-1</f>
        <v>0.12389009194628997</v>
      </c>
      <c r="W228" s="81">
        <f>Q228/'2015'!P228-1</f>
        <v>2.9360658499095971E-2</v>
      </c>
      <c r="X228" s="81">
        <f>R228/'2015'!Q228-1</f>
        <v>8.5788068315214794E-2</v>
      </c>
      <c r="Y228" s="81">
        <f>S228/'2015'!R228-1</f>
        <v>5.6150869727725761E-2</v>
      </c>
      <c r="Z228" s="50">
        <f>Z$217+0.449*11</f>
        <v>106.52281600000001</v>
      </c>
      <c r="AA228" s="97">
        <f t="shared" si="84"/>
        <v>1134.614284</v>
      </c>
      <c r="AB228" s="105">
        <v>4234</v>
      </c>
      <c r="AC228" s="105">
        <f t="shared" si="89"/>
        <v>2679.7692111478509</v>
      </c>
      <c r="AD228" s="8">
        <f t="shared" si="85"/>
        <v>12978598.34</v>
      </c>
      <c r="AE228" s="37">
        <f t="shared" si="87"/>
        <v>358870</v>
      </c>
      <c r="AF228" s="37">
        <f t="shared" si="87"/>
        <v>171532</v>
      </c>
      <c r="AG228" s="37">
        <f t="shared" si="86"/>
        <v>36825.339999999851</v>
      </c>
    </row>
    <row r="229" spans="1:33" ht="15" customHeight="1" x14ac:dyDescent="0.15">
      <c r="A229" s="102">
        <v>42594</v>
      </c>
      <c r="B229" s="20" t="s">
        <v>38</v>
      </c>
      <c r="C229" s="70">
        <v>77234</v>
      </c>
      <c r="D229" s="71">
        <f>31348+10715</f>
        <v>42063</v>
      </c>
      <c r="E229" s="71">
        <v>121398</v>
      </c>
      <c r="F229" s="107">
        <v>5980.2</v>
      </c>
      <c r="G229" s="71">
        <v>3914.5</v>
      </c>
      <c r="H229" s="24"/>
      <c r="I229" s="24"/>
      <c r="J229" s="70">
        <f t="shared" si="81"/>
        <v>79335</v>
      </c>
      <c r="K229" s="71">
        <v>1046</v>
      </c>
      <c r="L229" s="71">
        <v>751</v>
      </c>
      <c r="M229" s="71">
        <v>1045</v>
      </c>
      <c r="N229" s="74">
        <f t="shared" si="91"/>
        <v>866214</v>
      </c>
      <c r="O229" s="75">
        <f t="shared" si="92"/>
        <v>518479</v>
      </c>
      <c r="P229" s="75">
        <f t="shared" si="93"/>
        <v>1404359</v>
      </c>
      <c r="Q229" s="76">
        <f t="shared" si="94"/>
        <v>12488605</v>
      </c>
      <c r="R229" s="76">
        <f t="shared" si="94"/>
        <v>6484327</v>
      </c>
      <c r="S229" s="76">
        <f t="shared" si="94"/>
        <v>19542260.34</v>
      </c>
      <c r="T229" s="80">
        <f>N229/'2015'!M229-1</f>
        <v>0.18590409692986953</v>
      </c>
      <c r="U229" s="80">
        <f>O229/'2015'!N229-1</f>
        <v>0.1120765465675444</v>
      </c>
      <c r="V229" s="80">
        <f>P229/'2015'!O229-1</f>
        <v>0.13863745451479192</v>
      </c>
      <c r="W229" s="81">
        <f>Q229/'2015'!P229-1</f>
        <v>3.15186021584688E-2</v>
      </c>
      <c r="X229" s="81">
        <f>R229/'2015'!Q229-1</f>
        <v>8.5916189718278968E-2</v>
      </c>
      <c r="Y229" s="81">
        <f>S229/'2015'!R229-1</f>
        <v>5.7471720638113011E-2</v>
      </c>
      <c r="Z229" s="97">
        <f>Z$217+0.449*12</f>
        <v>106.971816</v>
      </c>
      <c r="AA229" s="97">
        <f t="shared" si="84"/>
        <v>1141.888684</v>
      </c>
      <c r="AB229" s="106"/>
      <c r="AC229" s="105"/>
      <c r="AD229" s="70">
        <f t="shared" si="85"/>
        <v>13057933.34</v>
      </c>
      <c r="AE229" s="71">
        <f t="shared" si="87"/>
        <v>359916</v>
      </c>
      <c r="AF229" s="71">
        <f t="shared" si="87"/>
        <v>172283</v>
      </c>
      <c r="AG229" s="71">
        <f t="shared" si="86"/>
        <v>37129.339999999851</v>
      </c>
    </row>
    <row r="230" spans="1:33" ht="15" customHeight="1" x14ac:dyDescent="0.15">
      <c r="A230" s="102">
        <v>42595</v>
      </c>
      <c r="B230" s="20" t="s">
        <v>39</v>
      </c>
      <c r="C230" s="8">
        <v>76094</v>
      </c>
      <c r="D230" s="37">
        <f>30954+10657</f>
        <v>41611</v>
      </c>
      <c r="E230" s="37">
        <v>119950</v>
      </c>
      <c r="F230" s="55">
        <v>5835.9</v>
      </c>
      <c r="G230" s="37">
        <v>3982.4</v>
      </c>
      <c r="H230" s="24"/>
      <c r="I230" s="36"/>
      <c r="J230" s="8">
        <f t="shared" si="81"/>
        <v>78339</v>
      </c>
      <c r="K230" s="37">
        <v>1184</v>
      </c>
      <c r="L230" s="37">
        <v>750</v>
      </c>
      <c r="M230" s="37">
        <f>625+121</f>
        <v>746</v>
      </c>
      <c r="N230" s="74">
        <f t="shared" si="91"/>
        <v>942308</v>
      </c>
      <c r="O230" s="75">
        <f t="shared" si="92"/>
        <v>560090</v>
      </c>
      <c r="P230" s="75">
        <f t="shared" si="93"/>
        <v>1524309</v>
      </c>
      <c r="Q230" s="76">
        <f t="shared" si="94"/>
        <v>12564699</v>
      </c>
      <c r="R230" s="76">
        <f t="shared" si="94"/>
        <v>6525938</v>
      </c>
      <c r="S230" s="76">
        <f t="shared" si="94"/>
        <v>19662210.34</v>
      </c>
      <c r="T230" s="80">
        <f>N230/'2015'!M230-1</f>
        <v>0.20879385897396419</v>
      </c>
      <c r="U230" s="80">
        <f>O230/'2015'!N230-1</f>
        <v>0.10987591203268843</v>
      </c>
      <c r="V230" s="80">
        <f>P230/'2015'!O230-1</f>
        <v>0.15017796225857016</v>
      </c>
      <c r="W230" s="81">
        <f>Q230/'2015'!P230-1</f>
        <v>3.3610291040041762E-2</v>
      </c>
      <c r="X230" s="81">
        <f>R230/'2015'!Q230-1</f>
        <v>8.5898625424978725E-2</v>
      </c>
      <c r="Y230" s="81">
        <f>S230/'2015'!R230-1</f>
        <v>5.8696925051930027E-2</v>
      </c>
      <c r="Z230" s="50">
        <f>Z$217+0.449*13</f>
        <v>107.420816</v>
      </c>
      <c r="AA230" s="97">
        <f t="shared" si="84"/>
        <v>1149.049084</v>
      </c>
      <c r="AB230" s="105"/>
      <c r="AC230" s="105"/>
      <c r="AD230" s="8">
        <f t="shared" si="85"/>
        <v>13136272.34</v>
      </c>
      <c r="AE230" s="37">
        <f t="shared" si="87"/>
        <v>361100</v>
      </c>
      <c r="AF230" s="37">
        <f t="shared" si="87"/>
        <v>173033</v>
      </c>
      <c r="AG230" s="37">
        <f t="shared" si="86"/>
        <v>37440.339999999851</v>
      </c>
    </row>
    <row r="231" spans="1:33" ht="15" customHeight="1" x14ac:dyDescent="0.15">
      <c r="A231" s="102">
        <v>42596</v>
      </c>
      <c r="B231" s="20" t="s">
        <v>1</v>
      </c>
      <c r="C231" s="8">
        <v>69988</v>
      </c>
      <c r="D231" s="37">
        <f>32230+11188</f>
        <v>43418</v>
      </c>
      <c r="E231" s="37">
        <v>115301</v>
      </c>
      <c r="F231" s="55">
        <v>5448</v>
      </c>
      <c r="G231" s="37">
        <v>3912.7</v>
      </c>
      <c r="H231" s="24"/>
      <c r="I231" s="36"/>
      <c r="J231" s="8">
        <f t="shared" si="81"/>
        <v>71883</v>
      </c>
      <c r="K231" s="37">
        <v>361</v>
      </c>
      <c r="L231" s="37">
        <v>752</v>
      </c>
      <c r="M231" s="37">
        <f>625</f>
        <v>625</v>
      </c>
      <c r="N231" s="74">
        <f t="shared" si="91"/>
        <v>1012296</v>
      </c>
      <c r="O231" s="75">
        <f t="shared" si="92"/>
        <v>603508</v>
      </c>
      <c r="P231" s="75">
        <f t="shared" si="93"/>
        <v>1639610</v>
      </c>
      <c r="Q231" s="76">
        <f t="shared" si="94"/>
        <v>12634687</v>
      </c>
      <c r="R231" s="76">
        <f t="shared" si="94"/>
        <v>6569356</v>
      </c>
      <c r="S231" s="76">
        <f t="shared" si="94"/>
        <v>19777511.34</v>
      </c>
      <c r="T231" s="80">
        <f>N231/'2015'!M231-1</f>
        <v>0.22445187932273258</v>
      </c>
      <c r="U231" s="80">
        <f>O231/'2015'!N231-1</f>
        <v>0.11100311113565664</v>
      </c>
      <c r="V231" s="80">
        <f>P231/'2015'!O231-1</f>
        <v>0.15822994496392728</v>
      </c>
      <c r="W231" s="81">
        <f>Q231/'2015'!P231-1</f>
        <v>3.5348501120760822E-2</v>
      </c>
      <c r="X231" s="81">
        <f>R231/'2015'!Q231-1</f>
        <v>8.6152757478159092E-2</v>
      </c>
      <c r="Y231" s="81">
        <f>S231/'2015'!R231-1</f>
        <v>5.9750515769067869E-2</v>
      </c>
      <c r="Z231" s="50">
        <f>Z$217+0.449*14</f>
        <v>107.869816</v>
      </c>
      <c r="AA231" s="97">
        <f t="shared" si="84"/>
        <v>1155.598884</v>
      </c>
      <c r="AB231" s="105"/>
      <c r="AC231" s="105"/>
      <c r="AD231" s="8">
        <f t="shared" si="85"/>
        <v>13208155.34</v>
      </c>
      <c r="AE231" s="37">
        <f t="shared" si="87"/>
        <v>361461</v>
      </c>
      <c r="AF231" s="37">
        <f t="shared" si="87"/>
        <v>173785</v>
      </c>
      <c r="AG231" s="37">
        <f t="shared" si="86"/>
        <v>38222.339999999851</v>
      </c>
    </row>
    <row r="232" spans="1:33" ht="15" customHeight="1" x14ac:dyDescent="0.15">
      <c r="A232" s="102">
        <v>42597</v>
      </c>
      <c r="B232" s="20" t="s">
        <v>34</v>
      </c>
      <c r="C232" s="8">
        <v>75894</v>
      </c>
      <c r="D232" s="37">
        <f>34691+10842</f>
        <v>45533</v>
      </c>
      <c r="E232" s="37">
        <v>123363</v>
      </c>
      <c r="F232" s="55">
        <v>6110.3</v>
      </c>
      <c r="G232" s="37">
        <v>3853</v>
      </c>
      <c r="H232" s="24"/>
      <c r="I232" s="36"/>
      <c r="J232" s="8">
        <f t="shared" si="81"/>
        <v>77830</v>
      </c>
      <c r="K232" s="37">
        <v>388</v>
      </c>
      <c r="L232" s="37">
        <v>750</v>
      </c>
      <c r="M232" s="37">
        <f>625+121</f>
        <v>746</v>
      </c>
      <c r="N232" s="74">
        <f t="shared" si="91"/>
        <v>1088190</v>
      </c>
      <c r="O232" s="75">
        <f t="shared" si="92"/>
        <v>649041</v>
      </c>
      <c r="P232" s="75">
        <f t="shared" si="93"/>
        <v>1762973</v>
      </c>
      <c r="Q232" s="76">
        <f t="shared" si="94"/>
        <v>12710581</v>
      </c>
      <c r="R232" s="76">
        <f t="shared" si="94"/>
        <v>6614889</v>
      </c>
      <c r="S232" s="76">
        <f t="shared" si="94"/>
        <v>19900874.34</v>
      </c>
      <c r="T232" s="80">
        <f>N232/'2015'!M232-1</f>
        <v>0.24345102538231167</v>
      </c>
      <c r="U232" s="80">
        <f>O232/'2015'!N232-1</f>
        <v>0.11815517773065021</v>
      </c>
      <c r="V232" s="80">
        <f>P232/'2015'!O232-1</f>
        <v>0.1706001559053465</v>
      </c>
      <c r="W232" s="81">
        <f>Q232/'2015'!P232-1</f>
        <v>3.7452697461850537E-2</v>
      </c>
      <c r="X232" s="81">
        <f>R232/'2015'!Q232-1</f>
        <v>8.6987043192808144E-2</v>
      </c>
      <c r="Y232" s="81">
        <f>S232/'2015'!R232-1</f>
        <v>6.1218829332954083E-2</v>
      </c>
      <c r="Z232" s="50">
        <f>Z$217+0.449*15</f>
        <v>108.318816</v>
      </c>
      <c r="AA232" s="97">
        <f t="shared" si="84"/>
        <v>1162.739284</v>
      </c>
      <c r="AB232" s="105">
        <v>4234</v>
      </c>
      <c r="AC232" s="105">
        <f t="shared" si="89"/>
        <v>2746.195758148323</v>
      </c>
      <c r="AD232" s="8">
        <f t="shared" si="85"/>
        <v>13285985.34</v>
      </c>
      <c r="AE232" s="37">
        <f t="shared" si="87"/>
        <v>361849</v>
      </c>
      <c r="AF232" s="37">
        <f t="shared" si="87"/>
        <v>174535</v>
      </c>
      <c r="AG232" s="37">
        <f t="shared" si="86"/>
        <v>39020.339999999851</v>
      </c>
    </row>
    <row r="233" spans="1:33" ht="15" customHeight="1" x14ac:dyDescent="0.15">
      <c r="A233" s="102">
        <v>42598</v>
      </c>
      <c r="B233" s="20" t="s">
        <v>35</v>
      </c>
      <c r="C233" s="8">
        <v>77259</v>
      </c>
      <c r="D233" s="37">
        <f>35231+10796</f>
        <v>46027</v>
      </c>
      <c r="E233" s="37">
        <v>124841</v>
      </c>
      <c r="F233" s="55">
        <v>6112.1</v>
      </c>
      <c r="G233" s="37">
        <v>4074</v>
      </c>
      <c r="H233" s="24"/>
      <c r="I233" s="36"/>
      <c r="J233" s="8">
        <f t="shared" si="81"/>
        <v>78814</v>
      </c>
      <c r="K233" s="37">
        <v>506</v>
      </c>
      <c r="L233" s="37">
        <v>751</v>
      </c>
      <c r="M233" s="37">
        <f t="shared" si="90"/>
        <v>624.90322580645159</v>
      </c>
      <c r="N233" s="74">
        <f t="shared" si="91"/>
        <v>1165449</v>
      </c>
      <c r="O233" s="75">
        <f t="shared" si="92"/>
        <v>695068</v>
      </c>
      <c r="P233" s="75">
        <f t="shared" si="93"/>
        <v>1887814</v>
      </c>
      <c r="Q233" s="76">
        <f t="shared" si="94"/>
        <v>12787840</v>
      </c>
      <c r="R233" s="76">
        <f t="shared" si="94"/>
        <v>6660916</v>
      </c>
      <c r="S233" s="76">
        <f t="shared" si="94"/>
        <v>20025715.34</v>
      </c>
      <c r="T233" s="80">
        <f>N233/'2015'!M233-1</f>
        <v>0.27442648298667338</v>
      </c>
      <c r="U233" s="80">
        <f>O233/'2015'!N233-1</f>
        <v>0.1227543072395223</v>
      </c>
      <c r="V233" s="80">
        <f>P233/'2015'!O233-1</f>
        <v>0.18842855128373004</v>
      </c>
      <c r="W233" s="81">
        <f>Q233/'2015'!P233-1</f>
        <v>4.0416894440379547E-2</v>
      </c>
      <c r="X233" s="81">
        <f>R233/'2015'!Q233-1</f>
        <v>8.764849422221288E-2</v>
      </c>
      <c r="Y233" s="81">
        <f>S233/'2015'!R233-1</f>
        <v>6.3201237930840648E-2</v>
      </c>
      <c r="Z233" s="50">
        <f>Z$217+0.449*16</f>
        <v>108.767816</v>
      </c>
      <c r="AA233" s="97">
        <f t="shared" si="84"/>
        <v>1170.0161840000001</v>
      </c>
      <c r="AB233" s="105"/>
      <c r="AC233" s="105"/>
      <c r="AD233" s="8">
        <f t="shared" si="85"/>
        <v>13364799.34</v>
      </c>
      <c r="AE233" s="37">
        <f t="shared" si="87"/>
        <v>362355</v>
      </c>
      <c r="AF233" s="37">
        <f t="shared" si="87"/>
        <v>175286</v>
      </c>
      <c r="AG233" s="37">
        <f t="shared" si="86"/>
        <v>39318.339999999851</v>
      </c>
    </row>
    <row r="234" spans="1:33" ht="15" customHeight="1" x14ac:dyDescent="0.15">
      <c r="A234" s="102">
        <v>42599</v>
      </c>
      <c r="B234" s="14" t="s">
        <v>36</v>
      </c>
      <c r="C234" s="32">
        <v>80227</v>
      </c>
      <c r="D234" s="33">
        <f>28694+11085</f>
        <v>39779</v>
      </c>
      <c r="E234" s="33">
        <v>125672</v>
      </c>
      <c r="F234" s="59">
        <v>6130</v>
      </c>
      <c r="G234" s="33">
        <v>4120</v>
      </c>
      <c r="H234" s="19"/>
      <c r="I234" s="19"/>
      <c r="J234" s="32">
        <f t="shared" si="81"/>
        <v>85893</v>
      </c>
      <c r="K234" s="33">
        <v>582</v>
      </c>
      <c r="L234" s="33">
        <v>751</v>
      </c>
      <c r="M234" s="33">
        <f t="shared" si="90"/>
        <v>624.90322580645159</v>
      </c>
      <c r="N234" s="77">
        <f t="shared" si="91"/>
        <v>1245676</v>
      </c>
      <c r="O234" s="78">
        <f t="shared" si="92"/>
        <v>734847</v>
      </c>
      <c r="P234" s="78">
        <f t="shared" si="93"/>
        <v>2013486</v>
      </c>
      <c r="Q234" s="77">
        <f t="shared" si="94"/>
        <v>12868067</v>
      </c>
      <c r="R234" s="77">
        <f t="shared" si="94"/>
        <v>6700695</v>
      </c>
      <c r="S234" s="77">
        <f t="shared" si="94"/>
        <v>20151387.34</v>
      </c>
      <c r="T234" s="82">
        <f>N234/'2015'!M234-1</f>
        <v>0.29499322706636844</v>
      </c>
      <c r="U234" s="82">
        <f>O234/'2015'!N234-1</f>
        <v>0.11763972264596601</v>
      </c>
      <c r="V234" s="82">
        <f>P234/'2015'!O234-1</f>
        <v>0.19911312059820885</v>
      </c>
      <c r="W234" s="82">
        <f>Q234/'2015'!P234-1</f>
        <v>4.2919800387421381E-2</v>
      </c>
      <c r="X234" s="82">
        <f>R234/'2015'!Q234-1</f>
        <v>8.7321699765146699E-2</v>
      </c>
      <c r="Y234" s="82">
        <f>S234/'2015'!R234-1</f>
        <v>6.4748996761113897E-2</v>
      </c>
      <c r="Z234" s="49">
        <f>Z$217+0.449*17</f>
        <v>109.21681599999999</v>
      </c>
      <c r="AA234" s="49">
        <f t="shared" si="84"/>
        <v>1177.589884</v>
      </c>
      <c r="AB234" s="33">
        <v>4233.1000000000004</v>
      </c>
      <c r="AC234" s="33">
        <f t="shared" si="89"/>
        <v>2781.8617183624292</v>
      </c>
      <c r="AD234" s="32">
        <f t="shared" si="85"/>
        <v>13450692.34</v>
      </c>
      <c r="AE234" s="33">
        <f t="shared" si="87"/>
        <v>362937</v>
      </c>
      <c r="AF234" s="33">
        <f t="shared" si="87"/>
        <v>176037</v>
      </c>
      <c r="AG234" s="33">
        <f t="shared" si="86"/>
        <v>43651.339999999851</v>
      </c>
    </row>
    <row r="235" spans="1:33" ht="15" customHeight="1" x14ac:dyDescent="0.15">
      <c r="A235" s="102">
        <v>42600</v>
      </c>
      <c r="B235" s="20" t="s">
        <v>37</v>
      </c>
      <c r="C235" s="8">
        <v>81472</v>
      </c>
      <c r="D235" s="37">
        <f>32445+10758</f>
        <v>43203</v>
      </c>
      <c r="E235" s="37">
        <v>126586</v>
      </c>
      <c r="F235" s="55">
        <v>6212.4</v>
      </c>
      <c r="G235" s="37">
        <v>4085.3</v>
      </c>
      <c r="H235" s="24"/>
      <c r="I235" s="36"/>
      <c r="J235" s="8">
        <f t="shared" si="81"/>
        <v>83383</v>
      </c>
      <c r="K235" s="37">
        <v>884</v>
      </c>
      <c r="L235" s="37">
        <v>752</v>
      </c>
      <c r="M235" s="37">
        <f t="shared" si="90"/>
        <v>624.90322580645159</v>
      </c>
      <c r="N235" s="74">
        <f t="shared" si="91"/>
        <v>1327148</v>
      </c>
      <c r="O235" s="75">
        <f t="shared" si="92"/>
        <v>778050</v>
      </c>
      <c r="P235" s="75">
        <f t="shared" si="93"/>
        <v>2140072</v>
      </c>
      <c r="Q235" s="76">
        <f t="shared" si="94"/>
        <v>12949539</v>
      </c>
      <c r="R235" s="76">
        <f t="shared" si="94"/>
        <v>6743898</v>
      </c>
      <c r="S235" s="76">
        <f t="shared" si="94"/>
        <v>20277973.34</v>
      </c>
      <c r="T235" s="80">
        <f>N235/'2015'!M235-1</f>
        <v>0.31352152767193142</v>
      </c>
      <c r="U235" s="80">
        <f>O235/'2015'!N235-1</f>
        <v>0.11520726758811084</v>
      </c>
      <c r="V235" s="80">
        <f>P235/'2015'!O235-1</f>
        <v>0.20709704056837697</v>
      </c>
      <c r="W235" s="81">
        <f>Q235/'2015'!P235-1</f>
        <v>4.541720412711503E-2</v>
      </c>
      <c r="X235" s="81">
        <f>R235/'2015'!Q235-1</f>
        <v>8.7244465875822907E-2</v>
      </c>
      <c r="Y235" s="81">
        <f>S235/'2015'!R235-1</f>
        <v>6.6155590255226215E-2</v>
      </c>
      <c r="Z235" s="50">
        <f>Z$217+0.449*18</f>
        <v>109.66581600000001</v>
      </c>
      <c r="AA235" s="97">
        <f t="shared" si="84"/>
        <v>1185.288084</v>
      </c>
      <c r="AB235" s="105">
        <v>4234</v>
      </c>
      <c r="AC235" s="105">
        <f t="shared" si="89"/>
        <v>2799.4522531884741</v>
      </c>
      <c r="AD235" s="8">
        <f t="shared" si="85"/>
        <v>13534075.34</v>
      </c>
      <c r="AE235" s="37">
        <f t="shared" si="87"/>
        <v>363821</v>
      </c>
      <c r="AF235" s="37">
        <f t="shared" si="87"/>
        <v>176789</v>
      </c>
      <c r="AG235" s="37">
        <f t="shared" si="86"/>
        <v>43926.339999999851</v>
      </c>
    </row>
    <row r="236" spans="1:33" ht="15" customHeight="1" x14ac:dyDescent="0.15">
      <c r="A236" s="102">
        <v>42601</v>
      </c>
      <c r="B236" s="20" t="s">
        <v>38</v>
      </c>
      <c r="C236" s="70">
        <v>84776</v>
      </c>
      <c r="D236" s="71">
        <f>31840+10987</f>
        <v>42827</v>
      </c>
      <c r="E236" s="71">
        <v>129913</v>
      </c>
      <c r="F236" s="107">
        <v>6392.5</v>
      </c>
      <c r="G236" s="71">
        <v>4172.2</v>
      </c>
      <c r="H236" s="24"/>
      <c r="I236" s="24"/>
      <c r="J236" s="70">
        <f t="shared" si="81"/>
        <v>87086</v>
      </c>
      <c r="K236" s="71">
        <v>764</v>
      </c>
      <c r="L236" s="71">
        <v>749</v>
      </c>
      <c r="M236" s="71">
        <f t="shared" si="90"/>
        <v>624.90322580645159</v>
      </c>
      <c r="N236" s="74">
        <f t="shared" si="91"/>
        <v>1411924</v>
      </c>
      <c r="O236" s="75">
        <f t="shared" si="92"/>
        <v>820877</v>
      </c>
      <c r="P236" s="75">
        <f t="shared" si="93"/>
        <v>2269985</v>
      </c>
      <c r="Q236" s="76">
        <f t="shared" si="94"/>
        <v>13034315</v>
      </c>
      <c r="R236" s="76">
        <f t="shared" si="94"/>
        <v>6786725</v>
      </c>
      <c r="S236" s="76">
        <f t="shared" si="94"/>
        <v>20407886.34</v>
      </c>
      <c r="T236" s="80">
        <f>N236/'2015'!M236-1</f>
        <v>0.3295854332873791</v>
      </c>
      <c r="U236" s="80">
        <f>O236/'2015'!N236-1</f>
        <v>0.11101982811125399</v>
      </c>
      <c r="V236" s="80">
        <f>P236/'2015'!O236-1</f>
        <v>0.21369127660313914</v>
      </c>
      <c r="W236" s="81">
        <f>Q236/'2015'!P236-1</f>
        <v>4.7899861333895899E-2</v>
      </c>
      <c r="X236" s="81">
        <f>R236/'2015'!Q236-1</f>
        <v>8.6933368781150211E-2</v>
      </c>
      <c r="Y236" s="81">
        <f>S236/'2015'!R236-1</f>
        <v>6.7518869997154285E-2</v>
      </c>
      <c r="Z236" s="97">
        <f>Z$217+0.449*19</f>
        <v>110.114816</v>
      </c>
      <c r="AA236" s="97">
        <f t="shared" si="84"/>
        <v>1193.3166839999999</v>
      </c>
      <c r="AB236" s="106"/>
      <c r="AC236" s="105"/>
      <c r="AD236" s="70">
        <f t="shared" si="85"/>
        <v>13621161.34</v>
      </c>
      <c r="AE236" s="71">
        <f t="shared" si="87"/>
        <v>364585</v>
      </c>
      <c r="AF236" s="71">
        <f t="shared" si="87"/>
        <v>177538</v>
      </c>
      <c r="AG236" s="71">
        <f t="shared" si="86"/>
        <v>44723.339999999851</v>
      </c>
    </row>
    <row r="237" spans="1:33" ht="15" customHeight="1" x14ac:dyDescent="0.15">
      <c r="A237" s="102">
        <v>42602</v>
      </c>
      <c r="B237" s="20" t="s">
        <v>39</v>
      </c>
      <c r="C237" s="8">
        <v>80867</v>
      </c>
      <c r="D237" s="37">
        <f>32326+10861</f>
        <v>43187</v>
      </c>
      <c r="E237" s="37">
        <v>125704</v>
      </c>
      <c r="F237" s="55">
        <v>6236</v>
      </c>
      <c r="G237" s="37">
        <v>4220.3999999999996</v>
      </c>
      <c r="H237" s="24"/>
      <c r="I237" s="36"/>
      <c r="J237" s="8">
        <f t="shared" si="81"/>
        <v>82517</v>
      </c>
      <c r="K237" s="37">
        <v>661</v>
      </c>
      <c r="L237" s="37">
        <v>753</v>
      </c>
      <c r="M237" s="37">
        <f t="shared" si="90"/>
        <v>624.90322580645159</v>
      </c>
      <c r="N237" s="74">
        <f t="shared" si="91"/>
        <v>1492791</v>
      </c>
      <c r="O237" s="75">
        <f t="shared" si="92"/>
        <v>864064</v>
      </c>
      <c r="P237" s="75">
        <f t="shared" si="93"/>
        <v>2395689</v>
      </c>
      <c r="Q237" s="76">
        <f t="shared" si="94"/>
        <v>13115182</v>
      </c>
      <c r="R237" s="76">
        <f t="shared" si="94"/>
        <v>6829912</v>
      </c>
      <c r="S237" s="76">
        <f t="shared" si="94"/>
        <v>20533590.34</v>
      </c>
      <c r="T237" s="80">
        <f>N237/'2015'!M237-1</f>
        <v>0.33830629002369483</v>
      </c>
      <c r="U237" s="80">
        <f>O237/'2015'!N237-1</f>
        <v>0.10581366628145217</v>
      </c>
      <c r="V237" s="80">
        <f>P237/'2015'!O237-1</f>
        <v>0.21581546843899679</v>
      </c>
      <c r="W237" s="81">
        <f>Q237/'2015'!P237-1</f>
        <v>4.9885058593820419E-2</v>
      </c>
      <c r="X237" s="81">
        <f>R237/'2015'!Q237-1</f>
        <v>8.6449226614754071E-2</v>
      </c>
      <c r="Y237" s="81">
        <f>S237/'2015'!R237-1</f>
        <v>6.8498240876696093E-2</v>
      </c>
      <c r="Z237" s="50">
        <f>Z$217+0.449*20</f>
        <v>110.563816</v>
      </c>
      <c r="AA237" s="97">
        <f t="shared" si="84"/>
        <v>1200.9543839999999</v>
      </c>
      <c r="AB237" s="105"/>
      <c r="AC237" s="105"/>
      <c r="AD237" s="8">
        <f t="shared" si="85"/>
        <v>13703678.34</v>
      </c>
      <c r="AE237" s="37">
        <f t="shared" si="87"/>
        <v>365246</v>
      </c>
      <c r="AF237" s="37">
        <f t="shared" si="87"/>
        <v>178291</v>
      </c>
      <c r="AG237" s="37">
        <f t="shared" si="86"/>
        <v>44959.339999999851</v>
      </c>
    </row>
    <row r="238" spans="1:33" ht="15" customHeight="1" x14ac:dyDescent="0.15">
      <c r="A238" s="102">
        <v>42603</v>
      </c>
      <c r="B238" s="20" t="s">
        <v>1</v>
      </c>
      <c r="C238" s="8">
        <v>76200</v>
      </c>
      <c r="D238" s="37">
        <f>28612+10729</f>
        <v>39341</v>
      </c>
      <c r="E238" s="37">
        <v>116610</v>
      </c>
      <c r="F238" s="55">
        <v>5612.3</v>
      </c>
      <c r="G238" s="37">
        <v>4001</v>
      </c>
      <c r="H238" s="24"/>
      <c r="I238" s="36"/>
      <c r="J238" s="8">
        <f t="shared" si="81"/>
        <v>77269</v>
      </c>
      <c r="K238" s="37">
        <v>120</v>
      </c>
      <c r="L238" s="37">
        <v>750</v>
      </c>
      <c r="M238" s="37">
        <f t="shared" si="90"/>
        <v>624.90322580645159</v>
      </c>
      <c r="N238" s="74">
        <f t="shared" si="91"/>
        <v>1568991</v>
      </c>
      <c r="O238" s="75">
        <f t="shared" si="92"/>
        <v>903405</v>
      </c>
      <c r="P238" s="75">
        <f t="shared" si="93"/>
        <v>2512299</v>
      </c>
      <c r="Q238" s="76">
        <f t="shared" si="94"/>
        <v>13191382</v>
      </c>
      <c r="R238" s="76">
        <f t="shared" si="94"/>
        <v>6869253</v>
      </c>
      <c r="S238" s="76">
        <f t="shared" si="94"/>
        <v>20650200.34</v>
      </c>
      <c r="T238" s="80">
        <f>N238/'2015'!M238-1</f>
        <v>0.34864644630912278</v>
      </c>
      <c r="U238" s="80">
        <f>O238/'2015'!N238-1</f>
        <v>9.4812093037911049E-2</v>
      </c>
      <c r="V238" s="80">
        <f>P238/'2015'!O238-1</f>
        <v>0.2160602497757671</v>
      </c>
      <c r="W238" s="81">
        <f>Q238/'2015'!P238-1</f>
        <v>5.1947190287437772E-2</v>
      </c>
      <c r="X238" s="81">
        <f>R238/'2015'!Q238-1</f>
        <v>8.514907573000019E-2</v>
      </c>
      <c r="Y238" s="81">
        <f>S238/'2015'!R238-1</f>
        <v>6.9252859951810075E-2</v>
      </c>
      <c r="Z238" s="50">
        <f>Z$217+0.449*21</f>
        <v>111.012816</v>
      </c>
      <c r="AA238" s="97">
        <f t="shared" si="84"/>
        <v>1208.1253840000002</v>
      </c>
      <c r="AB238" s="105"/>
      <c r="AC238" s="105"/>
      <c r="AD238" s="8">
        <f t="shared" si="85"/>
        <v>13780947.34</v>
      </c>
      <c r="AE238" s="37">
        <f t="shared" si="87"/>
        <v>365366</v>
      </c>
      <c r="AF238" s="37">
        <f t="shared" si="87"/>
        <v>179041</v>
      </c>
      <c r="AG238" s="37">
        <f t="shared" si="86"/>
        <v>45158.339999999851</v>
      </c>
    </row>
    <row r="239" spans="1:33" ht="15" customHeight="1" x14ac:dyDescent="0.15">
      <c r="A239" s="102">
        <v>42604</v>
      </c>
      <c r="B239" s="20" t="s">
        <v>34</v>
      </c>
      <c r="C239" s="8">
        <v>79544</v>
      </c>
      <c r="D239" s="37">
        <f>29423+10795</f>
        <v>40218</v>
      </c>
      <c r="E239" s="37">
        <v>121266</v>
      </c>
      <c r="F239" s="55">
        <v>6038.2</v>
      </c>
      <c r="G239" s="37">
        <v>3845</v>
      </c>
      <c r="H239" s="24"/>
      <c r="I239" s="36"/>
      <c r="J239" s="8">
        <f t="shared" si="81"/>
        <v>81048</v>
      </c>
      <c r="K239" s="37">
        <v>494</v>
      </c>
      <c r="L239" s="37">
        <v>754</v>
      </c>
      <c r="M239" s="37">
        <f t="shared" si="90"/>
        <v>624.90322580645159</v>
      </c>
      <c r="N239" s="74">
        <f t="shared" si="91"/>
        <v>1648535</v>
      </c>
      <c r="O239" s="75">
        <f t="shared" si="92"/>
        <v>943623</v>
      </c>
      <c r="P239" s="75">
        <f t="shared" si="93"/>
        <v>2633565</v>
      </c>
      <c r="Q239" s="76">
        <f t="shared" si="94"/>
        <v>13270926</v>
      </c>
      <c r="R239" s="76">
        <f t="shared" si="94"/>
        <v>6909471</v>
      </c>
      <c r="S239" s="76">
        <f t="shared" si="94"/>
        <v>20771466.34</v>
      </c>
      <c r="T239" s="80">
        <f>N239/'2015'!M239-1</f>
        <v>0.36348034512647809</v>
      </c>
      <c r="U239" s="80">
        <f>O239/'2015'!N239-1</f>
        <v>8.8961207568072798E-2</v>
      </c>
      <c r="V239" s="80">
        <f>P239/'2015'!O239-1</f>
        <v>0.22128984687300002</v>
      </c>
      <c r="W239" s="81">
        <f>Q239/'2015'!P239-1</f>
        <v>5.4449163046670357E-2</v>
      </c>
      <c r="X239" s="81">
        <f>R239/'2015'!Q239-1</f>
        <v>8.441609296244823E-2</v>
      </c>
      <c r="Y239" s="81">
        <f>S239/'2015'!R239-1</f>
        <v>7.0518388604757343E-2</v>
      </c>
      <c r="Z239" s="50">
        <f>Z$217+0.449*22</f>
        <v>111.461816</v>
      </c>
      <c r="AA239" s="97">
        <f t="shared" si="84"/>
        <v>1215.6307839999999</v>
      </c>
      <c r="AB239" s="105"/>
      <c r="AC239" s="105"/>
      <c r="AD239" s="8">
        <f t="shared" si="85"/>
        <v>13861995.34</v>
      </c>
      <c r="AE239" s="37">
        <f t="shared" si="87"/>
        <v>365860</v>
      </c>
      <c r="AF239" s="37">
        <f t="shared" si="87"/>
        <v>179795</v>
      </c>
      <c r="AG239" s="37">
        <f t="shared" si="86"/>
        <v>45414.339999999851</v>
      </c>
    </row>
    <row r="240" spans="1:33" ht="15" customHeight="1" x14ac:dyDescent="0.15">
      <c r="A240" s="102">
        <v>42605</v>
      </c>
      <c r="B240" s="20" t="s">
        <v>35</v>
      </c>
      <c r="C240" s="8">
        <v>77062</v>
      </c>
      <c r="D240" s="37">
        <f>30265+10756</f>
        <v>41021</v>
      </c>
      <c r="E240" s="37">
        <v>119496</v>
      </c>
      <c r="F240" s="55">
        <v>5877.6</v>
      </c>
      <c r="G240" s="37">
        <v>3906.5</v>
      </c>
      <c r="H240" s="24"/>
      <c r="I240" s="36"/>
      <c r="J240" s="8">
        <f t="shared" si="81"/>
        <v>78475</v>
      </c>
      <c r="K240" s="37">
        <v>385</v>
      </c>
      <c r="L240" s="37">
        <v>753</v>
      </c>
      <c r="M240" s="37">
        <f t="shared" si="90"/>
        <v>624.90322580645159</v>
      </c>
      <c r="N240" s="74">
        <f t="shared" si="91"/>
        <v>1725597</v>
      </c>
      <c r="O240" s="75">
        <f t="shared" si="92"/>
        <v>984644</v>
      </c>
      <c r="P240" s="75">
        <f t="shared" si="93"/>
        <v>2753061</v>
      </c>
      <c r="Q240" s="76">
        <f t="shared" si="94"/>
        <v>13347988</v>
      </c>
      <c r="R240" s="76">
        <f t="shared" si="94"/>
        <v>6950492</v>
      </c>
      <c r="S240" s="76">
        <f t="shared" si="94"/>
        <v>20890962.34</v>
      </c>
      <c r="T240" s="80">
        <f>N240/'2015'!M240-1</f>
        <v>0.38362118733763118</v>
      </c>
      <c r="U240" s="80">
        <f>O240/'2015'!N240-1</f>
        <v>8.5661550267764675E-2</v>
      </c>
      <c r="V240" s="80">
        <f>P240/'2015'!O240-1</f>
        <v>0.22989778181033538</v>
      </c>
      <c r="W240" s="81">
        <f>Q240/'2015'!P240-1</f>
        <v>5.7371569005201684E-2</v>
      </c>
      <c r="X240" s="81">
        <f>R240/'2015'!Q240-1</f>
        <v>8.397802066524096E-2</v>
      </c>
      <c r="Y240" s="81">
        <f>S240/'2015'!R240-1</f>
        <v>7.2142271498464527E-2</v>
      </c>
      <c r="Z240" s="50">
        <f>Z$217+0.449*23</f>
        <v>111.910816</v>
      </c>
      <c r="AA240" s="97">
        <f t="shared" si="84"/>
        <v>1222.887984</v>
      </c>
      <c r="AB240" s="105"/>
      <c r="AC240" s="105"/>
      <c r="AD240" s="8">
        <f t="shared" si="85"/>
        <v>13940470.34</v>
      </c>
      <c r="AE240" s="37">
        <f t="shared" si="87"/>
        <v>366245</v>
      </c>
      <c r="AF240" s="37">
        <f t="shared" si="87"/>
        <v>180548</v>
      </c>
      <c r="AG240" s="37">
        <f t="shared" si="86"/>
        <v>45689.339999999851</v>
      </c>
    </row>
    <row r="241" spans="1:33" ht="15" customHeight="1" x14ac:dyDescent="0.15">
      <c r="A241" s="102">
        <v>42606</v>
      </c>
      <c r="B241" s="14" t="s">
        <v>36</v>
      </c>
      <c r="C241" s="32">
        <v>70225</v>
      </c>
      <c r="D241" s="33">
        <f>29460+10767</f>
        <v>40227</v>
      </c>
      <c r="E241" s="33">
        <v>111938</v>
      </c>
      <c r="F241" s="59">
        <v>5573</v>
      </c>
      <c r="G241" s="33">
        <v>3620</v>
      </c>
      <c r="H241" s="19"/>
      <c r="I241" s="19"/>
      <c r="J241" s="32">
        <f t="shared" si="81"/>
        <v>71711</v>
      </c>
      <c r="K241" s="33">
        <v>434</v>
      </c>
      <c r="L241" s="33">
        <v>751</v>
      </c>
      <c r="M241" s="33">
        <f t="shared" si="90"/>
        <v>624.90322580645159</v>
      </c>
      <c r="N241" s="77">
        <f t="shared" si="91"/>
        <v>1795822</v>
      </c>
      <c r="O241" s="78">
        <f t="shared" si="92"/>
        <v>1024871</v>
      </c>
      <c r="P241" s="78">
        <f t="shared" si="93"/>
        <v>2864999</v>
      </c>
      <c r="Q241" s="77">
        <f t="shared" si="94"/>
        <v>13418213</v>
      </c>
      <c r="R241" s="77">
        <f t="shared" si="94"/>
        <v>6990719</v>
      </c>
      <c r="S241" s="77">
        <f t="shared" si="94"/>
        <v>21002900.34</v>
      </c>
      <c r="T241" s="82">
        <f>N241/'2015'!M241-1</f>
        <v>0.39462256033350007</v>
      </c>
      <c r="U241" s="82">
        <f>O241/'2015'!N241-1</f>
        <v>7.9837993376862482E-2</v>
      </c>
      <c r="V241" s="82">
        <f>P241/'2015'!O241-1</f>
        <v>0.23286319559973112</v>
      </c>
      <c r="W241" s="82">
        <f>Q241/'2015'!P241-1</f>
        <v>5.9533916707332324E-2</v>
      </c>
      <c r="X241" s="82">
        <f>R241/'2015'!Q241-1</f>
        <v>8.3132649031238293E-2</v>
      </c>
      <c r="Y241" s="82">
        <f>S241/'2015'!R241-1</f>
        <v>7.3182872751934802E-2</v>
      </c>
      <c r="Z241" s="49">
        <f>Z$217+0.449*24</f>
        <v>112.359816</v>
      </c>
      <c r="AA241" s="49">
        <f t="shared" si="84"/>
        <v>1229.4614840000002</v>
      </c>
      <c r="AB241" s="33">
        <v>4234</v>
      </c>
      <c r="AC241" s="33">
        <f t="shared" si="89"/>
        <v>2903.7824374114316</v>
      </c>
      <c r="AD241" s="32">
        <f t="shared" si="85"/>
        <v>14012181.34</v>
      </c>
      <c r="AE241" s="33">
        <f t="shared" si="87"/>
        <v>366679</v>
      </c>
      <c r="AF241" s="33">
        <f t="shared" si="87"/>
        <v>181299</v>
      </c>
      <c r="AG241" s="33">
        <f t="shared" si="86"/>
        <v>45990.339999999851</v>
      </c>
    </row>
    <row r="242" spans="1:33" ht="15" customHeight="1" x14ac:dyDescent="0.15">
      <c r="A242" s="102">
        <v>42607</v>
      </c>
      <c r="B242" s="20" t="s">
        <v>37</v>
      </c>
      <c r="C242" s="8">
        <v>72361</v>
      </c>
      <c r="D242" s="37">
        <f>25780+10700</f>
        <v>36480</v>
      </c>
      <c r="E242" s="37">
        <v>110638</v>
      </c>
      <c r="F242" s="55">
        <v>5532.5</v>
      </c>
      <c r="G242" s="37">
        <v>3462.2</v>
      </c>
      <c r="H242" s="24"/>
      <c r="I242" s="36"/>
      <c r="J242" s="8">
        <f t="shared" si="81"/>
        <v>74158</v>
      </c>
      <c r="K242" s="37">
        <v>293</v>
      </c>
      <c r="L242" s="37">
        <v>754</v>
      </c>
      <c r="M242" s="37">
        <f t="shared" si="90"/>
        <v>624.90322580645159</v>
      </c>
      <c r="N242" s="74">
        <f t="shared" si="91"/>
        <v>1868183</v>
      </c>
      <c r="O242" s="75">
        <f t="shared" si="92"/>
        <v>1061351</v>
      </c>
      <c r="P242" s="75">
        <f t="shared" si="93"/>
        <v>2975637</v>
      </c>
      <c r="Q242" s="76">
        <f t="shared" si="94"/>
        <v>13490574</v>
      </c>
      <c r="R242" s="76">
        <f t="shared" si="94"/>
        <v>7027199</v>
      </c>
      <c r="S242" s="76">
        <f t="shared" si="94"/>
        <v>21113538.34</v>
      </c>
      <c r="T242" s="80">
        <f>N242/'2015'!M242-1</f>
        <v>0.40525429376716438</v>
      </c>
      <c r="U242" s="80">
        <f>O242/'2015'!N242-1</f>
        <v>6.7828447361696131E-2</v>
      </c>
      <c r="V242" s="80">
        <f>P242/'2015'!O242-1</f>
        <v>0.23346863349325608</v>
      </c>
      <c r="W242" s="81">
        <f>Q242/'2015'!P242-1</f>
        <v>6.1747388696578254E-2</v>
      </c>
      <c r="X242" s="81">
        <f>R242/'2015'!Q242-1</f>
        <v>8.1273222789215005E-2</v>
      </c>
      <c r="Y242" s="81">
        <f>S242/'2015'!R242-1</f>
        <v>7.3976455524504825E-2</v>
      </c>
      <c r="Z242" s="50">
        <f>Z$217+0.449*25</f>
        <v>112.80881599999999</v>
      </c>
      <c r="AA242" s="97">
        <f t="shared" si="84"/>
        <v>1236.2485839999999</v>
      </c>
      <c r="AB242" s="105">
        <v>4234</v>
      </c>
      <c r="AC242" s="105">
        <f t="shared" si="89"/>
        <v>2919.8124326877655</v>
      </c>
      <c r="AD242" s="8">
        <f t="shared" si="85"/>
        <v>14086339.34</v>
      </c>
      <c r="AE242" s="37">
        <f t="shared" si="87"/>
        <v>366972</v>
      </c>
      <c r="AF242" s="37">
        <f t="shared" si="87"/>
        <v>182053</v>
      </c>
      <c r="AG242" s="37">
        <f t="shared" si="86"/>
        <v>46740.339999999851</v>
      </c>
    </row>
    <row r="243" spans="1:33" ht="15" customHeight="1" x14ac:dyDescent="0.15">
      <c r="A243" s="102">
        <v>42608</v>
      </c>
      <c r="B243" s="20" t="s">
        <v>38</v>
      </c>
      <c r="C243" s="70">
        <v>69077</v>
      </c>
      <c r="D243" s="71">
        <f>25013+10813</f>
        <v>35826</v>
      </c>
      <c r="E243" s="71">
        <v>106210</v>
      </c>
      <c r="F243" s="107">
        <v>5362.7</v>
      </c>
      <c r="G243" s="71">
        <v>3469.7</v>
      </c>
      <c r="H243" s="24"/>
      <c r="I243" s="24"/>
      <c r="J243" s="70">
        <f t="shared" si="81"/>
        <v>70384</v>
      </c>
      <c r="K243" s="71">
        <v>300</v>
      </c>
      <c r="L243" s="71">
        <v>753</v>
      </c>
      <c r="M243" s="71">
        <f t="shared" si="90"/>
        <v>624.90322580645159</v>
      </c>
      <c r="N243" s="74">
        <f t="shared" si="91"/>
        <v>1937260</v>
      </c>
      <c r="O243" s="75">
        <f t="shared" si="92"/>
        <v>1097177</v>
      </c>
      <c r="P243" s="75">
        <f t="shared" si="93"/>
        <v>3081847</v>
      </c>
      <c r="Q243" s="76">
        <f t="shared" si="94"/>
        <v>13559651</v>
      </c>
      <c r="R243" s="76">
        <f t="shared" si="94"/>
        <v>7063025</v>
      </c>
      <c r="S243" s="76">
        <f t="shared" si="94"/>
        <v>21219748.34</v>
      </c>
      <c r="T243" s="80">
        <f>N243/'2015'!M243-1</f>
        <v>0.41125237119770608</v>
      </c>
      <c r="U243" s="80">
        <f>O243/'2015'!N243-1</f>
        <v>5.6264699398209217E-2</v>
      </c>
      <c r="V243" s="80">
        <f>P243/'2015'!O243-1</f>
        <v>0.23136164513607982</v>
      </c>
      <c r="W243" s="81">
        <f>Q243/'2015'!P243-1</f>
        <v>6.3559763400492075E-2</v>
      </c>
      <c r="X243" s="81">
        <f>R243/'2015'!Q243-1</f>
        <v>7.9345603771996176E-2</v>
      </c>
      <c r="Y243" s="81">
        <f>S243/'2015'!R243-1</f>
        <v>7.4439343863200058E-2</v>
      </c>
      <c r="Z243" s="97">
        <f>Z$217+0.449*26</f>
        <v>113.25781599999999</v>
      </c>
      <c r="AA243" s="97">
        <f t="shared" si="84"/>
        <v>1242.7072839999998</v>
      </c>
      <c r="AB243" s="106"/>
      <c r="AC243" s="105"/>
      <c r="AD243" s="70">
        <f t="shared" si="85"/>
        <v>14156723.34</v>
      </c>
      <c r="AE243" s="71">
        <f t="shared" si="87"/>
        <v>367272</v>
      </c>
      <c r="AF243" s="71">
        <f t="shared" si="87"/>
        <v>182806</v>
      </c>
      <c r="AG243" s="71">
        <f t="shared" si="86"/>
        <v>46994.339999999851</v>
      </c>
    </row>
    <row r="244" spans="1:33" ht="15" customHeight="1" x14ac:dyDescent="0.15">
      <c r="A244" s="102">
        <v>42609</v>
      </c>
      <c r="B244" s="20" t="s">
        <v>39</v>
      </c>
      <c r="C244" s="8">
        <v>56092</v>
      </c>
      <c r="D244" s="37">
        <f>23122+10699</f>
        <v>33821</v>
      </c>
      <c r="E244" s="37">
        <v>92245</v>
      </c>
      <c r="F244" s="55">
        <v>4472.1000000000004</v>
      </c>
      <c r="G244" s="37">
        <v>3156.2</v>
      </c>
      <c r="H244" s="24"/>
      <c r="I244" s="36"/>
      <c r="J244" s="8">
        <f t="shared" si="81"/>
        <v>58424</v>
      </c>
      <c r="K244" s="37">
        <v>349</v>
      </c>
      <c r="L244" s="37">
        <v>753</v>
      </c>
      <c r="M244" s="37">
        <f t="shared" si="90"/>
        <v>624.90322580645159</v>
      </c>
      <c r="N244" s="74">
        <f t="shared" si="91"/>
        <v>1993352</v>
      </c>
      <c r="O244" s="75">
        <f t="shared" si="92"/>
        <v>1130998</v>
      </c>
      <c r="P244" s="75">
        <f t="shared" si="93"/>
        <v>3174092</v>
      </c>
      <c r="Q244" s="76">
        <f t="shared" si="94"/>
        <v>13615743</v>
      </c>
      <c r="R244" s="76">
        <f t="shared" si="94"/>
        <v>7096846</v>
      </c>
      <c r="S244" s="76">
        <f t="shared" si="94"/>
        <v>21311993.34</v>
      </c>
      <c r="T244" s="80">
        <f>N244/'2015'!M244-1</f>
        <v>0.40573407192448596</v>
      </c>
      <c r="U244" s="80">
        <f>O244/'2015'!N244-1</f>
        <v>4.3843343848696925E-2</v>
      </c>
      <c r="V244" s="80">
        <f>P244/'2015'!O244-1</f>
        <v>0.22325347474463308</v>
      </c>
      <c r="W244" s="81">
        <f>Q244/'2015'!P244-1</f>
        <v>6.4178955510836966E-2</v>
      </c>
      <c r="X244" s="81">
        <f>R244/'2015'!Q244-1</f>
        <v>7.7146097389355184E-2</v>
      </c>
      <c r="Y244" s="81">
        <f>S244/'2015'!R244-1</f>
        <v>7.4106591202322436E-2</v>
      </c>
      <c r="Z244" s="50">
        <f>Z$217+0.449*27</f>
        <v>113.706816</v>
      </c>
      <c r="AA244" s="97">
        <f t="shared" si="84"/>
        <v>1247.8674839999999</v>
      </c>
      <c r="AB244" s="105"/>
      <c r="AC244" s="105"/>
      <c r="AD244" s="8">
        <f t="shared" si="85"/>
        <v>14215147.34</v>
      </c>
      <c r="AE244" s="37">
        <f t="shared" si="87"/>
        <v>367621</v>
      </c>
      <c r="AF244" s="37">
        <f t="shared" si="87"/>
        <v>183559</v>
      </c>
      <c r="AG244" s="37">
        <f t="shared" si="86"/>
        <v>48224.339999999851</v>
      </c>
    </row>
    <row r="245" spans="1:33" ht="15" customHeight="1" x14ac:dyDescent="0.15">
      <c r="A245" s="102">
        <v>42610</v>
      </c>
      <c r="B245" s="20" t="s">
        <v>1</v>
      </c>
      <c r="C245" s="8">
        <v>44586</v>
      </c>
      <c r="D245" s="37">
        <f>22431+10764</f>
        <v>33195</v>
      </c>
      <c r="E245" s="37">
        <v>79034</v>
      </c>
      <c r="F245" s="55">
        <v>3754.2</v>
      </c>
      <c r="G245" s="37">
        <v>2747.8</v>
      </c>
      <c r="H245" s="24"/>
      <c r="I245" s="36"/>
      <c r="J245" s="8">
        <f t="shared" si="81"/>
        <v>45839</v>
      </c>
      <c r="K245" s="37">
        <v>150</v>
      </c>
      <c r="L245" s="37">
        <v>755</v>
      </c>
      <c r="M245" s="37">
        <f t="shared" si="90"/>
        <v>624.90322580645159</v>
      </c>
      <c r="N245" s="74">
        <f t="shared" si="91"/>
        <v>2037938</v>
      </c>
      <c r="O245" s="75">
        <f t="shared" si="92"/>
        <v>1164193</v>
      </c>
      <c r="P245" s="75">
        <f t="shared" si="93"/>
        <v>3253126</v>
      </c>
      <c r="Q245" s="76">
        <f t="shared" si="94"/>
        <v>13660329</v>
      </c>
      <c r="R245" s="76">
        <f t="shared" si="94"/>
        <v>7130041</v>
      </c>
      <c r="S245" s="76">
        <f t="shared" si="94"/>
        <v>21391027.34</v>
      </c>
      <c r="T245" s="80">
        <f>N245/'2015'!M245-1</f>
        <v>0.3926953027564315</v>
      </c>
      <c r="U245" s="80">
        <f>O245/'2015'!N245-1</f>
        <v>3.1929556778183432E-2</v>
      </c>
      <c r="V245" s="80">
        <f>P245/'2015'!O245-1</f>
        <v>0.21056548671183251</v>
      </c>
      <c r="W245" s="81">
        <f>Q245/'2015'!P245-1</f>
        <v>6.3897748648761743E-2</v>
      </c>
      <c r="X245" s="81">
        <f>R245/'2015'!Q245-1</f>
        <v>7.4895514877267422E-2</v>
      </c>
      <c r="Y245" s="81">
        <f>S245/'2015'!R245-1</f>
        <v>7.308810442898217E-2</v>
      </c>
      <c r="Z245" s="50">
        <f>Z$217+0.449*28</f>
        <v>114.155816</v>
      </c>
      <c r="AA245" s="97">
        <f t="shared" si="84"/>
        <v>1251.877084</v>
      </c>
      <c r="AB245" s="105"/>
      <c r="AC245" s="105"/>
      <c r="AD245" s="8">
        <f t="shared" si="85"/>
        <v>14260986.34</v>
      </c>
      <c r="AE245" s="37">
        <f t="shared" si="87"/>
        <v>367771</v>
      </c>
      <c r="AF245" s="37">
        <f t="shared" si="87"/>
        <v>184314</v>
      </c>
      <c r="AG245" s="37">
        <f t="shared" si="86"/>
        <v>48572.339999999851</v>
      </c>
    </row>
    <row r="246" spans="1:33" ht="15" customHeight="1" x14ac:dyDescent="0.15">
      <c r="A246" s="102">
        <v>42611</v>
      </c>
      <c r="B246" s="20" t="s">
        <v>34</v>
      </c>
      <c r="C246" s="8">
        <v>45964</v>
      </c>
      <c r="D246" s="37">
        <f>21929+10832</f>
        <v>32761</v>
      </c>
      <c r="E246" s="37">
        <v>80041</v>
      </c>
      <c r="F246" s="55">
        <v>4103.7</v>
      </c>
      <c r="G246" s="37">
        <v>2483.5</v>
      </c>
      <c r="H246" s="24"/>
      <c r="I246" s="36"/>
      <c r="J246" s="8">
        <f t="shared" si="81"/>
        <v>47280</v>
      </c>
      <c r="K246" s="37">
        <v>207</v>
      </c>
      <c r="L246" s="37">
        <v>759</v>
      </c>
      <c r="M246" s="37">
        <f t="shared" si="90"/>
        <v>624.90322580645159</v>
      </c>
      <c r="N246" s="74">
        <f t="shared" si="91"/>
        <v>2083902</v>
      </c>
      <c r="O246" s="75">
        <f t="shared" si="92"/>
        <v>1196954</v>
      </c>
      <c r="P246" s="75">
        <f t="shared" si="93"/>
        <v>3333167</v>
      </c>
      <c r="Q246" s="76">
        <f t="shared" si="94"/>
        <v>13706293</v>
      </c>
      <c r="R246" s="76">
        <f t="shared" si="94"/>
        <v>7162802</v>
      </c>
      <c r="S246" s="76">
        <f t="shared" si="94"/>
        <v>21471068.34</v>
      </c>
      <c r="T246" s="80">
        <f>N246/'2015'!M246-1</f>
        <v>0.38192811911666502</v>
      </c>
      <c r="U246" s="80">
        <f>O246/'2015'!N246-1</f>
        <v>2.2083662086326283E-2</v>
      </c>
      <c r="V246" s="80">
        <f>P246/'2015'!O246-1</f>
        <v>0.20054380144511863</v>
      </c>
      <c r="W246" s="81">
        <f>Q246/'2015'!P246-1</f>
        <v>6.3777309740944865E-2</v>
      </c>
      <c r="X246" s="81">
        <f>R246/'2015'!Q246-1</f>
        <v>7.2892179668498258E-2</v>
      </c>
      <c r="Y246" s="81">
        <f>S246/'2015'!R246-1</f>
        <v>7.2310287683488461E-2</v>
      </c>
      <c r="Z246" s="50">
        <f>Z$217+0.449*29</f>
        <v>114.604816</v>
      </c>
      <c r="AA246" s="97">
        <f t="shared" si="84"/>
        <v>1256.024484</v>
      </c>
      <c r="AB246" s="105"/>
      <c r="AC246" s="105"/>
      <c r="AD246" s="8">
        <f t="shared" si="85"/>
        <v>14308266.34</v>
      </c>
      <c r="AE246" s="37">
        <f t="shared" si="87"/>
        <v>367978</v>
      </c>
      <c r="AF246" s="37">
        <f t="shared" si="87"/>
        <v>185073</v>
      </c>
      <c r="AG246" s="37">
        <f t="shared" si="86"/>
        <v>48922.339999999851</v>
      </c>
    </row>
    <row r="247" spans="1:33" ht="15" customHeight="1" x14ac:dyDescent="0.15">
      <c r="A247" s="102">
        <v>42612</v>
      </c>
      <c r="B247" s="20" t="s">
        <v>35</v>
      </c>
      <c r="C247" s="8">
        <v>47079</v>
      </c>
      <c r="D247" s="37">
        <f>19850+11032</f>
        <v>30882</v>
      </c>
      <c r="E247" s="37">
        <v>79734</v>
      </c>
      <c r="F247" s="55">
        <v>4024.9</v>
      </c>
      <c r="G247" s="37">
        <v>2534</v>
      </c>
      <c r="H247" s="24"/>
      <c r="I247" s="36"/>
      <c r="J247" s="8">
        <f t="shared" si="81"/>
        <v>48852</v>
      </c>
      <c r="K247" s="37">
        <v>218</v>
      </c>
      <c r="L247" s="37">
        <v>765</v>
      </c>
      <c r="M247" s="37">
        <f t="shared" si="90"/>
        <v>624.90322580645159</v>
      </c>
      <c r="N247" s="74">
        <f t="shared" si="91"/>
        <v>2130981</v>
      </c>
      <c r="O247" s="75">
        <f t="shared" si="92"/>
        <v>1227836</v>
      </c>
      <c r="P247" s="75">
        <f t="shared" si="93"/>
        <v>3412901</v>
      </c>
      <c r="Q247" s="76">
        <f t="shared" si="94"/>
        <v>13753372</v>
      </c>
      <c r="R247" s="76">
        <f t="shared" si="94"/>
        <v>7193684</v>
      </c>
      <c r="S247" s="76">
        <f t="shared" si="94"/>
        <v>21550802.34</v>
      </c>
      <c r="T247" s="80">
        <f>N247/'2015'!M247-1</f>
        <v>0.37656002914638309</v>
      </c>
      <c r="U247" s="80">
        <f>O247/'2015'!N247-1</f>
        <v>1.1489518399128817E-2</v>
      </c>
      <c r="V247" s="80">
        <f>P247/'2015'!O247-1</f>
        <v>0.19295871781705642</v>
      </c>
      <c r="W247" s="81">
        <f>Q247/'2015'!P247-1</f>
        <v>6.4120974585581969E-2</v>
      </c>
      <c r="X247" s="81">
        <f>R247/'2015'!Q247-1</f>
        <v>7.065454633671675E-2</v>
      </c>
      <c r="Y247" s="81">
        <f>S247/'2015'!R247-1</f>
        <v>7.1769922093433358E-2</v>
      </c>
      <c r="Z247" s="50">
        <f>Z$217+0.449*30</f>
        <v>115.053816</v>
      </c>
      <c r="AA247" s="97">
        <f t="shared" si="84"/>
        <v>1260.2833839999998</v>
      </c>
      <c r="AB247" s="105"/>
      <c r="AC247" s="105"/>
      <c r="AD247" s="8">
        <f t="shared" si="85"/>
        <v>14357118.34</v>
      </c>
      <c r="AE247" s="37">
        <f t="shared" si="87"/>
        <v>368196</v>
      </c>
      <c r="AF247" s="37">
        <f t="shared" si="87"/>
        <v>185838</v>
      </c>
      <c r="AG247" s="37">
        <f t="shared" si="86"/>
        <v>49712.339999999851</v>
      </c>
    </row>
    <row r="248" spans="1:33" s="101" customFormat="1" ht="15" customHeight="1" x14ac:dyDescent="0.15">
      <c r="A248" s="108">
        <v>42613</v>
      </c>
      <c r="B248" s="25" t="s">
        <v>36</v>
      </c>
      <c r="C248" s="42">
        <v>46838</v>
      </c>
      <c r="D248" s="43">
        <f>18807+10998</f>
        <v>29805</v>
      </c>
      <c r="E248" s="43">
        <f>79441</f>
        <v>79441</v>
      </c>
      <c r="F248" s="57">
        <v>3942.3</v>
      </c>
      <c r="G248" s="43">
        <v>2483.4</v>
      </c>
      <c r="H248" s="30"/>
      <c r="I248" s="30"/>
      <c r="J248" s="42">
        <f t="shared" si="81"/>
        <v>49636</v>
      </c>
      <c r="K248" s="43">
        <v>484</v>
      </c>
      <c r="L248" s="43">
        <v>760</v>
      </c>
      <c r="M248" s="43">
        <f t="shared" si="90"/>
        <v>624.90322580645159</v>
      </c>
      <c r="N248" s="87">
        <f t="shared" si="91"/>
        <v>2177819</v>
      </c>
      <c r="O248" s="88">
        <f t="shared" si="92"/>
        <v>1257641</v>
      </c>
      <c r="P248" s="88">
        <f t="shared" si="93"/>
        <v>3492342</v>
      </c>
      <c r="Q248" s="87">
        <f t="shared" si="94"/>
        <v>13800210</v>
      </c>
      <c r="R248" s="87">
        <f t="shared" si="94"/>
        <v>7223489</v>
      </c>
      <c r="S248" s="87">
        <f t="shared" si="94"/>
        <v>21630243.34</v>
      </c>
      <c r="T248" s="89">
        <f>N248/'2015'!M248-1</f>
        <v>0.36554416880481755</v>
      </c>
      <c r="U248" s="89">
        <f>O248/'2015'!N248-1</f>
        <v>1.3870542137544017E-3</v>
      </c>
      <c r="V248" s="89">
        <f>P248/'2015'!O248-1</f>
        <v>0.1834832818857699</v>
      </c>
      <c r="W248" s="89">
        <f>Q248/'2015'!P248-1</f>
        <v>6.3893544423047066E-2</v>
      </c>
      <c r="X248" s="89">
        <f>R248/'2015'!Q248-1</f>
        <v>6.8410312190456679E-2</v>
      </c>
      <c r="Y248" s="89">
        <f>S248/'2015'!R248-1</f>
        <v>7.0925744735565566E-2</v>
      </c>
      <c r="Z248" s="52">
        <v>115.506</v>
      </c>
      <c r="AA248" s="52">
        <f t="shared" si="84"/>
        <v>1264.5149999999999</v>
      </c>
      <c r="AB248" s="43">
        <v>4234.6000000000004</v>
      </c>
      <c r="AC248" s="43">
        <f t="shared" si="89"/>
        <v>2986.1498134416465</v>
      </c>
      <c r="AD248" s="42">
        <f t="shared" si="85"/>
        <v>14406754.34</v>
      </c>
      <c r="AE248" s="43">
        <v>368680</v>
      </c>
      <c r="AF248" s="43">
        <f t="shared" si="87"/>
        <v>186598</v>
      </c>
      <c r="AG248" s="43">
        <f t="shared" si="86"/>
        <v>51266.339999999851</v>
      </c>
    </row>
    <row r="249" spans="1:33" ht="15" customHeight="1" x14ac:dyDescent="0.15">
      <c r="A249" s="13">
        <v>42614</v>
      </c>
      <c r="B249" s="20" t="s">
        <v>37</v>
      </c>
      <c r="C249" s="8">
        <v>42539</v>
      </c>
      <c r="D249" s="37">
        <f>18475+10865</f>
        <v>29340</v>
      </c>
      <c r="E249" s="37">
        <v>73125</v>
      </c>
      <c r="F249" s="55">
        <v>3677.2</v>
      </c>
      <c r="G249" s="37">
        <v>2457.1</v>
      </c>
      <c r="H249" s="24"/>
      <c r="I249" s="36"/>
      <c r="J249" s="8">
        <f t="shared" si="81"/>
        <v>43785</v>
      </c>
      <c r="K249" s="37">
        <f t="shared" si="82"/>
        <v>298.33333333333326</v>
      </c>
      <c r="L249" s="37">
        <v>765</v>
      </c>
      <c r="M249" s="37">
        <f>(AG$278-AG$248)/30</f>
        <v>182.66666666666666</v>
      </c>
      <c r="N249" s="74">
        <f>C249</f>
        <v>42539</v>
      </c>
      <c r="O249" s="75">
        <f>D249</f>
        <v>29340</v>
      </c>
      <c r="P249" s="75">
        <f>E249</f>
        <v>73125</v>
      </c>
      <c r="Q249" s="76">
        <f t="shared" ref="Q249:S264" si="95">Q$248+N249</f>
        <v>13842749</v>
      </c>
      <c r="R249" s="76">
        <f t="shared" si="95"/>
        <v>7252829</v>
      </c>
      <c r="S249" s="76">
        <f t="shared" si="95"/>
        <v>21703368.34</v>
      </c>
      <c r="T249" s="80">
        <f>N249/'2015'!M249-1</f>
        <v>-0.11362310385064178</v>
      </c>
      <c r="U249" s="80">
        <f>O249/'2015'!N249-1</f>
        <v>-0.30656330505069607</v>
      </c>
      <c r="V249" s="80">
        <f>P249/'2015'!O249-1</f>
        <v>-0.20084587390577358</v>
      </c>
      <c r="W249" s="81">
        <f>Q249/'2015'!P249-1</f>
        <v>6.3239184688217875E-2</v>
      </c>
      <c r="X249" s="81">
        <f>R249/'2015'!Q249-1</f>
        <v>6.6078274009007343E-2</v>
      </c>
      <c r="Y249" s="81">
        <f>S249/'2015'!R249-1</f>
        <v>6.9700072585382689E-2</v>
      </c>
      <c r="Z249" s="50">
        <f>Z248+0.2</f>
        <v>115.706</v>
      </c>
      <c r="AA249" s="97">
        <f t="shared" si="84"/>
        <v>1268.5689</v>
      </c>
      <c r="AB249" s="105">
        <v>4234.6000000000004</v>
      </c>
      <c r="AC249" s="105">
        <f t="shared" si="89"/>
        <v>2995.7230907287581</v>
      </c>
      <c r="AD249" s="8">
        <f t="shared" si="85"/>
        <v>14450539.34</v>
      </c>
      <c r="AE249" s="37">
        <f t="shared" si="87"/>
        <v>368978.33333333331</v>
      </c>
      <c r="AF249" s="37">
        <f t="shared" si="87"/>
        <v>187363</v>
      </c>
      <c r="AG249" s="37">
        <f t="shared" si="86"/>
        <v>51449.006666666537</v>
      </c>
    </row>
    <row r="250" spans="1:33" ht="15" customHeight="1" x14ac:dyDescent="0.15">
      <c r="A250" s="13">
        <v>42615</v>
      </c>
      <c r="B250" s="20" t="s">
        <v>38</v>
      </c>
      <c r="C250" s="70">
        <v>46902</v>
      </c>
      <c r="D250" s="71">
        <f>15596+10916</f>
        <v>26512</v>
      </c>
      <c r="E250" s="71">
        <v>74700</v>
      </c>
      <c r="F250" s="107">
        <v>3781.8</v>
      </c>
      <c r="G250" s="71">
        <v>2268.3000000000002</v>
      </c>
      <c r="H250" s="24"/>
      <c r="I250" s="24"/>
      <c r="J250" s="70">
        <f t="shared" si="81"/>
        <v>48188</v>
      </c>
      <c r="K250" s="71">
        <f t="shared" si="82"/>
        <v>336.33333333333326</v>
      </c>
      <c r="L250" s="71">
        <v>767</v>
      </c>
      <c r="M250" s="71">
        <f t="shared" ref="M250:M278" si="96">(AG$278-AG$248)/30</f>
        <v>182.66666666666666</v>
      </c>
      <c r="N250" s="74">
        <f t="shared" ref="N250:N278" si="97">C250+N249</f>
        <v>89441</v>
      </c>
      <c r="O250" s="75">
        <f t="shared" ref="O250:O278" si="98">D250+O249</f>
        <v>55852</v>
      </c>
      <c r="P250" s="75">
        <f t="shared" ref="P250:P278" si="99">E250+P249</f>
        <v>147825</v>
      </c>
      <c r="Q250" s="76">
        <f t="shared" si="95"/>
        <v>13889651</v>
      </c>
      <c r="R250" s="76">
        <f t="shared" si="95"/>
        <v>7279341</v>
      </c>
      <c r="S250" s="76">
        <f t="shared" si="95"/>
        <v>21778068.34</v>
      </c>
      <c r="T250" s="80">
        <f>N250/'2015'!M250-1</f>
        <v>-8.2487023245317093E-2</v>
      </c>
      <c r="U250" s="80">
        <f>O250/'2015'!N250-1</f>
        <v>-0.34263923544089259</v>
      </c>
      <c r="V250" s="80">
        <f>P250/'2015'!O250-1</f>
        <v>-0.19764109467102331</v>
      </c>
      <c r="W250" s="81">
        <f>Q250/'2015'!P250-1</f>
        <v>6.2801679896291152E-2</v>
      </c>
      <c r="X250" s="81">
        <f>R250/'2015'!Q250-1</f>
        <v>6.3308828760082703E-2</v>
      </c>
      <c r="Y250" s="81">
        <f>S250/'2015'!R250-1</f>
        <v>6.8498095176789731E-2</v>
      </c>
      <c r="Z250" s="97">
        <f>Z249+0.1885</f>
        <v>115.89450000000001</v>
      </c>
      <c r="AA250" s="97">
        <f t="shared" si="84"/>
        <v>1273.0705999999998</v>
      </c>
      <c r="AB250" s="106"/>
      <c r="AC250" s="105"/>
      <c r="AD250" s="70">
        <f t="shared" si="85"/>
        <v>14498727.34</v>
      </c>
      <c r="AE250" s="71">
        <f t="shared" si="87"/>
        <v>369314.66666666663</v>
      </c>
      <c r="AF250" s="71">
        <f t="shared" si="87"/>
        <v>188130</v>
      </c>
      <c r="AG250" s="71">
        <f t="shared" si="86"/>
        <v>51631.673333333223</v>
      </c>
    </row>
    <row r="251" spans="1:33" ht="15" customHeight="1" x14ac:dyDescent="0.15">
      <c r="A251" s="13">
        <v>42616</v>
      </c>
      <c r="B251" s="20" t="s">
        <v>39</v>
      </c>
      <c r="C251" s="8">
        <v>49018</v>
      </c>
      <c r="D251" s="37">
        <f>12975+10984</f>
        <v>23959</v>
      </c>
      <c r="E251" s="37">
        <v>74314</v>
      </c>
      <c r="F251" s="55">
        <v>3741.8</v>
      </c>
      <c r="G251" s="37">
        <v>2371.6999999999998</v>
      </c>
      <c r="H251" s="24"/>
      <c r="I251" s="36"/>
      <c r="J251" s="8">
        <f t="shared" si="81"/>
        <v>50355</v>
      </c>
      <c r="K251" s="37">
        <f t="shared" si="82"/>
        <v>387.33333333333326</v>
      </c>
      <c r="L251" s="37">
        <v>767</v>
      </c>
      <c r="M251" s="37">
        <f t="shared" si="96"/>
        <v>182.66666666666666</v>
      </c>
      <c r="N251" s="74">
        <f t="shared" si="97"/>
        <v>138459</v>
      </c>
      <c r="O251" s="75">
        <f t="shared" si="98"/>
        <v>79811</v>
      </c>
      <c r="P251" s="75">
        <f t="shared" si="99"/>
        <v>222139</v>
      </c>
      <c r="Q251" s="76">
        <f t="shared" si="95"/>
        <v>13938669</v>
      </c>
      <c r="R251" s="76">
        <f t="shared" si="95"/>
        <v>7303300</v>
      </c>
      <c r="S251" s="76">
        <f t="shared" si="95"/>
        <v>21852382.34</v>
      </c>
      <c r="T251" s="80">
        <f>N251/'2015'!M251-1</f>
        <v>3.6124818472793585E-4</v>
      </c>
      <c r="U251" s="80">
        <f>O251/'2015'!N251-1</f>
        <v>-0.32844461273086789</v>
      </c>
      <c r="V251" s="80">
        <f>P251/'2015'!O251-1</f>
        <v>-0.14359350000963822</v>
      </c>
      <c r="W251" s="81">
        <f>Q251/'2015'!P251-1</f>
        <v>6.3222792608507605E-2</v>
      </c>
      <c r="X251" s="81">
        <f>R251/'2015'!Q251-1</f>
        <v>6.1554861802950001E-2</v>
      </c>
      <c r="Y251" s="81">
        <f>S251/'2015'!R251-1</f>
        <v>6.8205755158443626E-2</v>
      </c>
      <c r="Z251" s="50">
        <f t="shared" ref="Z251:Z255" si="100">Z250+0.1885</f>
        <v>116.08300000000001</v>
      </c>
      <c r="AA251" s="97">
        <f t="shared" si="84"/>
        <v>1277.7838999999999</v>
      </c>
      <c r="AB251" s="105"/>
      <c r="AC251" s="105"/>
      <c r="AD251" s="8">
        <f t="shared" si="85"/>
        <v>14549082.34</v>
      </c>
      <c r="AE251" s="37">
        <f t="shared" si="87"/>
        <v>369701.99999999994</v>
      </c>
      <c r="AF251" s="37">
        <f t="shared" si="87"/>
        <v>188897</v>
      </c>
      <c r="AG251" s="37">
        <f t="shared" si="86"/>
        <v>51814.339999999909</v>
      </c>
    </row>
    <row r="252" spans="1:33" ht="15" customHeight="1" x14ac:dyDescent="0.15">
      <c r="A252" s="13">
        <v>42617</v>
      </c>
      <c r="B252" s="20" t="s">
        <v>1</v>
      </c>
      <c r="C252" s="8">
        <v>44738</v>
      </c>
      <c r="D252" s="37">
        <f>12119+11055</f>
        <v>23174</v>
      </c>
      <c r="E252" s="37">
        <v>69241</v>
      </c>
      <c r="F252" s="55">
        <v>3347.2</v>
      </c>
      <c r="G252" s="37">
        <v>2285.3000000000002</v>
      </c>
      <c r="H252" s="24"/>
      <c r="I252" s="36"/>
      <c r="J252" s="8">
        <f t="shared" si="81"/>
        <v>46067</v>
      </c>
      <c r="K252" s="37">
        <f t="shared" si="82"/>
        <v>377.33333333333326</v>
      </c>
      <c r="L252" s="37">
        <v>769</v>
      </c>
      <c r="M252" s="37">
        <f t="shared" si="96"/>
        <v>182.66666666666666</v>
      </c>
      <c r="N252" s="74">
        <f t="shared" si="97"/>
        <v>183197</v>
      </c>
      <c r="O252" s="75">
        <f t="shared" si="98"/>
        <v>102985</v>
      </c>
      <c r="P252" s="75">
        <f t="shared" si="99"/>
        <v>291380</v>
      </c>
      <c r="Q252" s="76">
        <f t="shared" si="95"/>
        <v>13983407</v>
      </c>
      <c r="R252" s="76">
        <f t="shared" si="95"/>
        <v>7326474</v>
      </c>
      <c r="S252" s="76">
        <f t="shared" si="95"/>
        <v>21921623.34</v>
      </c>
      <c r="T252" s="80">
        <f>N252/'2015'!M252-1</f>
        <v>-2.1095941649523109E-2</v>
      </c>
      <c r="U252" s="80">
        <f>O252/'2015'!N252-1</f>
        <v>-0.33166549853334371</v>
      </c>
      <c r="V252" s="80">
        <f>P252/'2015'!O252-1</f>
        <v>-0.153808847573495</v>
      </c>
      <c r="W252" s="81">
        <f>Q252/'2015'!P252-1</f>
        <v>6.2684798836347255E-2</v>
      </c>
      <c r="X252" s="81">
        <f>R252/'2015'!Q252-1</f>
        <v>5.9495209080585143E-2</v>
      </c>
      <c r="Y252" s="81">
        <f>S252/'2015'!R252-1</f>
        <v>6.7158555604652781E-2</v>
      </c>
      <c r="Z252" s="50">
        <f t="shared" si="100"/>
        <v>116.27150000000002</v>
      </c>
      <c r="AA252" s="97">
        <f t="shared" si="84"/>
        <v>1282.0691999999999</v>
      </c>
      <c r="AB252" s="105"/>
      <c r="AC252" s="105"/>
      <c r="AD252" s="8">
        <f t="shared" si="85"/>
        <v>14595149.34</v>
      </c>
      <c r="AE252" s="37">
        <f t="shared" si="87"/>
        <v>370079.33333333326</v>
      </c>
      <c r="AF252" s="37">
        <f t="shared" si="87"/>
        <v>189666</v>
      </c>
      <c r="AG252" s="37">
        <f t="shared" si="86"/>
        <v>51997.006666666595</v>
      </c>
    </row>
    <row r="253" spans="1:33" ht="15" customHeight="1" x14ac:dyDescent="0.15">
      <c r="A253" s="13">
        <v>42618</v>
      </c>
      <c r="B253" s="20" t="s">
        <v>34</v>
      </c>
      <c r="C253" s="8">
        <v>51154</v>
      </c>
      <c r="D253" s="37">
        <f>11583+11004</f>
        <v>22587</v>
      </c>
      <c r="E253" s="37">
        <v>74972</v>
      </c>
      <c r="F253" s="55">
        <v>3832.4</v>
      </c>
      <c r="G253" s="37">
        <v>2254</v>
      </c>
      <c r="H253" s="24"/>
      <c r="I253" s="36"/>
      <c r="J253" s="8">
        <f t="shared" si="81"/>
        <v>52385</v>
      </c>
      <c r="K253" s="37">
        <f t="shared" si="82"/>
        <v>280.33333333333326</v>
      </c>
      <c r="L253" s="37">
        <v>768</v>
      </c>
      <c r="M253" s="37">
        <f t="shared" si="96"/>
        <v>182.66666666666666</v>
      </c>
      <c r="N253" s="74">
        <f t="shared" si="97"/>
        <v>234351</v>
      </c>
      <c r="O253" s="75">
        <f t="shared" si="98"/>
        <v>125572</v>
      </c>
      <c r="P253" s="75">
        <f t="shared" si="99"/>
        <v>366352</v>
      </c>
      <c r="Q253" s="76">
        <f t="shared" si="95"/>
        <v>14034561</v>
      </c>
      <c r="R253" s="76">
        <f t="shared" si="95"/>
        <v>7349061</v>
      </c>
      <c r="S253" s="76">
        <f t="shared" si="95"/>
        <v>21996595.34</v>
      </c>
      <c r="T253" s="80">
        <f>N253/'2015'!M253-1</f>
        <v>-2.1188352044907766E-2</v>
      </c>
      <c r="U253" s="80">
        <f>O253/'2015'!N253-1</f>
        <v>-0.34100581996420909</v>
      </c>
      <c r="V253" s="80">
        <f>P253/'2015'!O253-1</f>
        <v>-0.15739697230361605</v>
      </c>
      <c r="W253" s="81">
        <f>Q253/'2015'!P253-1</f>
        <v>6.2351580262396622E-2</v>
      </c>
      <c r="X253" s="81">
        <f>R253/'2015'!Q253-1</f>
        <v>5.71876366607591E-2</v>
      </c>
      <c r="Y253" s="81">
        <f>S253/'2015'!R253-1</f>
        <v>6.6114327828165287E-2</v>
      </c>
      <c r="Z253" s="50">
        <f t="shared" si="100"/>
        <v>116.46000000000002</v>
      </c>
      <c r="AA253" s="97">
        <f t="shared" si="84"/>
        <v>1286.9961000000001</v>
      </c>
      <c r="AB253" s="105"/>
      <c r="AC253" s="105"/>
      <c r="AD253" s="8">
        <f t="shared" si="85"/>
        <v>14647534.34</v>
      </c>
      <c r="AE253" s="37">
        <f t="shared" si="87"/>
        <v>370359.66666666657</v>
      </c>
      <c r="AF253" s="37">
        <f t="shared" si="87"/>
        <v>190434</v>
      </c>
      <c r="AG253" s="37">
        <f t="shared" si="86"/>
        <v>52179.673333333281</v>
      </c>
    </row>
    <row r="254" spans="1:33" ht="15" customHeight="1" x14ac:dyDescent="0.15">
      <c r="A254" s="13">
        <v>42619</v>
      </c>
      <c r="B254" s="20" t="s">
        <v>35</v>
      </c>
      <c r="C254" s="8">
        <v>47040</v>
      </c>
      <c r="D254" s="37">
        <f>17426+10962</f>
        <v>28388</v>
      </c>
      <c r="E254" s="37">
        <v>76499</v>
      </c>
      <c r="F254" s="55">
        <v>3966.2</v>
      </c>
      <c r="G254" s="37">
        <v>2412.6</v>
      </c>
      <c r="H254" s="24"/>
      <c r="I254" s="36"/>
      <c r="J254" s="8">
        <f t="shared" si="81"/>
        <v>48111</v>
      </c>
      <c r="K254" s="37">
        <f t="shared" si="82"/>
        <v>119.33333333333337</v>
      </c>
      <c r="L254" s="37">
        <v>769</v>
      </c>
      <c r="M254" s="37">
        <f t="shared" si="96"/>
        <v>182.66666666666666</v>
      </c>
      <c r="N254" s="74">
        <f t="shared" si="97"/>
        <v>281391</v>
      </c>
      <c r="O254" s="75">
        <f t="shared" si="98"/>
        <v>153960</v>
      </c>
      <c r="P254" s="75">
        <f t="shared" si="99"/>
        <v>442851</v>
      </c>
      <c r="Q254" s="76">
        <f t="shared" si="95"/>
        <v>14081601</v>
      </c>
      <c r="R254" s="76">
        <f t="shared" si="95"/>
        <v>7377449</v>
      </c>
      <c r="S254" s="76">
        <f t="shared" si="95"/>
        <v>22073094.34</v>
      </c>
      <c r="T254" s="80">
        <f>N254/'2015'!M254-1</f>
        <v>-2.4434975852779983E-2</v>
      </c>
      <c r="U254" s="80">
        <f>O254/'2015'!N254-1</f>
        <v>-0.32984238498805152</v>
      </c>
      <c r="V254" s="80">
        <f>P254/'2015'!O254-1</f>
        <v>-0.15417686898127103</v>
      </c>
      <c r="W254" s="81">
        <f>Q254/'2015'!P254-1</f>
        <v>6.1972152192568464E-2</v>
      </c>
      <c r="X254" s="81">
        <f>R254/'2015'!Q254-1</f>
        <v>5.5322452410385914E-2</v>
      </c>
      <c r="Y254" s="81">
        <f>S254/'2015'!R254-1</f>
        <v>6.5237974681100708E-2</v>
      </c>
      <c r="Z254" s="50">
        <f t="shared" si="100"/>
        <v>116.64850000000003</v>
      </c>
      <c r="AA254" s="97">
        <f t="shared" si="84"/>
        <v>1291.5116</v>
      </c>
      <c r="AB254" s="105"/>
      <c r="AC254" s="105"/>
      <c r="AD254" s="8">
        <f t="shared" si="85"/>
        <v>14695645.34</v>
      </c>
      <c r="AE254" s="37">
        <f t="shared" si="87"/>
        <v>370478.99999999988</v>
      </c>
      <c r="AF254" s="37">
        <f t="shared" si="87"/>
        <v>191203</v>
      </c>
      <c r="AG254" s="37">
        <f t="shared" si="86"/>
        <v>52362.339999999967</v>
      </c>
    </row>
    <row r="255" spans="1:33" ht="15" customHeight="1" x14ac:dyDescent="0.15">
      <c r="A255" s="13">
        <v>42620</v>
      </c>
      <c r="B255" s="14" t="s">
        <v>36</v>
      </c>
      <c r="C255" s="32">
        <v>47821</v>
      </c>
      <c r="D255" s="33">
        <f>22246+11003</f>
        <v>33249</v>
      </c>
      <c r="E255" s="33">
        <v>82261</v>
      </c>
      <c r="F255" s="59">
        <v>4298.2</v>
      </c>
      <c r="G255" s="33">
        <v>2546.4</v>
      </c>
      <c r="H255" s="19"/>
      <c r="I255" s="19"/>
      <c r="J255" s="32">
        <f t="shared" si="81"/>
        <v>49012</v>
      </c>
      <c r="K255" s="33">
        <f t="shared" si="82"/>
        <v>237.33333333333337</v>
      </c>
      <c r="L255" s="33">
        <v>771</v>
      </c>
      <c r="M255" s="33">
        <f t="shared" si="96"/>
        <v>182.66666666666666</v>
      </c>
      <c r="N255" s="77">
        <f t="shared" si="97"/>
        <v>329212</v>
      </c>
      <c r="O255" s="78">
        <f t="shared" si="98"/>
        <v>187209</v>
      </c>
      <c r="P255" s="78">
        <f t="shared" si="99"/>
        <v>525112</v>
      </c>
      <c r="Q255" s="77">
        <f t="shared" si="95"/>
        <v>14129422</v>
      </c>
      <c r="R255" s="77">
        <f t="shared" si="95"/>
        <v>7410698</v>
      </c>
      <c r="S255" s="77">
        <f t="shared" si="95"/>
        <v>22155355.34</v>
      </c>
      <c r="T255" s="82">
        <f>N255/'2015'!M255-1</f>
        <v>-1.7201335028987352E-2</v>
      </c>
      <c r="U255" s="82">
        <f>O255/'2015'!N255-1</f>
        <v>-0.31225753835302417</v>
      </c>
      <c r="V255" s="82">
        <f>P255/'2015'!O255-1</f>
        <v>-0.14383308142937967</v>
      </c>
      <c r="W255" s="82">
        <f>Q255/'2015'!P255-1</f>
        <v>6.1852069012837019E-2</v>
      </c>
      <c r="X255" s="82">
        <f>R255/'2015'!Q255-1</f>
        <v>5.3677164672522926E-2</v>
      </c>
      <c r="Y255" s="82">
        <f>S255/'2015'!R255-1</f>
        <v>6.4596515262215437E-2</v>
      </c>
      <c r="Z255" s="49">
        <f t="shared" si="100"/>
        <v>116.83700000000003</v>
      </c>
      <c r="AA255" s="49">
        <f t="shared" si="84"/>
        <v>1296.1052</v>
      </c>
      <c r="AB255" s="33">
        <v>4234.6000000000004</v>
      </c>
      <c r="AC255" s="33">
        <f t="shared" si="89"/>
        <v>3060.7500118074904</v>
      </c>
      <c r="AD255" s="32">
        <f t="shared" si="85"/>
        <v>14744657.34</v>
      </c>
      <c r="AE255" s="33">
        <f t="shared" si="87"/>
        <v>370716.3333333332</v>
      </c>
      <c r="AF255" s="33">
        <f t="shared" si="87"/>
        <v>191974</v>
      </c>
      <c r="AG255" s="33">
        <f t="shared" si="86"/>
        <v>52545.006666666653</v>
      </c>
    </row>
    <row r="256" spans="1:33" ht="15" customHeight="1" x14ac:dyDescent="0.15">
      <c r="A256" s="102">
        <v>42621</v>
      </c>
      <c r="B256" s="20" t="s">
        <v>37</v>
      </c>
      <c r="C256" s="8">
        <v>53167</v>
      </c>
      <c r="D256" s="37">
        <f>23684+11017</f>
        <v>34701</v>
      </c>
      <c r="E256" s="37">
        <v>89093</v>
      </c>
      <c r="F256" s="55">
        <v>4531.1000000000004</v>
      </c>
      <c r="G256" s="37">
        <v>2775.6</v>
      </c>
      <c r="H256" s="24"/>
      <c r="I256" s="36"/>
      <c r="J256" s="8">
        <f t="shared" si="81"/>
        <v>54392</v>
      </c>
      <c r="K256" s="37">
        <f t="shared" si="82"/>
        <v>274.33333333333326</v>
      </c>
      <c r="L256" s="37">
        <v>768</v>
      </c>
      <c r="M256" s="37">
        <f t="shared" si="96"/>
        <v>182.66666666666666</v>
      </c>
      <c r="N256" s="74">
        <f t="shared" si="97"/>
        <v>382379</v>
      </c>
      <c r="O256" s="75">
        <f t="shared" si="98"/>
        <v>221910</v>
      </c>
      <c r="P256" s="75">
        <f t="shared" si="99"/>
        <v>614205</v>
      </c>
      <c r="Q256" s="76">
        <f t="shared" si="95"/>
        <v>14182589</v>
      </c>
      <c r="R256" s="76">
        <f t="shared" si="95"/>
        <v>7445399</v>
      </c>
      <c r="S256" s="76">
        <f t="shared" si="95"/>
        <v>22244448.34</v>
      </c>
      <c r="T256" s="80">
        <f>N256/'2015'!M256-1</f>
        <v>2.8455732322039129E-3</v>
      </c>
      <c r="U256" s="80">
        <f>O256/'2015'!N256-1</f>
        <v>-0.29817736747725265</v>
      </c>
      <c r="V256" s="80">
        <f>P256/'2015'!O256-1</f>
        <v>-0.12806247462429765</v>
      </c>
      <c r="W256" s="81">
        <f>Q256/'2015'!P256-1</f>
        <v>6.2150286451128967E-2</v>
      </c>
      <c r="X256" s="81">
        <f>R256/'2015'!Q256-1</f>
        <v>5.2032029797263402E-2</v>
      </c>
      <c r="Y256" s="81">
        <f>S256/'2015'!R256-1</f>
        <v>6.4219722209995833E-2</v>
      </c>
      <c r="Z256" s="50">
        <v>117.03</v>
      </c>
      <c r="AA256" s="97">
        <f t="shared" si="84"/>
        <v>1301.2289000000001</v>
      </c>
      <c r="AB256" s="105">
        <v>4234.6000000000004</v>
      </c>
      <c r="AC256" s="105">
        <f t="shared" si="89"/>
        <v>3072.8496197988002</v>
      </c>
      <c r="AD256" s="8">
        <f t="shared" si="85"/>
        <v>14799049.34</v>
      </c>
      <c r="AE256" s="37">
        <f t="shared" si="87"/>
        <v>370990.66666666651</v>
      </c>
      <c r="AF256" s="37">
        <f t="shared" si="87"/>
        <v>192742</v>
      </c>
      <c r="AG256" s="37">
        <f t="shared" si="86"/>
        <v>52727.67333333334</v>
      </c>
    </row>
    <row r="257" spans="1:33" ht="15" customHeight="1" x14ac:dyDescent="0.15">
      <c r="A257" s="102">
        <v>42622</v>
      </c>
      <c r="B257" s="20" t="s">
        <v>38</v>
      </c>
      <c r="C257" s="70">
        <v>56991</v>
      </c>
      <c r="D257" s="71">
        <f>25361+10885</f>
        <v>36246</v>
      </c>
      <c r="E257" s="71">
        <v>94455</v>
      </c>
      <c r="F257" s="107">
        <v>4795.3999999999996</v>
      </c>
      <c r="G257" s="71">
        <v>3009.2</v>
      </c>
      <c r="H257" s="24"/>
      <c r="I257" s="24"/>
      <c r="J257" s="70">
        <f t="shared" ref="J257:J320" si="101">E257-D257</f>
        <v>58209</v>
      </c>
      <c r="K257" s="71">
        <f t="shared" si="82"/>
        <v>267.33333333333326</v>
      </c>
      <c r="L257" s="71">
        <v>768</v>
      </c>
      <c r="M257" s="71">
        <f t="shared" si="96"/>
        <v>182.66666666666666</v>
      </c>
      <c r="N257" s="74">
        <f t="shared" si="97"/>
        <v>439370</v>
      </c>
      <c r="O257" s="75">
        <f t="shared" si="98"/>
        <v>258156</v>
      </c>
      <c r="P257" s="75">
        <f t="shared" si="99"/>
        <v>708660</v>
      </c>
      <c r="Q257" s="76">
        <f t="shared" si="95"/>
        <v>14239580</v>
      </c>
      <c r="R257" s="76">
        <f t="shared" si="95"/>
        <v>7481645</v>
      </c>
      <c r="S257" s="76">
        <f t="shared" si="95"/>
        <v>22338903.34</v>
      </c>
      <c r="T257" s="80">
        <f>N257/'2015'!M257-1</f>
        <v>3.328661198073446E-2</v>
      </c>
      <c r="U257" s="80">
        <f>O257/'2015'!N257-1</f>
        <v>-0.28647555029795135</v>
      </c>
      <c r="V257" s="80">
        <f>P257/'2015'!O257-1</f>
        <v>-0.10831439637014273</v>
      </c>
      <c r="W257" s="81">
        <f>Q257/'2015'!P257-1</f>
        <v>6.2922064912415365E-2</v>
      </c>
      <c r="X257" s="81">
        <f>R257/'2015'!Q257-1</f>
        <v>5.0383748014993568E-2</v>
      </c>
      <c r="Y257" s="81">
        <f>S257/'2015'!R257-1</f>
        <v>6.4139986913388958E-2</v>
      </c>
      <c r="Z257" s="97">
        <f>Z256+0.2</f>
        <v>117.23</v>
      </c>
      <c r="AA257" s="97">
        <f t="shared" si="84"/>
        <v>1306.7280000000001</v>
      </c>
      <c r="AB257" s="106"/>
      <c r="AC257" s="105"/>
      <c r="AD257" s="70">
        <f t="shared" si="85"/>
        <v>14857258.34</v>
      </c>
      <c r="AE257" s="71">
        <f t="shared" si="87"/>
        <v>371257.99999999983</v>
      </c>
      <c r="AF257" s="71">
        <f t="shared" si="87"/>
        <v>193510</v>
      </c>
      <c r="AG257" s="71">
        <f t="shared" si="86"/>
        <v>52910.340000000026</v>
      </c>
    </row>
    <row r="258" spans="1:33" ht="15" customHeight="1" x14ac:dyDescent="0.15">
      <c r="A258" s="102">
        <v>42623</v>
      </c>
      <c r="B258" s="20" t="s">
        <v>39</v>
      </c>
      <c r="C258" s="8">
        <v>57956</v>
      </c>
      <c r="D258" s="37">
        <f>24971+10810</f>
        <v>35781</v>
      </c>
      <c r="E258" s="37">
        <v>94844</v>
      </c>
      <c r="F258" s="55">
        <v>4807.6000000000004</v>
      </c>
      <c r="G258" s="37">
        <v>3149.2</v>
      </c>
      <c r="H258" s="24"/>
      <c r="I258" s="36"/>
      <c r="J258" s="8">
        <f t="shared" si="101"/>
        <v>59063</v>
      </c>
      <c r="K258" s="37">
        <f t="shared" si="82"/>
        <v>156.33333333333337</v>
      </c>
      <c r="L258" s="37">
        <v>768</v>
      </c>
      <c r="M258" s="37">
        <f t="shared" si="96"/>
        <v>182.66666666666666</v>
      </c>
      <c r="N258" s="74">
        <f t="shared" si="97"/>
        <v>497326</v>
      </c>
      <c r="O258" s="75">
        <f t="shared" si="98"/>
        <v>293937</v>
      </c>
      <c r="P258" s="75">
        <f t="shared" si="99"/>
        <v>803504</v>
      </c>
      <c r="Q258" s="76">
        <f t="shared" si="95"/>
        <v>14297536</v>
      </c>
      <c r="R258" s="76">
        <f t="shared" si="95"/>
        <v>7517426</v>
      </c>
      <c r="S258" s="76">
        <f t="shared" si="95"/>
        <v>22433747.34</v>
      </c>
      <c r="T258" s="80">
        <f>N258/'2015'!M258-1</f>
        <v>5.704514683721329E-2</v>
      </c>
      <c r="U258" s="80">
        <f>O258/'2015'!N258-1</f>
        <v>-0.2751495632703187</v>
      </c>
      <c r="V258" s="80">
        <f>P258/'2015'!O258-1</f>
        <v>-9.1292168187580791E-2</v>
      </c>
      <c r="W258" s="81">
        <f>Q258/'2015'!P258-1</f>
        <v>6.365384018800313E-2</v>
      </c>
      <c r="X258" s="81">
        <f>R258/'2015'!Q258-1</f>
        <v>4.8970045697450226E-2</v>
      </c>
      <c r="Y258" s="81">
        <f>S258/'2015'!R258-1</f>
        <v>6.4121935118568008E-2</v>
      </c>
      <c r="Z258" s="50">
        <f t="shared" ref="Z258:Z262" si="102">Z257+0.2</f>
        <v>117.43</v>
      </c>
      <c r="AA258" s="97">
        <f t="shared" si="84"/>
        <v>1312.3235999999999</v>
      </c>
      <c r="AB258" s="105"/>
      <c r="AC258" s="105"/>
      <c r="AD258" s="8">
        <f t="shared" si="85"/>
        <v>14916321.34</v>
      </c>
      <c r="AE258" s="37">
        <f t="shared" si="87"/>
        <v>371414.33333333314</v>
      </c>
      <c r="AF258" s="37">
        <f t="shared" si="87"/>
        <v>194278</v>
      </c>
      <c r="AG258" s="37">
        <f t="shared" si="86"/>
        <v>53093.006666666712</v>
      </c>
    </row>
    <row r="259" spans="1:33" ht="15" customHeight="1" x14ac:dyDescent="0.15">
      <c r="A259" s="102">
        <v>42624</v>
      </c>
      <c r="B259" s="20" t="s">
        <v>1</v>
      </c>
      <c r="C259" s="8">
        <v>49659</v>
      </c>
      <c r="D259" s="37">
        <f>25599+10866</f>
        <v>36465</v>
      </c>
      <c r="E259" s="37">
        <v>87199</v>
      </c>
      <c r="F259" s="55">
        <v>4420.1000000000004</v>
      </c>
      <c r="G259" s="37">
        <v>3118.4</v>
      </c>
      <c r="H259" s="24"/>
      <c r="I259" s="36"/>
      <c r="J259" s="8">
        <f t="shared" si="101"/>
        <v>50734</v>
      </c>
      <c r="K259" s="37">
        <f t="shared" si="82"/>
        <v>124.33333333333337</v>
      </c>
      <c r="L259" s="37">
        <v>768</v>
      </c>
      <c r="M259" s="37">
        <f t="shared" si="96"/>
        <v>182.66666666666666</v>
      </c>
      <c r="N259" s="74">
        <f t="shared" si="97"/>
        <v>546985</v>
      </c>
      <c r="O259" s="75">
        <f t="shared" si="98"/>
        <v>330402</v>
      </c>
      <c r="P259" s="75">
        <f t="shared" si="99"/>
        <v>890703</v>
      </c>
      <c r="Q259" s="76">
        <f t="shared" si="95"/>
        <v>14347195</v>
      </c>
      <c r="R259" s="76">
        <f t="shared" si="95"/>
        <v>7553891</v>
      </c>
      <c r="S259" s="76">
        <f t="shared" si="95"/>
        <v>22520946.34</v>
      </c>
      <c r="T259" s="80">
        <f>N259/'2015'!M259-1</f>
        <v>5.9500219847482105E-2</v>
      </c>
      <c r="U259" s="80">
        <f>O259/'2015'!N259-1</f>
        <v>-0.26545503051322239</v>
      </c>
      <c r="V259" s="80">
        <f>P259/'2015'!O259-1</f>
        <v>-8.6643943076175289E-2</v>
      </c>
      <c r="W259" s="81">
        <f>Q259/'2015'!P259-1</f>
        <v>6.3725381527611091E-2</v>
      </c>
      <c r="X259" s="81">
        <f>R259/'2015'!Q259-1</f>
        <v>4.758393481753842E-2</v>
      </c>
      <c r="Y259" s="81">
        <f>S259/'2015'!R259-1</f>
        <v>6.3668278097326558E-2</v>
      </c>
      <c r="Z259" s="50">
        <f t="shared" si="102"/>
        <v>117.63000000000001</v>
      </c>
      <c r="AA259" s="97">
        <f t="shared" si="84"/>
        <v>1317.0894999999998</v>
      </c>
      <c r="AB259" s="105"/>
      <c r="AC259" s="105"/>
      <c r="AD259" s="8">
        <f t="shared" si="85"/>
        <v>14967055.34</v>
      </c>
      <c r="AE259" s="37">
        <f t="shared" si="87"/>
        <v>371538.66666666645</v>
      </c>
      <c r="AF259" s="37">
        <f t="shared" si="87"/>
        <v>195046</v>
      </c>
      <c r="AG259" s="37">
        <f t="shared" si="86"/>
        <v>53275.673333333398</v>
      </c>
    </row>
    <row r="260" spans="1:33" ht="15" customHeight="1" x14ac:dyDescent="0.15">
      <c r="A260" s="102">
        <v>42625</v>
      </c>
      <c r="B260" s="20" t="s">
        <v>34</v>
      </c>
      <c r="C260" s="8">
        <v>52917</v>
      </c>
      <c r="D260" s="37">
        <f>24582+10701</f>
        <v>35283</v>
      </c>
      <c r="E260" s="37">
        <v>89462</v>
      </c>
      <c r="F260" s="55">
        <v>4498.3</v>
      </c>
      <c r="G260" s="37">
        <v>2893.4</v>
      </c>
      <c r="H260" s="24"/>
      <c r="I260" s="36"/>
      <c r="J260" s="8">
        <f t="shared" si="101"/>
        <v>54179</v>
      </c>
      <c r="K260" s="37">
        <f t="shared" si="82"/>
        <v>308.33333333333326</v>
      </c>
      <c r="L260" s="37">
        <v>771</v>
      </c>
      <c r="M260" s="37">
        <f t="shared" si="96"/>
        <v>182.66666666666666</v>
      </c>
      <c r="N260" s="74">
        <f t="shared" si="97"/>
        <v>599902</v>
      </c>
      <c r="O260" s="75">
        <f t="shared" si="98"/>
        <v>365685</v>
      </c>
      <c r="P260" s="75">
        <f t="shared" si="99"/>
        <v>980165</v>
      </c>
      <c r="Q260" s="76">
        <f t="shared" si="95"/>
        <v>14400112</v>
      </c>
      <c r="R260" s="76">
        <f t="shared" si="95"/>
        <v>7589174</v>
      </c>
      <c r="S260" s="76">
        <f t="shared" si="95"/>
        <v>22610408.34</v>
      </c>
      <c r="T260" s="80">
        <f>N260/'2015'!M260-1</f>
        <v>7.5727445034796448E-2</v>
      </c>
      <c r="U260" s="80">
        <f>O260/'2015'!N260-1</f>
        <v>-0.26055077779822344</v>
      </c>
      <c r="V260" s="80">
        <f>P260/'2015'!O260-1</f>
        <v>-7.6775777167422121E-2</v>
      </c>
      <c r="W260" s="81">
        <f>Q260/'2015'!P260-1</f>
        <v>6.4381339441060836E-2</v>
      </c>
      <c r="X260" s="81">
        <f>R260/'2015'!Q260-1</f>
        <v>4.5988246719112391E-2</v>
      </c>
      <c r="Y260" s="81">
        <f>S260/'2015'!R260-1</f>
        <v>6.354965257221501E-2</v>
      </c>
      <c r="Z260" s="50">
        <f t="shared" si="102"/>
        <v>117.83000000000001</v>
      </c>
      <c r="AA260" s="97">
        <f t="shared" si="84"/>
        <v>1322.1812</v>
      </c>
      <c r="AB260" s="105"/>
      <c r="AC260" s="105"/>
      <c r="AD260" s="8">
        <f t="shared" si="85"/>
        <v>15021234.34</v>
      </c>
      <c r="AE260" s="37">
        <f t="shared" si="87"/>
        <v>371846.99999999977</v>
      </c>
      <c r="AF260" s="37">
        <f t="shared" si="87"/>
        <v>195817</v>
      </c>
      <c r="AG260" s="37">
        <f t="shared" si="86"/>
        <v>53458.340000000084</v>
      </c>
    </row>
    <row r="261" spans="1:33" ht="15" customHeight="1" x14ac:dyDescent="0.15">
      <c r="A261" s="102">
        <v>42626</v>
      </c>
      <c r="B261" s="20" t="s">
        <v>35</v>
      </c>
      <c r="C261" s="8">
        <v>53159</v>
      </c>
      <c r="D261" s="37">
        <v>36366</v>
      </c>
      <c r="E261" s="37">
        <v>90978</v>
      </c>
      <c r="F261" s="55">
        <v>4623</v>
      </c>
      <c r="G261" s="37">
        <v>3050</v>
      </c>
      <c r="H261" s="24"/>
      <c r="I261" s="36"/>
      <c r="J261" s="8">
        <f t="shared" si="101"/>
        <v>54612</v>
      </c>
      <c r="K261" s="37">
        <f t="shared" si="82"/>
        <v>501.33333333333326</v>
      </c>
      <c r="L261" s="37">
        <v>769</v>
      </c>
      <c r="M261" s="37">
        <f t="shared" si="96"/>
        <v>182.66666666666666</v>
      </c>
      <c r="N261" s="74">
        <f t="shared" si="97"/>
        <v>653061</v>
      </c>
      <c r="O261" s="75">
        <f t="shared" si="98"/>
        <v>402051</v>
      </c>
      <c r="P261" s="75">
        <f t="shared" si="99"/>
        <v>1071143</v>
      </c>
      <c r="Q261" s="76">
        <f t="shared" si="95"/>
        <v>14453271</v>
      </c>
      <c r="R261" s="76">
        <f t="shared" si="95"/>
        <v>7625540</v>
      </c>
      <c r="S261" s="76">
        <f t="shared" si="95"/>
        <v>22701386.34</v>
      </c>
      <c r="T261" s="80">
        <f>N261/'2015'!M261-1</f>
        <v>0.10025911798797749</v>
      </c>
      <c r="U261" s="80">
        <f>O261/'2015'!N261-1</f>
        <v>-0.25347868227849513</v>
      </c>
      <c r="V261" s="80">
        <f>P261/'2015'!O261-1</f>
        <v>-6.1889510417241445E-2</v>
      </c>
      <c r="W261" s="81">
        <f>Q261/'2015'!P261-1</f>
        <v>6.5484764730808109E-2</v>
      </c>
      <c r="X261" s="81">
        <f>R261/'2015'!Q261-1</f>
        <v>4.466106402668113E-2</v>
      </c>
      <c r="Y261" s="81">
        <f>S261/'2015'!R261-1</f>
        <v>6.3819226444462362E-2</v>
      </c>
      <c r="Z261" s="50">
        <f t="shared" si="102"/>
        <v>118.03000000000002</v>
      </c>
      <c r="AA261" s="97">
        <f t="shared" si="84"/>
        <v>1327.2971</v>
      </c>
      <c r="AB261" s="105"/>
      <c r="AC261" s="105"/>
      <c r="AD261" s="8">
        <f t="shared" si="85"/>
        <v>15075846.34</v>
      </c>
      <c r="AE261" s="37">
        <f t="shared" si="87"/>
        <v>372348.33333333308</v>
      </c>
      <c r="AF261" s="37">
        <f t="shared" si="87"/>
        <v>196586</v>
      </c>
      <c r="AG261" s="37">
        <f t="shared" si="86"/>
        <v>53641.00666666677</v>
      </c>
    </row>
    <row r="262" spans="1:33" ht="15" customHeight="1" x14ac:dyDescent="0.15">
      <c r="A262" s="102">
        <v>42627</v>
      </c>
      <c r="B262" s="14" t="s">
        <v>36</v>
      </c>
      <c r="C262" s="32">
        <v>49721</v>
      </c>
      <c r="D262" s="33">
        <v>36747</v>
      </c>
      <c r="E262" s="33">
        <v>88174</v>
      </c>
      <c r="F262" s="59">
        <v>4517</v>
      </c>
      <c r="G262" s="33">
        <v>3013</v>
      </c>
      <c r="H262" s="19"/>
      <c r="I262" s="19"/>
      <c r="J262" s="32">
        <f t="shared" si="101"/>
        <v>51427</v>
      </c>
      <c r="K262" s="33">
        <f t="shared" ref="K262:K278" si="103">J262-C262-M262-L262</f>
        <v>755.33333333333326</v>
      </c>
      <c r="L262" s="33">
        <v>768</v>
      </c>
      <c r="M262" s="33">
        <f t="shared" si="96"/>
        <v>182.66666666666666</v>
      </c>
      <c r="N262" s="77">
        <f t="shared" si="97"/>
        <v>702782</v>
      </c>
      <c r="O262" s="78">
        <f t="shared" si="98"/>
        <v>438798</v>
      </c>
      <c r="P262" s="78">
        <f t="shared" si="99"/>
        <v>1159317</v>
      </c>
      <c r="Q262" s="77">
        <f t="shared" si="95"/>
        <v>14502992</v>
      </c>
      <c r="R262" s="77">
        <f t="shared" si="95"/>
        <v>7662287</v>
      </c>
      <c r="S262" s="77">
        <f t="shared" si="95"/>
        <v>22789560.34</v>
      </c>
      <c r="T262" s="82">
        <f>N262/'2015'!M262-1</f>
        <v>0.11050327881804534</v>
      </c>
      <c r="U262" s="82">
        <f>O262/'2015'!N262-1</f>
        <v>-0.24810826741970415</v>
      </c>
      <c r="V262" s="82">
        <f>P262/'2015'!O262-1</f>
        <v>-5.4745364708184585E-2</v>
      </c>
      <c r="W262" s="82">
        <f>Q262/'2015'!P262-1</f>
        <v>6.606175855080787E-2</v>
      </c>
      <c r="X262" s="82">
        <f>R262/'2015'!Q262-1</f>
        <v>4.3260039640218073E-2</v>
      </c>
      <c r="Y262" s="82">
        <f>S262/'2015'!R262-1</f>
        <v>6.3731504880983447E-2</v>
      </c>
      <c r="Z262" s="49">
        <f t="shared" si="102"/>
        <v>118.23000000000002</v>
      </c>
      <c r="AA262" s="49">
        <f t="shared" ref="AA262:AA325" si="104">Q262/10000-Z262</f>
        <v>1332.0691999999999</v>
      </c>
      <c r="AB262" s="33">
        <v>4234.6000000000004</v>
      </c>
      <c r="AC262" s="33">
        <f t="shared" si="89"/>
        <v>3145.6789307136446</v>
      </c>
      <c r="AD262" s="32">
        <f t="shared" ref="AD262:AD325" si="105">S262-R262</f>
        <v>15127273.34</v>
      </c>
      <c r="AE262" s="33">
        <f t="shared" si="87"/>
        <v>373103.6666666664</v>
      </c>
      <c r="AF262" s="33">
        <f t="shared" si="87"/>
        <v>197354</v>
      </c>
      <c r="AG262" s="33">
        <f t="shared" ref="AG262:AG325" si="106">AD262-Q262-AE262-AF262</f>
        <v>53823.673333333456</v>
      </c>
    </row>
    <row r="263" spans="1:33" ht="15" customHeight="1" x14ac:dyDescent="0.15">
      <c r="A263" s="102">
        <v>42628</v>
      </c>
      <c r="B263" s="20" t="s">
        <v>37</v>
      </c>
      <c r="C263" s="8">
        <v>41874</v>
      </c>
      <c r="D263" s="37">
        <v>23642</v>
      </c>
      <c r="E263" s="37">
        <v>67205</v>
      </c>
      <c r="F263" s="55">
        <v>3120</v>
      </c>
      <c r="G263" s="37">
        <v>2448</v>
      </c>
      <c r="H263" s="24"/>
      <c r="I263" s="36"/>
      <c r="J263" s="8">
        <f t="shared" si="101"/>
        <v>43563</v>
      </c>
      <c r="K263" s="37">
        <f t="shared" si="103"/>
        <v>733.33333333333326</v>
      </c>
      <c r="L263" s="37">
        <v>773</v>
      </c>
      <c r="M263" s="37">
        <f t="shared" si="96"/>
        <v>182.66666666666666</v>
      </c>
      <c r="N263" s="74">
        <f t="shared" si="97"/>
        <v>744656</v>
      </c>
      <c r="O263" s="75">
        <f t="shared" si="98"/>
        <v>462440</v>
      </c>
      <c r="P263" s="75">
        <f t="shared" si="99"/>
        <v>1226522</v>
      </c>
      <c r="Q263" s="76">
        <f t="shared" si="95"/>
        <v>14544866</v>
      </c>
      <c r="R263" s="76">
        <f t="shared" si="95"/>
        <v>7685929</v>
      </c>
      <c r="S263" s="76">
        <f t="shared" si="95"/>
        <v>22856765.34</v>
      </c>
      <c r="T263" s="80">
        <f>N263/'2015'!M263-1</f>
        <v>0.10739396823508418</v>
      </c>
      <c r="U263" s="80">
        <f>O263/'2015'!N263-1</f>
        <v>-0.26288406730382996</v>
      </c>
      <c r="V263" s="80">
        <f>P263/'2015'!O263-1</f>
        <v>-6.3805134515011686E-2</v>
      </c>
      <c r="W263" s="81">
        <f>Q263/'2015'!P263-1</f>
        <v>6.6037470334641357E-2</v>
      </c>
      <c r="X263" s="81">
        <f>R263/'2015'!Q263-1</f>
        <v>4.0279180702873063E-2</v>
      </c>
      <c r="Y263" s="81">
        <f>S263/'2015'!R263-1</f>
        <v>6.2718831569168687E-2</v>
      </c>
      <c r="Z263" s="50">
        <v>118.43</v>
      </c>
      <c r="AA263" s="97">
        <f t="shared" si="104"/>
        <v>1336.0565999999999</v>
      </c>
      <c r="AB263" s="105">
        <v>4234.6000000000004</v>
      </c>
      <c r="AC263" s="105">
        <f t="shared" si="89"/>
        <v>3155.0951683748162</v>
      </c>
      <c r="AD263" s="8">
        <f t="shared" si="105"/>
        <v>15170836.34</v>
      </c>
      <c r="AE263" s="37">
        <f t="shared" ref="AE263:AF326" si="107">AE262+K263</f>
        <v>373836.99999999971</v>
      </c>
      <c r="AF263" s="37">
        <f t="shared" si="107"/>
        <v>198127</v>
      </c>
      <c r="AG263" s="37">
        <f t="shared" si="106"/>
        <v>54006.340000000142</v>
      </c>
    </row>
    <row r="264" spans="1:33" ht="15" customHeight="1" x14ac:dyDescent="0.15">
      <c r="A264" s="102">
        <v>42629</v>
      </c>
      <c r="B264" s="20" t="s">
        <v>38</v>
      </c>
      <c r="C264" s="70">
        <v>49831</v>
      </c>
      <c r="D264" s="71">
        <f>19120+6044</f>
        <v>25164</v>
      </c>
      <c r="E264" s="71">
        <v>77263</v>
      </c>
      <c r="F264" s="107">
        <v>3969.8</v>
      </c>
      <c r="G264" s="71">
        <v>2198.4</v>
      </c>
      <c r="H264" s="24"/>
      <c r="I264" s="24"/>
      <c r="J264" s="70">
        <f t="shared" si="101"/>
        <v>52099</v>
      </c>
      <c r="K264" s="71">
        <f t="shared" si="103"/>
        <v>1313.3333333333335</v>
      </c>
      <c r="L264" s="71">
        <v>772</v>
      </c>
      <c r="M264" s="71">
        <f t="shared" si="96"/>
        <v>182.66666666666666</v>
      </c>
      <c r="N264" s="74">
        <f t="shared" si="97"/>
        <v>794487</v>
      </c>
      <c r="O264" s="75">
        <f t="shared" si="98"/>
        <v>487604</v>
      </c>
      <c r="P264" s="75">
        <f t="shared" si="99"/>
        <v>1303785</v>
      </c>
      <c r="Q264" s="76">
        <f t="shared" si="95"/>
        <v>14594697</v>
      </c>
      <c r="R264" s="76">
        <f t="shared" si="95"/>
        <v>7711093</v>
      </c>
      <c r="S264" s="76">
        <f t="shared" si="95"/>
        <v>22934028.34</v>
      </c>
      <c r="T264" s="80">
        <f>N264/'2015'!M264-1</f>
        <v>0.11490986553503912</v>
      </c>
      <c r="U264" s="80">
        <f>O264/'2015'!N264-1</f>
        <v>-0.27314845180101488</v>
      </c>
      <c r="V264" s="80">
        <f>P264/'2015'!O264-1</f>
        <v>-6.4821296899342684E-2</v>
      </c>
      <c r="W264" s="81">
        <f>Q264/'2015'!P264-1</f>
        <v>6.6550243780666207E-2</v>
      </c>
      <c r="X264" s="81">
        <f>R264/'2015'!Q264-1</f>
        <v>3.7578986446510365E-2</v>
      </c>
      <c r="Y264" s="81">
        <f>S264/'2015'!R264-1</f>
        <v>6.2160750193753556E-2</v>
      </c>
      <c r="Z264" s="97">
        <f>Z263+0.236</f>
        <v>118.66600000000001</v>
      </c>
      <c r="AA264" s="97">
        <f t="shared" si="104"/>
        <v>1340.8037000000002</v>
      </c>
      <c r="AB264" s="106"/>
      <c r="AC264" s="105"/>
      <c r="AD264" s="70">
        <f t="shared" si="105"/>
        <v>15222935.34</v>
      </c>
      <c r="AE264" s="71">
        <f t="shared" si="107"/>
        <v>375150.33333333302</v>
      </c>
      <c r="AF264" s="71">
        <f t="shared" si="107"/>
        <v>198899</v>
      </c>
      <c r="AG264" s="71">
        <f t="shared" si="106"/>
        <v>54189.006666666828</v>
      </c>
    </row>
    <row r="265" spans="1:33" ht="15" customHeight="1" x14ac:dyDescent="0.15">
      <c r="A265" s="102">
        <v>42630</v>
      </c>
      <c r="B265" s="20" t="s">
        <v>39</v>
      </c>
      <c r="C265" s="8">
        <v>53766</v>
      </c>
      <c r="D265" s="37">
        <f>21367+7208</f>
        <v>28575</v>
      </c>
      <c r="E265" s="37">
        <v>84403</v>
      </c>
      <c r="F265" s="55">
        <v>4331</v>
      </c>
      <c r="G265" s="37">
        <v>2734.3</v>
      </c>
      <c r="H265" s="24"/>
      <c r="I265" s="36"/>
      <c r="J265" s="8">
        <f t="shared" si="101"/>
        <v>55828</v>
      </c>
      <c r="K265" s="37">
        <f t="shared" si="103"/>
        <v>1100.3333333333333</v>
      </c>
      <c r="L265" s="37">
        <v>779</v>
      </c>
      <c r="M265" s="37">
        <f t="shared" si="96"/>
        <v>182.66666666666666</v>
      </c>
      <c r="N265" s="74">
        <f t="shared" si="97"/>
        <v>848253</v>
      </c>
      <c r="O265" s="75">
        <f t="shared" si="98"/>
        <v>516179</v>
      </c>
      <c r="P265" s="75">
        <f t="shared" si="99"/>
        <v>1388188</v>
      </c>
      <c r="Q265" s="76">
        <f t="shared" ref="Q265:S278" si="108">Q$248+N265</f>
        <v>14648463</v>
      </c>
      <c r="R265" s="76">
        <f t="shared" si="108"/>
        <v>7739668</v>
      </c>
      <c r="S265" s="76">
        <f t="shared" si="108"/>
        <v>23018431.34</v>
      </c>
      <c r="T265" s="80">
        <f>N265/'2015'!M265-1</f>
        <v>0.12425546917039321</v>
      </c>
      <c r="U265" s="80">
        <f>O265/'2015'!N265-1</f>
        <v>-0.2772059976699377</v>
      </c>
      <c r="V265" s="80">
        <f>P265/'2015'!O265-1</f>
        <v>-6.1943864808467808E-2</v>
      </c>
      <c r="W265" s="81">
        <f>Q265/'2015'!P265-1</f>
        <v>6.7211586952045987E-2</v>
      </c>
      <c r="X265" s="81">
        <f>R265/'2015'!Q265-1</f>
        <v>3.5391438229763317E-2</v>
      </c>
      <c r="Y265" s="81">
        <f>S265/'2015'!R265-1</f>
        <v>6.185517264349194E-2</v>
      </c>
      <c r="Z265" s="50">
        <f t="shared" ref="Z265:Z269" si="109">Z264+0.236</f>
        <v>118.90200000000002</v>
      </c>
      <c r="AA265" s="97">
        <f t="shared" si="104"/>
        <v>1345.9442999999999</v>
      </c>
      <c r="AB265" s="105"/>
      <c r="AC265" s="105"/>
      <c r="AD265" s="8">
        <f t="shared" si="105"/>
        <v>15278763.34</v>
      </c>
      <c r="AE265" s="37">
        <f t="shared" si="107"/>
        <v>376250.66666666634</v>
      </c>
      <c r="AF265" s="37">
        <f t="shared" si="107"/>
        <v>199678</v>
      </c>
      <c r="AG265" s="37">
        <f t="shared" si="106"/>
        <v>54371.673333333514</v>
      </c>
    </row>
    <row r="266" spans="1:33" ht="15" customHeight="1" x14ac:dyDescent="0.15">
      <c r="A266" s="102">
        <v>42631</v>
      </c>
      <c r="B266" s="20" t="s">
        <v>1</v>
      </c>
      <c r="C266" s="8">
        <v>50386</v>
      </c>
      <c r="D266" s="37">
        <f>24178+7605</f>
        <v>31783</v>
      </c>
      <c r="E266" s="37">
        <v>84393</v>
      </c>
      <c r="F266" s="55">
        <v>4299.1000000000004</v>
      </c>
      <c r="G266" s="37">
        <v>2814</v>
      </c>
      <c r="H266" s="24"/>
      <c r="I266" s="36"/>
      <c r="J266" s="8">
        <f t="shared" si="101"/>
        <v>52610</v>
      </c>
      <c r="K266" s="37">
        <f t="shared" si="103"/>
        <v>1263.3333333333333</v>
      </c>
      <c r="L266" s="37">
        <v>778</v>
      </c>
      <c r="M266" s="37">
        <f t="shared" si="96"/>
        <v>182.66666666666666</v>
      </c>
      <c r="N266" s="74">
        <f t="shared" si="97"/>
        <v>898639</v>
      </c>
      <c r="O266" s="75">
        <f t="shared" si="98"/>
        <v>547962</v>
      </c>
      <c r="P266" s="75">
        <f t="shared" si="99"/>
        <v>1472581</v>
      </c>
      <c r="Q266" s="76">
        <f t="shared" si="108"/>
        <v>14698849</v>
      </c>
      <c r="R266" s="76">
        <f t="shared" si="108"/>
        <v>7771451</v>
      </c>
      <c r="S266" s="76">
        <f t="shared" si="108"/>
        <v>23102824.34</v>
      </c>
      <c r="T266" s="80">
        <f>N266/'2015'!M266-1</f>
        <v>0.12639351618572037</v>
      </c>
      <c r="U266" s="80">
        <f>O266/'2015'!N266-1</f>
        <v>-0.27589515080397065</v>
      </c>
      <c r="V266" s="80">
        <f>P266/'2015'!O266-1</f>
        <v>-5.998828002318457E-2</v>
      </c>
      <c r="W266" s="81">
        <f>Q266/'2015'!P266-1</f>
        <v>6.751485305415228E-2</v>
      </c>
      <c r="X266" s="81">
        <f>R266/'2015'!Q266-1</f>
        <v>3.3752020062484345E-2</v>
      </c>
      <c r="Y266" s="81">
        <f>S266/'2015'!R266-1</f>
        <v>6.1502767242923362E-2</v>
      </c>
      <c r="Z266" s="50">
        <f t="shared" si="109"/>
        <v>119.13800000000002</v>
      </c>
      <c r="AA266" s="97">
        <f t="shared" si="104"/>
        <v>1350.7469000000001</v>
      </c>
      <c r="AB266" s="105"/>
      <c r="AC266" s="105"/>
      <c r="AD266" s="8">
        <f t="shared" si="105"/>
        <v>15331373.34</v>
      </c>
      <c r="AE266" s="37">
        <f t="shared" si="107"/>
        <v>377513.99999999965</v>
      </c>
      <c r="AF266" s="37">
        <f t="shared" si="107"/>
        <v>200456</v>
      </c>
      <c r="AG266" s="37">
        <f t="shared" si="106"/>
        <v>54554.3400000002</v>
      </c>
    </row>
    <row r="267" spans="1:33" ht="15" customHeight="1" x14ac:dyDescent="0.15">
      <c r="A267" s="102">
        <v>42632</v>
      </c>
      <c r="B267" s="20" t="s">
        <v>34</v>
      </c>
      <c r="C267" s="8">
        <v>50449</v>
      </c>
      <c r="D267" s="37">
        <f>27041+7515</f>
        <v>34556</v>
      </c>
      <c r="E267" s="37">
        <v>86849</v>
      </c>
      <c r="F267" s="55">
        <v>4383.5</v>
      </c>
      <c r="G267" s="37">
        <v>2861.1</v>
      </c>
      <c r="H267" s="24"/>
      <c r="I267" s="36"/>
      <c r="J267" s="8">
        <f t="shared" si="101"/>
        <v>52293</v>
      </c>
      <c r="K267" s="37">
        <f t="shared" si="103"/>
        <v>881.33333333333326</v>
      </c>
      <c r="L267" s="37">
        <v>780</v>
      </c>
      <c r="M267" s="37">
        <f t="shared" si="96"/>
        <v>182.66666666666666</v>
      </c>
      <c r="N267" s="74">
        <f t="shared" si="97"/>
        <v>949088</v>
      </c>
      <c r="O267" s="75">
        <f t="shared" si="98"/>
        <v>582518</v>
      </c>
      <c r="P267" s="75">
        <f t="shared" si="99"/>
        <v>1559430</v>
      </c>
      <c r="Q267" s="76">
        <f t="shared" si="108"/>
        <v>14749298</v>
      </c>
      <c r="R267" s="76">
        <f t="shared" si="108"/>
        <v>7806007</v>
      </c>
      <c r="S267" s="76">
        <f t="shared" si="108"/>
        <v>23189673.34</v>
      </c>
      <c r="T267" s="80">
        <f>N267/'2015'!M267-1</f>
        <v>0.1295950259580434</v>
      </c>
      <c r="U267" s="80">
        <f>O267/'2015'!N267-1</f>
        <v>-0.27070751079194333</v>
      </c>
      <c r="V267" s="80">
        <f>P267/'2015'!O267-1</f>
        <v>-5.5895664977151593E-2</v>
      </c>
      <c r="W267" s="81">
        <f>Q267/'2015'!P267-1</f>
        <v>6.7890360741120759E-2</v>
      </c>
      <c r="X267" s="81">
        <f>R267/'2015'!Q267-1</f>
        <v>3.2579808254625586E-2</v>
      </c>
      <c r="Y267" s="81">
        <f>S267/'2015'!R267-1</f>
        <v>6.1338413733024622E-2</v>
      </c>
      <c r="Z267" s="50">
        <f t="shared" si="109"/>
        <v>119.37400000000002</v>
      </c>
      <c r="AA267" s="97">
        <f t="shared" si="104"/>
        <v>1355.5557999999999</v>
      </c>
      <c r="AB267" s="105"/>
      <c r="AC267" s="105"/>
      <c r="AD267" s="8">
        <f t="shared" si="105"/>
        <v>15383666.34</v>
      </c>
      <c r="AE267" s="37">
        <f t="shared" si="107"/>
        <v>378395.33333333296</v>
      </c>
      <c r="AF267" s="37">
        <f t="shared" si="107"/>
        <v>201236</v>
      </c>
      <c r="AG267" s="37">
        <f t="shared" si="106"/>
        <v>54737.006666666886</v>
      </c>
    </row>
    <row r="268" spans="1:33" ht="15" customHeight="1" x14ac:dyDescent="0.15">
      <c r="A268" s="102">
        <v>42633</v>
      </c>
      <c r="B268" s="20" t="s">
        <v>35</v>
      </c>
      <c r="C268" s="8">
        <v>50107</v>
      </c>
      <c r="D268" s="37">
        <f>28196+7536</f>
        <v>35732</v>
      </c>
      <c r="E268" s="37">
        <v>87732</v>
      </c>
      <c r="F268" s="55">
        <v>4407.3</v>
      </c>
      <c r="G268" s="37">
        <v>2961</v>
      </c>
      <c r="H268" s="24"/>
      <c r="I268" s="36"/>
      <c r="J268" s="8">
        <f t="shared" si="101"/>
        <v>52000</v>
      </c>
      <c r="K268" s="37">
        <f t="shared" si="103"/>
        <v>931.33333333333326</v>
      </c>
      <c r="L268" s="37">
        <v>779</v>
      </c>
      <c r="M268" s="37">
        <f t="shared" si="96"/>
        <v>182.66666666666666</v>
      </c>
      <c r="N268" s="74">
        <f t="shared" si="97"/>
        <v>999195</v>
      </c>
      <c r="O268" s="75">
        <f t="shared" si="98"/>
        <v>618250</v>
      </c>
      <c r="P268" s="75">
        <f t="shared" si="99"/>
        <v>1647162</v>
      </c>
      <c r="Q268" s="76">
        <f t="shared" si="108"/>
        <v>14799405</v>
      </c>
      <c r="R268" s="76">
        <f t="shared" si="108"/>
        <v>7841739</v>
      </c>
      <c r="S268" s="76">
        <f t="shared" si="108"/>
        <v>23277405.34</v>
      </c>
      <c r="T268" s="80">
        <f>N268/'2015'!M268-1</f>
        <v>0.13929138275456321</v>
      </c>
      <c r="U268" s="80">
        <f>O268/'2015'!N268-1</f>
        <v>-0.26550255900928088</v>
      </c>
      <c r="V268" s="80">
        <f>P268/'2015'!O268-1</f>
        <v>-4.9138044996112074E-2</v>
      </c>
      <c r="W268" s="81">
        <f>Q268/'2015'!P268-1</f>
        <v>6.866854143697787E-2</v>
      </c>
      <c r="X268" s="81">
        <f>R268/'2015'!Q268-1</f>
        <v>3.1441194386047755E-2</v>
      </c>
      <c r="Y268" s="81">
        <f>S268/'2015'!R268-1</f>
        <v>6.1441724389373897E-2</v>
      </c>
      <c r="Z268" s="50">
        <f t="shared" si="109"/>
        <v>119.61000000000003</v>
      </c>
      <c r="AA268" s="97">
        <f t="shared" si="104"/>
        <v>1360.3304999999998</v>
      </c>
      <c r="AB268" s="105"/>
      <c r="AC268" s="105"/>
      <c r="AD268" s="8">
        <f t="shared" si="105"/>
        <v>15435666.34</v>
      </c>
      <c r="AE268" s="37">
        <f t="shared" si="107"/>
        <v>379326.66666666628</v>
      </c>
      <c r="AF268" s="37">
        <f t="shared" si="107"/>
        <v>202015</v>
      </c>
      <c r="AG268" s="37">
        <f t="shared" si="106"/>
        <v>54919.673333333572</v>
      </c>
    </row>
    <row r="269" spans="1:33" ht="15" customHeight="1" x14ac:dyDescent="0.15">
      <c r="A269" s="102">
        <v>42634</v>
      </c>
      <c r="B269" s="14" t="s">
        <v>36</v>
      </c>
      <c r="C269" s="32">
        <v>53590</v>
      </c>
      <c r="D269" s="33">
        <f>28212+7278</f>
        <v>35490</v>
      </c>
      <c r="E269" s="33">
        <v>90664</v>
      </c>
      <c r="F269" s="59">
        <v>4519.8999999999996</v>
      </c>
      <c r="G269" s="33">
        <v>3057.5</v>
      </c>
      <c r="H269" s="19"/>
      <c r="I269" s="19"/>
      <c r="J269" s="32">
        <f t="shared" si="101"/>
        <v>55174</v>
      </c>
      <c r="K269" s="33">
        <f t="shared" si="103"/>
        <v>617.33333333333326</v>
      </c>
      <c r="L269" s="33">
        <v>784</v>
      </c>
      <c r="M269" s="33">
        <f t="shared" si="96"/>
        <v>182.66666666666666</v>
      </c>
      <c r="N269" s="77">
        <f t="shared" si="97"/>
        <v>1052785</v>
      </c>
      <c r="O269" s="78">
        <f t="shared" si="98"/>
        <v>653740</v>
      </c>
      <c r="P269" s="78">
        <f t="shared" si="99"/>
        <v>1737826</v>
      </c>
      <c r="Q269" s="77">
        <f t="shared" si="108"/>
        <v>14852995</v>
      </c>
      <c r="R269" s="77">
        <f t="shared" si="108"/>
        <v>7877229</v>
      </c>
      <c r="S269" s="77">
        <f t="shared" si="108"/>
        <v>23368069.34</v>
      </c>
      <c r="T269" s="82">
        <f>N269/'2015'!M269-1</f>
        <v>0.14693706354653502</v>
      </c>
      <c r="U269" s="82">
        <f>O269/'2015'!N269-1</f>
        <v>-0.2600842300174413</v>
      </c>
      <c r="V269" s="82">
        <f>P269/'2015'!O269-1</f>
        <v>-4.3209631846581109E-2</v>
      </c>
      <c r="W269" s="82">
        <f>Q269/'2015'!P269-1</f>
        <v>6.938167643795623E-2</v>
      </c>
      <c r="X269" s="82">
        <f>R269/'2015'!Q269-1</f>
        <v>3.0443709740673786E-2</v>
      </c>
      <c r="Y269" s="82">
        <f>S269/'2015'!R269-1</f>
        <v>6.1508788901469824E-2</v>
      </c>
      <c r="Z269" s="49">
        <f t="shared" si="109"/>
        <v>119.84600000000003</v>
      </c>
      <c r="AA269" s="49">
        <f t="shared" si="104"/>
        <v>1365.4535000000001</v>
      </c>
      <c r="AB269" s="33">
        <v>4234.6000000000004</v>
      </c>
      <c r="AC269" s="33">
        <f t="shared" ref="AC269:AC325" si="110">AA269*10000/AB269</f>
        <v>3224.5158928824444</v>
      </c>
      <c r="AD269" s="32">
        <f t="shared" si="105"/>
        <v>15490840.34</v>
      </c>
      <c r="AE269" s="33">
        <f t="shared" si="107"/>
        <v>379943.99999999959</v>
      </c>
      <c r="AF269" s="33">
        <f t="shared" si="107"/>
        <v>202799</v>
      </c>
      <c r="AG269" s="33">
        <f t="shared" si="106"/>
        <v>55102.340000000258</v>
      </c>
    </row>
    <row r="270" spans="1:33" ht="15" customHeight="1" x14ac:dyDescent="0.15">
      <c r="A270" s="102">
        <v>42635</v>
      </c>
      <c r="B270" s="20" t="s">
        <v>37</v>
      </c>
      <c r="C270" s="8">
        <v>54583</v>
      </c>
      <c r="D270" s="37">
        <f>28066+7459</f>
        <v>35525</v>
      </c>
      <c r="E270" s="37">
        <v>92196</v>
      </c>
      <c r="F270" s="55">
        <v>4576.2</v>
      </c>
      <c r="G270" s="37">
        <v>3116.4</v>
      </c>
      <c r="H270" s="24"/>
      <c r="I270" s="36"/>
      <c r="J270" s="8">
        <f t="shared" si="101"/>
        <v>56671</v>
      </c>
      <c r="K270" s="37">
        <f t="shared" si="103"/>
        <v>1120.3333333333333</v>
      </c>
      <c r="L270" s="37">
        <v>785</v>
      </c>
      <c r="M270" s="37">
        <f t="shared" si="96"/>
        <v>182.66666666666666</v>
      </c>
      <c r="N270" s="74">
        <f t="shared" si="97"/>
        <v>1107368</v>
      </c>
      <c r="O270" s="75">
        <f t="shared" si="98"/>
        <v>689265</v>
      </c>
      <c r="P270" s="75">
        <f t="shared" si="99"/>
        <v>1830022</v>
      </c>
      <c r="Q270" s="76">
        <f t="shared" si="108"/>
        <v>14907578</v>
      </c>
      <c r="R270" s="76">
        <f t="shared" si="108"/>
        <v>7912754</v>
      </c>
      <c r="S270" s="76">
        <f t="shared" si="108"/>
        <v>23460265.34</v>
      </c>
      <c r="T270" s="80">
        <f>N270/'2015'!M270-1</f>
        <v>0.1516177608426168</v>
      </c>
      <c r="U270" s="80">
        <f>O270/'2015'!N270-1</f>
        <v>-0.25418588194049196</v>
      </c>
      <c r="V270" s="80">
        <f>P270/'2015'!O270-1</f>
        <v>-3.747997403856973E-2</v>
      </c>
      <c r="W270" s="81">
        <f>Q270/'2015'!P270-1</f>
        <v>6.9947770027350975E-2</v>
      </c>
      <c r="X270" s="81">
        <f>R270/'2015'!Q270-1</f>
        <v>2.9616479684773767E-2</v>
      </c>
      <c r="Y270" s="81">
        <f>S270/'2015'!R270-1</f>
        <v>6.1599080464679989E-2</v>
      </c>
      <c r="Z270" s="50">
        <v>120.08</v>
      </c>
      <c r="AA270" s="97">
        <f t="shared" si="104"/>
        <v>1370.6778000000002</v>
      </c>
      <c r="AB270" s="105">
        <v>4234.6000000000004</v>
      </c>
      <c r="AC270" s="105">
        <f t="shared" si="110"/>
        <v>3236.8530675860766</v>
      </c>
      <c r="AD270" s="8">
        <f t="shared" si="105"/>
        <v>15547511.34</v>
      </c>
      <c r="AE270" s="37">
        <f t="shared" si="107"/>
        <v>381064.33333333291</v>
      </c>
      <c r="AF270" s="37">
        <f t="shared" si="107"/>
        <v>203584</v>
      </c>
      <c r="AG270" s="37">
        <f t="shared" si="106"/>
        <v>55285.006666666945</v>
      </c>
    </row>
    <row r="271" spans="1:33" ht="15" customHeight="1" x14ac:dyDescent="0.15">
      <c r="A271" s="102">
        <v>42636</v>
      </c>
      <c r="B271" s="20" t="s">
        <v>38</v>
      </c>
      <c r="C271" s="70">
        <v>56653</v>
      </c>
      <c r="D271" s="71">
        <f>27463+7373</f>
        <v>34836</v>
      </c>
      <c r="E271" s="71">
        <v>93742</v>
      </c>
      <c r="F271" s="107">
        <v>4686.8</v>
      </c>
      <c r="G271" s="71">
        <v>3149.9</v>
      </c>
      <c r="H271" s="24"/>
      <c r="I271" s="24"/>
      <c r="J271" s="70">
        <f t="shared" si="101"/>
        <v>58906</v>
      </c>
      <c r="K271" s="71">
        <f t="shared" si="103"/>
        <v>1289.3333333333335</v>
      </c>
      <c r="L271" s="71">
        <v>781</v>
      </c>
      <c r="M271" s="71">
        <f t="shared" si="96"/>
        <v>182.66666666666666</v>
      </c>
      <c r="N271" s="74">
        <f t="shared" si="97"/>
        <v>1164021</v>
      </c>
      <c r="O271" s="75">
        <f t="shared" si="98"/>
        <v>724101</v>
      </c>
      <c r="P271" s="75">
        <f t="shared" si="99"/>
        <v>1923764</v>
      </c>
      <c r="Q271" s="76">
        <f t="shared" si="108"/>
        <v>14964231</v>
      </c>
      <c r="R271" s="76">
        <f t="shared" si="108"/>
        <v>7947590</v>
      </c>
      <c r="S271" s="76">
        <f t="shared" si="108"/>
        <v>23554007.34</v>
      </c>
      <c r="T271" s="80">
        <f>N271/'2015'!M271-1</f>
        <v>0.15761360867597851</v>
      </c>
      <c r="U271" s="80">
        <f>O271/'2015'!N271-1</f>
        <v>-0.2471225168386052</v>
      </c>
      <c r="V271" s="80">
        <f>P271/'2015'!O271-1</f>
        <v>-3.2075245759275117E-2</v>
      </c>
      <c r="W271" s="81">
        <f>Q271/'2015'!P271-1</f>
        <v>7.0635986164368392E-2</v>
      </c>
      <c r="X271" s="81">
        <f>R271/'2015'!Q271-1</f>
        <v>2.9114381191045036E-2</v>
      </c>
      <c r="Y271" s="81">
        <f>S271/'2015'!R271-1</f>
        <v>6.1698163912730974E-2</v>
      </c>
      <c r="Z271" s="97">
        <f>Z270+0.2125</f>
        <v>120.2925</v>
      </c>
      <c r="AA271" s="97">
        <f t="shared" si="104"/>
        <v>1376.1306</v>
      </c>
      <c r="AB271" s="106"/>
      <c r="AC271" s="105"/>
      <c r="AD271" s="70">
        <f t="shared" si="105"/>
        <v>15606417.34</v>
      </c>
      <c r="AE271" s="71">
        <f t="shared" si="107"/>
        <v>382353.66666666622</v>
      </c>
      <c r="AF271" s="71">
        <f t="shared" si="107"/>
        <v>204365</v>
      </c>
      <c r="AG271" s="71">
        <f t="shared" si="106"/>
        <v>55467.673333333631</v>
      </c>
    </row>
    <row r="272" spans="1:33" ht="15" customHeight="1" x14ac:dyDescent="0.15">
      <c r="A272" s="102">
        <v>42637</v>
      </c>
      <c r="B272" s="20" t="s">
        <v>39</v>
      </c>
      <c r="C272" s="8">
        <v>57607</v>
      </c>
      <c r="D272" s="37">
        <v>33827</v>
      </c>
      <c r="E272" s="37">
        <v>93602</v>
      </c>
      <c r="F272" s="55">
        <v>4661.3999999999996</v>
      </c>
      <c r="G272" s="37">
        <v>3175.5</v>
      </c>
      <c r="H272" s="24"/>
      <c r="I272" s="36"/>
      <c r="J272" s="8">
        <f t="shared" si="101"/>
        <v>59775</v>
      </c>
      <c r="K272" s="37">
        <f t="shared" si="103"/>
        <v>1201.3333333333333</v>
      </c>
      <c r="L272" s="37">
        <v>784</v>
      </c>
      <c r="M272" s="37">
        <f t="shared" si="96"/>
        <v>182.66666666666666</v>
      </c>
      <c r="N272" s="74">
        <f t="shared" si="97"/>
        <v>1221628</v>
      </c>
      <c r="O272" s="75">
        <f t="shared" si="98"/>
        <v>757928</v>
      </c>
      <c r="P272" s="75">
        <f t="shared" si="99"/>
        <v>2017366</v>
      </c>
      <c r="Q272" s="76">
        <f t="shared" si="108"/>
        <v>15021838</v>
      </c>
      <c r="R272" s="76">
        <f t="shared" si="108"/>
        <v>7981417</v>
      </c>
      <c r="S272" s="76">
        <f t="shared" si="108"/>
        <v>23647609.34</v>
      </c>
      <c r="T272" s="80">
        <f>N272/'2015'!M272-1</f>
        <v>0.16386868859128056</v>
      </c>
      <c r="U272" s="80">
        <f>O272/'2015'!N272-1</f>
        <v>-0.24460408710004067</v>
      </c>
      <c r="V272" s="80">
        <f>P272/'2015'!O272-1</f>
        <v>-2.7579062952952871E-2</v>
      </c>
      <c r="W272" s="81">
        <f>Q272/'2015'!P272-1</f>
        <v>7.1377765155483663E-2</v>
      </c>
      <c r="X272" s="81">
        <f>R272/'2015'!Q272-1</f>
        <v>2.7960719295351044E-2</v>
      </c>
      <c r="Y272" s="81">
        <f>S272/'2015'!R272-1</f>
        <v>6.1750386927036161E-2</v>
      </c>
      <c r="Z272" s="50">
        <f t="shared" ref="Z272:Z277" si="111">Z271+0.2125</f>
        <v>120.50500000000001</v>
      </c>
      <c r="AA272" s="97">
        <f t="shared" si="104"/>
        <v>1381.6787999999999</v>
      </c>
      <c r="AB272" s="105"/>
      <c r="AC272" s="105"/>
      <c r="AD272" s="8">
        <f t="shared" si="105"/>
        <v>15666192.34</v>
      </c>
      <c r="AE272" s="37">
        <f t="shared" si="107"/>
        <v>383554.99999999953</v>
      </c>
      <c r="AF272" s="37">
        <f t="shared" si="107"/>
        <v>205149</v>
      </c>
      <c r="AG272" s="37">
        <f t="shared" si="106"/>
        <v>55650.340000000317</v>
      </c>
    </row>
    <row r="273" spans="1:33" ht="15" customHeight="1" x14ac:dyDescent="0.15">
      <c r="A273" s="102">
        <v>42638</v>
      </c>
      <c r="B273" s="20" t="s">
        <v>1</v>
      </c>
      <c r="C273" s="8">
        <v>54217</v>
      </c>
      <c r="D273" s="37">
        <v>33923</v>
      </c>
      <c r="E273" s="37">
        <v>90559</v>
      </c>
      <c r="F273" s="55">
        <v>4489</v>
      </c>
      <c r="G273" s="37">
        <v>3162.8</v>
      </c>
      <c r="H273" s="24"/>
      <c r="I273" s="36"/>
      <c r="J273" s="8">
        <f t="shared" si="101"/>
        <v>56636</v>
      </c>
      <c r="K273" s="37">
        <f t="shared" si="103"/>
        <v>1455.3333333333335</v>
      </c>
      <c r="L273" s="37">
        <v>781</v>
      </c>
      <c r="M273" s="37">
        <f t="shared" si="96"/>
        <v>182.66666666666666</v>
      </c>
      <c r="N273" s="74">
        <f t="shared" si="97"/>
        <v>1275845</v>
      </c>
      <c r="O273" s="75">
        <f t="shared" si="98"/>
        <v>791851</v>
      </c>
      <c r="P273" s="75">
        <f t="shared" si="99"/>
        <v>2107925</v>
      </c>
      <c r="Q273" s="76">
        <f t="shared" si="108"/>
        <v>15076055</v>
      </c>
      <c r="R273" s="76">
        <f t="shared" si="108"/>
        <v>8015340</v>
      </c>
      <c r="S273" s="76">
        <f t="shared" si="108"/>
        <v>23738168.34</v>
      </c>
      <c r="T273" s="80">
        <f>N273/'2015'!M273-1</f>
        <v>0.16780975202995663</v>
      </c>
      <c r="U273" s="80">
        <f>O273/'2015'!N273-1</f>
        <v>-0.24222391711891378</v>
      </c>
      <c r="V273" s="80">
        <f>P273/'2015'!O273-1</f>
        <v>-2.4503962515184829E-2</v>
      </c>
      <c r="W273" s="81">
        <f>Q273/'2015'!P273-1</f>
        <v>7.1965938968272747E-2</v>
      </c>
      <c r="X273" s="81">
        <f>R273/'2015'!Q273-1</f>
        <v>2.682625120164972E-2</v>
      </c>
      <c r="Y273" s="81">
        <f>S273/'2015'!R273-1</f>
        <v>6.1702812893179582E-2</v>
      </c>
      <c r="Z273" s="50">
        <f t="shared" si="111"/>
        <v>120.71750000000002</v>
      </c>
      <c r="AA273" s="97">
        <f t="shared" si="104"/>
        <v>1386.8879999999999</v>
      </c>
      <c r="AB273" s="105"/>
      <c r="AC273" s="105"/>
      <c r="AD273" s="8">
        <f t="shared" si="105"/>
        <v>15722828.34</v>
      </c>
      <c r="AE273" s="37">
        <f t="shared" si="107"/>
        <v>385010.33333333285</v>
      </c>
      <c r="AF273" s="37">
        <f t="shared" si="107"/>
        <v>205930</v>
      </c>
      <c r="AG273" s="37">
        <f t="shared" si="106"/>
        <v>55833.006666667003</v>
      </c>
    </row>
    <row r="274" spans="1:33" ht="15" customHeight="1" x14ac:dyDescent="0.15">
      <c r="A274" s="102">
        <v>42639</v>
      </c>
      <c r="B274" s="20" t="s">
        <v>34</v>
      </c>
      <c r="C274" s="8">
        <v>58534</v>
      </c>
      <c r="D274" s="37">
        <f>26976+8118</f>
        <v>35094</v>
      </c>
      <c r="E274" s="37">
        <v>96227</v>
      </c>
      <c r="F274" s="55">
        <v>4823.2</v>
      </c>
      <c r="G274" s="37">
        <v>3105.3</v>
      </c>
      <c r="H274" s="24"/>
      <c r="I274" s="36"/>
      <c r="J274" s="8">
        <f t="shared" si="101"/>
        <v>61133</v>
      </c>
      <c r="K274" s="37">
        <f t="shared" si="103"/>
        <v>1633.3333333333335</v>
      </c>
      <c r="L274" s="37">
        <v>783</v>
      </c>
      <c r="M274" s="37">
        <f t="shared" si="96"/>
        <v>182.66666666666666</v>
      </c>
      <c r="N274" s="74">
        <f t="shared" si="97"/>
        <v>1334379</v>
      </c>
      <c r="O274" s="75">
        <f t="shared" si="98"/>
        <v>826945</v>
      </c>
      <c r="P274" s="75">
        <f t="shared" si="99"/>
        <v>2204152</v>
      </c>
      <c r="Q274" s="76">
        <f t="shared" si="108"/>
        <v>15134589</v>
      </c>
      <c r="R274" s="76">
        <f t="shared" si="108"/>
        <v>8050434</v>
      </c>
      <c r="S274" s="76">
        <f t="shared" si="108"/>
        <v>23834395.34</v>
      </c>
      <c r="T274" s="80">
        <f>N274/'2015'!M274-1</f>
        <v>0.1767103971724644</v>
      </c>
      <c r="U274" s="80">
        <f>O274/'2015'!N274-1</f>
        <v>-0.23704129477260105</v>
      </c>
      <c r="V274" s="80">
        <f>P274/'2015'!O274-1</f>
        <v>-1.7434432536190592E-2</v>
      </c>
      <c r="W274" s="81">
        <f>Q274/'2015'!P274-1</f>
        <v>7.2963347186409511E-2</v>
      </c>
      <c r="X274" s="81">
        <f>R274/'2015'!Q274-1</f>
        <v>2.6208199407635746E-2</v>
      </c>
      <c r="Y274" s="81">
        <f>S274/'2015'!R274-1</f>
        <v>6.2093013991196822E-2</v>
      </c>
      <c r="Z274" s="50">
        <f t="shared" si="111"/>
        <v>120.93000000000002</v>
      </c>
      <c r="AA274" s="97">
        <f t="shared" si="104"/>
        <v>1392.5289</v>
      </c>
      <c r="AB274" s="105"/>
      <c r="AC274" s="105"/>
      <c r="AD274" s="8">
        <f t="shared" si="105"/>
        <v>15783961.34</v>
      </c>
      <c r="AE274" s="37">
        <f t="shared" si="107"/>
        <v>386643.66666666616</v>
      </c>
      <c r="AF274" s="37">
        <f t="shared" si="107"/>
        <v>206713</v>
      </c>
      <c r="AG274" s="37">
        <f t="shared" si="106"/>
        <v>56015.673333333689</v>
      </c>
    </row>
    <row r="275" spans="1:33" ht="15" customHeight="1" x14ac:dyDescent="0.15">
      <c r="A275" s="102">
        <v>42640</v>
      </c>
      <c r="B275" s="20" t="s">
        <v>35</v>
      </c>
      <c r="C275" s="8">
        <v>58894</v>
      </c>
      <c r="D275" s="37">
        <f>28193+8618</f>
        <v>36811</v>
      </c>
      <c r="E275" s="37">
        <v>98688</v>
      </c>
      <c r="F275" s="55">
        <v>4970.8</v>
      </c>
      <c r="G275" s="37">
        <v>3233.9</v>
      </c>
      <c r="H275" s="24"/>
      <c r="I275" s="36"/>
      <c r="J275" s="8">
        <f t="shared" si="101"/>
        <v>61877</v>
      </c>
      <c r="K275" s="37">
        <f t="shared" si="103"/>
        <v>2022.3333333333335</v>
      </c>
      <c r="L275" s="37">
        <v>778</v>
      </c>
      <c r="M275" s="37">
        <f t="shared" si="96"/>
        <v>182.66666666666666</v>
      </c>
      <c r="N275" s="74">
        <f t="shared" si="97"/>
        <v>1393273</v>
      </c>
      <c r="O275" s="75">
        <f t="shared" si="98"/>
        <v>863756</v>
      </c>
      <c r="P275" s="75">
        <f t="shared" si="99"/>
        <v>2302840</v>
      </c>
      <c r="Q275" s="76">
        <f t="shared" si="108"/>
        <v>15193483</v>
      </c>
      <c r="R275" s="76">
        <f t="shared" si="108"/>
        <v>8087245</v>
      </c>
      <c r="S275" s="76">
        <f t="shared" si="108"/>
        <v>23933083.34</v>
      </c>
      <c r="T275" s="80">
        <f>N275/'2015'!M275-1</f>
        <v>0.19396041249976426</v>
      </c>
      <c r="U275" s="80">
        <f>O275/'2015'!N275-1</f>
        <v>-0.22442598942802316</v>
      </c>
      <c r="V275" s="80">
        <f>P275/'2015'!O275-1</f>
        <v>-2.3333936971510205E-3</v>
      </c>
      <c r="W275" s="81">
        <f>Q275/'2015'!P275-1</f>
        <v>7.4628842933201378E-2</v>
      </c>
      <c r="X275" s="81">
        <f>R275/'2015'!Q275-1</f>
        <v>2.6995042838631411E-2</v>
      </c>
      <c r="Y275" s="81">
        <f>S275/'2015'!R275-1</f>
        <v>6.3412230162252392E-2</v>
      </c>
      <c r="Z275" s="50">
        <f t="shared" si="111"/>
        <v>121.14250000000003</v>
      </c>
      <c r="AA275" s="97">
        <f t="shared" si="104"/>
        <v>1398.2058000000002</v>
      </c>
      <c r="AB275" s="105"/>
      <c r="AC275" s="105"/>
      <c r="AD275" s="8">
        <f t="shared" si="105"/>
        <v>15845838.34</v>
      </c>
      <c r="AE275" s="37">
        <f t="shared" si="107"/>
        <v>388665.99999999948</v>
      </c>
      <c r="AF275" s="37">
        <f t="shared" si="107"/>
        <v>207491</v>
      </c>
      <c r="AG275" s="37">
        <f t="shared" si="106"/>
        <v>56198.340000000375</v>
      </c>
    </row>
    <row r="276" spans="1:33" ht="15" customHeight="1" x14ac:dyDescent="0.15">
      <c r="A276" s="102">
        <v>42641</v>
      </c>
      <c r="B276" s="14" t="s">
        <v>36</v>
      </c>
      <c r="C276" s="32">
        <v>55693</v>
      </c>
      <c r="D276" s="33">
        <f>28861+8507</f>
        <v>37368</v>
      </c>
      <c r="E276" s="33">
        <v>96088</v>
      </c>
      <c r="F276" s="59">
        <v>4980.7</v>
      </c>
      <c r="G276" s="33">
        <v>3246.4</v>
      </c>
      <c r="H276" s="19"/>
      <c r="I276" s="19"/>
      <c r="J276" s="32">
        <f t="shared" si="101"/>
        <v>58720</v>
      </c>
      <c r="K276" s="33">
        <f t="shared" si="103"/>
        <v>2065.3333333333335</v>
      </c>
      <c r="L276" s="33">
        <v>779</v>
      </c>
      <c r="M276" s="33">
        <f t="shared" si="96"/>
        <v>182.66666666666666</v>
      </c>
      <c r="N276" s="77">
        <f t="shared" si="97"/>
        <v>1448966</v>
      </c>
      <c r="O276" s="78">
        <f t="shared" si="98"/>
        <v>901124</v>
      </c>
      <c r="P276" s="78">
        <f t="shared" si="99"/>
        <v>2398928</v>
      </c>
      <c r="Q276" s="77">
        <f t="shared" si="108"/>
        <v>15249176</v>
      </c>
      <c r="R276" s="77">
        <f t="shared" si="108"/>
        <v>8124613</v>
      </c>
      <c r="S276" s="77">
        <f t="shared" si="108"/>
        <v>24029171.34</v>
      </c>
      <c r="T276" s="82">
        <f>N276/'2015'!M276-1</f>
        <v>0.20203845285974054</v>
      </c>
      <c r="U276" s="82">
        <f>O276/'2015'!N276-1</f>
        <v>-0.21662235961561538</v>
      </c>
      <c r="V276" s="82">
        <f>P276/'2015'!O276-1</f>
        <v>5.6184697288856889E-3</v>
      </c>
      <c r="W276" s="82">
        <f>Q276/'2015'!P276-1</f>
        <v>7.5639683980440298E-2</v>
      </c>
      <c r="X276" s="82">
        <f>R276/'2015'!Q276-1</f>
        <v>2.6966323380238855E-2</v>
      </c>
      <c r="Y276" s="82">
        <f>S276/'2015'!R276-1</f>
        <v>6.4027168654476441E-2</v>
      </c>
      <c r="Z276" s="49">
        <f t="shared" si="111"/>
        <v>121.35500000000003</v>
      </c>
      <c r="AA276" s="49">
        <f t="shared" si="104"/>
        <v>1403.5626</v>
      </c>
      <c r="AB276" s="33">
        <v>4234.6000000000004</v>
      </c>
      <c r="AC276" s="33">
        <f t="shared" si="110"/>
        <v>3314.5104614367351</v>
      </c>
      <c r="AD276" s="32">
        <f t="shared" si="105"/>
        <v>15904558.34</v>
      </c>
      <c r="AE276" s="33">
        <f t="shared" si="107"/>
        <v>390731.33333333279</v>
      </c>
      <c r="AF276" s="33">
        <f t="shared" si="107"/>
        <v>208270</v>
      </c>
      <c r="AG276" s="33">
        <f t="shared" si="106"/>
        <v>56381.006666667061</v>
      </c>
    </row>
    <row r="277" spans="1:33" ht="15" customHeight="1" x14ac:dyDescent="0.15">
      <c r="A277" s="102">
        <v>42642</v>
      </c>
      <c r="B277" s="20" t="s">
        <v>37</v>
      </c>
      <c r="C277" s="8">
        <v>46127</v>
      </c>
      <c r="D277" s="37">
        <v>41035</v>
      </c>
      <c r="E277" s="37">
        <v>89482</v>
      </c>
      <c r="F277" s="55">
        <v>4658</v>
      </c>
      <c r="G277" s="37">
        <v>2983</v>
      </c>
      <c r="H277" s="24"/>
      <c r="I277" s="36"/>
      <c r="J277" s="8">
        <f t="shared" si="101"/>
        <v>48447</v>
      </c>
      <c r="K277" s="37">
        <f t="shared" si="103"/>
        <v>1357.3333333333335</v>
      </c>
      <c r="L277" s="37">
        <v>780</v>
      </c>
      <c r="M277" s="37">
        <f t="shared" si="96"/>
        <v>182.66666666666666</v>
      </c>
      <c r="N277" s="74">
        <f t="shared" si="97"/>
        <v>1495093</v>
      </c>
      <c r="O277" s="75">
        <f t="shared" si="98"/>
        <v>942159</v>
      </c>
      <c r="P277" s="75">
        <f t="shared" si="99"/>
        <v>2488410</v>
      </c>
      <c r="Q277" s="76">
        <f t="shared" si="108"/>
        <v>15295303</v>
      </c>
      <c r="R277" s="76">
        <f t="shared" si="108"/>
        <v>8165648</v>
      </c>
      <c r="S277" s="76">
        <f t="shared" si="108"/>
        <v>24118653.34</v>
      </c>
      <c r="T277" s="80">
        <f>N277/'2015'!M277-1</f>
        <v>0.20030427225542824</v>
      </c>
      <c r="U277" s="80">
        <f>O277/'2015'!N277-1</f>
        <v>-0.20805945108112744</v>
      </c>
      <c r="V277" s="80">
        <f>P277/'2015'!O277-1</f>
        <v>9.2541631972511418E-3</v>
      </c>
      <c r="W277" s="81">
        <f>Q277/'2015'!P277-1</f>
        <v>7.5844894304465393E-2</v>
      </c>
      <c r="X277" s="81">
        <f>R277/'2015'!Q277-1</f>
        <v>2.7041175108510007E-2</v>
      </c>
      <c r="Y277" s="81">
        <f>S277/'2015'!R277-1</f>
        <v>6.4216349967407549E-2</v>
      </c>
      <c r="Z277" s="50">
        <f t="shared" si="111"/>
        <v>121.56750000000004</v>
      </c>
      <c r="AA277" s="97">
        <f t="shared" si="104"/>
        <v>1407.9627999999998</v>
      </c>
      <c r="AB277" s="105"/>
      <c r="AC277" s="105"/>
      <c r="AD277" s="8">
        <f t="shared" si="105"/>
        <v>15953005.34</v>
      </c>
      <c r="AE277" s="37">
        <f t="shared" si="107"/>
        <v>392088.6666666661</v>
      </c>
      <c r="AF277" s="37">
        <f t="shared" si="107"/>
        <v>209050</v>
      </c>
      <c r="AG277" s="37">
        <f t="shared" si="106"/>
        <v>56563.673333333747</v>
      </c>
    </row>
    <row r="278" spans="1:33" s="1" customFormat="1" ht="15" customHeight="1" x14ac:dyDescent="0.15">
      <c r="A278" s="25">
        <v>42643</v>
      </c>
      <c r="B278" s="25" t="s">
        <v>38</v>
      </c>
      <c r="C278" s="42">
        <v>46953</v>
      </c>
      <c r="D278" s="43">
        <v>36548</v>
      </c>
      <c r="E278" s="43">
        <v>87390</v>
      </c>
      <c r="F278" s="57">
        <v>4528</v>
      </c>
      <c r="G278" s="43">
        <v>2918</v>
      </c>
      <c r="H278" s="30"/>
      <c r="I278" s="30"/>
      <c r="J278" s="42">
        <f t="shared" si="101"/>
        <v>50842</v>
      </c>
      <c r="K278" s="43">
        <f t="shared" si="103"/>
        <v>2923.3333333333335</v>
      </c>
      <c r="L278" s="43">
        <v>783</v>
      </c>
      <c r="M278" s="43">
        <f t="shared" si="96"/>
        <v>182.66666666666666</v>
      </c>
      <c r="N278" s="87">
        <f t="shared" si="97"/>
        <v>1542046</v>
      </c>
      <c r="O278" s="88">
        <f t="shared" si="98"/>
        <v>978707</v>
      </c>
      <c r="P278" s="88">
        <f t="shared" si="99"/>
        <v>2575800</v>
      </c>
      <c r="Q278" s="87">
        <f t="shared" si="108"/>
        <v>15342256</v>
      </c>
      <c r="R278" s="87">
        <f t="shared" si="108"/>
        <v>8202196</v>
      </c>
      <c r="S278" s="87">
        <f t="shared" si="108"/>
        <v>24206043.34</v>
      </c>
      <c r="T278" s="89">
        <f>N278/'2015'!M278-1</f>
        <v>0.20000404658553772</v>
      </c>
      <c r="U278" s="89">
        <f>O278/'2015'!N278-1</f>
        <v>-0.20104898815500538</v>
      </c>
      <c r="V278" s="89">
        <f>P278/'2015'!O278-1</f>
        <v>1.3094555885195147E-2</v>
      </c>
      <c r="W278" s="89">
        <f>Q278/'2015'!P278-1</f>
        <v>7.6162136811860792E-2</v>
      </c>
      <c r="X278" s="89">
        <f>R278/'2015'!Q278-1</f>
        <v>2.7077148780753735E-2</v>
      </c>
      <c r="Y278" s="89">
        <f>S278/'2015'!R278-1</f>
        <v>6.4459833335773986E-2</v>
      </c>
      <c r="Z278" s="52">
        <v>121.7778</v>
      </c>
      <c r="AA278" s="52">
        <f t="shared" si="104"/>
        <v>1412.4477999999999</v>
      </c>
      <c r="AB278" s="98">
        <v>4235.1000000000004</v>
      </c>
      <c r="AC278" s="43">
        <f t="shared" si="110"/>
        <v>3335.099053151047</v>
      </c>
      <c r="AD278" s="42">
        <f t="shared" si="105"/>
        <v>16003847.34</v>
      </c>
      <c r="AE278" s="43">
        <v>395013</v>
      </c>
      <c r="AF278" s="43">
        <v>209832</v>
      </c>
      <c r="AG278" s="43">
        <f t="shared" si="106"/>
        <v>56746.339999999851</v>
      </c>
    </row>
    <row r="279" spans="1:33" ht="15" customHeight="1" x14ac:dyDescent="0.15">
      <c r="A279" s="13">
        <v>42644</v>
      </c>
      <c r="B279" s="20" t="s">
        <v>39</v>
      </c>
      <c r="C279" s="8">
        <v>39008</v>
      </c>
      <c r="D279" s="37">
        <v>20736</v>
      </c>
      <c r="E279" s="37">
        <v>63489</v>
      </c>
      <c r="F279" s="55">
        <v>3108</v>
      </c>
      <c r="G279" s="37">
        <v>2401</v>
      </c>
      <c r="H279" s="24"/>
      <c r="I279" s="36"/>
      <c r="J279" s="8">
        <f t="shared" si="101"/>
        <v>42753</v>
      </c>
      <c r="K279" s="37">
        <v>2952</v>
      </c>
      <c r="L279" s="37">
        <v>567</v>
      </c>
      <c r="M279" s="37">
        <f>J279-K279-L279-C279</f>
        <v>226</v>
      </c>
      <c r="N279" s="74">
        <f>C279</f>
        <v>39008</v>
      </c>
      <c r="O279" s="75">
        <f>D279</f>
        <v>20736</v>
      </c>
      <c r="P279" s="75">
        <f>E279</f>
        <v>63489</v>
      </c>
      <c r="Q279" s="76">
        <f>Q$278+N279</f>
        <v>15381264</v>
      </c>
      <c r="R279" s="76">
        <f>R$278+O279</f>
        <v>8222932</v>
      </c>
      <c r="S279" s="76">
        <f>S$278+P279</f>
        <v>24269532.34</v>
      </c>
      <c r="T279" s="80">
        <f>N279/'2015'!M279-1</f>
        <v>0.63083740959070189</v>
      </c>
      <c r="U279" s="80">
        <f>O279/'2015'!N279-1</f>
        <v>-0.16387096774193544</v>
      </c>
      <c r="V279" s="80">
        <f>P279/'2015'!O279-1</f>
        <v>0.25266854763924784</v>
      </c>
      <c r="W279" s="81">
        <f>Q279/'2015'!P279-1</f>
        <v>7.7091193626384946E-2</v>
      </c>
      <c r="X279" s="81">
        <f>R279/'2015'!Q279-1</f>
        <v>2.6486004634517224E-2</v>
      </c>
      <c r="Y279" s="81">
        <f>S279/'2015'!R279-1</f>
        <v>6.4878376874695887E-2</v>
      </c>
      <c r="Z279" s="50">
        <f>Z278+0.147</f>
        <v>121.9248</v>
      </c>
      <c r="AA279" s="97">
        <f t="shared" si="104"/>
        <v>1416.2016000000001</v>
      </c>
      <c r="AB279" s="105"/>
      <c r="AC279" s="105"/>
      <c r="AD279" s="8">
        <f t="shared" si="105"/>
        <v>16046600.34</v>
      </c>
      <c r="AE279" s="37">
        <f t="shared" si="107"/>
        <v>397965</v>
      </c>
      <c r="AF279" s="37">
        <f t="shared" si="107"/>
        <v>210399</v>
      </c>
      <c r="AG279" s="37">
        <f t="shared" si="106"/>
        <v>56972.339999999851</v>
      </c>
    </row>
    <row r="280" spans="1:33" ht="15" customHeight="1" x14ac:dyDescent="0.15">
      <c r="A280" s="13">
        <v>42645</v>
      </c>
      <c r="B280" s="20" t="s">
        <v>1</v>
      </c>
      <c r="C280" s="8">
        <v>41014</v>
      </c>
      <c r="D280" s="37">
        <v>22501</v>
      </c>
      <c r="E280" s="37">
        <v>67457</v>
      </c>
      <c r="F280" s="55">
        <v>3241</v>
      </c>
      <c r="G280" s="37">
        <v>2125</v>
      </c>
      <c r="H280" s="24"/>
      <c r="I280" s="36"/>
      <c r="J280" s="8">
        <f t="shared" si="101"/>
        <v>44956</v>
      </c>
      <c r="K280" s="37">
        <v>3193</v>
      </c>
      <c r="L280" s="37">
        <v>544</v>
      </c>
      <c r="M280" s="37">
        <f t="shared" ref="M280:M345" si="112">J280-K280-L280-C280</f>
        <v>205</v>
      </c>
      <c r="N280" s="74">
        <f t="shared" ref="N280:N309" si="113">C280+N279</f>
        <v>80022</v>
      </c>
      <c r="O280" s="75">
        <f t="shared" ref="O280:O309" si="114">D280+O279</f>
        <v>43237</v>
      </c>
      <c r="P280" s="75">
        <f t="shared" ref="P280:P309" si="115">E280+P279</f>
        <v>130946</v>
      </c>
      <c r="Q280" s="76">
        <f t="shared" ref="Q280:S309" si="116">Q$278+N280</f>
        <v>15422278</v>
      </c>
      <c r="R280" s="76">
        <f t="shared" si="116"/>
        <v>8245433</v>
      </c>
      <c r="S280" s="76">
        <f t="shared" si="116"/>
        <v>24336989.34</v>
      </c>
      <c r="T280" s="80">
        <f>N280/'2015'!M280-1</f>
        <v>0.7055350710799464</v>
      </c>
      <c r="U280" s="80">
        <f>O280/'2015'!N280-1</f>
        <v>-0.11940936863543783</v>
      </c>
      <c r="V280" s="80">
        <f>P280/'2015'!O280-1</f>
        <v>0.31060022219330818</v>
      </c>
      <c r="W280" s="81">
        <f>Q280/'2015'!P280-1</f>
        <v>7.8226653251649125E-2</v>
      </c>
      <c r="X280" s="81">
        <f>R280/'2015'!Q280-1</f>
        <v>2.6182010611247586E-2</v>
      </c>
      <c r="Y280" s="81">
        <f>S280/'2015'!R280-1</f>
        <v>6.5536562276407695E-2</v>
      </c>
      <c r="Z280" s="50">
        <f t="shared" ref="Z280:Z297" si="117">Z279+0.147</f>
        <v>122.07180000000001</v>
      </c>
      <c r="AA280" s="97">
        <f t="shared" si="104"/>
        <v>1420.1559999999999</v>
      </c>
      <c r="AB280" s="105"/>
      <c r="AC280" s="105"/>
      <c r="AD280" s="8">
        <f t="shared" si="105"/>
        <v>16091556.34</v>
      </c>
      <c r="AE280" s="37">
        <f t="shared" si="107"/>
        <v>401158</v>
      </c>
      <c r="AF280" s="37">
        <f t="shared" si="107"/>
        <v>210943</v>
      </c>
      <c r="AG280" s="37">
        <f t="shared" si="106"/>
        <v>57177.339999999851</v>
      </c>
    </row>
    <row r="281" spans="1:33" ht="15" customHeight="1" x14ac:dyDescent="0.15">
      <c r="A281" s="13">
        <v>42646</v>
      </c>
      <c r="B281" s="20" t="s">
        <v>34</v>
      </c>
      <c r="C281" s="8">
        <v>44853</v>
      </c>
      <c r="D281" s="37">
        <v>26859</v>
      </c>
      <c r="E281" s="37">
        <v>75644</v>
      </c>
      <c r="F281" s="55">
        <v>3744</v>
      </c>
      <c r="G281" s="37">
        <v>2473</v>
      </c>
      <c r="H281" s="24"/>
      <c r="I281" s="36"/>
      <c r="J281" s="8">
        <f t="shared" si="101"/>
        <v>48785</v>
      </c>
      <c r="K281" s="37">
        <v>2955</v>
      </c>
      <c r="L281" s="37">
        <v>777</v>
      </c>
      <c r="M281" s="37">
        <f t="shared" si="112"/>
        <v>200</v>
      </c>
      <c r="N281" s="74">
        <f t="shared" si="113"/>
        <v>124875</v>
      </c>
      <c r="O281" s="75">
        <f t="shared" si="114"/>
        <v>70096</v>
      </c>
      <c r="P281" s="75">
        <f t="shared" si="115"/>
        <v>206590</v>
      </c>
      <c r="Q281" s="76">
        <f t="shared" si="116"/>
        <v>15467131</v>
      </c>
      <c r="R281" s="76">
        <f t="shared" si="116"/>
        <v>8272292</v>
      </c>
      <c r="S281" s="76">
        <f t="shared" si="116"/>
        <v>24412633.34</v>
      </c>
      <c r="T281" s="80">
        <f>N281/'2015'!M281-1</f>
        <v>0.6026258037192469</v>
      </c>
      <c r="U281" s="80">
        <f>O281/'2015'!N281-1</f>
        <v>-6.733903694931942E-2</v>
      </c>
      <c r="V281" s="80">
        <f>P281/'2015'!O281-1</f>
        <v>0.29742324044940993</v>
      </c>
      <c r="W281" s="81">
        <f>Q281/'2015'!P281-1</f>
        <v>7.9023895917875064E-2</v>
      </c>
      <c r="X281" s="81">
        <f>R281/'2015'!Q281-1</f>
        <v>2.6196869019128322E-2</v>
      </c>
      <c r="Y281" s="81">
        <f>S281/'2015'!R281-1</f>
        <v>6.6079741499400546E-2</v>
      </c>
      <c r="Z281" s="50">
        <f t="shared" si="117"/>
        <v>122.21880000000002</v>
      </c>
      <c r="AA281" s="97">
        <f t="shared" si="104"/>
        <v>1424.4942999999998</v>
      </c>
      <c r="AB281" s="105"/>
      <c r="AC281" s="105"/>
      <c r="AD281" s="8">
        <f t="shared" si="105"/>
        <v>16140341.34</v>
      </c>
      <c r="AE281" s="37">
        <f t="shared" si="107"/>
        <v>404113</v>
      </c>
      <c r="AF281" s="37">
        <f t="shared" si="107"/>
        <v>211720</v>
      </c>
      <c r="AG281" s="37">
        <f t="shared" si="106"/>
        <v>57377.339999999851</v>
      </c>
    </row>
    <row r="282" spans="1:33" ht="15" customHeight="1" x14ac:dyDescent="0.15">
      <c r="A282" s="13">
        <v>42647</v>
      </c>
      <c r="B282" s="20" t="s">
        <v>35</v>
      </c>
      <c r="C282" s="8">
        <v>51509</v>
      </c>
      <c r="D282" s="37">
        <v>27198</v>
      </c>
      <c r="E282" s="37">
        <v>82479</v>
      </c>
      <c r="F282" s="55">
        <v>4146</v>
      </c>
      <c r="G282" s="37">
        <v>2660</v>
      </c>
      <c r="H282" s="24"/>
      <c r="I282" s="36"/>
      <c r="J282" s="8">
        <f t="shared" si="101"/>
        <v>55281</v>
      </c>
      <c r="K282" s="37">
        <v>2797</v>
      </c>
      <c r="L282" s="37">
        <v>779</v>
      </c>
      <c r="M282" s="37">
        <f t="shared" si="112"/>
        <v>196</v>
      </c>
      <c r="N282" s="74">
        <f t="shared" si="113"/>
        <v>176384</v>
      </c>
      <c r="O282" s="75">
        <f t="shared" si="114"/>
        <v>97294</v>
      </c>
      <c r="P282" s="75">
        <f t="shared" si="115"/>
        <v>289069</v>
      </c>
      <c r="Q282" s="76">
        <f t="shared" si="116"/>
        <v>15518640</v>
      </c>
      <c r="R282" s="76">
        <f t="shared" si="116"/>
        <v>8299490</v>
      </c>
      <c r="S282" s="76">
        <f t="shared" si="116"/>
        <v>24495112.34</v>
      </c>
      <c r="T282" s="80">
        <f>N282/'2015'!M282-1</f>
        <v>0.52820592796679922</v>
      </c>
      <c r="U282" s="80">
        <f>O282/'2015'!N282-1</f>
        <v>-7.1161263222209503E-2</v>
      </c>
      <c r="V282" s="80">
        <f>P282/'2015'!O282-1</f>
        <v>0.26669091355254859</v>
      </c>
      <c r="W282" s="81">
        <f>Q282/'2015'!P282-1</f>
        <v>7.9792452939154046E-2</v>
      </c>
      <c r="X282" s="81">
        <f>R282/'2015'!Q282-1</f>
        <v>2.5805285001669231E-2</v>
      </c>
      <c r="Y282" s="81">
        <f>S282/'2015'!R282-1</f>
        <v>6.6469146485951258E-2</v>
      </c>
      <c r="Z282" s="50">
        <f t="shared" si="117"/>
        <v>122.36580000000002</v>
      </c>
      <c r="AA282" s="97">
        <f t="shared" si="104"/>
        <v>1429.4982</v>
      </c>
      <c r="AB282" s="105"/>
      <c r="AC282" s="105"/>
      <c r="AD282" s="8">
        <f t="shared" si="105"/>
        <v>16195622.34</v>
      </c>
      <c r="AE282" s="37">
        <f t="shared" si="107"/>
        <v>406910</v>
      </c>
      <c r="AF282" s="37">
        <f t="shared" si="107"/>
        <v>212499</v>
      </c>
      <c r="AG282" s="37">
        <f t="shared" si="106"/>
        <v>57573.339999999851</v>
      </c>
    </row>
    <row r="283" spans="1:33" ht="15" customHeight="1" x14ac:dyDescent="0.15">
      <c r="A283" s="13">
        <v>42648</v>
      </c>
      <c r="B283" s="14" t="s">
        <v>36</v>
      </c>
      <c r="C283" s="32">
        <v>53551</v>
      </c>
      <c r="D283" s="33">
        <v>30172</v>
      </c>
      <c r="E283" s="33">
        <v>87495</v>
      </c>
      <c r="F283" s="59">
        <v>4348</v>
      </c>
      <c r="G283" s="33">
        <v>2899</v>
      </c>
      <c r="H283" s="19"/>
      <c r="I283" s="19"/>
      <c r="J283" s="32">
        <f t="shared" si="101"/>
        <v>57323</v>
      </c>
      <c r="K283" s="33">
        <v>2773</v>
      </c>
      <c r="L283" s="33">
        <v>778</v>
      </c>
      <c r="M283" s="33">
        <f t="shared" si="112"/>
        <v>221</v>
      </c>
      <c r="N283" s="77">
        <f t="shared" si="113"/>
        <v>229935</v>
      </c>
      <c r="O283" s="78">
        <f t="shared" si="114"/>
        <v>127466</v>
      </c>
      <c r="P283" s="78">
        <f t="shared" si="115"/>
        <v>376564</v>
      </c>
      <c r="Q283" s="77">
        <f t="shared" si="116"/>
        <v>15572191</v>
      </c>
      <c r="R283" s="77">
        <f t="shared" si="116"/>
        <v>8329662</v>
      </c>
      <c r="S283" s="77">
        <f t="shared" si="116"/>
        <v>24582607.34</v>
      </c>
      <c r="T283" s="82">
        <f>N283/'2015'!M283-1</f>
        <v>0.47187602020240815</v>
      </c>
      <c r="U283" s="82">
        <f>O283/'2015'!N283-1</f>
        <v>-6.9326304568453789E-2</v>
      </c>
      <c r="V283" s="82">
        <f>P283/'2015'!O283-1</f>
        <v>0.24170769266280434</v>
      </c>
      <c r="W283" s="82">
        <f>Q283/'2015'!P283-1</f>
        <v>8.0451280619493692E-2</v>
      </c>
      <c r="X283" s="82">
        <f>R283/'2015'!Q283-1</f>
        <v>2.5451684862094037E-2</v>
      </c>
      <c r="Y283" s="82">
        <f>S283/'2015'!R283-1</f>
        <v>6.6792498666433886E-2</v>
      </c>
      <c r="Z283" s="49">
        <f t="shared" si="117"/>
        <v>122.51280000000003</v>
      </c>
      <c r="AA283" s="49">
        <f t="shared" si="104"/>
        <v>1434.7063000000001</v>
      </c>
      <c r="AB283" s="33">
        <v>4235.1000000000004</v>
      </c>
      <c r="AC283" s="33">
        <f t="shared" si="110"/>
        <v>3387.6562536894048</v>
      </c>
      <c r="AD283" s="32">
        <f t="shared" si="105"/>
        <v>16252945.34</v>
      </c>
      <c r="AE283" s="33">
        <f t="shared" si="107"/>
        <v>409683</v>
      </c>
      <c r="AF283" s="33">
        <f t="shared" si="107"/>
        <v>213277</v>
      </c>
      <c r="AG283" s="33">
        <f t="shared" si="106"/>
        <v>57794.339999999851</v>
      </c>
    </row>
    <row r="284" spans="1:33" ht="15" customHeight="1" x14ac:dyDescent="0.15">
      <c r="A284" s="13">
        <v>42649</v>
      </c>
      <c r="B284" s="20" t="s">
        <v>37</v>
      </c>
      <c r="C284" s="8">
        <v>53934</v>
      </c>
      <c r="D284" s="37">
        <v>30817</v>
      </c>
      <c r="E284" s="37">
        <v>88276</v>
      </c>
      <c r="F284" s="55">
        <v>4458</v>
      </c>
      <c r="G284" s="37">
        <v>3008</v>
      </c>
      <c r="H284" s="24"/>
      <c r="I284" s="36"/>
      <c r="J284" s="8">
        <f t="shared" si="101"/>
        <v>57459</v>
      </c>
      <c r="K284" s="37">
        <v>2575</v>
      </c>
      <c r="L284" s="37">
        <v>777</v>
      </c>
      <c r="M284" s="37">
        <f t="shared" si="112"/>
        <v>173</v>
      </c>
      <c r="N284" s="74">
        <f t="shared" si="113"/>
        <v>283869</v>
      </c>
      <c r="O284" s="75">
        <f t="shared" si="114"/>
        <v>158283</v>
      </c>
      <c r="P284" s="75">
        <f t="shared" si="115"/>
        <v>464840</v>
      </c>
      <c r="Q284" s="76">
        <f t="shared" si="116"/>
        <v>15626125</v>
      </c>
      <c r="R284" s="76">
        <f t="shared" si="116"/>
        <v>8360479</v>
      </c>
      <c r="S284" s="76">
        <f t="shared" si="116"/>
        <v>24670883.34</v>
      </c>
      <c r="T284" s="80">
        <f>N284/'2015'!M284-1</f>
        <v>0.42134198548961299</v>
      </c>
      <c r="U284" s="80">
        <f>O284/'2015'!N284-1</f>
        <v>-6.4360912922427627E-2</v>
      </c>
      <c r="V284" s="80">
        <f>P284/'2015'!O284-1</f>
        <v>0.21845027929153527</v>
      </c>
      <c r="W284" s="81">
        <f>Q284/'2015'!P284-1</f>
        <v>8.0930962848881238E-2</v>
      </c>
      <c r="X284" s="81">
        <f>R284/'2015'!Q284-1</f>
        <v>2.5180346603916881E-2</v>
      </c>
      <c r="Y284" s="81">
        <f>S284/'2015'!R284-1</f>
        <v>6.7000627202637331E-2</v>
      </c>
      <c r="Z284" s="50">
        <f t="shared" si="117"/>
        <v>122.65980000000003</v>
      </c>
      <c r="AA284" s="97">
        <f t="shared" si="104"/>
        <v>1439.9526999999998</v>
      </c>
      <c r="AB284" s="105"/>
      <c r="AC284" s="105"/>
      <c r="AD284" s="8">
        <f t="shared" si="105"/>
        <v>16310404.34</v>
      </c>
      <c r="AE284" s="37">
        <f t="shared" si="107"/>
        <v>412258</v>
      </c>
      <c r="AF284" s="37">
        <f t="shared" si="107"/>
        <v>214054</v>
      </c>
      <c r="AG284" s="37">
        <f t="shared" si="106"/>
        <v>57967.339999999851</v>
      </c>
    </row>
    <row r="285" spans="1:33" ht="15" customHeight="1" x14ac:dyDescent="0.15">
      <c r="A285" s="13">
        <v>42650</v>
      </c>
      <c r="B285" s="20" t="s">
        <v>38</v>
      </c>
      <c r="C285" s="70">
        <v>53854</v>
      </c>
      <c r="D285" s="71">
        <f>22635+8573</f>
        <v>31208</v>
      </c>
      <c r="E285" s="71">
        <v>88268</v>
      </c>
      <c r="F285" s="107">
        <v>4463.8</v>
      </c>
      <c r="G285" s="71">
        <v>2972.6</v>
      </c>
      <c r="H285" s="24"/>
      <c r="I285" s="24"/>
      <c r="J285" s="70">
        <f t="shared" si="101"/>
        <v>57060</v>
      </c>
      <c r="K285" s="71">
        <v>2254</v>
      </c>
      <c r="L285" s="71">
        <v>782</v>
      </c>
      <c r="M285" s="71">
        <f t="shared" si="112"/>
        <v>170</v>
      </c>
      <c r="N285" s="74">
        <f t="shared" si="113"/>
        <v>337723</v>
      </c>
      <c r="O285" s="75">
        <f t="shared" si="114"/>
        <v>189491</v>
      </c>
      <c r="P285" s="75">
        <f t="shared" si="115"/>
        <v>553108</v>
      </c>
      <c r="Q285" s="76">
        <f t="shared" si="116"/>
        <v>15679979</v>
      </c>
      <c r="R285" s="76">
        <f t="shared" si="116"/>
        <v>8391687</v>
      </c>
      <c r="S285" s="76">
        <f t="shared" si="116"/>
        <v>24759151.34</v>
      </c>
      <c r="T285" s="80">
        <f>N285/'2015'!M285-1</f>
        <v>0.38741429387188342</v>
      </c>
      <c r="U285" s="80">
        <f>O285/'2015'!N285-1</f>
        <v>-6.2255345893275083E-2</v>
      </c>
      <c r="V285" s="80">
        <f>P285/'2015'!O285-1</f>
        <v>0.20105098584209147</v>
      </c>
      <c r="W285" s="81">
        <f>Q285/'2015'!P285-1</f>
        <v>8.1387333530438477E-2</v>
      </c>
      <c r="X285" s="81">
        <f>R285/'2015'!Q285-1</f>
        <v>2.4872527335635164E-2</v>
      </c>
      <c r="Y285" s="81">
        <f>S285/'2015'!R285-1</f>
        <v>6.7171082051588726E-2</v>
      </c>
      <c r="Z285" s="97">
        <f t="shared" si="117"/>
        <v>122.80680000000004</v>
      </c>
      <c r="AA285" s="97">
        <f t="shared" si="104"/>
        <v>1445.1911</v>
      </c>
      <c r="AB285" s="106"/>
      <c r="AC285" s="105"/>
      <c r="AD285" s="70">
        <f t="shared" si="105"/>
        <v>16367464.34</v>
      </c>
      <c r="AE285" s="71">
        <f t="shared" si="107"/>
        <v>414512</v>
      </c>
      <c r="AF285" s="71">
        <f t="shared" si="107"/>
        <v>214836</v>
      </c>
      <c r="AG285" s="71">
        <f t="shared" si="106"/>
        <v>58137.339999999851</v>
      </c>
    </row>
    <row r="286" spans="1:33" ht="15" customHeight="1" x14ac:dyDescent="0.15">
      <c r="A286" s="102">
        <v>42651</v>
      </c>
      <c r="B286" s="20" t="s">
        <v>39</v>
      </c>
      <c r="C286" s="8">
        <v>51184</v>
      </c>
      <c r="D286" s="37">
        <f>23046+8598</f>
        <v>31644</v>
      </c>
      <c r="E286" s="37">
        <v>85744</v>
      </c>
      <c r="F286" s="55">
        <v>4425.3999999999996</v>
      </c>
      <c r="G286" s="37">
        <v>2936.2</v>
      </c>
      <c r="H286" s="24"/>
      <c r="I286" s="36"/>
      <c r="J286" s="8">
        <f t="shared" si="101"/>
        <v>54100</v>
      </c>
      <c r="K286" s="37">
        <v>1976</v>
      </c>
      <c r="L286" s="37">
        <v>784</v>
      </c>
      <c r="M286" s="37">
        <f t="shared" si="112"/>
        <v>156</v>
      </c>
      <c r="N286" s="74">
        <f t="shared" si="113"/>
        <v>388907</v>
      </c>
      <c r="O286" s="75">
        <f t="shared" si="114"/>
        <v>221135</v>
      </c>
      <c r="P286" s="75">
        <f t="shared" si="115"/>
        <v>638852</v>
      </c>
      <c r="Q286" s="76">
        <f t="shared" si="116"/>
        <v>15731163</v>
      </c>
      <c r="R286" s="76">
        <f t="shared" si="116"/>
        <v>8423331</v>
      </c>
      <c r="S286" s="76">
        <f t="shared" si="116"/>
        <v>24844895.34</v>
      </c>
      <c r="T286" s="80">
        <f>N286/'2015'!M286-1</f>
        <v>0.35744153577661431</v>
      </c>
      <c r="U286" s="80">
        <f>O286/'2015'!N286-1</f>
        <v>-6.4810115875835184E-2</v>
      </c>
      <c r="V286" s="80">
        <f>P286/'2015'!O286-1</f>
        <v>0.18439279781680118</v>
      </c>
      <c r="W286" s="81">
        <f>Q286/'2015'!P286-1</f>
        <v>8.170341458826047E-2</v>
      </c>
      <c r="X286" s="81">
        <f>R286/'2015'!Q286-1</f>
        <v>2.4434658462430647E-2</v>
      </c>
      <c r="Y286" s="81">
        <f>S286/'2015'!R286-1</f>
        <v>6.7238698422932952E-2</v>
      </c>
      <c r="Z286" s="50">
        <f t="shared" si="117"/>
        <v>122.95380000000004</v>
      </c>
      <c r="AA286" s="97">
        <f t="shared" si="104"/>
        <v>1450.1624999999999</v>
      </c>
      <c r="AB286" s="105"/>
      <c r="AC286" s="105"/>
      <c r="AD286" s="8">
        <f t="shared" si="105"/>
        <v>16421564.34</v>
      </c>
      <c r="AE286" s="37">
        <f t="shared" si="107"/>
        <v>416488</v>
      </c>
      <c r="AF286" s="37">
        <f t="shared" si="107"/>
        <v>215620</v>
      </c>
      <c r="AG286" s="37">
        <f t="shared" si="106"/>
        <v>58293.339999999851</v>
      </c>
    </row>
    <row r="287" spans="1:33" ht="15" customHeight="1" x14ac:dyDescent="0.15">
      <c r="A287" s="102">
        <v>42652</v>
      </c>
      <c r="B287" s="20" t="s">
        <v>1</v>
      </c>
      <c r="C287" s="8">
        <v>45775</v>
      </c>
      <c r="D287" s="37">
        <f>24620+8559</f>
        <v>33179</v>
      </c>
      <c r="E287" s="37">
        <v>81510</v>
      </c>
      <c r="F287" s="55">
        <v>4082.4</v>
      </c>
      <c r="G287" s="37">
        <v>2781</v>
      </c>
      <c r="H287" s="24"/>
      <c r="I287" s="36"/>
      <c r="J287" s="8">
        <f t="shared" si="101"/>
        <v>48331</v>
      </c>
      <c r="K287" s="37">
        <v>1531</v>
      </c>
      <c r="L287" s="37">
        <v>786</v>
      </c>
      <c r="M287" s="37">
        <f t="shared" si="112"/>
        <v>239</v>
      </c>
      <c r="N287" s="74">
        <f t="shared" si="113"/>
        <v>434682</v>
      </c>
      <c r="O287" s="75">
        <f t="shared" si="114"/>
        <v>254314</v>
      </c>
      <c r="P287" s="75">
        <f t="shared" si="115"/>
        <v>720362</v>
      </c>
      <c r="Q287" s="76">
        <f t="shared" si="116"/>
        <v>15776938</v>
      </c>
      <c r="R287" s="76">
        <f t="shared" si="116"/>
        <v>8456510</v>
      </c>
      <c r="S287" s="76">
        <f t="shared" si="116"/>
        <v>24926405.34</v>
      </c>
      <c r="T287" s="80">
        <f>N287/'2015'!M287-1</f>
        <v>0.32122188449848021</v>
      </c>
      <c r="U287" s="80">
        <f>O287/'2015'!N287-1</f>
        <v>-6.3162160170927573E-2</v>
      </c>
      <c r="V287" s="80">
        <f>P287/'2015'!O287-1</f>
        <v>0.1648954061501442</v>
      </c>
      <c r="W287" s="81">
        <f>Q287/'2015'!P287-1</f>
        <v>8.1689880890920552E-2</v>
      </c>
      <c r="X287" s="81">
        <f>R287/'2015'!Q287-1</f>
        <v>2.4110560454786212E-2</v>
      </c>
      <c r="Y287" s="81">
        <f>S287/'2015'!R287-1</f>
        <v>6.7118748743771217E-2</v>
      </c>
      <c r="Z287" s="50">
        <f t="shared" si="117"/>
        <v>123.10080000000005</v>
      </c>
      <c r="AA287" s="97">
        <f t="shared" si="104"/>
        <v>1454.5929999999998</v>
      </c>
      <c r="AB287" s="105"/>
      <c r="AC287" s="105"/>
      <c r="AD287" s="8">
        <f t="shared" si="105"/>
        <v>16469895.34</v>
      </c>
      <c r="AE287" s="37">
        <f t="shared" si="107"/>
        <v>418019</v>
      </c>
      <c r="AF287" s="37">
        <f t="shared" si="107"/>
        <v>216406</v>
      </c>
      <c r="AG287" s="37">
        <f t="shared" si="106"/>
        <v>58532.339999999851</v>
      </c>
    </row>
    <row r="288" spans="1:33" ht="15" customHeight="1" x14ac:dyDescent="0.15">
      <c r="A288" s="102">
        <v>42653</v>
      </c>
      <c r="B288" s="20" t="s">
        <v>34</v>
      </c>
      <c r="C288" s="8">
        <v>50208</v>
      </c>
      <c r="D288" s="37">
        <f>24239+8442</f>
        <v>32681</v>
      </c>
      <c r="E288" s="37">
        <v>85434</v>
      </c>
      <c r="F288" s="55">
        <v>4313</v>
      </c>
      <c r="G288" s="37">
        <v>2800.2</v>
      </c>
      <c r="H288" s="24"/>
      <c r="I288" s="36"/>
      <c r="J288" s="8">
        <f t="shared" si="101"/>
        <v>52753</v>
      </c>
      <c r="K288" s="37">
        <v>1543</v>
      </c>
      <c r="L288" s="37">
        <v>792</v>
      </c>
      <c r="M288" s="37">
        <f t="shared" si="112"/>
        <v>210</v>
      </c>
      <c r="N288" s="74">
        <f t="shared" si="113"/>
        <v>484890</v>
      </c>
      <c r="O288" s="75">
        <f t="shared" si="114"/>
        <v>286995</v>
      </c>
      <c r="P288" s="75">
        <f t="shared" si="115"/>
        <v>805796</v>
      </c>
      <c r="Q288" s="76">
        <f t="shared" si="116"/>
        <v>15827146</v>
      </c>
      <c r="R288" s="76">
        <f t="shared" si="116"/>
        <v>8489191</v>
      </c>
      <c r="S288" s="76">
        <f t="shared" si="116"/>
        <v>25011839.34</v>
      </c>
      <c r="T288" s="80">
        <f>N288/'2015'!M288-1</f>
        <v>0.31385496627910436</v>
      </c>
      <c r="U288" s="80">
        <f>O288/'2015'!N288-1</f>
        <v>-6.9638903386638251E-2</v>
      </c>
      <c r="V288" s="80">
        <f>P288/'2015'!O288-1</f>
        <v>0.15653651619273989</v>
      </c>
      <c r="W288" s="81">
        <f>Q288/'2015'!P288-1</f>
        <v>8.216005824889705E-2</v>
      </c>
      <c r="X288" s="81">
        <f>R288/'2015'!Q288-1</f>
        <v>2.3480198050837897E-2</v>
      </c>
      <c r="Y288" s="81">
        <f>S288/'2015'!R288-1</f>
        <v>6.7197083066927066E-2</v>
      </c>
      <c r="Z288" s="50">
        <f t="shared" si="117"/>
        <v>123.24780000000005</v>
      </c>
      <c r="AA288" s="97">
        <f t="shared" si="104"/>
        <v>1459.4667999999999</v>
      </c>
      <c r="AB288" s="105"/>
      <c r="AC288" s="105"/>
      <c r="AD288" s="8">
        <f t="shared" si="105"/>
        <v>16522648.34</v>
      </c>
      <c r="AE288" s="37">
        <f t="shared" si="107"/>
        <v>419562</v>
      </c>
      <c r="AF288" s="37">
        <f t="shared" si="107"/>
        <v>217198</v>
      </c>
      <c r="AG288" s="37">
        <f t="shared" si="106"/>
        <v>58742.339999999851</v>
      </c>
    </row>
    <row r="289" spans="1:33" x14ac:dyDescent="0.15">
      <c r="A289" s="102">
        <v>42654</v>
      </c>
      <c r="B289" s="20" t="s">
        <v>35</v>
      </c>
      <c r="C289" s="8">
        <v>48388</v>
      </c>
      <c r="D289" s="37">
        <f>27960+8506</f>
        <v>36466</v>
      </c>
      <c r="E289" s="37">
        <v>87145</v>
      </c>
      <c r="F289" s="55">
        <v>4375.2</v>
      </c>
      <c r="G289" s="37">
        <v>2936.9</v>
      </c>
      <c r="H289" s="24"/>
      <c r="I289" s="36"/>
      <c r="J289" s="8">
        <f t="shared" si="101"/>
        <v>50679</v>
      </c>
      <c r="K289" s="37">
        <v>1335</v>
      </c>
      <c r="L289" s="37">
        <v>793</v>
      </c>
      <c r="M289" s="37">
        <f t="shared" si="112"/>
        <v>163</v>
      </c>
      <c r="N289" s="74">
        <f t="shared" si="113"/>
        <v>533278</v>
      </c>
      <c r="O289" s="75">
        <f t="shared" si="114"/>
        <v>323461</v>
      </c>
      <c r="P289" s="75">
        <f t="shared" si="115"/>
        <v>892941</v>
      </c>
      <c r="Q289" s="76">
        <f t="shared" si="116"/>
        <v>15875534</v>
      </c>
      <c r="R289" s="76">
        <f t="shared" si="116"/>
        <v>8525657</v>
      </c>
      <c r="S289" s="76">
        <f t="shared" si="116"/>
        <v>25098984.34</v>
      </c>
      <c r="T289" s="80">
        <f>N289/'2015'!M289-1</f>
        <v>0.31350555177883521</v>
      </c>
      <c r="U289" s="80">
        <f>O289/'2015'!N289-1</f>
        <v>-5.9780191671002569E-2</v>
      </c>
      <c r="V289" s="80">
        <f>P289/'2015'!O289-1</f>
        <v>0.15853218674748826</v>
      </c>
      <c r="W289" s="81">
        <f>Q289/'2015'!P289-1</f>
        <v>8.273405876916895E-2</v>
      </c>
      <c r="X289" s="81">
        <f>R289/'2015'!Q289-1</f>
        <v>2.348995544530319E-2</v>
      </c>
      <c r="Y289" s="81">
        <f>S289/'2015'!R289-1</f>
        <v>6.7543775425636499E-2</v>
      </c>
      <c r="Z289" s="50">
        <f t="shared" si="117"/>
        <v>123.39480000000006</v>
      </c>
      <c r="AA289" s="97">
        <f t="shared" si="104"/>
        <v>1464.1586</v>
      </c>
      <c r="AB289" s="105"/>
      <c r="AC289" s="105"/>
      <c r="AD289" s="8">
        <f t="shared" si="105"/>
        <v>16573327.34</v>
      </c>
      <c r="AE289" s="37">
        <f t="shared" si="107"/>
        <v>420897</v>
      </c>
      <c r="AF289" s="37">
        <f t="shared" si="107"/>
        <v>217991</v>
      </c>
      <c r="AG289" s="37">
        <f t="shared" si="106"/>
        <v>58905.339999999851</v>
      </c>
    </row>
    <row r="290" spans="1:33" ht="15" customHeight="1" x14ac:dyDescent="0.15">
      <c r="A290" s="102">
        <v>42655</v>
      </c>
      <c r="B290" s="14" t="s">
        <v>36</v>
      </c>
      <c r="C290" s="32">
        <v>49697</v>
      </c>
      <c r="D290" s="33">
        <f>28001+8381</f>
        <v>36382</v>
      </c>
      <c r="E290" s="33">
        <v>88014</v>
      </c>
      <c r="F290" s="59">
        <v>4435.5</v>
      </c>
      <c r="G290" s="33">
        <v>2950.2</v>
      </c>
      <c r="H290" s="19"/>
      <c r="I290" s="19"/>
      <c r="J290" s="32">
        <f t="shared" si="101"/>
        <v>51632</v>
      </c>
      <c r="K290" s="33">
        <v>1017</v>
      </c>
      <c r="L290" s="33">
        <v>788</v>
      </c>
      <c r="M290" s="33">
        <f t="shared" si="112"/>
        <v>130</v>
      </c>
      <c r="N290" s="77">
        <f t="shared" si="113"/>
        <v>582975</v>
      </c>
      <c r="O290" s="78">
        <f t="shared" si="114"/>
        <v>359843</v>
      </c>
      <c r="P290" s="78">
        <f t="shared" si="115"/>
        <v>980955</v>
      </c>
      <c r="Q290" s="77">
        <f t="shared" si="116"/>
        <v>15925231</v>
      </c>
      <c r="R290" s="77">
        <f t="shared" si="116"/>
        <v>8562039</v>
      </c>
      <c r="S290" s="77">
        <f t="shared" si="116"/>
        <v>25186998.34</v>
      </c>
      <c r="T290" s="82">
        <f>N290/'2015'!M290-1</f>
        <v>0.30242601210436826</v>
      </c>
      <c r="U290" s="82">
        <f>O290/'2015'!N290-1</f>
        <v>-5.2039399679133402E-2</v>
      </c>
      <c r="V290" s="82">
        <f>P290/'2015'!O290-1</f>
        <v>0.15429284846887392</v>
      </c>
      <c r="W290" s="82">
        <f>Q290/'2015'!P290-1</f>
        <v>8.304984588951303E-2</v>
      </c>
      <c r="X290" s="82">
        <f>R290/'2015'!Q290-1</f>
        <v>2.348714179906275E-2</v>
      </c>
      <c r="Y290" s="82">
        <f>S290/'2015'!R290-1</f>
        <v>6.7696070100756511E-2</v>
      </c>
      <c r="Z290" s="49">
        <f t="shared" si="117"/>
        <v>123.54180000000007</v>
      </c>
      <c r="AA290" s="49">
        <f t="shared" si="104"/>
        <v>1468.9813000000001</v>
      </c>
      <c r="AB290" s="33">
        <v>4235.1000000000004</v>
      </c>
      <c r="AC290" s="33">
        <f t="shared" si="110"/>
        <v>3468.5870463507358</v>
      </c>
      <c r="AD290" s="32">
        <f t="shared" si="105"/>
        <v>16624959.34</v>
      </c>
      <c r="AE290" s="33">
        <f t="shared" si="107"/>
        <v>421914</v>
      </c>
      <c r="AF290" s="33">
        <f t="shared" si="107"/>
        <v>218779</v>
      </c>
      <c r="AG290" s="33">
        <f t="shared" si="106"/>
        <v>59035.339999999851</v>
      </c>
    </row>
    <row r="291" spans="1:33" ht="15" customHeight="1" x14ac:dyDescent="0.15">
      <c r="A291" s="102">
        <v>42656</v>
      </c>
      <c r="B291" s="20" t="s">
        <v>37</v>
      </c>
      <c r="C291" s="8">
        <v>51622</v>
      </c>
      <c r="D291" s="37">
        <f>27686+8469</f>
        <v>36155</v>
      </c>
      <c r="E291" s="37">
        <v>89441</v>
      </c>
      <c r="F291" s="55">
        <v>4506.1000000000004</v>
      </c>
      <c r="G291" s="37">
        <v>2998.8</v>
      </c>
      <c r="H291" s="24"/>
      <c r="I291" s="36"/>
      <c r="J291" s="8">
        <f t="shared" si="101"/>
        <v>53286</v>
      </c>
      <c r="K291" s="37">
        <v>739</v>
      </c>
      <c r="L291" s="37">
        <v>792</v>
      </c>
      <c r="M291" s="37">
        <f t="shared" si="112"/>
        <v>133</v>
      </c>
      <c r="N291" s="74">
        <f t="shared" si="113"/>
        <v>634597</v>
      </c>
      <c r="O291" s="75">
        <f t="shared" si="114"/>
        <v>395998</v>
      </c>
      <c r="P291" s="75">
        <f t="shared" si="115"/>
        <v>1070396</v>
      </c>
      <c r="Q291" s="76">
        <f t="shared" si="116"/>
        <v>15976853</v>
      </c>
      <c r="R291" s="76">
        <f t="shared" si="116"/>
        <v>8598194</v>
      </c>
      <c r="S291" s="76">
        <f t="shared" si="116"/>
        <v>25276439.34</v>
      </c>
      <c r="T291" s="80">
        <f>N291/'2015'!M291-1</f>
        <v>0.29748700155592855</v>
      </c>
      <c r="U291" s="80">
        <f>O291/'2015'!N291-1</f>
        <v>-5.0872075604652678E-2</v>
      </c>
      <c r="V291" s="80">
        <f>P291/'2015'!O291-1</f>
        <v>0.14959752122478132</v>
      </c>
      <c r="W291" s="81">
        <f>Q291/'2015'!P291-1</f>
        <v>8.3503288551238342E-2</v>
      </c>
      <c r="X291" s="81">
        <f>R291/'2015'!Q291-1</f>
        <v>2.3206923282156788E-2</v>
      </c>
      <c r="Y291" s="81">
        <f>S291/'2015'!R291-1</f>
        <v>6.7808701653198966E-2</v>
      </c>
      <c r="Z291" s="50">
        <f t="shared" si="117"/>
        <v>123.68880000000007</v>
      </c>
      <c r="AA291" s="97">
        <f t="shared" si="104"/>
        <v>1473.9965</v>
      </c>
      <c r="AB291" s="105"/>
      <c r="AC291" s="105"/>
      <c r="AD291" s="8">
        <f t="shared" si="105"/>
        <v>16678245.34</v>
      </c>
      <c r="AE291" s="37">
        <f t="shared" si="107"/>
        <v>422653</v>
      </c>
      <c r="AF291" s="37">
        <f t="shared" si="107"/>
        <v>219571</v>
      </c>
      <c r="AG291" s="37">
        <f t="shared" si="106"/>
        <v>59168.339999999851</v>
      </c>
    </row>
    <row r="292" spans="1:33" ht="15" customHeight="1" x14ac:dyDescent="0.15">
      <c r="A292" s="102">
        <v>42657</v>
      </c>
      <c r="B292" s="20" t="s">
        <v>38</v>
      </c>
      <c r="C292" s="70">
        <v>52460</v>
      </c>
      <c r="D292" s="71">
        <f>27686+8469</f>
        <v>36155</v>
      </c>
      <c r="E292" s="71">
        <v>90127</v>
      </c>
      <c r="F292" s="107">
        <v>4568.8999999999996</v>
      </c>
      <c r="G292" s="71">
        <v>2998.8</v>
      </c>
      <c r="H292" s="24"/>
      <c r="I292" s="24"/>
      <c r="J292" s="70">
        <f t="shared" si="101"/>
        <v>53972</v>
      </c>
      <c r="K292" s="71">
        <v>564</v>
      </c>
      <c r="L292" s="71">
        <v>790</v>
      </c>
      <c r="M292" s="71">
        <f t="shared" si="112"/>
        <v>158</v>
      </c>
      <c r="N292" s="74">
        <f t="shared" si="113"/>
        <v>687057</v>
      </c>
      <c r="O292" s="75">
        <f t="shared" si="114"/>
        <v>432153</v>
      </c>
      <c r="P292" s="75">
        <f t="shared" si="115"/>
        <v>1160523</v>
      </c>
      <c r="Q292" s="76">
        <f t="shared" si="116"/>
        <v>16029313</v>
      </c>
      <c r="R292" s="76">
        <f t="shared" si="116"/>
        <v>8634349</v>
      </c>
      <c r="S292" s="76">
        <f t="shared" si="116"/>
        <v>25366566.34</v>
      </c>
      <c r="T292" s="80">
        <f>N292/'2015'!M292-1</f>
        <v>0.2914459611357767</v>
      </c>
      <c r="U292" s="80">
        <f>O292/'2015'!N292-1</f>
        <v>-5.0907797150656742E-2</v>
      </c>
      <c r="V292" s="80">
        <f>P292/'2015'!O292-1</f>
        <v>0.14479579536329901</v>
      </c>
      <c r="W292" s="81">
        <f>Q292/'2015'!P292-1</f>
        <v>8.3906843579385493E-2</v>
      </c>
      <c r="X292" s="81">
        <f>R292/'2015'!Q292-1</f>
        <v>2.2870551095732772E-2</v>
      </c>
      <c r="Y292" s="81">
        <f>S292/'2015'!R292-1</f>
        <v>6.7888299508574335E-2</v>
      </c>
      <c r="Z292" s="97">
        <f t="shared" si="117"/>
        <v>123.83580000000008</v>
      </c>
      <c r="AA292" s="97">
        <f t="shared" si="104"/>
        <v>1479.0954999999999</v>
      </c>
      <c r="AB292" s="106"/>
      <c r="AC292" s="105"/>
      <c r="AD292" s="70">
        <f t="shared" si="105"/>
        <v>16732217.34</v>
      </c>
      <c r="AE292" s="71">
        <f t="shared" si="107"/>
        <v>423217</v>
      </c>
      <c r="AF292" s="71">
        <f t="shared" si="107"/>
        <v>220361</v>
      </c>
      <c r="AG292" s="71">
        <f t="shared" si="106"/>
        <v>59326.339999999851</v>
      </c>
    </row>
    <row r="293" spans="1:33" ht="15" customHeight="1" x14ac:dyDescent="0.15">
      <c r="A293" s="102">
        <v>42658</v>
      </c>
      <c r="B293" s="20" t="s">
        <v>39</v>
      </c>
      <c r="C293" s="8">
        <v>51777</v>
      </c>
      <c r="D293" s="37">
        <v>35378</v>
      </c>
      <c r="E293" s="37">
        <v>89228</v>
      </c>
      <c r="F293" s="55">
        <v>4477.8999999999996</v>
      </c>
      <c r="G293" s="37">
        <v>3029.4</v>
      </c>
      <c r="H293" s="24"/>
      <c r="I293" s="36"/>
      <c r="J293" s="8">
        <f t="shared" si="101"/>
        <v>53850</v>
      </c>
      <c r="K293" s="37">
        <v>1016</v>
      </c>
      <c r="L293" s="37">
        <v>792</v>
      </c>
      <c r="M293" s="37">
        <f t="shared" si="112"/>
        <v>265</v>
      </c>
      <c r="N293" s="74">
        <f t="shared" si="113"/>
        <v>738834</v>
      </c>
      <c r="O293" s="75">
        <f t="shared" si="114"/>
        <v>467531</v>
      </c>
      <c r="P293" s="75">
        <f t="shared" si="115"/>
        <v>1249751</v>
      </c>
      <c r="Q293" s="76">
        <f t="shared" si="116"/>
        <v>16081090</v>
      </c>
      <c r="R293" s="76">
        <f t="shared" si="116"/>
        <v>8669727</v>
      </c>
      <c r="S293" s="76">
        <f t="shared" si="116"/>
        <v>25455794.34</v>
      </c>
      <c r="T293" s="80">
        <f>N293/'2015'!M293-1</f>
        <v>0.28126539077836576</v>
      </c>
      <c r="U293" s="80">
        <f>O293/'2015'!N293-1</f>
        <v>-5.046904734341906E-2</v>
      </c>
      <c r="V293" s="80">
        <f>P293/'2015'!O293-1</f>
        <v>0.13945100341812244</v>
      </c>
      <c r="W293" s="81">
        <f>Q293/'2015'!P293-1</f>
        <v>8.4135626960733401E-2</v>
      </c>
      <c r="X293" s="81">
        <f>R293/'2015'!Q293-1</f>
        <v>2.2573640594738986E-2</v>
      </c>
      <c r="Y293" s="81">
        <f>S293/'2015'!R293-1</f>
        <v>6.7910365786587157E-2</v>
      </c>
      <c r="Z293" s="50">
        <f t="shared" si="117"/>
        <v>123.98280000000008</v>
      </c>
      <c r="AA293" s="97">
        <f t="shared" si="104"/>
        <v>1484.1261999999999</v>
      </c>
      <c r="AB293" s="105"/>
      <c r="AC293" s="105"/>
      <c r="AD293" s="8">
        <f t="shared" si="105"/>
        <v>16786067.34</v>
      </c>
      <c r="AE293" s="37">
        <f t="shared" si="107"/>
        <v>424233</v>
      </c>
      <c r="AF293" s="37">
        <f t="shared" si="107"/>
        <v>221153</v>
      </c>
      <c r="AG293" s="37">
        <f t="shared" si="106"/>
        <v>59591.339999999851</v>
      </c>
    </row>
    <row r="294" spans="1:33" ht="15" customHeight="1" x14ac:dyDescent="0.15">
      <c r="A294" s="102">
        <v>42659</v>
      </c>
      <c r="B294" s="20" t="s">
        <v>1</v>
      </c>
      <c r="C294" s="8">
        <v>48552</v>
      </c>
      <c r="D294" s="37">
        <f>26690+8804</f>
        <v>35494</v>
      </c>
      <c r="E294" s="37">
        <v>85398</v>
      </c>
      <c r="F294" s="55">
        <v>4164.3999999999996</v>
      </c>
      <c r="G294" s="37">
        <v>3002.1</v>
      </c>
      <c r="H294" s="24"/>
      <c r="I294" s="36"/>
      <c r="J294" s="8">
        <f t="shared" si="101"/>
        <v>49904</v>
      </c>
      <c r="K294" s="37">
        <v>371</v>
      </c>
      <c r="L294" s="37">
        <v>792</v>
      </c>
      <c r="M294" s="37">
        <f t="shared" si="112"/>
        <v>189</v>
      </c>
      <c r="N294" s="74">
        <f t="shared" si="113"/>
        <v>787386</v>
      </c>
      <c r="O294" s="75">
        <f t="shared" si="114"/>
        <v>503025</v>
      </c>
      <c r="P294" s="75">
        <f t="shared" si="115"/>
        <v>1335149</v>
      </c>
      <c r="Q294" s="76">
        <f t="shared" si="116"/>
        <v>16129642</v>
      </c>
      <c r="R294" s="76">
        <f t="shared" si="116"/>
        <v>8705221</v>
      </c>
      <c r="S294" s="76">
        <f t="shared" si="116"/>
        <v>25541192.34</v>
      </c>
      <c r="T294" s="80">
        <f>N294/'2015'!M294-1</f>
        <v>0.2674486548611883</v>
      </c>
      <c r="U294" s="80">
        <f>O294/'2015'!N294-1</f>
        <v>-4.9727211588595832E-2</v>
      </c>
      <c r="V294" s="80">
        <f>P294/'2015'!O294-1</f>
        <v>0.13137673606697686</v>
      </c>
      <c r="W294" s="81">
        <f>Q294/'2015'!P294-1</f>
        <v>8.4149549819256153E-2</v>
      </c>
      <c r="X294" s="81">
        <f>R294/'2015'!Q294-1</f>
        <v>2.2302660373842098E-2</v>
      </c>
      <c r="Y294" s="81">
        <f>S294/'2015'!R294-1</f>
        <v>6.7761181151274608E-2</v>
      </c>
      <c r="Z294" s="50">
        <f t="shared" si="117"/>
        <v>124.12980000000009</v>
      </c>
      <c r="AA294" s="97">
        <f t="shared" si="104"/>
        <v>1488.8343999999997</v>
      </c>
      <c r="AB294" s="105"/>
      <c r="AC294" s="105"/>
      <c r="AD294" s="8">
        <f t="shared" si="105"/>
        <v>16835971.34</v>
      </c>
      <c r="AE294" s="37">
        <f t="shared" si="107"/>
        <v>424604</v>
      </c>
      <c r="AF294" s="37">
        <f t="shared" si="107"/>
        <v>221945</v>
      </c>
      <c r="AG294" s="37">
        <f t="shared" si="106"/>
        <v>59780.339999999851</v>
      </c>
    </row>
    <row r="295" spans="1:33" ht="15" customHeight="1" x14ac:dyDescent="0.15">
      <c r="A295" s="102">
        <v>42660</v>
      </c>
      <c r="B295" s="20" t="s">
        <v>34</v>
      </c>
      <c r="C295" s="8">
        <v>49399</v>
      </c>
      <c r="D295" s="37">
        <v>37839</v>
      </c>
      <c r="E295" s="37">
        <v>89794</v>
      </c>
      <c r="F295" s="55">
        <v>4588.8999999999996</v>
      </c>
      <c r="G295" s="37">
        <v>2928.3</v>
      </c>
      <c r="H295" s="24"/>
      <c r="I295" s="36"/>
      <c r="J295" s="8">
        <f t="shared" si="101"/>
        <v>51955</v>
      </c>
      <c r="K295" s="37">
        <v>1223</v>
      </c>
      <c r="L295" s="37">
        <v>789</v>
      </c>
      <c r="M295" s="37">
        <f t="shared" si="112"/>
        <v>544</v>
      </c>
      <c r="N295" s="74">
        <f t="shared" si="113"/>
        <v>836785</v>
      </c>
      <c r="O295" s="75">
        <f t="shared" si="114"/>
        <v>540864</v>
      </c>
      <c r="P295" s="75">
        <f t="shared" si="115"/>
        <v>1424943</v>
      </c>
      <c r="Q295" s="76">
        <f t="shared" si="116"/>
        <v>16179041</v>
      </c>
      <c r="R295" s="76">
        <f t="shared" si="116"/>
        <v>8743060</v>
      </c>
      <c r="S295" s="76">
        <f t="shared" si="116"/>
        <v>25630986.34</v>
      </c>
      <c r="T295" s="80">
        <f>N295/'2015'!M295-1</f>
        <v>0.2585428435636894</v>
      </c>
      <c r="U295" s="80">
        <f>O295/'2015'!N295-1</f>
        <v>-4.5111720007909417E-2</v>
      </c>
      <c r="V295" s="80">
        <f>P295/'2015'!O295-1</f>
        <v>0.12871242425442597</v>
      </c>
      <c r="W295" s="81">
        <f>Q295/'2015'!P295-1</f>
        <v>8.4288888838252918E-2</v>
      </c>
      <c r="X295" s="81">
        <f>R295/'2015'!Q295-1</f>
        <v>2.2296145807451095E-2</v>
      </c>
      <c r="Y295" s="81">
        <f>S295/'2015'!R295-1</f>
        <v>6.7839278500056333E-2</v>
      </c>
      <c r="Z295" s="50">
        <f t="shared" si="117"/>
        <v>124.27680000000009</v>
      </c>
      <c r="AA295" s="97">
        <f t="shared" si="104"/>
        <v>1493.6272999999999</v>
      </c>
      <c r="AB295" s="105"/>
      <c r="AC295" s="105"/>
      <c r="AD295" s="8">
        <f t="shared" si="105"/>
        <v>16887926.34</v>
      </c>
      <c r="AE295" s="37">
        <f t="shared" si="107"/>
        <v>425827</v>
      </c>
      <c r="AF295" s="37">
        <f t="shared" si="107"/>
        <v>222734</v>
      </c>
      <c r="AG295" s="37">
        <f t="shared" si="106"/>
        <v>60324.339999999851</v>
      </c>
    </row>
    <row r="296" spans="1:33" ht="15" customHeight="1" x14ac:dyDescent="0.15">
      <c r="A296" s="102">
        <v>42661</v>
      </c>
      <c r="B296" s="20" t="s">
        <v>35</v>
      </c>
      <c r="C296" s="8">
        <v>48613</v>
      </c>
      <c r="D296" s="37">
        <f>30707+9489</f>
        <v>40196</v>
      </c>
      <c r="E296" s="37">
        <v>91247</v>
      </c>
      <c r="F296" s="55">
        <v>4563.3</v>
      </c>
      <c r="G296" s="37">
        <v>3071.1</v>
      </c>
      <c r="H296" s="24"/>
      <c r="I296" s="36"/>
      <c r="J296" s="8">
        <f t="shared" si="101"/>
        <v>51051</v>
      </c>
      <c r="K296" s="37">
        <v>1572</v>
      </c>
      <c r="L296" s="37">
        <v>792</v>
      </c>
      <c r="M296" s="37">
        <f t="shared" si="112"/>
        <v>74</v>
      </c>
      <c r="N296" s="74">
        <f t="shared" si="113"/>
        <v>885398</v>
      </c>
      <c r="O296" s="75">
        <f t="shared" si="114"/>
        <v>581060</v>
      </c>
      <c r="P296" s="75">
        <f t="shared" si="115"/>
        <v>1516190</v>
      </c>
      <c r="Q296" s="76">
        <f t="shared" si="116"/>
        <v>16227654</v>
      </c>
      <c r="R296" s="76">
        <f t="shared" si="116"/>
        <v>8783256</v>
      </c>
      <c r="S296" s="76">
        <f t="shared" si="116"/>
        <v>25722233.34</v>
      </c>
      <c r="T296" s="80">
        <f>N296/'2015'!M296-1</f>
        <v>0.25795887400065642</v>
      </c>
      <c r="U296" s="80">
        <f>O296/'2015'!N296-1</f>
        <v>-3.6958096257783457E-2</v>
      </c>
      <c r="V296" s="80">
        <f>P296/'2015'!O296-1</f>
        <v>0.13156698656544541</v>
      </c>
      <c r="W296" s="81">
        <f>Q296/'2015'!P296-1</f>
        <v>8.4715130207026146E-2</v>
      </c>
      <c r="X296" s="81">
        <f>R296/'2015'!Q296-1</f>
        <v>2.2578975420399994E-2</v>
      </c>
      <c r="Y296" s="81">
        <f>S296/'2015'!R296-1</f>
        <v>6.819391318546808E-2</v>
      </c>
      <c r="Z296" s="50">
        <f t="shared" si="117"/>
        <v>124.4238000000001</v>
      </c>
      <c r="AA296" s="97">
        <f t="shared" si="104"/>
        <v>1498.3416</v>
      </c>
      <c r="AB296" s="105"/>
      <c r="AC296" s="105"/>
      <c r="AD296" s="8">
        <f t="shared" si="105"/>
        <v>16938977.34</v>
      </c>
      <c r="AE296" s="37">
        <f t="shared" si="107"/>
        <v>427399</v>
      </c>
      <c r="AF296" s="37">
        <f t="shared" si="107"/>
        <v>223526</v>
      </c>
      <c r="AG296" s="37">
        <f t="shared" si="106"/>
        <v>60398.339999999851</v>
      </c>
    </row>
    <row r="297" spans="1:33" ht="15" customHeight="1" x14ac:dyDescent="0.15">
      <c r="A297" s="102">
        <v>42662</v>
      </c>
      <c r="B297" s="14" t="s">
        <v>36</v>
      </c>
      <c r="C297" s="32">
        <v>46953</v>
      </c>
      <c r="D297" s="33">
        <f>30731+10862</f>
        <v>41593</v>
      </c>
      <c r="E297" s="33">
        <v>90969</v>
      </c>
      <c r="F297" s="59">
        <v>4581.8999999999996</v>
      </c>
      <c r="G297" s="33">
        <v>3067.4</v>
      </c>
      <c r="H297" s="19"/>
      <c r="I297" s="19"/>
      <c r="J297" s="32">
        <f t="shared" si="101"/>
        <v>49376</v>
      </c>
      <c r="K297" s="33">
        <v>1532</v>
      </c>
      <c r="L297" s="33">
        <v>792</v>
      </c>
      <c r="M297" s="33">
        <f t="shared" si="112"/>
        <v>99</v>
      </c>
      <c r="N297" s="77">
        <f t="shared" si="113"/>
        <v>932351</v>
      </c>
      <c r="O297" s="78">
        <f t="shared" si="114"/>
        <v>622653</v>
      </c>
      <c r="P297" s="78">
        <f t="shared" si="115"/>
        <v>1607159</v>
      </c>
      <c r="Q297" s="77">
        <f t="shared" si="116"/>
        <v>16274607</v>
      </c>
      <c r="R297" s="77">
        <f t="shared" si="116"/>
        <v>8824849</v>
      </c>
      <c r="S297" s="77">
        <f t="shared" si="116"/>
        <v>25813202.34</v>
      </c>
      <c r="T297" s="82">
        <f>N297/'2015'!M297-1</f>
        <v>0.2453181244448599</v>
      </c>
      <c r="U297" s="82">
        <f>O297/'2015'!N297-1</f>
        <v>-2.6153665689149563E-2</v>
      </c>
      <c r="V297" s="82">
        <f>P297/'2015'!O297-1</f>
        <v>0.13004099948460612</v>
      </c>
      <c r="W297" s="82">
        <f>Q297/'2015'!P297-1</f>
        <v>8.4602215281044613E-2</v>
      </c>
      <c r="X297" s="82">
        <f>R297/'2015'!Q297-1</f>
        <v>2.3131278162677571E-2</v>
      </c>
      <c r="Y297" s="82">
        <f>S297/'2015'!R297-1</f>
        <v>6.8319974989266452E-2</v>
      </c>
      <c r="Z297" s="49">
        <f t="shared" si="117"/>
        <v>124.57080000000011</v>
      </c>
      <c r="AA297" s="49">
        <f t="shared" si="104"/>
        <v>1502.8898999999999</v>
      </c>
      <c r="AB297" s="33">
        <v>4235.1000000000004</v>
      </c>
      <c r="AC297" s="33">
        <f t="shared" si="110"/>
        <v>3548.6526882482108</v>
      </c>
      <c r="AD297" s="32">
        <f t="shared" si="105"/>
        <v>16988353.34</v>
      </c>
      <c r="AE297" s="33">
        <f t="shared" si="107"/>
        <v>428931</v>
      </c>
      <c r="AF297" s="33">
        <f t="shared" si="107"/>
        <v>224318</v>
      </c>
      <c r="AG297" s="33">
        <f t="shared" si="106"/>
        <v>60497.339999999851</v>
      </c>
    </row>
    <row r="298" spans="1:33" ht="15" customHeight="1" x14ac:dyDescent="0.15">
      <c r="A298" s="102">
        <v>42663</v>
      </c>
      <c r="B298" s="20" t="s">
        <v>37</v>
      </c>
      <c r="C298" s="8">
        <v>46475</v>
      </c>
      <c r="D298" s="37">
        <f>31054+10621</f>
        <v>41675</v>
      </c>
      <c r="E298" s="37">
        <v>90376</v>
      </c>
      <c r="F298" s="55">
        <v>4597</v>
      </c>
      <c r="G298" s="37">
        <v>3064.6</v>
      </c>
      <c r="H298" s="24"/>
      <c r="I298" s="36"/>
      <c r="J298" s="8">
        <f t="shared" si="101"/>
        <v>48701</v>
      </c>
      <c r="K298" s="37">
        <v>1270</v>
      </c>
      <c r="L298" s="37">
        <v>788</v>
      </c>
      <c r="M298" s="37">
        <f t="shared" si="112"/>
        <v>168</v>
      </c>
      <c r="N298" s="74">
        <f t="shared" si="113"/>
        <v>978826</v>
      </c>
      <c r="O298" s="75">
        <f t="shared" si="114"/>
        <v>664328</v>
      </c>
      <c r="P298" s="75">
        <f t="shared" si="115"/>
        <v>1697535</v>
      </c>
      <c r="Q298" s="76">
        <f t="shared" si="116"/>
        <v>16321082</v>
      </c>
      <c r="R298" s="76">
        <f t="shared" si="116"/>
        <v>8866524</v>
      </c>
      <c r="S298" s="76">
        <f t="shared" si="116"/>
        <v>25903578.34</v>
      </c>
      <c r="T298" s="80">
        <f>N298/'2015'!M298-1</f>
        <v>0.22352179418430085</v>
      </c>
      <c r="U298" s="80">
        <f>O298/'2015'!N298-1</f>
        <v>-1.0615736548634569E-2</v>
      </c>
      <c r="V298" s="80">
        <f>P298/'2015'!O298-1</f>
        <v>0.12649834462905285</v>
      </c>
      <c r="W298" s="81">
        <f>Q298/'2015'!P298-1</f>
        <v>8.3991915497273917E-2</v>
      </c>
      <c r="X298" s="81">
        <f>R298/'2015'!Q298-1</f>
        <v>2.4153745661955606E-2</v>
      </c>
      <c r="Y298" s="81">
        <f>S298/'2015'!R298-1</f>
        <v>6.831540942213099E-2</v>
      </c>
      <c r="Z298" s="50">
        <v>124.72</v>
      </c>
      <c r="AA298" s="97">
        <f t="shared" si="104"/>
        <v>1507.3881999999999</v>
      </c>
      <c r="AB298" s="105">
        <v>4235.1000000000004</v>
      </c>
      <c r="AC298" s="105">
        <f t="shared" si="110"/>
        <v>3559.2741611768311</v>
      </c>
      <c r="AD298" s="8">
        <f t="shared" si="105"/>
        <v>17037054.34</v>
      </c>
      <c r="AE298" s="37">
        <f t="shared" si="107"/>
        <v>430201</v>
      </c>
      <c r="AF298" s="37">
        <f t="shared" si="107"/>
        <v>225106</v>
      </c>
      <c r="AG298" s="37">
        <f t="shared" si="106"/>
        <v>60665.339999999851</v>
      </c>
    </row>
    <row r="299" spans="1:33" ht="15" customHeight="1" x14ac:dyDescent="0.15">
      <c r="A299" s="102">
        <v>42664</v>
      </c>
      <c r="B299" s="20" t="s">
        <v>38</v>
      </c>
      <c r="C299" s="70">
        <v>45811</v>
      </c>
      <c r="D299" s="71">
        <v>42210</v>
      </c>
      <c r="E299" s="71">
        <v>90987</v>
      </c>
      <c r="F299" s="107">
        <v>4605</v>
      </c>
      <c r="G299" s="71">
        <v>3000.1</v>
      </c>
      <c r="H299" s="24"/>
      <c r="I299" s="24"/>
      <c r="J299" s="70">
        <f t="shared" si="101"/>
        <v>48777</v>
      </c>
      <c r="K299" s="71">
        <v>2077</v>
      </c>
      <c r="L299" s="71">
        <v>791</v>
      </c>
      <c r="M299" s="71">
        <f t="shared" si="112"/>
        <v>98</v>
      </c>
      <c r="N299" s="74">
        <f t="shared" si="113"/>
        <v>1024637</v>
      </c>
      <c r="O299" s="75">
        <f t="shared" si="114"/>
        <v>706538</v>
      </c>
      <c r="P299" s="75">
        <f t="shared" si="115"/>
        <v>1788522</v>
      </c>
      <c r="Q299" s="76">
        <f t="shared" si="116"/>
        <v>16366893</v>
      </c>
      <c r="R299" s="76">
        <f t="shared" si="116"/>
        <v>8908734</v>
      </c>
      <c r="S299" s="76">
        <f t="shared" si="116"/>
        <v>25994565.34</v>
      </c>
      <c r="T299" s="80">
        <f>N299/'2015'!M299-1</f>
        <v>0.20301670848386144</v>
      </c>
      <c r="U299" s="80">
        <f>O299/'2015'!N299-1</f>
        <v>4.3540992927963984E-3</v>
      </c>
      <c r="V299" s="80">
        <f>P299/'2015'!O299-1</f>
        <v>0.12331857576136329</v>
      </c>
      <c r="W299" s="81">
        <f>Q299/'2015'!P299-1</f>
        <v>8.3313559273233251E-2</v>
      </c>
      <c r="X299" s="81">
        <f>R299/'2015'!Q299-1</f>
        <v>2.5237547117568315E-2</v>
      </c>
      <c r="Y299" s="81">
        <f>S299/'2015'!R299-1</f>
        <v>6.831122384607502E-2</v>
      </c>
      <c r="Z299" s="97">
        <f>Z298+0.244</f>
        <v>124.964</v>
      </c>
      <c r="AA299" s="97">
        <f t="shared" si="104"/>
        <v>1511.7253000000001</v>
      </c>
      <c r="AB299" s="106"/>
      <c r="AC299" s="105"/>
      <c r="AD299" s="70">
        <f t="shared" si="105"/>
        <v>17085831.34</v>
      </c>
      <c r="AE299" s="71">
        <f t="shared" si="107"/>
        <v>432278</v>
      </c>
      <c r="AF299" s="71">
        <f t="shared" si="107"/>
        <v>225897</v>
      </c>
      <c r="AG299" s="71">
        <f t="shared" si="106"/>
        <v>60763.339999999851</v>
      </c>
    </row>
    <row r="300" spans="1:33" ht="15" customHeight="1" x14ac:dyDescent="0.15">
      <c r="A300" s="102">
        <v>42665</v>
      </c>
      <c r="B300" s="20" t="s">
        <v>39</v>
      </c>
      <c r="C300" s="8">
        <v>48225</v>
      </c>
      <c r="D300" s="37">
        <v>38787</v>
      </c>
      <c r="E300" s="37">
        <v>89532</v>
      </c>
      <c r="F300" s="55">
        <v>4565.3</v>
      </c>
      <c r="G300" s="37">
        <v>3030</v>
      </c>
      <c r="H300" s="24"/>
      <c r="I300" s="36"/>
      <c r="J300" s="8">
        <f t="shared" si="101"/>
        <v>50745</v>
      </c>
      <c r="K300" s="37">
        <v>1693</v>
      </c>
      <c r="L300" s="37">
        <v>792</v>
      </c>
      <c r="M300" s="37">
        <f t="shared" si="112"/>
        <v>35</v>
      </c>
      <c r="N300" s="74">
        <f t="shared" si="113"/>
        <v>1072862</v>
      </c>
      <c r="O300" s="75">
        <f t="shared" si="114"/>
        <v>745325</v>
      </c>
      <c r="P300" s="75">
        <f t="shared" si="115"/>
        <v>1878054</v>
      </c>
      <c r="Q300" s="76">
        <f t="shared" si="116"/>
        <v>16415118</v>
      </c>
      <c r="R300" s="76">
        <f t="shared" si="116"/>
        <v>8947521</v>
      </c>
      <c r="S300" s="76">
        <f t="shared" si="116"/>
        <v>26084097.34</v>
      </c>
      <c r="T300" s="80">
        <f>N300/'2015'!M300-1</f>
        <v>0.18839674295316367</v>
      </c>
      <c r="U300" s="80">
        <f>O300/'2015'!N300-1</f>
        <v>1.2445613267713762E-2</v>
      </c>
      <c r="V300" s="80">
        <f>P300/'2015'!O300-1</f>
        <v>0.11930173790735932</v>
      </c>
      <c r="W300" s="81">
        <f>Q300/'2015'!P300-1</f>
        <v>8.2846067100351695E-2</v>
      </c>
      <c r="X300" s="81">
        <f>R300/'2015'!Q300-1</f>
        <v>2.5842220505514657E-2</v>
      </c>
      <c r="Y300" s="81">
        <f>S300/'2015'!R300-1</f>
        <v>6.8228274009768164E-2</v>
      </c>
      <c r="Z300" s="50">
        <f t="shared" ref="Z300:Z304" si="118">Z299+0.244</f>
        <v>125.208</v>
      </c>
      <c r="AA300" s="97">
        <f t="shared" si="104"/>
        <v>1516.3037999999999</v>
      </c>
      <c r="AB300" s="105"/>
      <c r="AC300" s="105"/>
      <c r="AD300" s="8">
        <f t="shared" si="105"/>
        <v>17136576.34</v>
      </c>
      <c r="AE300" s="37">
        <f t="shared" si="107"/>
        <v>433971</v>
      </c>
      <c r="AF300" s="37">
        <f t="shared" si="107"/>
        <v>226689</v>
      </c>
      <c r="AG300" s="37">
        <f t="shared" si="106"/>
        <v>60798.339999999851</v>
      </c>
    </row>
    <row r="301" spans="1:33" ht="15" customHeight="1" x14ac:dyDescent="0.15">
      <c r="A301" s="102">
        <v>42666</v>
      </c>
      <c r="B301" s="20" t="s">
        <v>1</v>
      </c>
      <c r="C301" s="8">
        <v>45151</v>
      </c>
      <c r="D301" s="37">
        <f>26568+10051</f>
        <v>36619</v>
      </c>
      <c r="E301" s="37">
        <v>84070</v>
      </c>
      <c r="F301" s="55">
        <v>4183.6000000000004</v>
      </c>
      <c r="G301" s="37">
        <v>2931</v>
      </c>
      <c r="H301" s="24"/>
      <c r="I301" s="36"/>
      <c r="J301" s="8">
        <f t="shared" si="101"/>
        <v>47451</v>
      </c>
      <c r="K301" s="37">
        <v>1394</v>
      </c>
      <c r="L301" s="37">
        <v>787</v>
      </c>
      <c r="M301" s="37">
        <f t="shared" si="112"/>
        <v>119</v>
      </c>
      <c r="N301" s="74">
        <f t="shared" si="113"/>
        <v>1118013</v>
      </c>
      <c r="O301" s="75">
        <f t="shared" si="114"/>
        <v>781944</v>
      </c>
      <c r="P301" s="75">
        <f t="shared" si="115"/>
        <v>1962124</v>
      </c>
      <c r="Q301" s="76">
        <f t="shared" si="116"/>
        <v>16460269</v>
      </c>
      <c r="R301" s="76">
        <f t="shared" si="116"/>
        <v>8984140</v>
      </c>
      <c r="S301" s="76">
        <f t="shared" si="116"/>
        <v>26168167.34</v>
      </c>
      <c r="T301" s="80">
        <f>N301/'2015'!M301-1</f>
        <v>0.1723072373926009</v>
      </c>
      <c r="U301" s="80">
        <f>O301/'2015'!N301-1</f>
        <v>1.6396084905047292E-2</v>
      </c>
      <c r="V301" s="80">
        <f>P301/'2015'!O301-1</f>
        <v>0.11270627998502869</v>
      </c>
      <c r="W301" s="81">
        <f>Q301/'2015'!P301-1</f>
        <v>8.2190499232748682E-2</v>
      </c>
      <c r="X301" s="81">
        <f>R301/'2015'!Q301-1</f>
        <v>2.6138600336322426E-2</v>
      </c>
      <c r="Y301" s="81">
        <f>S301/'2015'!R301-1</f>
        <v>6.7931847382544985E-2</v>
      </c>
      <c r="Z301" s="50">
        <f t="shared" si="118"/>
        <v>125.452</v>
      </c>
      <c r="AA301" s="97">
        <f t="shared" si="104"/>
        <v>1520.5749000000001</v>
      </c>
      <c r="AB301" s="105"/>
      <c r="AC301" s="105"/>
      <c r="AD301" s="8">
        <f t="shared" si="105"/>
        <v>17184027.34</v>
      </c>
      <c r="AE301" s="37">
        <f t="shared" si="107"/>
        <v>435365</v>
      </c>
      <c r="AF301" s="37">
        <f t="shared" si="107"/>
        <v>227476</v>
      </c>
      <c r="AG301" s="37">
        <f t="shared" si="106"/>
        <v>60917.339999999851</v>
      </c>
    </row>
    <row r="302" spans="1:33" ht="15" customHeight="1" x14ac:dyDescent="0.15">
      <c r="A302" s="102">
        <v>42667</v>
      </c>
      <c r="B302" s="20" t="s">
        <v>34</v>
      </c>
      <c r="C302" s="8">
        <v>47939</v>
      </c>
      <c r="D302" s="37">
        <f>28892+10020</f>
        <v>38912</v>
      </c>
      <c r="E302" s="37">
        <v>88704</v>
      </c>
      <c r="F302" s="55">
        <v>4477.8</v>
      </c>
      <c r="G302" s="37">
        <v>2887.7</v>
      </c>
      <c r="H302" s="24"/>
      <c r="I302" s="36"/>
      <c r="J302" s="8">
        <f t="shared" si="101"/>
        <v>49792</v>
      </c>
      <c r="K302" s="37">
        <v>881</v>
      </c>
      <c r="L302" s="37">
        <v>789</v>
      </c>
      <c r="M302" s="37">
        <f t="shared" si="112"/>
        <v>183</v>
      </c>
      <c r="N302" s="74">
        <f t="shared" si="113"/>
        <v>1165952</v>
      </c>
      <c r="O302" s="75">
        <f t="shared" si="114"/>
        <v>820856</v>
      </c>
      <c r="P302" s="75">
        <f t="shared" si="115"/>
        <v>2050828</v>
      </c>
      <c r="Q302" s="76">
        <f t="shared" si="116"/>
        <v>16508208</v>
      </c>
      <c r="R302" s="76">
        <f t="shared" si="116"/>
        <v>9023052</v>
      </c>
      <c r="S302" s="76">
        <f t="shared" si="116"/>
        <v>26256871.34</v>
      </c>
      <c r="T302" s="80">
        <f>N302/'2015'!M302-1</f>
        <v>0.16037292696714189</v>
      </c>
      <c r="U302" s="80">
        <f>O302/'2015'!N302-1</f>
        <v>2.3909550847711403E-2</v>
      </c>
      <c r="V302" s="80">
        <f>P302/'2015'!O302-1</f>
        <v>0.10971637902346498</v>
      </c>
      <c r="W302" s="81">
        <f>Q302/'2015'!P302-1</f>
        <v>8.1706611157059017E-2</v>
      </c>
      <c r="X302" s="81">
        <f>R302/'2015'!Q302-1</f>
        <v>2.678817207837314E-2</v>
      </c>
      <c r="Y302" s="81">
        <f>S302/'2015'!R302-1</f>
        <v>6.7861333762372356E-2</v>
      </c>
      <c r="Z302" s="50">
        <f t="shared" si="118"/>
        <v>125.696</v>
      </c>
      <c r="AA302" s="97">
        <f t="shared" si="104"/>
        <v>1525.1248000000001</v>
      </c>
      <c r="AB302" s="105"/>
      <c r="AC302" s="105"/>
      <c r="AD302" s="8">
        <f t="shared" si="105"/>
        <v>17233819.34</v>
      </c>
      <c r="AE302" s="37">
        <f t="shared" si="107"/>
        <v>436246</v>
      </c>
      <c r="AF302" s="37">
        <f t="shared" si="107"/>
        <v>228265</v>
      </c>
      <c r="AG302" s="37">
        <f t="shared" si="106"/>
        <v>61100.339999999851</v>
      </c>
    </row>
    <row r="303" spans="1:33" ht="15" customHeight="1" x14ac:dyDescent="0.15">
      <c r="A303" s="102">
        <v>42668</v>
      </c>
      <c r="B303" s="20" t="s">
        <v>35</v>
      </c>
      <c r="C303" s="8">
        <v>48054</v>
      </c>
      <c r="D303" s="37">
        <f>30456+10015</f>
        <v>40471</v>
      </c>
      <c r="E303" s="37">
        <v>90691</v>
      </c>
      <c r="F303" s="55">
        <v>4563.2</v>
      </c>
      <c r="G303" s="37">
        <v>3056.2</v>
      </c>
      <c r="H303" s="24"/>
      <c r="I303" s="36"/>
      <c r="J303" s="8">
        <f t="shared" si="101"/>
        <v>50220</v>
      </c>
      <c r="K303" s="37">
        <v>1278</v>
      </c>
      <c r="L303" s="37">
        <v>790</v>
      </c>
      <c r="M303" s="37">
        <f t="shared" si="112"/>
        <v>98</v>
      </c>
      <c r="N303" s="74">
        <f t="shared" si="113"/>
        <v>1214006</v>
      </c>
      <c r="O303" s="75">
        <f t="shared" si="114"/>
        <v>861327</v>
      </c>
      <c r="P303" s="75">
        <f t="shared" si="115"/>
        <v>2141519</v>
      </c>
      <c r="Q303" s="76">
        <f t="shared" si="116"/>
        <v>16556262</v>
      </c>
      <c r="R303" s="76">
        <f t="shared" si="116"/>
        <v>9063523</v>
      </c>
      <c r="S303" s="76">
        <f t="shared" si="116"/>
        <v>26347562.34</v>
      </c>
      <c r="T303" s="80">
        <f>N303/'2015'!M303-1</f>
        <v>0.15521810581326867</v>
      </c>
      <c r="U303" s="80">
        <f>O303/'2015'!N303-1</f>
        <v>3.2984178915454576E-2</v>
      </c>
      <c r="V303" s="80">
        <f>P303/'2015'!O303-1</f>
        <v>0.11075846780488785</v>
      </c>
      <c r="W303" s="81">
        <f>Q303/'2015'!P303-1</f>
        <v>8.1589535166227023E-2</v>
      </c>
      <c r="X303" s="81">
        <f>R303/'2015'!Q303-1</f>
        <v>2.7635600558426399E-2</v>
      </c>
      <c r="Y303" s="81">
        <f>S303/'2015'!R303-1</f>
        <v>6.8078371532052318E-2</v>
      </c>
      <c r="Z303" s="50">
        <f t="shared" si="118"/>
        <v>125.94</v>
      </c>
      <c r="AA303" s="97">
        <f t="shared" si="104"/>
        <v>1529.6861999999999</v>
      </c>
      <c r="AB303" s="105"/>
      <c r="AC303" s="105"/>
      <c r="AD303" s="8">
        <f t="shared" si="105"/>
        <v>17284039.34</v>
      </c>
      <c r="AE303" s="37">
        <f t="shared" si="107"/>
        <v>437524</v>
      </c>
      <c r="AF303" s="37">
        <f t="shared" si="107"/>
        <v>229055</v>
      </c>
      <c r="AG303" s="37">
        <f t="shared" si="106"/>
        <v>61198.339999999851</v>
      </c>
    </row>
    <row r="304" spans="1:33" ht="15" customHeight="1" x14ac:dyDescent="0.15">
      <c r="A304" s="102">
        <v>42669</v>
      </c>
      <c r="B304" s="14" t="s">
        <v>36</v>
      </c>
      <c r="C304" s="32">
        <v>49819</v>
      </c>
      <c r="D304" s="33">
        <f>30810+10054</f>
        <v>40864</v>
      </c>
      <c r="E304" s="33">
        <v>92128</v>
      </c>
      <c r="F304" s="59">
        <v>4592.3999999999996</v>
      </c>
      <c r="G304" s="33">
        <v>3083</v>
      </c>
      <c r="H304" s="19"/>
      <c r="I304" s="19"/>
      <c r="J304" s="32">
        <f t="shared" si="101"/>
        <v>51264</v>
      </c>
      <c r="K304" s="33">
        <v>487</v>
      </c>
      <c r="L304" s="33">
        <v>791</v>
      </c>
      <c r="M304" s="33">
        <f t="shared" si="112"/>
        <v>167</v>
      </c>
      <c r="N304" s="77">
        <f t="shared" si="113"/>
        <v>1263825</v>
      </c>
      <c r="O304" s="78">
        <f t="shared" si="114"/>
        <v>902191</v>
      </c>
      <c r="P304" s="78">
        <f t="shared" si="115"/>
        <v>2233647</v>
      </c>
      <c r="Q304" s="77">
        <f t="shared" si="116"/>
        <v>16606081</v>
      </c>
      <c r="R304" s="77">
        <f t="shared" si="116"/>
        <v>9104387</v>
      </c>
      <c r="S304" s="77">
        <f t="shared" si="116"/>
        <v>26439690.34</v>
      </c>
      <c r="T304" s="82">
        <f>N304/'2015'!M304-1</f>
        <v>0.14303376395978562</v>
      </c>
      <c r="U304" s="82">
        <f>O304/'2015'!N304-1</f>
        <v>4.5871825517811438E-2</v>
      </c>
      <c r="V304" s="82">
        <f>P304/'2015'!O304-1</f>
        <v>0.10970915460979658</v>
      </c>
      <c r="W304" s="82">
        <f>Q304/'2015'!P304-1</f>
        <v>8.097516425131146E-2</v>
      </c>
      <c r="X304" s="82">
        <f>R304/'2015'!Q304-1</f>
        <v>2.8909384330593202E-2</v>
      </c>
      <c r="Y304" s="82">
        <f>S304/'2015'!R304-1</f>
        <v>6.8139334833082099E-2</v>
      </c>
      <c r="Z304" s="49">
        <f t="shared" si="118"/>
        <v>126.184</v>
      </c>
      <c r="AA304" s="49">
        <f t="shared" si="104"/>
        <v>1534.4241</v>
      </c>
      <c r="AB304" s="33">
        <v>4235.1000000000004</v>
      </c>
      <c r="AC304" s="33">
        <f t="shared" si="110"/>
        <v>3623.1118509598355</v>
      </c>
      <c r="AD304" s="32">
        <f t="shared" si="105"/>
        <v>17335303.34</v>
      </c>
      <c r="AE304" s="33">
        <f t="shared" si="107"/>
        <v>438011</v>
      </c>
      <c r="AF304" s="33">
        <f t="shared" si="107"/>
        <v>229846</v>
      </c>
      <c r="AG304" s="33">
        <f t="shared" si="106"/>
        <v>61365.339999999851</v>
      </c>
    </row>
    <row r="305" spans="1:33" ht="15" customHeight="1" x14ac:dyDescent="0.15">
      <c r="A305" s="102">
        <v>42670</v>
      </c>
      <c r="B305" s="20" t="s">
        <v>37</v>
      </c>
      <c r="C305" s="8">
        <v>49637</v>
      </c>
      <c r="D305" s="37">
        <v>41633</v>
      </c>
      <c r="E305" s="37">
        <v>92851</v>
      </c>
      <c r="F305" s="55">
        <v>4655.6000000000004</v>
      </c>
      <c r="G305" s="37">
        <v>3108.3</v>
      </c>
      <c r="H305" s="24"/>
      <c r="I305" s="36"/>
      <c r="J305" s="8">
        <f t="shared" si="101"/>
        <v>51218</v>
      </c>
      <c r="K305" s="37">
        <v>682</v>
      </c>
      <c r="L305" s="37">
        <v>793</v>
      </c>
      <c r="M305" s="37">
        <f t="shared" si="112"/>
        <v>106</v>
      </c>
      <c r="N305" s="74">
        <f t="shared" si="113"/>
        <v>1313462</v>
      </c>
      <c r="O305" s="75">
        <f t="shared" si="114"/>
        <v>943824</v>
      </c>
      <c r="P305" s="75">
        <f t="shared" si="115"/>
        <v>2326498</v>
      </c>
      <c r="Q305" s="76">
        <f t="shared" si="116"/>
        <v>16655718</v>
      </c>
      <c r="R305" s="76">
        <f t="shared" si="116"/>
        <v>9146020</v>
      </c>
      <c r="S305" s="76">
        <f t="shared" si="116"/>
        <v>26532541.34</v>
      </c>
      <c r="T305" s="80">
        <f>N305/'2015'!M305-1</f>
        <v>0.13249106095107854</v>
      </c>
      <c r="U305" s="80">
        <f>O305/'2015'!N305-1</f>
        <v>5.8394103286679711E-2</v>
      </c>
      <c r="V305" s="80">
        <f>P305/'2015'!O305-1</f>
        <v>0.10920307993039158</v>
      </c>
      <c r="W305" s="81">
        <f>Q305/'2015'!P305-1</f>
        <v>8.0399887054266594E-2</v>
      </c>
      <c r="X305" s="81">
        <f>R305/'2015'!Q305-1</f>
        <v>3.0222884054559085E-2</v>
      </c>
      <c r="Y305" s="81">
        <f>S305/'2015'!R305-1</f>
        <v>6.823823722867961E-2</v>
      </c>
      <c r="Z305" s="50">
        <v>126.43</v>
      </c>
      <c r="AA305" s="97">
        <f t="shared" si="104"/>
        <v>1539.1417999999999</v>
      </c>
      <c r="AB305" s="105">
        <v>4235.1000000000004</v>
      </c>
      <c r="AC305" s="105">
        <f t="shared" si="110"/>
        <v>3634.2513754102611</v>
      </c>
      <c r="AD305" s="8">
        <f t="shared" si="105"/>
        <v>17386521.34</v>
      </c>
      <c r="AE305" s="37">
        <f t="shared" si="107"/>
        <v>438693</v>
      </c>
      <c r="AF305" s="37">
        <f t="shared" si="107"/>
        <v>230639</v>
      </c>
      <c r="AG305" s="37">
        <f t="shared" si="106"/>
        <v>61471.339999999851</v>
      </c>
    </row>
    <row r="306" spans="1:33" ht="15" customHeight="1" x14ac:dyDescent="0.15">
      <c r="A306" s="102">
        <v>42671</v>
      </c>
      <c r="B306" s="20" t="s">
        <v>38</v>
      </c>
      <c r="C306" s="70">
        <v>47749</v>
      </c>
      <c r="D306" s="71">
        <f>31377+10328</f>
        <v>41705</v>
      </c>
      <c r="E306" s="71">
        <v>90672</v>
      </c>
      <c r="F306" s="107">
        <v>4661.2</v>
      </c>
      <c r="G306" s="71">
        <v>3103.2</v>
      </c>
      <c r="H306" s="24"/>
      <c r="I306" s="24"/>
      <c r="J306" s="70">
        <f t="shared" si="101"/>
        <v>48967</v>
      </c>
      <c r="K306" s="71">
        <v>295</v>
      </c>
      <c r="L306" s="71">
        <v>788</v>
      </c>
      <c r="M306" s="71">
        <f t="shared" si="112"/>
        <v>135</v>
      </c>
      <c r="N306" s="74">
        <f t="shared" si="113"/>
        <v>1361211</v>
      </c>
      <c r="O306" s="75">
        <f t="shared" si="114"/>
        <v>985529</v>
      </c>
      <c r="P306" s="75">
        <f t="shared" si="115"/>
        <v>2417170</v>
      </c>
      <c r="Q306" s="76">
        <f t="shared" si="116"/>
        <v>16703467</v>
      </c>
      <c r="R306" s="76">
        <f t="shared" si="116"/>
        <v>9187725</v>
      </c>
      <c r="S306" s="76">
        <f t="shared" si="116"/>
        <v>26623213.34</v>
      </c>
      <c r="T306" s="80">
        <f>N306/'2015'!M306-1</f>
        <v>0.12141630802285652</v>
      </c>
      <c r="U306" s="80">
        <f>O306/'2015'!N306-1</f>
        <v>6.9734197055413949E-2</v>
      </c>
      <c r="V306" s="80">
        <f>P306/'2015'!O306-1</f>
        <v>0.10743062551914329</v>
      </c>
      <c r="W306" s="81">
        <f>Q306/'2015'!P306-1</f>
        <v>7.9712876672092481E-2</v>
      </c>
      <c r="X306" s="81">
        <f>R306/'2015'!Q306-1</f>
        <v>3.1489204908859092E-2</v>
      </c>
      <c r="Y306" s="81">
        <f>S306/'2015'!R306-1</f>
        <v>6.8223104570191095E-2</v>
      </c>
      <c r="Z306" s="97">
        <f>Z305+0.235</f>
        <v>126.66500000000001</v>
      </c>
      <c r="AA306" s="97">
        <f t="shared" si="104"/>
        <v>1543.6817000000001</v>
      </c>
      <c r="AB306" s="106"/>
      <c r="AC306" s="105"/>
      <c r="AD306" s="70">
        <f t="shared" si="105"/>
        <v>17435488.34</v>
      </c>
      <c r="AE306" s="71">
        <f t="shared" si="107"/>
        <v>438988</v>
      </c>
      <c r="AF306" s="71">
        <f t="shared" si="107"/>
        <v>231427</v>
      </c>
      <c r="AG306" s="71">
        <f t="shared" si="106"/>
        <v>61606.339999999851</v>
      </c>
    </row>
    <row r="307" spans="1:33" ht="15" customHeight="1" x14ac:dyDescent="0.15">
      <c r="A307" s="102">
        <v>42672</v>
      </c>
      <c r="B307" s="20" t="s">
        <v>39</v>
      </c>
      <c r="C307" s="8">
        <v>46498</v>
      </c>
      <c r="D307" s="37">
        <f>29487+10863</f>
        <v>40350</v>
      </c>
      <c r="E307" s="37">
        <v>88510</v>
      </c>
      <c r="F307" s="55">
        <v>4520.5</v>
      </c>
      <c r="G307" s="37">
        <v>3035.4</v>
      </c>
      <c r="H307" s="24"/>
      <c r="I307" s="36"/>
      <c r="J307" s="8">
        <f t="shared" si="101"/>
        <v>48160</v>
      </c>
      <c r="K307" s="37">
        <v>321</v>
      </c>
      <c r="L307" s="37">
        <v>793</v>
      </c>
      <c r="M307" s="37">
        <f t="shared" si="112"/>
        <v>548</v>
      </c>
      <c r="N307" s="74">
        <f t="shared" si="113"/>
        <v>1407709</v>
      </c>
      <c r="O307" s="75">
        <f t="shared" si="114"/>
        <v>1025879</v>
      </c>
      <c r="P307" s="75">
        <f t="shared" si="115"/>
        <v>2505680</v>
      </c>
      <c r="Q307" s="76">
        <f t="shared" si="116"/>
        <v>16749965</v>
      </c>
      <c r="R307" s="76">
        <f t="shared" si="116"/>
        <v>9228075</v>
      </c>
      <c r="S307" s="76">
        <f t="shared" si="116"/>
        <v>26711723.34</v>
      </c>
      <c r="T307" s="80">
        <f>N307/'2015'!M307-1</f>
        <v>0.11102701269263493</v>
      </c>
      <c r="U307" s="80">
        <f>O307/'2015'!N307-1</f>
        <v>7.7424043673378184E-2</v>
      </c>
      <c r="V307" s="80">
        <f>P307/'2015'!O307-1</f>
        <v>0.10477282246864039</v>
      </c>
      <c r="W307" s="81">
        <f>Q307/'2015'!P307-1</f>
        <v>7.9007823499460894E-2</v>
      </c>
      <c r="X307" s="81">
        <f>R307/'2015'!Q307-1</f>
        <v>3.2440498100383186E-2</v>
      </c>
      <c r="Y307" s="81">
        <f>S307/'2015'!R307-1</f>
        <v>6.8115899932754242E-2</v>
      </c>
      <c r="Z307" s="50">
        <f t="shared" ref="Z307:Z308" si="119">Z306+0.235</f>
        <v>126.9</v>
      </c>
      <c r="AA307" s="97">
        <f t="shared" si="104"/>
        <v>1548.0964999999999</v>
      </c>
      <c r="AB307" s="105"/>
      <c r="AC307" s="105"/>
      <c r="AD307" s="8">
        <f t="shared" si="105"/>
        <v>17483648.34</v>
      </c>
      <c r="AE307" s="37">
        <f t="shared" si="107"/>
        <v>439309</v>
      </c>
      <c r="AF307" s="37">
        <f t="shared" si="107"/>
        <v>232220</v>
      </c>
      <c r="AG307" s="37">
        <f t="shared" si="106"/>
        <v>62154.339999999851</v>
      </c>
    </row>
    <row r="308" spans="1:33" ht="15" customHeight="1" x14ac:dyDescent="0.15">
      <c r="A308" s="102">
        <v>42673</v>
      </c>
      <c r="B308" s="20" t="s">
        <v>1</v>
      </c>
      <c r="C308" s="8">
        <v>42594</v>
      </c>
      <c r="D308" s="37">
        <f>30530+10922</f>
        <v>41452</v>
      </c>
      <c r="E308" s="37">
        <v>85348</v>
      </c>
      <c r="F308" s="55">
        <v>4175.1000000000004</v>
      </c>
      <c r="G308" s="37">
        <v>3976.6</v>
      </c>
      <c r="H308" s="24"/>
      <c r="I308" s="36"/>
      <c r="J308" s="8">
        <f t="shared" si="101"/>
        <v>43896</v>
      </c>
      <c r="K308" s="37">
        <v>373</v>
      </c>
      <c r="L308" s="37">
        <v>789</v>
      </c>
      <c r="M308" s="37">
        <f t="shared" si="112"/>
        <v>140</v>
      </c>
      <c r="N308" s="74">
        <f t="shared" si="113"/>
        <v>1450303</v>
      </c>
      <c r="O308" s="75">
        <f t="shared" si="114"/>
        <v>1067331</v>
      </c>
      <c r="P308" s="75">
        <f t="shared" si="115"/>
        <v>2591028</v>
      </c>
      <c r="Q308" s="76">
        <f t="shared" si="116"/>
        <v>16792559</v>
      </c>
      <c r="R308" s="76">
        <f t="shared" si="116"/>
        <v>9269527</v>
      </c>
      <c r="S308" s="76">
        <f t="shared" si="116"/>
        <v>26797071.34</v>
      </c>
      <c r="T308" s="80">
        <f>N308/'2015'!M308-1</f>
        <v>9.9966856200658816E-2</v>
      </c>
      <c r="U308" s="80">
        <f>O308/'2015'!N308-1</f>
        <v>8.5196591485627859E-2</v>
      </c>
      <c r="V308" s="80">
        <f>P308/'2015'!O308-1</f>
        <v>0.10139060219187535</v>
      </c>
      <c r="W308" s="81">
        <f>Q308/'2015'!P308-1</f>
        <v>7.8177324602819009E-2</v>
      </c>
      <c r="X308" s="81">
        <f>R308/'2015'!Q308-1</f>
        <v>3.3450151491231983E-2</v>
      </c>
      <c r="Y308" s="81">
        <f>S308/'2015'!R308-1</f>
        <v>6.7922186511553351E-2</v>
      </c>
      <c r="Z308" s="50">
        <f t="shared" si="119"/>
        <v>127.13500000000001</v>
      </c>
      <c r="AA308" s="97">
        <f t="shared" si="104"/>
        <v>1552.1209000000001</v>
      </c>
      <c r="AB308" s="105"/>
      <c r="AC308" s="105"/>
      <c r="AD308" s="8">
        <f t="shared" si="105"/>
        <v>17527544.34</v>
      </c>
      <c r="AE308" s="37">
        <f t="shared" si="107"/>
        <v>439682</v>
      </c>
      <c r="AF308" s="37">
        <f t="shared" si="107"/>
        <v>233009</v>
      </c>
      <c r="AG308" s="37">
        <f t="shared" si="106"/>
        <v>62294.339999999851</v>
      </c>
    </row>
    <row r="309" spans="1:33" s="1" customFormat="1" ht="15" customHeight="1" x14ac:dyDescent="0.15">
      <c r="A309" s="25">
        <v>42674</v>
      </c>
      <c r="B309" s="25" t="s">
        <v>34</v>
      </c>
      <c r="C309" s="42">
        <v>46414</v>
      </c>
      <c r="D309" s="43">
        <f>30769+10763</f>
        <v>41532</v>
      </c>
      <c r="E309" s="43">
        <v>89681</v>
      </c>
      <c r="F309" s="57">
        <v>4562.2</v>
      </c>
      <c r="G309" s="43">
        <v>2907.9</v>
      </c>
      <c r="H309" s="30"/>
      <c r="I309" s="30"/>
      <c r="J309" s="42">
        <f t="shared" si="101"/>
        <v>48149</v>
      </c>
      <c r="K309" s="43">
        <v>351</v>
      </c>
      <c r="L309" s="43">
        <v>789</v>
      </c>
      <c r="M309" s="43">
        <f t="shared" si="112"/>
        <v>595</v>
      </c>
      <c r="N309" s="87">
        <f t="shared" si="113"/>
        <v>1496717</v>
      </c>
      <c r="O309" s="88">
        <f t="shared" si="114"/>
        <v>1108863</v>
      </c>
      <c r="P309" s="88">
        <f t="shared" si="115"/>
        <v>2680709</v>
      </c>
      <c r="Q309" s="87">
        <f t="shared" si="116"/>
        <v>16838973</v>
      </c>
      <c r="R309" s="87">
        <f t="shared" si="116"/>
        <v>9311059</v>
      </c>
      <c r="S309" s="87">
        <f t="shared" si="116"/>
        <v>26886752.34</v>
      </c>
      <c r="T309" s="89">
        <f>N309/'2015'!M309-1</f>
        <v>9.3986613854959877E-2</v>
      </c>
      <c r="U309" s="89">
        <f>O309/'2015'!N309-1</f>
        <v>9.3096180689731245E-2</v>
      </c>
      <c r="V309" s="89">
        <f>P309/'2015'!O309-1</f>
        <v>0.10119299957935701</v>
      </c>
      <c r="W309" s="89">
        <f>Q309/'2015'!P309-1</f>
        <v>7.7722896320126189E-2</v>
      </c>
      <c r="X309" s="89">
        <f>R309/'2015'!Q309-1</f>
        <v>3.4518086619202748E-2</v>
      </c>
      <c r="Y309" s="89">
        <f>S309/'2015'!R309-1</f>
        <v>6.8011910108851437E-2</v>
      </c>
      <c r="Z309" s="52">
        <v>127.3719</v>
      </c>
      <c r="AA309" s="52">
        <f t="shared" si="104"/>
        <v>1556.5254</v>
      </c>
      <c r="AB309" s="43">
        <v>4236</v>
      </c>
      <c r="AC309" s="43">
        <f t="shared" si="110"/>
        <v>3674.5169971671389</v>
      </c>
      <c r="AD309" s="42">
        <f t="shared" si="105"/>
        <v>17575693.34</v>
      </c>
      <c r="AE309" s="43">
        <v>440084</v>
      </c>
      <c r="AF309" s="43">
        <f t="shared" si="107"/>
        <v>233798</v>
      </c>
      <c r="AG309" s="43">
        <f t="shared" si="106"/>
        <v>62838.339999999851</v>
      </c>
    </row>
    <row r="310" spans="1:33" ht="15" customHeight="1" x14ac:dyDescent="0.15">
      <c r="A310" s="102">
        <v>42675</v>
      </c>
      <c r="B310" s="20" t="s">
        <v>35</v>
      </c>
      <c r="C310" s="8">
        <v>46218</v>
      </c>
      <c r="D310" s="37">
        <f>28596+11109</f>
        <v>39705</v>
      </c>
      <c r="E310" s="37">
        <v>87266</v>
      </c>
      <c r="F310" s="55">
        <v>4344.2</v>
      </c>
      <c r="G310" s="37">
        <v>2943.8</v>
      </c>
      <c r="H310" s="24"/>
      <c r="I310" s="36"/>
      <c r="J310" s="8">
        <f t="shared" si="101"/>
        <v>47561</v>
      </c>
      <c r="K310" s="37">
        <v>432</v>
      </c>
      <c r="L310" s="37">
        <v>790</v>
      </c>
      <c r="M310" s="37">
        <f t="shared" si="112"/>
        <v>121</v>
      </c>
      <c r="N310" s="74">
        <f>C310</f>
        <v>46218</v>
      </c>
      <c r="O310" s="75">
        <f>D310</f>
        <v>39705</v>
      </c>
      <c r="P310" s="75">
        <f>E310</f>
        <v>87266</v>
      </c>
      <c r="Q310" s="76">
        <f>Q$309+N310</f>
        <v>16885191</v>
      </c>
      <c r="R310" s="76">
        <f>R$309+O310</f>
        <v>9350764</v>
      </c>
      <c r="S310" s="76">
        <f>S$309+P310</f>
        <v>26974018.34</v>
      </c>
      <c r="T310" s="80">
        <f>N310/'2015'!M310-1</f>
        <v>6.3338318187047049E-2</v>
      </c>
      <c r="U310" s="80">
        <f>O310/'2015'!N310-1</f>
        <v>0.29306975835341631</v>
      </c>
      <c r="V310" s="80">
        <f>P310/'2015'!O310-1</f>
        <v>0.15840335576706099</v>
      </c>
      <c r="W310" s="81">
        <f>Q310/'2015'!P310-1</f>
        <v>7.7682991820934966E-2</v>
      </c>
      <c r="X310" s="81">
        <f>R310/'2015'!Q310-1</f>
        <v>3.539717081738436E-2</v>
      </c>
      <c r="Y310" s="81">
        <f>S310/'2015'!R310-1</f>
        <v>6.8281592563047999E-2</v>
      </c>
      <c r="Z310" s="50">
        <f>Z309+0.2817</f>
        <v>127.6536</v>
      </c>
      <c r="AA310" s="97">
        <f t="shared" si="104"/>
        <v>1560.8654999999999</v>
      </c>
      <c r="AB310" s="105"/>
      <c r="AC310" s="105"/>
      <c r="AD310" s="8">
        <f t="shared" si="105"/>
        <v>17623254.34</v>
      </c>
      <c r="AE310" s="37">
        <f t="shared" si="107"/>
        <v>440516</v>
      </c>
      <c r="AF310" s="37">
        <f t="shared" si="107"/>
        <v>234588</v>
      </c>
      <c r="AG310" s="37">
        <f t="shared" si="106"/>
        <v>62959.339999999851</v>
      </c>
    </row>
    <row r="311" spans="1:33" ht="15" customHeight="1" x14ac:dyDescent="0.15">
      <c r="A311" s="102">
        <v>42676</v>
      </c>
      <c r="B311" s="14" t="s">
        <v>36</v>
      </c>
      <c r="C311" s="32">
        <v>49464</v>
      </c>
      <c r="D311" s="33">
        <f>29043+10293</f>
        <v>39336</v>
      </c>
      <c r="E311" s="33">
        <v>90100</v>
      </c>
      <c r="F311" s="59">
        <v>4557.5</v>
      </c>
      <c r="G311" s="33">
        <v>2963.3</v>
      </c>
      <c r="H311" s="19"/>
      <c r="I311" s="19"/>
      <c r="J311" s="32">
        <f t="shared" si="101"/>
        <v>50764</v>
      </c>
      <c r="K311" s="33">
        <v>384</v>
      </c>
      <c r="L311" s="33">
        <v>792</v>
      </c>
      <c r="M311" s="33">
        <f t="shared" si="112"/>
        <v>124</v>
      </c>
      <c r="N311" s="77">
        <f t="shared" ref="N311:N339" si="120">C311+N310</f>
        <v>95682</v>
      </c>
      <c r="O311" s="78">
        <f t="shared" ref="O311:O338" si="121">D311+O310</f>
        <v>79041</v>
      </c>
      <c r="P311" s="78">
        <f t="shared" ref="P311:P339" si="122">E311+P310</f>
        <v>177366</v>
      </c>
      <c r="Q311" s="77">
        <f t="shared" ref="Q311:S339" si="123">Q$309+N311</f>
        <v>16934655</v>
      </c>
      <c r="R311" s="77">
        <f t="shared" si="123"/>
        <v>9390100</v>
      </c>
      <c r="S311" s="77">
        <f t="shared" si="123"/>
        <v>27064118.34</v>
      </c>
      <c r="T311" s="82">
        <f>N311/'2015'!M311-1</f>
        <v>3.7124554234367002E-2</v>
      </c>
      <c r="U311" s="82">
        <f>O311/'2015'!N311-1</f>
        <v>0.28026499076743661</v>
      </c>
      <c r="V311" s="82">
        <f>P311/'2015'!O311-1</f>
        <v>0.1354984923271938</v>
      </c>
      <c r="W311" s="82">
        <f>Q311/'2015'!P311-1</f>
        <v>7.7484586280119228E-2</v>
      </c>
      <c r="X311" s="82">
        <f>R311/'2015'!Q311-1</f>
        <v>3.6192299793834204E-2</v>
      </c>
      <c r="Y311" s="82">
        <f>S311/'2015'!R311-1</f>
        <v>6.8428062742003082E-2</v>
      </c>
      <c r="Z311" s="49">
        <f t="shared" ref="Z311:Z338" si="124">Z310+0.2817</f>
        <v>127.9353</v>
      </c>
      <c r="AA311" s="49">
        <f t="shared" si="104"/>
        <v>1565.5301999999999</v>
      </c>
      <c r="AB311" s="33">
        <v>4236</v>
      </c>
      <c r="AC311" s="33">
        <f t="shared" si="110"/>
        <v>3695.7747875354107</v>
      </c>
      <c r="AD311" s="32">
        <f t="shared" si="105"/>
        <v>17674018.34</v>
      </c>
      <c r="AE311" s="33">
        <f t="shared" si="107"/>
        <v>440900</v>
      </c>
      <c r="AF311" s="33">
        <f t="shared" si="107"/>
        <v>235380</v>
      </c>
      <c r="AG311" s="33">
        <f t="shared" si="106"/>
        <v>63083.339999999851</v>
      </c>
    </row>
    <row r="312" spans="1:33" ht="15" customHeight="1" x14ac:dyDescent="0.15">
      <c r="A312" s="102">
        <v>42677</v>
      </c>
      <c r="B312" s="20" t="s">
        <v>37</v>
      </c>
      <c r="C312" s="8">
        <v>50812</v>
      </c>
      <c r="D312" s="37">
        <f>28860+10319</f>
        <v>39179</v>
      </c>
      <c r="E312" s="37">
        <v>91675</v>
      </c>
      <c r="F312" s="55">
        <v>4560.8</v>
      </c>
      <c r="G312" s="37">
        <v>3057</v>
      </c>
      <c r="H312" s="24"/>
      <c r="I312" s="36"/>
      <c r="J312" s="8">
        <f t="shared" si="101"/>
        <v>52496</v>
      </c>
      <c r="K312" s="37">
        <v>649</v>
      </c>
      <c r="L312" s="37">
        <v>792</v>
      </c>
      <c r="M312" s="37">
        <f t="shared" si="112"/>
        <v>243</v>
      </c>
      <c r="N312" s="74">
        <f t="shared" si="120"/>
        <v>146494</v>
      </c>
      <c r="O312" s="75">
        <f t="shared" si="121"/>
        <v>118220</v>
      </c>
      <c r="P312" s="75">
        <f t="shared" si="122"/>
        <v>269041</v>
      </c>
      <c r="Q312" s="76">
        <f t="shared" si="123"/>
        <v>16985467</v>
      </c>
      <c r="R312" s="76">
        <f t="shared" si="123"/>
        <v>9429279</v>
      </c>
      <c r="S312" s="76">
        <f t="shared" si="123"/>
        <v>27155793.34</v>
      </c>
      <c r="T312" s="80">
        <f>N312/'2015'!M312-1</f>
        <v>3.2255192675125777E-3</v>
      </c>
      <c r="U312" s="80">
        <f>O312/'2015'!N312-1</f>
        <v>0.30059297886618919</v>
      </c>
      <c r="V312" s="80">
        <f>P312/'2015'!O312-1</f>
        <v>0.11921342518636857</v>
      </c>
      <c r="W312" s="81">
        <f>Q312/'2015'!P312-1</f>
        <v>7.7033111215496497E-2</v>
      </c>
      <c r="X312" s="81">
        <f>R312/'2015'!Q312-1</f>
        <v>3.7178373122376707E-2</v>
      </c>
      <c r="Y312" s="81">
        <f>S312/'2015'!R312-1</f>
        <v>6.8496192695917557E-2</v>
      </c>
      <c r="Z312" s="50">
        <f t="shared" si="124"/>
        <v>128.21699999999998</v>
      </c>
      <c r="AA312" s="97">
        <f t="shared" si="104"/>
        <v>1570.3297000000002</v>
      </c>
      <c r="AB312" s="105"/>
      <c r="AC312" s="105"/>
      <c r="AD312" s="8">
        <f t="shared" si="105"/>
        <v>17726514.34</v>
      </c>
      <c r="AE312" s="37">
        <f t="shared" si="107"/>
        <v>441549</v>
      </c>
      <c r="AF312" s="37">
        <f t="shared" si="107"/>
        <v>236172</v>
      </c>
      <c r="AG312" s="37">
        <f t="shared" si="106"/>
        <v>63326.339999999851</v>
      </c>
    </row>
    <row r="313" spans="1:33" ht="15" customHeight="1" x14ac:dyDescent="0.15">
      <c r="A313" s="102">
        <v>42678</v>
      </c>
      <c r="B313" s="20" t="s">
        <v>38</v>
      </c>
      <c r="C313" s="70">
        <v>52933</v>
      </c>
      <c r="D313" s="71">
        <f>27119+10387</f>
        <v>37506</v>
      </c>
      <c r="E313" s="71">
        <v>91977</v>
      </c>
      <c r="F313" s="107">
        <v>4577.1000000000004</v>
      </c>
      <c r="G313" s="71">
        <v>4577.1000000000004</v>
      </c>
      <c r="H313" s="24"/>
      <c r="I313" s="24"/>
      <c r="J313" s="70">
        <f t="shared" si="101"/>
        <v>54471</v>
      </c>
      <c r="K313" s="71">
        <v>476</v>
      </c>
      <c r="L313" s="71">
        <v>791</v>
      </c>
      <c r="M313" s="71">
        <f t="shared" si="112"/>
        <v>271</v>
      </c>
      <c r="N313" s="74">
        <f t="shared" si="120"/>
        <v>199427</v>
      </c>
      <c r="O313" s="75">
        <f t="shared" si="121"/>
        <v>155726</v>
      </c>
      <c r="P313" s="75">
        <f t="shared" si="122"/>
        <v>361018</v>
      </c>
      <c r="Q313" s="76">
        <f t="shared" si="123"/>
        <v>17038400</v>
      </c>
      <c r="R313" s="76">
        <f t="shared" si="123"/>
        <v>9466785</v>
      </c>
      <c r="S313" s="76">
        <f t="shared" si="123"/>
        <v>27247770.34</v>
      </c>
      <c r="T313" s="80">
        <f>N313/'2015'!M313-1</f>
        <v>-9.6587410364896709E-3</v>
      </c>
      <c r="U313" s="80">
        <f>O313/'2015'!N313-1</f>
        <v>0.31040576246655105</v>
      </c>
      <c r="V313" s="80">
        <f>P313/'2015'!O313-1</f>
        <v>0.11015852027245199</v>
      </c>
      <c r="W313" s="81">
        <f>Q313/'2015'!P313-1</f>
        <v>7.6611038435147938E-2</v>
      </c>
      <c r="X313" s="81">
        <f>R313/'2015'!Q313-1</f>
        <v>3.8113343234032815E-2</v>
      </c>
      <c r="Y313" s="81">
        <f>S313/'2015'!R313-1</f>
        <v>6.8549399806492328E-2</v>
      </c>
      <c r="Z313" s="97">
        <f t="shared" si="124"/>
        <v>128.49869999999999</v>
      </c>
      <c r="AA313" s="97">
        <f t="shared" si="104"/>
        <v>1575.3413</v>
      </c>
      <c r="AB313" s="106"/>
      <c r="AC313" s="105"/>
      <c r="AD313" s="70">
        <f t="shared" si="105"/>
        <v>17780985.34</v>
      </c>
      <c r="AE313" s="71">
        <f t="shared" si="107"/>
        <v>442025</v>
      </c>
      <c r="AF313" s="71">
        <f t="shared" si="107"/>
        <v>236963</v>
      </c>
      <c r="AG313" s="71">
        <f t="shared" si="106"/>
        <v>63597.339999999851</v>
      </c>
    </row>
    <row r="314" spans="1:33" ht="15" customHeight="1" x14ac:dyDescent="0.15">
      <c r="A314" s="102">
        <v>42679</v>
      </c>
      <c r="B314" s="20" t="s">
        <v>39</v>
      </c>
      <c r="C314" s="8">
        <v>51768</v>
      </c>
      <c r="D314" s="37">
        <f>27193+9995</f>
        <v>37188</v>
      </c>
      <c r="E314" s="37">
        <v>90539</v>
      </c>
      <c r="F314" s="55">
        <v>4517.5</v>
      </c>
      <c r="G314" s="37">
        <v>4517.5</v>
      </c>
      <c r="H314" s="24"/>
      <c r="I314" s="36"/>
      <c r="J314" s="8">
        <f t="shared" si="101"/>
        <v>53351</v>
      </c>
      <c r="K314" s="37">
        <v>507</v>
      </c>
      <c r="L314" s="37">
        <v>792</v>
      </c>
      <c r="M314" s="37">
        <f t="shared" si="112"/>
        <v>284</v>
      </c>
      <c r="N314" s="74">
        <f t="shared" si="120"/>
        <v>251195</v>
      </c>
      <c r="O314" s="75">
        <f t="shared" si="121"/>
        <v>192914</v>
      </c>
      <c r="P314" s="75">
        <f t="shared" si="122"/>
        <v>451557</v>
      </c>
      <c r="Q314" s="76">
        <f t="shared" si="123"/>
        <v>17090168</v>
      </c>
      <c r="R314" s="76">
        <f t="shared" si="123"/>
        <v>9503973</v>
      </c>
      <c r="S314" s="76">
        <f t="shared" si="123"/>
        <v>27338309.34</v>
      </c>
      <c r="T314" s="80">
        <f>N314/'2015'!M314-1</f>
        <v>-2.05027821862096E-2</v>
      </c>
      <c r="U314" s="80">
        <f>O314/'2015'!N314-1</f>
        <v>0.32576918583474779</v>
      </c>
      <c r="V314" s="80">
        <f>P314/'2015'!O314-1</f>
        <v>0.10383543561161623</v>
      </c>
      <c r="W314" s="81">
        <f>Q314/'2015'!P314-1</f>
        <v>7.6136710963099485E-2</v>
      </c>
      <c r="X314" s="81">
        <f>R314/'2015'!Q314-1</f>
        <v>3.9151886081338905E-2</v>
      </c>
      <c r="Y314" s="81">
        <f>S314/'2015'!R314-1</f>
        <v>6.858472444580932E-2</v>
      </c>
      <c r="Z314" s="50">
        <f t="shared" si="124"/>
        <v>128.78039999999999</v>
      </c>
      <c r="AA314" s="97">
        <f t="shared" si="104"/>
        <v>1580.2364000000002</v>
      </c>
      <c r="AB314" s="105"/>
      <c r="AC314" s="105"/>
      <c r="AD314" s="8">
        <f t="shared" si="105"/>
        <v>17834336.34</v>
      </c>
      <c r="AE314" s="37">
        <f t="shared" si="107"/>
        <v>442532</v>
      </c>
      <c r="AF314" s="37">
        <f t="shared" si="107"/>
        <v>237755</v>
      </c>
      <c r="AG314" s="37">
        <f t="shared" si="106"/>
        <v>63881.339999999851</v>
      </c>
    </row>
    <row r="315" spans="1:33" ht="15" customHeight="1" x14ac:dyDescent="0.15">
      <c r="A315" s="102">
        <v>42680</v>
      </c>
      <c r="B315" s="20" t="s">
        <v>1</v>
      </c>
      <c r="C315" s="8">
        <v>48663</v>
      </c>
      <c r="D315" s="37">
        <f>26052+10301</f>
        <v>36353</v>
      </c>
      <c r="E315" s="37">
        <v>86659</v>
      </c>
      <c r="F315" s="55">
        <v>4238.8</v>
      </c>
      <c r="G315" s="37">
        <v>4238.8</v>
      </c>
      <c r="H315" s="24"/>
      <c r="I315" s="36"/>
      <c r="J315" s="8">
        <f t="shared" si="101"/>
        <v>50306</v>
      </c>
      <c r="K315" s="37">
        <v>612</v>
      </c>
      <c r="L315" s="37">
        <v>789</v>
      </c>
      <c r="M315" s="37">
        <f t="shared" si="112"/>
        <v>242</v>
      </c>
      <c r="N315" s="74">
        <f t="shared" si="120"/>
        <v>299858</v>
      </c>
      <c r="O315" s="75">
        <f t="shared" si="121"/>
        <v>229267</v>
      </c>
      <c r="P315" s="75">
        <f t="shared" si="122"/>
        <v>538216</v>
      </c>
      <c r="Q315" s="76">
        <f t="shared" si="123"/>
        <v>17138831</v>
      </c>
      <c r="R315" s="76">
        <f t="shared" si="123"/>
        <v>9540326</v>
      </c>
      <c r="S315" s="76">
        <f t="shared" si="123"/>
        <v>27424968.34</v>
      </c>
      <c r="T315" s="80">
        <f>N315/'2015'!M315-1</f>
        <v>-4.3753069411757162E-2</v>
      </c>
      <c r="U315" s="80">
        <f>O315/'2015'!N315-1</f>
        <v>0.3367480802980567</v>
      </c>
      <c r="V315" s="80">
        <f>P315/'2015'!O315-1</f>
        <v>9.1693880448672438E-2</v>
      </c>
      <c r="W315" s="81">
        <f>Q315/'2015'!P315-1</f>
        <v>7.5332897524011955E-2</v>
      </c>
      <c r="X315" s="81">
        <f>R315/'2015'!Q315-1</f>
        <v>4.0169674878492989E-2</v>
      </c>
      <c r="Y315" s="81">
        <f>S315/'2015'!R315-1</f>
        <v>6.8466781319680425E-2</v>
      </c>
      <c r="Z315" s="50">
        <f t="shared" si="124"/>
        <v>129.06209999999999</v>
      </c>
      <c r="AA315" s="97">
        <f t="shared" si="104"/>
        <v>1584.8209999999999</v>
      </c>
      <c r="AB315" s="105"/>
      <c r="AC315" s="105"/>
      <c r="AD315" s="8">
        <f t="shared" si="105"/>
        <v>17884642.34</v>
      </c>
      <c r="AE315" s="37">
        <f t="shared" si="107"/>
        <v>443144</v>
      </c>
      <c r="AF315" s="37">
        <f t="shared" si="107"/>
        <v>238544</v>
      </c>
      <c r="AG315" s="37">
        <f t="shared" si="106"/>
        <v>64123.339999999851</v>
      </c>
    </row>
    <row r="316" spans="1:33" ht="15" customHeight="1" x14ac:dyDescent="0.15">
      <c r="A316" s="102">
        <v>42681</v>
      </c>
      <c r="B316" s="20" t="s">
        <v>34</v>
      </c>
      <c r="C316" s="8">
        <v>53132</v>
      </c>
      <c r="D316" s="37">
        <f>25842+10425</f>
        <v>36267</v>
      </c>
      <c r="E316" s="37">
        <v>91381</v>
      </c>
      <c r="F316" s="55">
        <v>4687.6000000000004</v>
      </c>
      <c r="G316" s="37">
        <v>2941.6</v>
      </c>
      <c r="H316" s="24"/>
      <c r="I316" s="36"/>
      <c r="J316" s="8">
        <f t="shared" si="101"/>
        <v>55114</v>
      </c>
      <c r="K316" s="37">
        <v>1085</v>
      </c>
      <c r="L316" s="37">
        <v>792</v>
      </c>
      <c r="M316" s="37">
        <f t="shared" si="112"/>
        <v>105</v>
      </c>
      <c r="N316" s="74">
        <f t="shared" si="120"/>
        <v>352990</v>
      </c>
      <c r="O316" s="75">
        <f t="shared" si="121"/>
        <v>265534</v>
      </c>
      <c r="P316" s="75">
        <f t="shared" si="122"/>
        <v>629597</v>
      </c>
      <c r="Q316" s="76">
        <f t="shared" si="123"/>
        <v>17191963</v>
      </c>
      <c r="R316" s="76">
        <f t="shared" si="123"/>
        <v>9576593</v>
      </c>
      <c r="S316" s="76">
        <f t="shared" si="123"/>
        <v>27516349.34</v>
      </c>
      <c r="T316" s="80">
        <f>N316/'2015'!M316-1</f>
        <v>-4.5108408964873559E-2</v>
      </c>
      <c r="U316" s="80">
        <f>O316/'2015'!N316-1</f>
        <v>0.33932210228992243</v>
      </c>
      <c r="V316" s="80">
        <f>P316/'2015'!O316-1</f>
        <v>9.1218388573349962E-2</v>
      </c>
      <c r="W316" s="81">
        <f>Q316/'2015'!P316-1</f>
        <v>7.4883973928130398E-2</v>
      </c>
      <c r="X316" s="81">
        <f>R316/'2015'!Q316-1</f>
        <v>4.1087582157498748E-2</v>
      </c>
      <c r="Y316" s="81">
        <f>S316/'2015'!R316-1</f>
        <v>6.8531854473369958E-2</v>
      </c>
      <c r="Z316" s="50">
        <f t="shared" si="124"/>
        <v>129.34379999999999</v>
      </c>
      <c r="AA316" s="97">
        <f t="shared" si="104"/>
        <v>1589.8525</v>
      </c>
      <c r="AB316" s="105"/>
      <c r="AC316" s="105"/>
      <c r="AD316" s="8">
        <f t="shared" si="105"/>
        <v>17939756.34</v>
      </c>
      <c r="AE316" s="37">
        <f t="shared" si="107"/>
        <v>444229</v>
      </c>
      <c r="AF316" s="37">
        <f t="shared" si="107"/>
        <v>239336</v>
      </c>
      <c r="AG316" s="37">
        <f t="shared" si="106"/>
        <v>64228.339999999851</v>
      </c>
    </row>
    <row r="317" spans="1:33" ht="15" customHeight="1" x14ac:dyDescent="0.15">
      <c r="A317" s="102">
        <v>42682</v>
      </c>
      <c r="B317" s="20" t="s">
        <v>35</v>
      </c>
      <c r="C317" s="8">
        <v>54882</v>
      </c>
      <c r="D317" s="37">
        <f>25654+10281</f>
        <v>35935</v>
      </c>
      <c r="E317" s="37">
        <v>92532</v>
      </c>
      <c r="F317" s="55">
        <v>4702.3</v>
      </c>
      <c r="G317" s="37">
        <v>3041.4</v>
      </c>
      <c r="H317" s="24"/>
      <c r="I317" s="36"/>
      <c r="J317" s="8">
        <f t="shared" si="101"/>
        <v>56597</v>
      </c>
      <c r="K317" s="37">
        <v>813</v>
      </c>
      <c r="L317" s="37">
        <v>794</v>
      </c>
      <c r="M317" s="37">
        <f t="shared" si="112"/>
        <v>108</v>
      </c>
      <c r="N317" s="74">
        <f t="shared" si="120"/>
        <v>407872</v>
      </c>
      <c r="O317" s="75">
        <f t="shared" si="121"/>
        <v>301469</v>
      </c>
      <c r="P317" s="75">
        <f t="shared" si="122"/>
        <v>722129</v>
      </c>
      <c r="Q317" s="76">
        <f t="shared" si="123"/>
        <v>17246845</v>
      </c>
      <c r="R317" s="76">
        <f t="shared" si="123"/>
        <v>9612528</v>
      </c>
      <c r="S317" s="76">
        <f t="shared" si="123"/>
        <v>27608881.34</v>
      </c>
      <c r="T317" s="80">
        <f>N317/'2015'!M317-1</f>
        <v>-3.0648718533728747E-2</v>
      </c>
      <c r="U317" s="80">
        <f>O317/'2015'!N317-1</f>
        <v>0.35575163134154519</v>
      </c>
      <c r="V317" s="80">
        <f>P317/'2015'!O317-1</f>
        <v>0.10143099440536396</v>
      </c>
      <c r="W317" s="81">
        <f>Q317/'2015'!P317-1</f>
        <v>7.4880995139215756E-2</v>
      </c>
      <c r="X317" s="81">
        <f>R317/'2015'!Q317-1</f>
        <v>4.2263117730879651E-2</v>
      </c>
      <c r="Y317" s="81">
        <f>S317/'2015'!R317-1</f>
        <v>6.8860160597229436E-2</v>
      </c>
      <c r="Z317" s="50">
        <f t="shared" si="124"/>
        <v>129.62549999999999</v>
      </c>
      <c r="AA317" s="97">
        <f t="shared" si="104"/>
        <v>1595.0590000000002</v>
      </c>
      <c r="AB317" s="105"/>
      <c r="AC317" s="105"/>
      <c r="AD317" s="8">
        <f t="shared" si="105"/>
        <v>17996353.34</v>
      </c>
      <c r="AE317" s="37">
        <f t="shared" si="107"/>
        <v>445042</v>
      </c>
      <c r="AF317" s="37">
        <f t="shared" si="107"/>
        <v>240130</v>
      </c>
      <c r="AG317" s="37">
        <f t="shared" si="106"/>
        <v>64336.339999999851</v>
      </c>
    </row>
    <row r="318" spans="1:33" ht="15" customHeight="1" x14ac:dyDescent="0.15">
      <c r="A318" s="102">
        <v>42683</v>
      </c>
      <c r="B318" s="14" t="s">
        <v>36</v>
      </c>
      <c r="C318" s="32">
        <v>53319</v>
      </c>
      <c r="D318" s="33">
        <f>29037+10232</f>
        <v>39269</v>
      </c>
      <c r="E318" s="33">
        <v>94333</v>
      </c>
      <c r="F318" s="59">
        <v>4766.3</v>
      </c>
      <c r="G318" s="33">
        <v>3048.2</v>
      </c>
      <c r="H318" s="19"/>
      <c r="I318" s="19"/>
      <c r="J318" s="32">
        <f t="shared" si="101"/>
        <v>55064</v>
      </c>
      <c r="K318" s="33">
        <v>867</v>
      </c>
      <c r="L318" s="33">
        <v>788</v>
      </c>
      <c r="M318" s="33">
        <f t="shared" si="112"/>
        <v>90</v>
      </c>
      <c r="N318" s="77">
        <f t="shared" si="120"/>
        <v>461191</v>
      </c>
      <c r="O318" s="78">
        <f t="shared" si="121"/>
        <v>340738</v>
      </c>
      <c r="P318" s="78">
        <f t="shared" si="122"/>
        <v>816462</v>
      </c>
      <c r="Q318" s="77">
        <f t="shared" si="123"/>
        <v>17300164</v>
      </c>
      <c r="R318" s="77">
        <f t="shared" si="123"/>
        <v>9651797</v>
      </c>
      <c r="S318" s="77">
        <f t="shared" si="123"/>
        <v>27703214.34</v>
      </c>
      <c r="T318" s="82">
        <f>N318/'2015'!M318-1</f>
        <v>-3.0221022241006978E-2</v>
      </c>
      <c r="U318" s="82">
        <f>O318/'2015'!N318-1</f>
        <v>0.36701476789016962</v>
      </c>
      <c r="V318" s="82">
        <f>P318/'2015'!O318-1</f>
        <v>0.10608176851266049</v>
      </c>
      <c r="W318" s="82">
        <f>Q318/'2015'!P318-1</f>
        <v>7.4534470117914475E-2</v>
      </c>
      <c r="X318" s="82">
        <f>R318/'2015'!Q318-1</f>
        <v>4.3478124554036768E-2</v>
      </c>
      <c r="Y318" s="82">
        <f>S318/'2015'!R318-1</f>
        <v>6.909637800528845E-2</v>
      </c>
      <c r="Z318" s="49">
        <f t="shared" si="124"/>
        <v>129.90719999999999</v>
      </c>
      <c r="AA318" s="49">
        <f t="shared" si="104"/>
        <v>1600.1091999999999</v>
      </c>
      <c r="AB318" s="33">
        <v>4236</v>
      </c>
      <c r="AC318" s="33">
        <f t="shared" si="110"/>
        <v>3777.4060434372045</v>
      </c>
      <c r="AD318" s="32">
        <f t="shared" si="105"/>
        <v>18051417.34</v>
      </c>
      <c r="AE318" s="33">
        <f t="shared" si="107"/>
        <v>445909</v>
      </c>
      <c r="AF318" s="33">
        <f t="shared" si="107"/>
        <v>240918</v>
      </c>
      <c r="AG318" s="33">
        <f t="shared" si="106"/>
        <v>64426.339999999851</v>
      </c>
    </row>
    <row r="319" spans="1:33" ht="15" customHeight="1" x14ac:dyDescent="0.15">
      <c r="A319" s="102">
        <v>42684</v>
      </c>
      <c r="B319" s="20" t="s">
        <v>37</v>
      </c>
      <c r="C319" s="8">
        <v>54859</v>
      </c>
      <c r="D319" s="37">
        <f>28827+10232</f>
        <v>39059</v>
      </c>
      <c r="E319" s="37">
        <v>95555</v>
      </c>
      <c r="F319" s="55">
        <v>4850.8</v>
      </c>
      <c r="G319" s="37">
        <v>3121.6</v>
      </c>
      <c r="H319" s="24"/>
      <c r="I319" s="36"/>
      <c r="J319" s="8">
        <f t="shared" si="101"/>
        <v>56496</v>
      </c>
      <c r="K319" s="37">
        <v>661</v>
      </c>
      <c r="L319" s="37">
        <v>791</v>
      </c>
      <c r="M319" s="37">
        <f t="shared" si="112"/>
        <v>185</v>
      </c>
      <c r="N319" s="74">
        <f t="shared" si="120"/>
        <v>516050</v>
      </c>
      <c r="O319" s="75">
        <f t="shared" si="121"/>
        <v>379797</v>
      </c>
      <c r="P319" s="75">
        <f t="shared" si="122"/>
        <v>912017</v>
      </c>
      <c r="Q319" s="76">
        <f t="shared" si="123"/>
        <v>17355023</v>
      </c>
      <c r="R319" s="76">
        <f t="shared" si="123"/>
        <v>9690856</v>
      </c>
      <c r="S319" s="76">
        <f t="shared" si="123"/>
        <v>27798769.34</v>
      </c>
      <c r="T319" s="80">
        <f>N319/'2015'!M319-1</f>
        <v>-2.8571536138908393E-2</v>
      </c>
      <c r="U319" s="80">
        <f>O319/'2015'!N319-1</f>
        <v>0.37613591895299803</v>
      </c>
      <c r="V319" s="80">
        <f>P319/'2015'!O319-1</f>
        <v>0.10965147616179682</v>
      </c>
      <c r="W319" s="81">
        <f>Q319/'2015'!P319-1</f>
        <v>7.4227771762399142E-2</v>
      </c>
      <c r="X319" s="81">
        <f>R319/'2015'!Q319-1</f>
        <v>4.4681804986023144E-2</v>
      </c>
      <c r="Y319" s="81">
        <f>S319/'2015'!R319-1</f>
        <v>6.932837127616831E-2</v>
      </c>
      <c r="Z319" s="50">
        <f t="shared" si="124"/>
        <v>130.18889999999999</v>
      </c>
      <c r="AA319" s="97">
        <f t="shared" si="104"/>
        <v>1605.3134</v>
      </c>
      <c r="AB319" s="105"/>
      <c r="AC319" s="105"/>
      <c r="AD319" s="8">
        <f t="shared" si="105"/>
        <v>18107913.34</v>
      </c>
      <c r="AE319" s="37">
        <f t="shared" si="107"/>
        <v>446570</v>
      </c>
      <c r="AF319" s="37">
        <f t="shared" si="107"/>
        <v>241709</v>
      </c>
      <c r="AG319" s="37">
        <f t="shared" si="106"/>
        <v>64611.339999999851</v>
      </c>
    </row>
    <row r="320" spans="1:33" ht="15" customHeight="1" x14ac:dyDescent="0.15">
      <c r="A320" s="102">
        <v>42685</v>
      </c>
      <c r="B320" s="20" t="s">
        <v>38</v>
      </c>
      <c r="C320" s="70">
        <v>51940</v>
      </c>
      <c r="D320" s="71">
        <f>30098+10436</f>
        <v>40534</v>
      </c>
      <c r="E320" s="71">
        <v>94466</v>
      </c>
      <c r="F320" s="107">
        <v>4734.3999999999996</v>
      </c>
      <c r="G320" s="71">
        <v>3163.3</v>
      </c>
      <c r="H320" s="24"/>
      <c r="I320" s="24"/>
      <c r="J320" s="70">
        <f t="shared" si="101"/>
        <v>53932</v>
      </c>
      <c r="K320" s="71">
        <v>867</v>
      </c>
      <c r="L320" s="71">
        <v>792</v>
      </c>
      <c r="M320" s="71">
        <f t="shared" si="112"/>
        <v>333</v>
      </c>
      <c r="N320" s="74">
        <f t="shared" si="120"/>
        <v>567990</v>
      </c>
      <c r="O320" s="75">
        <f t="shared" si="121"/>
        <v>420331</v>
      </c>
      <c r="P320" s="75">
        <f t="shared" si="122"/>
        <v>1006483</v>
      </c>
      <c r="Q320" s="76">
        <f t="shared" si="123"/>
        <v>17406963</v>
      </c>
      <c r="R320" s="76">
        <f t="shared" si="123"/>
        <v>9731390</v>
      </c>
      <c r="S320" s="76">
        <f t="shared" si="123"/>
        <v>27893235.34</v>
      </c>
      <c r="T320" s="80">
        <f>N320/'2015'!M320-1</f>
        <v>-3.3853156702251419E-2</v>
      </c>
      <c r="U320" s="80">
        <f>O320/'2015'!N320-1</f>
        <v>0.3909171831619771</v>
      </c>
      <c r="V320" s="80">
        <f>P320/'2015'!O320-1</f>
        <v>0.11091697176468251</v>
      </c>
      <c r="W320" s="81">
        <f>Q320/'2015'!P320-1</f>
        <v>7.3676958801545345E-2</v>
      </c>
      <c r="X320" s="81">
        <f>R320/'2015'!Q320-1</f>
        <v>4.6095814279479397E-2</v>
      </c>
      <c r="Y320" s="81">
        <f>S320/'2015'!R320-1</f>
        <v>6.9502356044771174E-2</v>
      </c>
      <c r="Z320" s="97">
        <f t="shared" si="124"/>
        <v>130.47059999999999</v>
      </c>
      <c r="AA320" s="97">
        <f t="shared" si="104"/>
        <v>1610.2257</v>
      </c>
      <c r="AB320" s="106"/>
      <c r="AC320" s="105"/>
      <c r="AD320" s="70">
        <f t="shared" si="105"/>
        <v>18161845.34</v>
      </c>
      <c r="AE320" s="71">
        <f t="shared" si="107"/>
        <v>447437</v>
      </c>
      <c r="AF320" s="71">
        <f t="shared" si="107"/>
        <v>242501</v>
      </c>
      <c r="AG320" s="71">
        <f t="shared" si="106"/>
        <v>64944.339999999851</v>
      </c>
    </row>
    <row r="321" spans="1:33" ht="15" customHeight="1" x14ac:dyDescent="0.15">
      <c r="A321" s="102">
        <v>42686</v>
      </c>
      <c r="B321" s="20" t="s">
        <v>39</v>
      </c>
      <c r="C321" s="8">
        <v>52291</v>
      </c>
      <c r="D321" s="37">
        <f>28391+10300</f>
        <v>38691</v>
      </c>
      <c r="E321" s="37">
        <v>92515</v>
      </c>
      <c r="F321" s="55">
        <v>4675.2</v>
      </c>
      <c r="G321" s="37">
        <v>3086.5</v>
      </c>
      <c r="H321" s="24"/>
      <c r="I321" s="36"/>
      <c r="J321" s="8">
        <f t="shared" ref="J321:J370" si="125">E321-D321</f>
        <v>53824</v>
      </c>
      <c r="K321" s="37">
        <v>545</v>
      </c>
      <c r="L321" s="37">
        <v>791</v>
      </c>
      <c r="M321" s="37">
        <f t="shared" si="112"/>
        <v>197</v>
      </c>
      <c r="N321" s="74">
        <f t="shared" si="120"/>
        <v>620281</v>
      </c>
      <c r="O321" s="75">
        <f t="shared" si="121"/>
        <v>459022</v>
      </c>
      <c r="P321" s="75">
        <f t="shared" si="122"/>
        <v>1098998</v>
      </c>
      <c r="Q321" s="76">
        <f t="shared" si="123"/>
        <v>17459254</v>
      </c>
      <c r="R321" s="76">
        <f t="shared" si="123"/>
        <v>9770081</v>
      </c>
      <c r="S321" s="76">
        <f t="shared" si="123"/>
        <v>27985750.34</v>
      </c>
      <c r="T321" s="80">
        <f>N321/'2015'!M321-1</f>
        <v>-3.7627243290878853E-2</v>
      </c>
      <c r="U321" s="80">
        <f>O321/'2015'!N321-1</f>
        <v>0.39703380416290024</v>
      </c>
      <c r="V321" s="80">
        <f>P321/'2015'!O321-1</f>
        <v>0.10925976205880605</v>
      </c>
      <c r="W321" s="81">
        <f>Q321/'2015'!P321-1</f>
        <v>7.3153074432184884E-2</v>
      </c>
      <c r="X321" s="81">
        <f>R321/'2015'!Q321-1</f>
        <v>4.7286018836842469E-2</v>
      </c>
      <c r="Y321" s="81">
        <f>S321/'2015'!R321-1</f>
        <v>6.9573758098980587E-2</v>
      </c>
      <c r="Z321" s="50">
        <f t="shared" si="124"/>
        <v>130.75229999999999</v>
      </c>
      <c r="AA321" s="97">
        <f t="shared" si="104"/>
        <v>1615.1731</v>
      </c>
      <c r="AB321" s="105"/>
      <c r="AC321" s="105"/>
      <c r="AD321" s="8">
        <f t="shared" si="105"/>
        <v>18215669.34</v>
      </c>
      <c r="AE321" s="37">
        <f t="shared" si="107"/>
        <v>447982</v>
      </c>
      <c r="AF321" s="37">
        <f t="shared" si="107"/>
        <v>243292</v>
      </c>
      <c r="AG321" s="37">
        <f t="shared" si="106"/>
        <v>65141.339999999851</v>
      </c>
    </row>
    <row r="322" spans="1:33" ht="15" customHeight="1" x14ac:dyDescent="0.15">
      <c r="A322" s="102">
        <v>42687</v>
      </c>
      <c r="B322" s="20" t="s">
        <v>1</v>
      </c>
      <c r="C322" s="8">
        <v>49162</v>
      </c>
      <c r="D322" s="37">
        <f>27952+10393</f>
        <v>38345</v>
      </c>
      <c r="E322" s="37">
        <v>88918</v>
      </c>
      <c r="F322" s="55">
        <v>4366.3</v>
      </c>
      <c r="G322" s="37">
        <v>3077.6</v>
      </c>
      <c r="H322" s="24"/>
      <c r="I322" s="36"/>
      <c r="J322" s="8">
        <f t="shared" si="125"/>
        <v>50573</v>
      </c>
      <c r="K322" s="37">
        <v>496</v>
      </c>
      <c r="L322" s="37">
        <v>791</v>
      </c>
      <c r="M322" s="37">
        <f t="shared" si="112"/>
        <v>124</v>
      </c>
      <c r="N322" s="74">
        <f t="shared" si="120"/>
        <v>669443</v>
      </c>
      <c r="O322" s="75">
        <f t="shared" si="121"/>
        <v>497367</v>
      </c>
      <c r="P322" s="75">
        <f t="shared" si="122"/>
        <v>1187916</v>
      </c>
      <c r="Q322" s="76">
        <f t="shared" si="123"/>
        <v>17508416</v>
      </c>
      <c r="R322" s="76">
        <f t="shared" si="123"/>
        <v>9808426</v>
      </c>
      <c r="S322" s="76">
        <f t="shared" si="123"/>
        <v>28074668.34</v>
      </c>
      <c r="T322" s="80">
        <f>N322/'2015'!M322-1</f>
        <v>-4.5846048155026464E-2</v>
      </c>
      <c r="U322" s="80">
        <f>O322/'2015'!N322-1</f>
        <v>0.40822567082027361</v>
      </c>
      <c r="V322" s="80">
        <f>P322/'2015'!O322-1</f>
        <v>0.10654509955884106</v>
      </c>
      <c r="W322" s="81">
        <f>Q322/'2015'!P322-1</f>
        <v>7.2412590466583993E-2</v>
      </c>
      <c r="X322" s="81">
        <f>R322/'2015'!Q322-1</f>
        <v>4.8629133047595641E-2</v>
      </c>
      <c r="Y322" s="81">
        <f>S322/'2015'!R322-1</f>
        <v>6.9587899962500144E-2</v>
      </c>
      <c r="Z322" s="50">
        <f t="shared" si="124"/>
        <v>131.03399999999999</v>
      </c>
      <c r="AA322" s="97">
        <f t="shared" si="104"/>
        <v>1619.8076000000001</v>
      </c>
      <c r="AB322" s="105"/>
      <c r="AC322" s="105"/>
      <c r="AD322" s="8">
        <f t="shared" si="105"/>
        <v>18266242.34</v>
      </c>
      <c r="AE322" s="37">
        <f t="shared" si="107"/>
        <v>448478</v>
      </c>
      <c r="AF322" s="37">
        <f t="shared" si="107"/>
        <v>244083</v>
      </c>
      <c r="AG322" s="37">
        <f t="shared" si="106"/>
        <v>65265.339999999851</v>
      </c>
    </row>
    <row r="323" spans="1:33" ht="15" customHeight="1" x14ac:dyDescent="0.15">
      <c r="A323" s="102">
        <v>42688</v>
      </c>
      <c r="B323" s="20" t="s">
        <v>34</v>
      </c>
      <c r="C323" s="8">
        <v>53222</v>
      </c>
      <c r="D323" s="37">
        <f>27891+10466</f>
        <v>38357</v>
      </c>
      <c r="E323" s="37">
        <v>93013</v>
      </c>
      <c r="F323" s="55">
        <v>4758.2</v>
      </c>
      <c r="G323" s="37">
        <v>2975.4</v>
      </c>
      <c r="H323" s="24"/>
      <c r="I323" s="36"/>
      <c r="J323" s="8">
        <f t="shared" si="125"/>
        <v>54656</v>
      </c>
      <c r="K323" s="37">
        <v>531</v>
      </c>
      <c r="L323" s="37">
        <v>791</v>
      </c>
      <c r="M323" s="37">
        <f t="shared" si="112"/>
        <v>112</v>
      </c>
      <c r="N323" s="74">
        <f t="shared" si="120"/>
        <v>722665</v>
      </c>
      <c r="O323" s="75">
        <f t="shared" si="121"/>
        <v>535724</v>
      </c>
      <c r="P323" s="75">
        <f t="shared" si="122"/>
        <v>1280929</v>
      </c>
      <c r="Q323" s="76">
        <f t="shared" si="123"/>
        <v>17561638</v>
      </c>
      <c r="R323" s="76">
        <f t="shared" si="123"/>
        <v>9846783</v>
      </c>
      <c r="S323" s="76">
        <f t="shared" si="123"/>
        <v>28167681.34</v>
      </c>
      <c r="T323" s="80">
        <f>N323/'2015'!M323-1</f>
        <v>-4.3499265416330313E-2</v>
      </c>
      <c r="U323" s="80">
        <f>O323/'2015'!N323-1</f>
        <v>0.4159669085094293</v>
      </c>
      <c r="V323" s="80">
        <f>P323/'2015'!O323-1</f>
        <v>0.11027044081306459</v>
      </c>
      <c r="W323" s="81">
        <f>Q323/'2015'!P323-1</f>
        <v>7.2131544864001196E-2</v>
      </c>
      <c r="X323" s="81">
        <f>R323/'2015'!Q323-1</f>
        <v>4.9906021370915044E-2</v>
      </c>
      <c r="Y323" s="81">
        <f>S323/'2015'!R323-1</f>
        <v>6.9863684272696736E-2</v>
      </c>
      <c r="Z323" s="50">
        <f t="shared" si="124"/>
        <v>131.31569999999999</v>
      </c>
      <c r="AA323" s="97">
        <f t="shared" si="104"/>
        <v>1624.8481000000002</v>
      </c>
      <c r="AB323" s="105"/>
      <c r="AC323" s="105"/>
      <c r="AD323" s="8">
        <f t="shared" si="105"/>
        <v>18320898.34</v>
      </c>
      <c r="AE323" s="37">
        <f t="shared" si="107"/>
        <v>449009</v>
      </c>
      <c r="AF323" s="37">
        <f t="shared" si="107"/>
        <v>244874</v>
      </c>
      <c r="AG323" s="37">
        <f t="shared" si="106"/>
        <v>65377.339999999851</v>
      </c>
    </row>
    <row r="324" spans="1:33" ht="15" customHeight="1" x14ac:dyDescent="0.15">
      <c r="A324" s="102">
        <v>42689</v>
      </c>
      <c r="B324" s="20" t="s">
        <v>35</v>
      </c>
      <c r="C324" s="8">
        <v>51882</v>
      </c>
      <c r="D324" s="37">
        <f>29490+10315</f>
        <v>39805</v>
      </c>
      <c r="E324" s="37">
        <v>93252</v>
      </c>
      <c r="F324" s="55">
        <v>4725.6000000000004</v>
      </c>
      <c r="G324" s="37">
        <v>3068.5</v>
      </c>
      <c r="H324" s="24"/>
      <c r="I324" s="36"/>
      <c r="J324" s="8">
        <f t="shared" si="125"/>
        <v>53447</v>
      </c>
      <c r="K324" s="37">
        <v>722</v>
      </c>
      <c r="L324" s="37">
        <v>791</v>
      </c>
      <c r="M324" s="37">
        <f t="shared" si="112"/>
        <v>52</v>
      </c>
      <c r="N324" s="74">
        <f t="shared" si="120"/>
        <v>774547</v>
      </c>
      <c r="O324" s="75">
        <f t="shared" si="121"/>
        <v>575529</v>
      </c>
      <c r="P324" s="75">
        <f t="shared" si="122"/>
        <v>1374181</v>
      </c>
      <c r="Q324" s="76">
        <f t="shared" si="123"/>
        <v>17613520</v>
      </c>
      <c r="R324" s="76">
        <f t="shared" si="123"/>
        <v>9886588</v>
      </c>
      <c r="S324" s="76">
        <f t="shared" si="123"/>
        <v>28260933.34</v>
      </c>
      <c r="T324" s="80">
        <f>N324/'2015'!M324-1</f>
        <v>-3.5854813151412035E-2</v>
      </c>
      <c r="U324" s="80">
        <f>O324/'2015'!N324-1</f>
        <v>0.42370629837698237</v>
      </c>
      <c r="V324" s="80">
        <f>P324/'2015'!O324-1</f>
        <v>0.11860994796788216</v>
      </c>
      <c r="W324" s="81">
        <f>Q324/'2015'!P324-1</f>
        <v>7.2168773971361899E-2</v>
      </c>
      <c r="X324" s="81">
        <f>R324/'2015'!Q324-1</f>
        <v>5.1246885842398893E-2</v>
      </c>
      <c r="Y324" s="81">
        <f>S324/'2015'!R324-1</f>
        <v>7.0366117887957769E-2</v>
      </c>
      <c r="Z324" s="50">
        <f t="shared" si="124"/>
        <v>131.59739999999999</v>
      </c>
      <c r="AA324" s="97">
        <f t="shared" si="104"/>
        <v>1629.7546000000002</v>
      </c>
      <c r="AB324" s="105"/>
      <c r="AC324" s="105"/>
      <c r="AD324" s="8">
        <f t="shared" si="105"/>
        <v>18374345.34</v>
      </c>
      <c r="AE324" s="37">
        <f t="shared" si="107"/>
        <v>449731</v>
      </c>
      <c r="AF324" s="37">
        <f t="shared" si="107"/>
        <v>245665</v>
      </c>
      <c r="AG324" s="37">
        <f t="shared" si="106"/>
        <v>65429.339999999851</v>
      </c>
    </row>
    <row r="325" spans="1:33" ht="15" customHeight="1" x14ac:dyDescent="0.15">
      <c r="A325" s="102">
        <v>42690</v>
      </c>
      <c r="B325" s="14" t="s">
        <v>36</v>
      </c>
      <c r="C325" s="32">
        <v>53012</v>
      </c>
      <c r="D325" s="33">
        <f>28583+10397</f>
        <v>38980</v>
      </c>
      <c r="E325" s="33">
        <v>93130</v>
      </c>
      <c r="F325" s="59">
        <v>4691.8999999999996</v>
      </c>
      <c r="G325" s="33">
        <v>3093</v>
      </c>
      <c r="H325" s="19"/>
      <c r="I325" s="19"/>
      <c r="J325" s="32">
        <f t="shared" si="125"/>
        <v>54150</v>
      </c>
      <c r="K325" s="33">
        <v>305</v>
      </c>
      <c r="L325" s="33">
        <v>795</v>
      </c>
      <c r="M325" s="33">
        <f t="shared" si="112"/>
        <v>38</v>
      </c>
      <c r="N325" s="77">
        <f t="shared" si="120"/>
        <v>827559</v>
      </c>
      <c r="O325" s="78">
        <f t="shared" si="121"/>
        <v>614509</v>
      </c>
      <c r="P325" s="78">
        <f t="shared" si="122"/>
        <v>1467311</v>
      </c>
      <c r="Q325" s="77">
        <f t="shared" si="123"/>
        <v>17666532</v>
      </c>
      <c r="R325" s="77">
        <f t="shared" si="123"/>
        <v>9925568</v>
      </c>
      <c r="S325" s="77">
        <f t="shared" si="123"/>
        <v>28354063.34</v>
      </c>
      <c r="T325" s="82">
        <f>N325/'2015'!M325-1</f>
        <v>-3.2902348214473576E-2</v>
      </c>
      <c r="U325" s="82">
        <f>O325/'2015'!N325-1</f>
        <v>0.43007179343968538</v>
      </c>
      <c r="V325" s="82">
        <f>P325/'2015'!O325-1</f>
        <v>0.12201785824890665</v>
      </c>
      <c r="W325" s="82">
        <f>Q325/'2015'!P325-1</f>
        <v>7.1978851840005964E-2</v>
      </c>
      <c r="X325" s="82">
        <f>R325/'2015'!Q325-1</f>
        <v>5.2542457716195257E-2</v>
      </c>
      <c r="Y325" s="82">
        <f>S325/'2015'!R325-1</f>
        <v>7.0678817312257003E-2</v>
      </c>
      <c r="Z325" s="49">
        <f t="shared" si="124"/>
        <v>131.87909999999999</v>
      </c>
      <c r="AA325" s="49">
        <f t="shared" si="104"/>
        <v>1634.7741000000001</v>
      </c>
      <c r="AB325" s="33">
        <v>4236</v>
      </c>
      <c r="AC325" s="33">
        <f t="shared" si="110"/>
        <v>3859.2400849858359</v>
      </c>
      <c r="AD325" s="32">
        <f t="shared" si="105"/>
        <v>18428495.34</v>
      </c>
      <c r="AE325" s="33">
        <f t="shared" si="107"/>
        <v>450036</v>
      </c>
      <c r="AF325" s="33">
        <f t="shared" si="107"/>
        <v>246460</v>
      </c>
      <c r="AG325" s="33">
        <f t="shared" si="106"/>
        <v>65467.339999999851</v>
      </c>
    </row>
    <row r="326" spans="1:33" ht="15" customHeight="1" x14ac:dyDescent="0.15">
      <c r="A326" s="102">
        <v>42691</v>
      </c>
      <c r="B326" s="20" t="s">
        <v>37</v>
      </c>
      <c r="C326" s="8">
        <v>52074</v>
      </c>
      <c r="D326" s="37">
        <f>29382+10274</f>
        <v>39656</v>
      </c>
      <c r="E326" s="37">
        <v>93049</v>
      </c>
      <c r="F326" s="55">
        <v>4722.8</v>
      </c>
      <c r="G326" s="37">
        <v>3087.1</v>
      </c>
      <c r="H326" s="24"/>
      <c r="I326" s="36"/>
      <c r="J326" s="8">
        <f t="shared" ref="J326" si="126">E326-D326</f>
        <v>53393</v>
      </c>
      <c r="K326" s="37">
        <v>462</v>
      </c>
      <c r="L326" s="37">
        <v>787</v>
      </c>
      <c r="M326" s="37">
        <f t="shared" ref="M326" si="127">J326-K326-L326-C326</f>
        <v>70</v>
      </c>
      <c r="N326" s="74">
        <f t="shared" si="120"/>
        <v>879633</v>
      </c>
      <c r="O326" s="75">
        <f t="shared" si="121"/>
        <v>654165</v>
      </c>
      <c r="P326" s="75">
        <f t="shared" si="122"/>
        <v>1560360</v>
      </c>
      <c r="Q326" s="76">
        <f t="shared" si="123"/>
        <v>17718606</v>
      </c>
      <c r="R326" s="76">
        <f t="shared" si="123"/>
        <v>9965224</v>
      </c>
      <c r="S326" s="76">
        <f t="shared" si="123"/>
        <v>28447112.34</v>
      </c>
      <c r="T326" s="80">
        <f>N326/'2015'!M326-1</f>
        <v>-3.3298092604722163E-2</v>
      </c>
      <c r="U326" s="80">
        <f>O326/'2015'!N326-1</f>
        <v>0.4395793263411778</v>
      </c>
      <c r="V326" s="80">
        <f>P326/'2015'!O326-1</f>
        <v>0.12348014166984078</v>
      </c>
      <c r="W326" s="81">
        <f>Q326/'2015'!P326-1</f>
        <v>7.1613159307889029E-2</v>
      </c>
      <c r="X326" s="81">
        <f>R326/'2015'!Q326-1</f>
        <v>5.3986034813862105E-2</v>
      </c>
      <c r="Y326" s="81">
        <f>S326/'2015'!R326-1</f>
        <v>7.0912052669074077E-2</v>
      </c>
      <c r="Z326" s="50">
        <f t="shared" si="124"/>
        <v>132.16079999999999</v>
      </c>
      <c r="AA326" s="97">
        <f t="shared" ref="AA326:AA370" si="128">Q326/10000-Z326</f>
        <v>1639.6997999999999</v>
      </c>
      <c r="AB326" s="105"/>
      <c r="AC326" s="105"/>
      <c r="AD326" s="8">
        <f t="shared" ref="AD326:AD370" si="129">S326-R326</f>
        <v>18481888.34</v>
      </c>
      <c r="AE326" s="37">
        <f t="shared" si="107"/>
        <v>450498</v>
      </c>
      <c r="AF326" s="37">
        <f t="shared" si="107"/>
        <v>247247</v>
      </c>
      <c r="AG326" s="37">
        <f t="shared" ref="AG326:AG370" si="130">AD326-Q326-AE326-AF326</f>
        <v>65537.339999999851</v>
      </c>
    </row>
    <row r="327" spans="1:33" ht="15" customHeight="1" x14ac:dyDescent="0.15">
      <c r="A327" s="102">
        <v>42692</v>
      </c>
      <c r="B327" s="20" t="s">
        <v>38</v>
      </c>
      <c r="C327" s="70">
        <v>53814</v>
      </c>
      <c r="D327" s="71">
        <f>28039+10257</f>
        <v>38296</v>
      </c>
      <c r="E327" s="71">
        <v>93386</v>
      </c>
      <c r="F327" s="107">
        <v>4674</v>
      </c>
      <c r="G327" s="71">
        <v>3098.8</v>
      </c>
      <c r="H327" s="24"/>
      <c r="I327" s="24"/>
      <c r="J327" s="70">
        <f t="shared" si="125"/>
        <v>55090</v>
      </c>
      <c r="K327" s="71">
        <v>319</v>
      </c>
      <c r="L327" s="71">
        <v>791</v>
      </c>
      <c r="M327" s="71">
        <f t="shared" si="112"/>
        <v>166</v>
      </c>
      <c r="N327" s="74">
        <f t="shared" si="120"/>
        <v>933447</v>
      </c>
      <c r="O327" s="75">
        <f t="shared" si="121"/>
        <v>692461</v>
      </c>
      <c r="P327" s="75">
        <f t="shared" si="122"/>
        <v>1653746</v>
      </c>
      <c r="Q327" s="76">
        <f t="shared" si="123"/>
        <v>17772420</v>
      </c>
      <c r="R327" s="76">
        <f t="shared" si="123"/>
        <v>10003520</v>
      </c>
      <c r="S327" s="76">
        <f t="shared" si="123"/>
        <v>28540498.34</v>
      </c>
      <c r="T327" s="80">
        <f>N327/'2015'!M327-1</f>
        <v>-2.967885588119723E-2</v>
      </c>
      <c r="U327" s="80">
        <f>O327/'2015'!N327-1</f>
        <v>0.44149790997052318</v>
      </c>
      <c r="V327" s="80">
        <f>P327/'2015'!O327-1</f>
        <v>0.1256596568729218</v>
      </c>
      <c r="W327" s="81">
        <f>Q327/'2015'!P327-1</f>
        <v>7.1493748893307396E-2</v>
      </c>
      <c r="X327" s="81">
        <f>R327/'2015'!Q327-1</f>
        <v>5.513915077896181E-2</v>
      </c>
      <c r="Y327" s="81">
        <f>S327/'2015'!R327-1</f>
        <v>7.1190607946729267E-2</v>
      </c>
      <c r="Z327" s="97">
        <f t="shared" si="124"/>
        <v>132.4425</v>
      </c>
      <c r="AA327" s="97">
        <f t="shared" si="128"/>
        <v>1644.7995000000001</v>
      </c>
      <c r="AB327" s="106"/>
      <c r="AC327" s="105"/>
      <c r="AD327" s="70">
        <f t="shared" si="129"/>
        <v>18536978.34</v>
      </c>
      <c r="AE327" s="71">
        <f t="shared" ref="AE327:AF370" si="131">AE326+K327</f>
        <v>450817</v>
      </c>
      <c r="AF327" s="71">
        <f t="shared" si="131"/>
        <v>248038</v>
      </c>
      <c r="AG327" s="71">
        <f t="shared" si="130"/>
        <v>65703.339999999851</v>
      </c>
    </row>
    <row r="328" spans="1:33" ht="15" customHeight="1" x14ac:dyDescent="0.15">
      <c r="A328" s="102">
        <v>42693</v>
      </c>
      <c r="B328" s="20" t="s">
        <v>39</v>
      </c>
      <c r="C328" s="8">
        <v>52455</v>
      </c>
      <c r="D328" s="37">
        <f>28701+10446</f>
        <v>39147</v>
      </c>
      <c r="E328" s="37">
        <v>92768</v>
      </c>
      <c r="F328" s="55">
        <v>4678.3999999999996</v>
      </c>
      <c r="G328" s="37">
        <v>3096.5</v>
      </c>
      <c r="H328" s="24"/>
      <c r="I328" s="36"/>
      <c r="J328" s="8">
        <f t="shared" si="125"/>
        <v>53621</v>
      </c>
      <c r="K328" s="37">
        <v>206</v>
      </c>
      <c r="L328" s="37">
        <v>792</v>
      </c>
      <c r="M328" s="37">
        <f t="shared" si="112"/>
        <v>168</v>
      </c>
      <c r="N328" s="74">
        <f t="shared" si="120"/>
        <v>985902</v>
      </c>
      <c r="O328" s="75">
        <f t="shared" si="121"/>
        <v>731608</v>
      </c>
      <c r="P328" s="75">
        <f t="shared" si="122"/>
        <v>1746514</v>
      </c>
      <c r="Q328" s="76">
        <f t="shared" si="123"/>
        <v>17824875</v>
      </c>
      <c r="R328" s="76">
        <f t="shared" si="123"/>
        <v>10042667</v>
      </c>
      <c r="S328" s="76">
        <f t="shared" si="123"/>
        <v>28633266.34</v>
      </c>
      <c r="T328" s="80">
        <f>N328/'2015'!M328-1</f>
        <v>-3.0085107178378756E-2</v>
      </c>
      <c r="U328" s="80">
        <f>O328/'2015'!N328-1</f>
        <v>0.44939457334854827</v>
      </c>
      <c r="V328" s="80">
        <f>P328/'2015'!O328-1</f>
        <v>0.12616782957957806</v>
      </c>
      <c r="W328" s="81">
        <f>Q328/'2015'!P328-1</f>
        <v>7.1137681788212115E-2</v>
      </c>
      <c r="X328" s="81">
        <f>R328/'2015'!Q328-1</f>
        <v>5.6549969590172777E-2</v>
      </c>
      <c r="Y328" s="81">
        <f>S328/'2015'!R328-1</f>
        <v>7.138663373323717E-2</v>
      </c>
      <c r="Z328" s="50">
        <f t="shared" si="124"/>
        <v>132.7242</v>
      </c>
      <c r="AA328" s="97">
        <f t="shared" si="128"/>
        <v>1649.7633000000001</v>
      </c>
      <c r="AB328" s="105"/>
      <c r="AC328" s="105"/>
      <c r="AD328" s="8">
        <f t="shared" si="129"/>
        <v>18590599.34</v>
      </c>
      <c r="AE328" s="37">
        <f t="shared" si="131"/>
        <v>451023</v>
      </c>
      <c r="AF328" s="37">
        <f t="shared" si="131"/>
        <v>248830</v>
      </c>
      <c r="AG328" s="37">
        <f t="shared" si="130"/>
        <v>65871.339999999851</v>
      </c>
    </row>
    <row r="329" spans="1:33" ht="15" customHeight="1" x14ac:dyDescent="0.15">
      <c r="A329" s="102">
        <v>42694</v>
      </c>
      <c r="B329" s="20" t="s">
        <v>1</v>
      </c>
      <c r="C329" s="8">
        <v>48923</v>
      </c>
      <c r="D329" s="37">
        <f>28460+10482</f>
        <v>38942</v>
      </c>
      <c r="E329" s="37">
        <v>89264</v>
      </c>
      <c r="F329" s="55">
        <v>4448.3</v>
      </c>
      <c r="G329" s="37">
        <v>3067.6</v>
      </c>
      <c r="H329" s="24"/>
      <c r="I329" s="36"/>
      <c r="J329" s="8">
        <f t="shared" si="125"/>
        <v>50322</v>
      </c>
      <c r="K329" s="37">
        <v>251</v>
      </c>
      <c r="L329" s="37">
        <v>790</v>
      </c>
      <c r="M329" s="37">
        <f t="shared" si="112"/>
        <v>358</v>
      </c>
      <c r="N329" s="74">
        <f t="shared" si="120"/>
        <v>1034825</v>
      </c>
      <c r="O329" s="75">
        <f t="shared" si="121"/>
        <v>770550</v>
      </c>
      <c r="P329" s="75">
        <f t="shared" si="122"/>
        <v>1835778</v>
      </c>
      <c r="Q329" s="76">
        <f t="shared" si="123"/>
        <v>17873798</v>
      </c>
      <c r="R329" s="76">
        <f t="shared" si="123"/>
        <v>10081609</v>
      </c>
      <c r="S329" s="76">
        <f t="shared" si="123"/>
        <v>28722530.34</v>
      </c>
      <c r="T329" s="80">
        <f>N329/'2015'!M329-1</f>
        <v>-3.3918463866641435E-2</v>
      </c>
      <c r="U329" s="80">
        <f>O329/'2015'!N329-1</f>
        <v>0.45440028991744152</v>
      </c>
      <c r="V329" s="80">
        <f>P329/'2015'!O329-1</f>
        <v>0.12423778667396657</v>
      </c>
      <c r="W329" s="81">
        <f>Q329/'2015'!P329-1</f>
        <v>7.0560266204401145E-2</v>
      </c>
      <c r="X329" s="81">
        <f>R329/'2015'!Q329-1</f>
        <v>5.7860342538851972E-2</v>
      </c>
      <c r="Y329" s="81">
        <f>S329/'2015'!R329-1</f>
        <v>7.1436764128234298E-2</v>
      </c>
      <c r="Z329" s="50">
        <f t="shared" si="124"/>
        <v>133.0059</v>
      </c>
      <c r="AA329" s="97">
        <f t="shared" si="128"/>
        <v>1654.3739</v>
      </c>
      <c r="AB329" s="105"/>
      <c r="AC329" s="105"/>
      <c r="AD329" s="8">
        <f t="shared" si="129"/>
        <v>18640921.34</v>
      </c>
      <c r="AE329" s="37">
        <f t="shared" si="131"/>
        <v>451274</v>
      </c>
      <c r="AF329" s="37">
        <f t="shared" si="131"/>
        <v>249620</v>
      </c>
      <c r="AG329" s="37">
        <f t="shared" si="130"/>
        <v>66229.339999999851</v>
      </c>
    </row>
    <row r="330" spans="1:33" ht="15" customHeight="1" x14ac:dyDescent="0.15">
      <c r="A330" s="102">
        <v>42695</v>
      </c>
      <c r="B330" s="20" t="s">
        <v>34</v>
      </c>
      <c r="C330" s="8">
        <v>53894</v>
      </c>
      <c r="D330" s="37">
        <f>27159+10508</f>
        <v>37667</v>
      </c>
      <c r="E330" s="37">
        <v>92760</v>
      </c>
      <c r="F330" s="55">
        <v>4744</v>
      </c>
      <c r="G330" s="37">
        <v>2994.1</v>
      </c>
      <c r="H330" s="24"/>
      <c r="I330" s="36"/>
      <c r="J330" s="8">
        <f t="shared" si="125"/>
        <v>55093</v>
      </c>
      <c r="K330" s="37">
        <v>334</v>
      </c>
      <c r="L330" s="37">
        <v>791</v>
      </c>
      <c r="M330" s="37">
        <f t="shared" si="112"/>
        <v>74</v>
      </c>
      <c r="N330" s="74">
        <f t="shared" si="120"/>
        <v>1088719</v>
      </c>
      <c r="O330" s="75">
        <f t="shared" si="121"/>
        <v>808217</v>
      </c>
      <c r="P330" s="75">
        <f t="shared" si="122"/>
        <v>1928538</v>
      </c>
      <c r="Q330" s="76">
        <f t="shared" si="123"/>
        <v>17927692</v>
      </c>
      <c r="R330" s="76">
        <f t="shared" si="123"/>
        <v>10119276</v>
      </c>
      <c r="S330" s="76">
        <f t="shared" si="123"/>
        <v>28815290.34</v>
      </c>
      <c r="T330" s="80">
        <f>N330/'2015'!M330-1</f>
        <v>-3.1440492500400374E-2</v>
      </c>
      <c r="U330" s="80">
        <f>O330/'2015'!N330-1</f>
        <v>0.45606319923613237</v>
      </c>
      <c r="V330" s="80">
        <f>P330/'2015'!O330-1</f>
        <v>0.12558634685119263</v>
      </c>
      <c r="W330" s="81">
        <f>Q330/'2015'!P330-1</f>
        <v>7.0396560438172662E-2</v>
      </c>
      <c r="X330" s="81">
        <f>R330/'2015'!Q330-1</f>
        <v>5.9005365836658941E-2</v>
      </c>
      <c r="Y330" s="81">
        <f>S330/'2015'!R330-1</f>
        <v>7.1680688564361716E-2</v>
      </c>
      <c r="Z330" s="50">
        <f t="shared" si="124"/>
        <v>133.2876</v>
      </c>
      <c r="AA330" s="97">
        <f t="shared" si="128"/>
        <v>1659.4816000000001</v>
      </c>
      <c r="AB330" s="105"/>
      <c r="AC330" s="105"/>
      <c r="AD330" s="8">
        <f t="shared" si="129"/>
        <v>18696014.34</v>
      </c>
      <c r="AE330" s="37">
        <f t="shared" si="131"/>
        <v>451608</v>
      </c>
      <c r="AF330" s="37">
        <f t="shared" si="131"/>
        <v>250411</v>
      </c>
      <c r="AG330" s="37">
        <f t="shared" si="130"/>
        <v>66303.339999999851</v>
      </c>
    </row>
    <row r="331" spans="1:33" ht="15" customHeight="1" x14ac:dyDescent="0.15">
      <c r="A331" s="102">
        <v>42696</v>
      </c>
      <c r="B331" s="20" t="s">
        <v>35</v>
      </c>
      <c r="C331" s="8">
        <v>54397</v>
      </c>
      <c r="D331" s="37">
        <f>28120+10736</f>
        <v>38856</v>
      </c>
      <c r="E331" s="37">
        <v>94501</v>
      </c>
      <c r="F331" s="55">
        <v>4809.3</v>
      </c>
      <c r="G331" s="37">
        <v>3088.1</v>
      </c>
      <c r="H331" s="24"/>
      <c r="I331" s="36"/>
      <c r="J331" s="8">
        <f t="shared" si="125"/>
        <v>55645</v>
      </c>
      <c r="K331" s="37">
        <v>408</v>
      </c>
      <c r="L331" s="37">
        <v>791</v>
      </c>
      <c r="M331" s="37">
        <f t="shared" si="112"/>
        <v>49</v>
      </c>
      <c r="N331" s="74">
        <f t="shared" si="120"/>
        <v>1143116</v>
      </c>
      <c r="O331" s="75">
        <f t="shared" si="121"/>
        <v>847073</v>
      </c>
      <c r="P331" s="75">
        <f t="shared" si="122"/>
        <v>2023039</v>
      </c>
      <c r="Q331" s="76">
        <f t="shared" si="123"/>
        <v>17982089</v>
      </c>
      <c r="R331" s="76">
        <f t="shared" si="123"/>
        <v>10158132</v>
      </c>
      <c r="S331" s="76">
        <f t="shared" si="123"/>
        <v>28909791.34</v>
      </c>
      <c r="T331" s="80">
        <f>N331/'2015'!M331-1</f>
        <v>-2.5141630074100529E-2</v>
      </c>
      <c r="U331" s="80">
        <f>O331/'2015'!N331-1</f>
        <v>0.46097699375128287</v>
      </c>
      <c r="V331" s="80">
        <f>P331/'2015'!O331-1</f>
        <v>0.13076866752408911</v>
      </c>
      <c r="W331" s="81">
        <f>Q331/'2015'!P331-1</f>
        <v>7.0542011154013817E-2</v>
      </c>
      <c r="X331" s="81">
        <f>R331/'2015'!Q331-1</f>
        <v>6.0327663921207364E-2</v>
      </c>
      <c r="Y331" s="81">
        <f>S331/'2015'!R331-1</f>
        <v>7.2175923123801056E-2</v>
      </c>
      <c r="Z331" s="50">
        <f t="shared" si="124"/>
        <v>133.5693</v>
      </c>
      <c r="AA331" s="97">
        <f t="shared" si="128"/>
        <v>1664.6396</v>
      </c>
      <c r="AB331" s="105"/>
      <c r="AC331" s="105"/>
      <c r="AD331" s="8">
        <f t="shared" si="129"/>
        <v>18751659.34</v>
      </c>
      <c r="AE331" s="37">
        <f t="shared" si="131"/>
        <v>452016</v>
      </c>
      <c r="AF331" s="37">
        <f t="shared" si="131"/>
        <v>251202</v>
      </c>
      <c r="AG331" s="37">
        <f t="shared" si="130"/>
        <v>66352.339999999851</v>
      </c>
    </row>
    <row r="332" spans="1:33" ht="15" customHeight="1" x14ac:dyDescent="0.15">
      <c r="A332" s="102">
        <v>42697</v>
      </c>
      <c r="B332" s="14" t="s">
        <v>36</v>
      </c>
      <c r="C332" s="32">
        <v>58346</v>
      </c>
      <c r="D332" s="33">
        <f>27755+10218</f>
        <v>37973</v>
      </c>
      <c r="E332" s="33">
        <v>97508</v>
      </c>
      <c r="F332" s="59">
        <v>5011.2</v>
      </c>
      <c r="G332" s="33">
        <v>3088.5</v>
      </c>
      <c r="H332" s="19"/>
      <c r="I332" s="19"/>
      <c r="J332" s="32">
        <f t="shared" si="125"/>
        <v>59535</v>
      </c>
      <c r="K332" s="33">
        <v>373</v>
      </c>
      <c r="L332" s="33">
        <v>792</v>
      </c>
      <c r="M332" s="33">
        <f t="shared" si="112"/>
        <v>24</v>
      </c>
      <c r="N332" s="77">
        <f t="shared" si="120"/>
        <v>1201462</v>
      </c>
      <c r="O332" s="78">
        <f t="shared" si="121"/>
        <v>885046</v>
      </c>
      <c r="P332" s="78">
        <f t="shared" si="122"/>
        <v>2120547</v>
      </c>
      <c r="Q332" s="77">
        <f t="shared" si="123"/>
        <v>18040435</v>
      </c>
      <c r="R332" s="77">
        <f t="shared" si="123"/>
        <v>10196105</v>
      </c>
      <c r="S332" s="77">
        <f t="shared" si="123"/>
        <v>29007299.34</v>
      </c>
      <c r="T332" s="82">
        <f>N332/'2015'!M332-1</f>
        <v>-1.9475633423268635E-2</v>
      </c>
      <c r="U332" s="82">
        <f>O332/'2015'!N332-1</f>
        <v>0.46298025823152233</v>
      </c>
      <c r="V332" s="82">
        <f>P332/'2015'!O332-1</f>
        <v>0.13451260107665286</v>
      </c>
      <c r="W332" s="82">
        <f>Q332/'2015'!P332-1</f>
        <v>7.0654616513998292E-2</v>
      </c>
      <c r="X332" s="82">
        <f>R332/'2015'!Q332-1</f>
        <v>6.15033672922074E-2</v>
      </c>
      <c r="Y332" s="82">
        <f>S332/'2015'!R332-1</f>
        <v>7.260810583401156E-2</v>
      </c>
      <c r="Z332" s="49">
        <f t="shared" si="124"/>
        <v>133.851</v>
      </c>
      <c r="AA332" s="49">
        <f t="shared" si="128"/>
        <v>1670.1925000000001</v>
      </c>
      <c r="AB332" s="33">
        <v>4236</v>
      </c>
      <c r="AC332" s="33">
        <f t="shared" ref="AC332:AC370" si="132">AA332*10000/AB332</f>
        <v>3942.8529272898963</v>
      </c>
      <c r="AD332" s="32">
        <f t="shared" si="129"/>
        <v>18811194.34</v>
      </c>
      <c r="AE332" s="33">
        <f t="shared" si="131"/>
        <v>452389</v>
      </c>
      <c r="AF332" s="33">
        <f t="shared" si="131"/>
        <v>251994</v>
      </c>
      <c r="AG332" s="33">
        <f t="shared" si="130"/>
        <v>66376.339999999851</v>
      </c>
    </row>
    <row r="333" spans="1:33" ht="15" customHeight="1" x14ac:dyDescent="0.15">
      <c r="A333" s="102">
        <v>42698</v>
      </c>
      <c r="B333" s="20" t="s">
        <v>37</v>
      </c>
      <c r="C333" s="8">
        <v>60272</v>
      </c>
      <c r="D333" s="37">
        <f>27947+10212</f>
        <v>38159</v>
      </c>
      <c r="E333" s="37">
        <v>99831</v>
      </c>
      <c r="F333" s="55">
        <v>5047.5</v>
      </c>
      <c r="G333" s="37">
        <v>3157.7</v>
      </c>
      <c r="H333" s="24"/>
      <c r="I333" s="36"/>
      <c r="J333" s="8">
        <f t="shared" si="125"/>
        <v>61672</v>
      </c>
      <c r="K333" s="37">
        <v>475</v>
      </c>
      <c r="L333" s="37">
        <v>791</v>
      </c>
      <c r="M333" s="37">
        <f t="shared" si="112"/>
        <v>134</v>
      </c>
      <c r="N333" s="74">
        <f t="shared" si="120"/>
        <v>1261734</v>
      </c>
      <c r="O333" s="75">
        <f t="shared" si="121"/>
        <v>923205</v>
      </c>
      <c r="P333" s="75">
        <f t="shared" si="122"/>
        <v>2220378</v>
      </c>
      <c r="Q333" s="76">
        <f t="shared" si="123"/>
        <v>18100707</v>
      </c>
      <c r="R333" s="76">
        <f t="shared" si="123"/>
        <v>10234264</v>
      </c>
      <c r="S333" s="76">
        <f t="shared" si="123"/>
        <v>29107130.34</v>
      </c>
      <c r="T333" s="80">
        <f>N333/'2015'!M333-1</f>
        <v>-1.5504009038673439E-2</v>
      </c>
      <c r="U333" s="80">
        <f>O333/'2015'!N333-1</f>
        <v>0.46695787444802672</v>
      </c>
      <c r="V333" s="80">
        <f>P333/'2015'!O333-1</f>
        <v>0.13754234318420755</v>
      </c>
      <c r="W333" s="81">
        <f>Q333/'2015'!P333-1</f>
        <v>7.0655663437809713E-2</v>
      </c>
      <c r="X333" s="81">
        <f>R333/'2015'!Q333-1</f>
        <v>6.2779421532265234E-2</v>
      </c>
      <c r="Y333" s="81">
        <f>S333/'2015'!R333-1</f>
        <v>7.3015027488444906E-2</v>
      </c>
      <c r="Z333" s="50">
        <f t="shared" si="124"/>
        <v>134.1327</v>
      </c>
      <c r="AA333" s="97">
        <f t="shared" si="128"/>
        <v>1675.9380000000001</v>
      </c>
      <c r="AB333" s="105"/>
      <c r="AC333" s="105"/>
      <c r="AD333" s="8">
        <f t="shared" si="129"/>
        <v>18872866.34</v>
      </c>
      <c r="AE333" s="37">
        <f t="shared" si="131"/>
        <v>452864</v>
      </c>
      <c r="AF333" s="37">
        <f t="shared" si="131"/>
        <v>252785</v>
      </c>
      <c r="AG333" s="37">
        <f t="shared" si="130"/>
        <v>66510.339999999851</v>
      </c>
    </row>
    <row r="334" spans="1:33" ht="15" customHeight="1" x14ac:dyDescent="0.15">
      <c r="A334" s="102">
        <v>42699</v>
      </c>
      <c r="B334" s="20" t="s">
        <v>38</v>
      </c>
      <c r="C334" s="70">
        <v>60690</v>
      </c>
      <c r="D334" s="71">
        <f>29443+10210</f>
        <v>39653</v>
      </c>
      <c r="E334" s="71">
        <v>102012</v>
      </c>
      <c r="F334" s="107">
        <v>5179.6000000000004</v>
      </c>
      <c r="G334" s="71">
        <v>3231.8</v>
      </c>
      <c r="H334" s="24"/>
      <c r="I334" s="24"/>
      <c r="J334" s="70">
        <f t="shared" si="125"/>
        <v>62359</v>
      </c>
      <c r="K334" s="71">
        <v>746</v>
      </c>
      <c r="L334" s="71">
        <v>791</v>
      </c>
      <c r="M334" s="71">
        <f t="shared" si="112"/>
        <v>132</v>
      </c>
      <c r="N334" s="74">
        <f t="shared" si="120"/>
        <v>1322424</v>
      </c>
      <c r="O334" s="75">
        <f t="shared" si="121"/>
        <v>962858</v>
      </c>
      <c r="P334" s="75">
        <f t="shared" si="122"/>
        <v>2322390</v>
      </c>
      <c r="Q334" s="76">
        <f t="shared" si="123"/>
        <v>18161397</v>
      </c>
      <c r="R334" s="76">
        <f t="shared" si="123"/>
        <v>10273917</v>
      </c>
      <c r="S334" s="76">
        <f t="shared" si="123"/>
        <v>29209142.34</v>
      </c>
      <c r="T334" s="80">
        <f>N334/'2015'!M334-1</f>
        <v>-1.3528674583756062E-2</v>
      </c>
      <c r="U334" s="80">
        <f>O334/'2015'!N334-1</f>
        <v>0.47482170865601403</v>
      </c>
      <c r="V334" s="80">
        <f>P334/'2015'!O334-1</f>
        <v>0.14025926967905766</v>
      </c>
      <c r="W334" s="81">
        <f>Q334/'2015'!P334-1</f>
        <v>7.0512335733057485E-2</v>
      </c>
      <c r="X334" s="81">
        <f>R334/'2015'!Q334-1</f>
        <v>6.4296500441768378E-2</v>
      </c>
      <c r="Y334" s="81">
        <f>S334/'2015'!R334-1</f>
        <v>7.3419505615718084E-2</v>
      </c>
      <c r="Z334" s="97">
        <f t="shared" si="124"/>
        <v>134.4144</v>
      </c>
      <c r="AA334" s="97">
        <f t="shared" si="128"/>
        <v>1681.7253000000001</v>
      </c>
      <c r="AB334" s="106"/>
      <c r="AC334" s="105"/>
      <c r="AD334" s="70">
        <f t="shared" si="129"/>
        <v>18935225.34</v>
      </c>
      <c r="AE334" s="71">
        <f t="shared" si="131"/>
        <v>453610</v>
      </c>
      <c r="AF334" s="71">
        <f t="shared" si="131"/>
        <v>253576</v>
      </c>
      <c r="AG334" s="71">
        <f t="shared" si="130"/>
        <v>66642.339999999851</v>
      </c>
    </row>
    <row r="335" spans="1:33" ht="15" customHeight="1" x14ac:dyDescent="0.15">
      <c r="A335" s="102">
        <v>42700</v>
      </c>
      <c r="B335" s="20" t="s">
        <v>39</v>
      </c>
      <c r="C335" s="8">
        <v>58559</v>
      </c>
      <c r="D335" s="37">
        <f>27887+10193</f>
        <v>38080</v>
      </c>
      <c r="E335" s="37">
        <v>97782</v>
      </c>
      <c r="F335" s="55">
        <v>4971.7</v>
      </c>
      <c r="G335" s="37">
        <v>3248.6</v>
      </c>
      <c r="H335" s="24"/>
      <c r="I335" s="36"/>
      <c r="J335" s="8">
        <f t="shared" si="125"/>
        <v>59702</v>
      </c>
      <c r="K335" s="37">
        <v>236</v>
      </c>
      <c r="L335" s="37">
        <v>791</v>
      </c>
      <c r="M335" s="37">
        <f t="shared" si="112"/>
        <v>116</v>
      </c>
      <c r="N335" s="74">
        <f t="shared" si="120"/>
        <v>1380983</v>
      </c>
      <c r="O335" s="75">
        <f t="shared" si="121"/>
        <v>1000938</v>
      </c>
      <c r="P335" s="75">
        <f t="shared" si="122"/>
        <v>2420172</v>
      </c>
      <c r="Q335" s="76">
        <f t="shared" si="123"/>
        <v>18219956</v>
      </c>
      <c r="R335" s="76">
        <f t="shared" si="123"/>
        <v>10311997</v>
      </c>
      <c r="S335" s="76">
        <f t="shared" si="123"/>
        <v>29306924.34</v>
      </c>
      <c r="T335" s="80">
        <f>N335/'2015'!M335-1</f>
        <v>-1.5250611464877273E-2</v>
      </c>
      <c r="U335" s="80">
        <f>O335/'2015'!N335-1</f>
        <v>0.48158048988436741</v>
      </c>
      <c r="V335" s="80">
        <f>P335/'2015'!O335-1</f>
        <v>0.13979646188994033</v>
      </c>
      <c r="W335" s="81">
        <f>Q335/'2015'!P335-1</f>
        <v>7.0065434483147504E-2</v>
      </c>
      <c r="X335" s="81">
        <f>R335/'2015'!Q335-1</f>
        <v>6.5732524415379023E-2</v>
      </c>
      <c r="Y335" s="81">
        <f>S335/'2015'!R335-1</f>
        <v>7.359558849872716E-2</v>
      </c>
      <c r="Z335" s="50">
        <f t="shared" si="124"/>
        <v>134.6961</v>
      </c>
      <c r="AA335" s="97">
        <f t="shared" si="128"/>
        <v>1687.2995000000001</v>
      </c>
      <c r="AB335" s="105"/>
      <c r="AC335" s="105"/>
      <c r="AD335" s="8">
        <f t="shared" si="129"/>
        <v>18994927.34</v>
      </c>
      <c r="AE335" s="37">
        <f t="shared" si="131"/>
        <v>453846</v>
      </c>
      <c r="AF335" s="37">
        <f t="shared" si="131"/>
        <v>254367</v>
      </c>
      <c r="AG335" s="37">
        <f t="shared" si="130"/>
        <v>66758.339999999851</v>
      </c>
    </row>
    <row r="336" spans="1:33" ht="15" customHeight="1" x14ac:dyDescent="0.15">
      <c r="A336" s="102">
        <v>42701</v>
      </c>
      <c r="B336" s="20" t="s">
        <v>1</v>
      </c>
      <c r="C336" s="8">
        <v>52395</v>
      </c>
      <c r="D336" s="37">
        <f>26471+10383</f>
        <v>36854</v>
      </c>
      <c r="E336" s="37">
        <v>89968</v>
      </c>
      <c r="F336" s="55">
        <v>4449</v>
      </c>
      <c r="G336" s="37">
        <v>3030.6</v>
      </c>
      <c r="H336" s="24"/>
      <c r="I336" s="36"/>
      <c r="J336" s="8">
        <f t="shared" si="125"/>
        <v>53114</v>
      </c>
      <c r="K336" s="37">
        <v>219</v>
      </c>
      <c r="L336" s="37">
        <v>217</v>
      </c>
      <c r="M336" s="37">
        <f t="shared" si="112"/>
        <v>283</v>
      </c>
      <c r="N336" s="74">
        <f t="shared" si="120"/>
        <v>1433378</v>
      </c>
      <c r="O336" s="75">
        <f t="shared" si="121"/>
        <v>1037792</v>
      </c>
      <c r="P336" s="75">
        <f t="shared" si="122"/>
        <v>2510140</v>
      </c>
      <c r="Q336" s="76">
        <f t="shared" si="123"/>
        <v>18272351</v>
      </c>
      <c r="R336" s="76">
        <f t="shared" si="123"/>
        <v>10348851</v>
      </c>
      <c r="S336" s="76">
        <f t="shared" si="123"/>
        <v>29396892.34</v>
      </c>
      <c r="T336" s="80">
        <f>N336/'2015'!M336-1</f>
        <v>-2.4156148305488623E-2</v>
      </c>
      <c r="U336" s="80">
        <f>O336/'2015'!N336-1</f>
        <v>0.48853967652914276</v>
      </c>
      <c r="V336" s="80">
        <f>P336/'2015'!O336-1</f>
        <v>0.134092394911417</v>
      </c>
      <c r="W336" s="81">
        <f>Q336/'2015'!P336-1</f>
        <v>6.8968309196888011E-2</v>
      </c>
      <c r="X336" s="81">
        <f>R336/'2015'!Q336-1</f>
        <v>6.715908550708205E-2</v>
      </c>
      <c r="Y336" s="81">
        <f>S336/'2015'!R336-1</f>
        <v>7.335218421780576E-2</v>
      </c>
      <c r="Z336" s="50">
        <f t="shared" si="124"/>
        <v>134.9778</v>
      </c>
      <c r="AA336" s="97">
        <f t="shared" si="128"/>
        <v>1692.2573000000002</v>
      </c>
      <c r="AB336" s="105"/>
      <c r="AC336" s="105"/>
      <c r="AD336" s="8">
        <f t="shared" si="129"/>
        <v>19048041.34</v>
      </c>
      <c r="AE336" s="37">
        <f t="shared" si="131"/>
        <v>454065</v>
      </c>
      <c r="AF336" s="37">
        <f t="shared" si="131"/>
        <v>254584</v>
      </c>
      <c r="AG336" s="37">
        <f t="shared" si="130"/>
        <v>67041.339999999851</v>
      </c>
    </row>
    <row r="337" spans="1:33" ht="15" customHeight="1" x14ac:dyDescent="0.15">
      <c r="A337" s="102">
        <v>42702</v>
      </c>
      <c r="B337" s="20" t="s">
        <v>34</v>
      </c>
      <c r="C337" s="8">
        <v>58250</v>
      </c>
      <c r="D337" s="37">
        <f>25887+10430</f>
        <v>36317</v>
      </c>
      <c r="E337" s="37">
        <v>94999</v>
      </c>
      <c r="F337" s="55">
        <v>4823.8999999999996</v>
      </c>
      <c r="G337" s="37">
        <v>2957.6</v>
      </c>
      <c r="H337" s="24"/>
      <c r="I337" s="36"/>
      <c r="J337" s="8">
        <f t="shared" si="125"/>
        <v>58682</v>
      </c>
      <c r="K337" s="37">
        <v>174</v>
      </c>
      <c r="L337" s="37">
        <v>0</v>
      </c>
      <c r="M337" s="37">
        <f t="shared" si="112"/>
        <v>258</v>
      </c>
      <c r="N337" s="74">
        <f t="shared" si="120"/>
        <v>1491628</v>
      </c>
      <c r="O337" s="75">
        <f t="shared" si="121"/>
        <v>1074109</v>
      </c>
      <c r="P337" s="75">
        <f t="shared" si="122"/>
        <v>2605139</v>
      </c>
      <c r="Q337" s="76">
        <f t="shared" si="123"/>
        <v>18330601</v>
      </c>
      <c r="R337" s="76">
        <f t="shared" si="123"/>
        <v>10385168</v>
      </c>
      <c r="S337" s="76">
        <f t="shared" si="123"/>
        <v>29491891.34</v>
      </c>
      <c r="T337" s="80">
        <f>N337/'2015'!M337-1</f>
        <v>-2.7606690065555162E-2</v>
      </c>
      <c r="U337" s="80">
        <f>O337/'2015'!N337-1</f>
        <v>0.49663222253805306</v>
      </c>
      <c r="V337" s="80">
        <f>P337/'2015'!O337-1</f>
        <v>0.1320568353464473</v>
      </c>
      <c r="W337" s="81">
        <f>Q337/'2015'!P337-1</f>
        <v>6.8306427328025832E-2</v>
      </c>
      <c r="X337" s="81">
        <f>R337/'2015'!Q337-1</f>
        <v>6.8645441526591577E-2</v>
      </c>
      <c r="Y337" s="81">
        <f>S337/'2015'!R337-1</f>
        <v>7.337600745382522E-2</v>
      </c>
      <c r="Z337" s="50">
        <f t="shared" si="124"/>
        <v>135.2595</v>
      </c>
      <c r="AA337" s="97">
        <f t="shared" si="128"/>
        <v>1697.8006</v>
      </c>
      <c r="AB337" s="105"/>
      <c r="AC337" s="105"/>
      <c r="AD337" s="8">
        <f t="shared" si="129"/>
        <v>19106723.34</v>
      </c>
      <c r="AE337" s="37">
        <f t="shared" si="131"/>
        <v>454239</v>
      </c>
      <c r="AF337" s="37">
        <f t="shared" si="131"/>
        <v>254584</v>
      </c>
      <c r="AG337" s="37">
        <f t="shared" si="130"/>
        <v>67299.339999999851</v>
      </c>
    </row>
    <row r="338" spans="1:33" ht="15" customHeight="1" x14ac:dyDescent="0.15">
      <c r="A338" s="102">
        <v>42703</v>
      </c>
      <c r="B338" s="20" t="s">
        <v>35</v>
      </c>
      <c r="C338" s="8">
        <v>59193</v>
      </c>
      <c r="D338" s="37">
        <f>28311+10542</f>
        <v>38853</v>
      </c>
      <c r="E338" s="37">
        <v>99264</v>
      </c>
      <c r="F338" s="55">
        <v>5022.5</v>
      </c>
      <c r="G338" s="37">
        <v>3185</v>
      </c>
      <c r="H338" s="24"/>
      <c r="I338" s="36"/>
      <c r="J338" s="8">
        <f t="shared" si="125"/>
        <v>60411</v>
      </c>
      <c r="K338" s="37">
        <v>318</v>
      </c>
      <c r="L338" s="37">
        <v>0</v>
      </c>
      <c r="M338" s="37">
        <f t="shared" si="112"/>
        <v>900</v>
      </c>
      <c r="N338" s="74">
        <f t="shared" si="120"/>
        <v>1550821</v>
      </c>
      <c r="O338" s="75">
        <f t="shared" si="121"/>
        <v>1112962</v>
      </c>
      <c r="P338" s="75">
        <f t="shared" si="122"/>
        <v>2704403</v>
      </c>
      <c r="Q338" s="76">
        <f t="shared" si="123"/>
        <v>18389794</v>
      </c>
      <c r="R338" s="76">
        <f t="shared" si="123"/>
        <v>10424021</v>
      </c>
      <c r="S338" s="76">
        <f t="shared" si="123"/>
        <v>29591155.34</v>
      </c>
      <c r="T338" s="80">
        <f>N338/'2015'!M338-1</f>
        <v>-2.7001778075587679E-2</v>
      </c>
      <c r="U338" s="80">
        <f>O338/'2015'!N338-1</f>
        <v>0.50709836420756149</v>
      </c>
      <c r="V338" s="80">
        <f>P338/'2015'!O338-1</f>
        <v>0.1345419046724079</v>
      </c>
      <c r="W338" s="81">
        <f>Q338/'2015'!P338-1</f>
        <v>6.8028857196902104E-2</v>
      </c>
      <c r="X338" s="81">
        <f>R338/'2015'!Q338-1</f>
        <v>7.035297652302952E-2</v>
      </c>
      <c r="Y338" s="81">
        <f>S338/'2015'!R338-1</f>
        <v>7.3766525389087345E-2</v>
      </c>
      <c r="Z338" s="50">
        <f t="shared" si="124"/>
        <v>135.5412</v>
      </c>
      <c r="AA338" s="97">
        <f t="shared" si="128"/>
        <v>1703.4382000000001</v>
      </c>
      <c r="AB338" s="105"/>
      <c r="AC338" s="105"/>
      <c r="AD338" s="8">
        <f t="shared" si="129"/>
        <v>19167134.34</v>
      </c>
      <c r="AE338" s="37">
        <f t="shared" si="131"/>
        <v>454557</v>
      </c>
      <c r="AF338" s="37">
        <f t="shared" si="131"/>
        <v>254584</v>
      </c>
      <c r="AG338" s="37">
        <f t="shared" si="130"/>
        <v>68199.339999999851</v>
      </c>
    </row>
    <row r="339" spans="1:33" s="1" customFormat="1" ht="15" customHeight="1" x14ac:dyDescent="0.15">
      <c r="A339" s="25">
        <v>42704</v>
      </c>
      <c r="B339" s="25" t="s">
        <v>36</v>
      </c>
      <c r="C339" s="42">
        <v>56728</v>
      </c>
      <c r="D339" s="43">
        <f>28698+10470</f>
        <v>39168</v>
      </c>
      <c r="E339" s="43">
        <v>96477</v>
      </c>
      <c r="F339" s="57">
        <v>4887</v>
      </c>
      <c r="G339" s="43">
        <v>3194.9</v>
      </c>
      <c r="H339" s="30"/>
      <c r="I339" s="30"/>
      <c r="J339" s="42">
        <f t="shared" si="125"/>
        <v>57309</v>
      </c>
      <c r="K339" s="43">
        <v>445</v>
      </c>
      <c r="L339" s="43">
        <v>0</v>
      </c>
      <c r="M339" s="43">
        <f t="shared" si="112"/>
        <v>136</v>
      </c>
      <c r="N339" s="87">
        <f t="shared" si="120"/>
        <v>1607549</v>
      </c>
      <c r="O339" s="88">
        <v>1152131</v>
      </c>
      <c r="P339" s="88">
        <f t="shared" si="122"/>
        <v>2800880</v>
      </c>
      <c r="Q339" s="87">
        <f t="shared" si="123"/>
        <v>18446522</v>
      </c>
      <c r="R339" s="87">
        <f t="shared" si="123"/>
        <v>10463190</v>
      </c>
      <c r="S339" s="87">
        <f t="shared" si="123"/>
        <v>29687632.34</v>
      </c>
      <c r="T339" s="89">
        <f>N339/'2015'!M339-1</f>
        <v>-2.9823200852160392E-2</v>
      </c>
      <c r="U339" s="89">
        <f>O339/'2015'!N339-1</f>
        <v>0.51746732942946028</v>
      </c>
      <c r="V339" s="89">
        <f>P339/'2015'!O339-1</f>
        <v>0.13431174781804711</v>
      </c>
      <c r="W339" s="89">
        <f>Q339/'2015'!P339-1</f>
        <v>6.7411314378629239E-2</v>
      </c>
      <c r="X339" s="89">
        <f>R339/'2015'!Q339-1</f>
        <v>7.2088908297641252E-2</v>
      </c>
      <c r="Y339" s="89">
        <f>S339/'2015'!R339-1</f>
        <v>7.3934021549993068E-2</v>
      </c>
      <c r="Z339" s="52">
        <v>135.82329999999999</v>
      </c>
      <c r="AA339" s="52">
        <f t="shared" si="128"/>
        <v>1708.8289</v>
      </c>
      <c r="AB339" s="43">
        <v>4237.2</v>
      </c>
      <c r="AC339" s="43">
        <f t="shared" si="132"/>
        <v>4032.9200887378461</v>
      </c>
      <c r="AD339" s="42">
        <f t="shared" si="129"/>
        <v>19224442.34</v>
      </c>
      <c r="AE339" s="43">
        <f t="shared" si="131"/>
        <v>455002</v>
      </c>
      <c r="AF339" s="43">
        <f t="shared" si="131"/>
        <v>254584</v>
      </c>
      <c r="AG339" s="43">
        <f t="shared" si="130"/>
        <v>68334.339999999851</v>
      </c>
    </row>
    <row r="340" spans="1:33" ht="15" customHeight="1" x14ac:dyDescent="0.15">
      <c r="A340" s="102">
        <v>42705</v>
      </c>
      <c r="B340" s="20" t="s">
        <v>37</v>
      </c>
      <c r="C340" s="8">
        <v>55594</v>
      </c>
      <c r="D340" s="37">
        <f>26319+10457</f>
        <v>36776</v>
      </c>
      <c r="E340" s="37">
        <v>93334</v>
      </c>
      <c r="F340" s="55">
        <v>4626.8</v>
      </c>
      <c r="G340" s="37">
        <v>3099.4</v>
      </c>
      <c r="H340" s="24"/>
      <c r="I340" s="36"/>
      <c r="J340" s="8">
        <f t="shared" si="125"/>
        <v>56558</v>
      </c>
      <c r="K340" s="37">
        <v>524</v>
      </c>
      <c r="L340" s="37">
        <v>0</v>
      </c>
      <c r="M340" s="37">
        <f t="shared" si="112"/>
        <v>440</v>
      </c>
      <c r="N340" s="74">
        <f>C340</f>
        <v>55594</v>
      </c>
      <c r="O340" s="75">
        <f>D340</f>
        <v>36776</v>
      </c>
      <c r="P340" s="75">
        <f>E340</f>
        <v>93334</v>
      </c>
      <c r="Q340" s="76">
        <f>Q$339+N340</f>
        <v>18502116</v>
      </c>
      <c r="R340" s="76">
        <f>R$339+O340</f>
        <v>10499966</v>
      </c>
      <c r="S340" s="76">
        <f>S$339+P340</f>
        <v>29780966.34</v>
      </c>
      <c r="T340" s="80">
        <f>N340/'2015'!M340-1</f>
        <v>-8.4239309481452196E-2</v>
      </c>
      <c r="U340" s="80">
        <f>O340/'2015'!N340-1</f>
        <v>0.66046595629402205</v>
      </c>
      <c r="V340" s="80">
        <f>P340/'2015'!O340-1</f>
        <v>0.11383734113013899</v>
      </c>
      <c r="W340" s="81">
        <f>Q340/'2015'!P340-1</f>
        <v>6.6880448901175393E-2</v>
      </c>
      <c r="X340" s="81">
        <f>R340/'2015'!Q340-1</f>
        <v>7.34211176558206E-2</v>
      </c>
      <c r="Y340" s="81">
        <f>S340/'2015'!R340-1</f>
        <v>7.405461249832257E-2</v>
      </c>
      <c r="Z340" s="50">
        <f>Z339+0.3313</f>
        <v>136.15459999999999</v>
      </c>
      <c r="AA340" s="97">
        <f t="shared" si="128"/>
        <v>1714.057</v>
      </c>
      <c r="AB340" s="105"/>
      <c r="AC340" s="105"/>
      <c r="AD340" s="8">
        <f t="shared" si="129"/>
        <v>19281000.34</v>
      </c>
      <c r="AE340" s="37">
        <f t="shared" si="131"/>
        <v>455526</v>
      </c>
      <c r="AF340" s="37">
        <f t="shared" si="131"/>
        <v>254584</v>
      </c>
      <c r="AG340" s="37">
        <f t="shared" si="130"/>
        <v>68774.339999999851</v>
      </c>
    </row>
    <row r="341" spans="1:33" ht="15" customHeight="1" x14ac:dyDescent="0.15">
      <c r="A341" s="102">
        <v>42706</v>
      </c>
      <c r="B341" s="20" t="s">
        <v>38</v>
      </c>
      <c r="C341" s="70">
        <v>59890</v>
      </c>
      <c r="D341" s="71">
        <f>24778+10612</f>
        <v>35390</v>
      </c>
      <c r="E341" s="71">
        <v>95817</v>
      </c>
      <c r="F341" s="107">
        <v>4805.2</v>
      </c>
      <c r="G341" s="71">
        <v>3081.6</v>
      </c>
      <c r="H341" s="24"/>
      <c r="I341" s="24"/>
      <c r="J341" s="70">
        <f t="shared" si="125"/>
        <v>60427</v>
      </c>
      <c r="K341" s="71">
        <v>364</v>
      </c>
      <c r="L341" s="71">
        <v>0</v>
      </c>
      <c r="M341" s="71">
        <f t="shared" si="112"/>
        <v>173</v>
      </c>
      <c r="N341" s="74">
        <f t="shared" ref="N341:N369" si="133">N340+C341</f>
        <v>115484</v>
      </c>
      <c r="O341" s="75">
        <f t="shared" ref="O341:O370" si="134">O340+D341</f>
        <v>72166</v>
      </c>
      <c r="P341" s="75">
        <f t="shared" ref="P341:P370" si="135">P340+E341</f>
        <v>189151</v>
      </c>
      <c r="Q341" s="76">
        <f t="shared" ref="Q341:S369" si="136">Q$339+N341</f>
        <v>18562006</v>
      </c>
      <c r="R341" s="76">
        <f t="shared" si="136"/>
        <v>10535356</v>
      </c>
      <c r="S341" s="76">
        <f t="shared" si="136"/>
        <v>29876783.34</v>
      </c>
      <c r="T341" s="80">
        <f>N341/'2015'!M341-1</f>
        <v>-6.7556983795044045E-2</v>
      </c>
      <c r="U341" s="80">
        <f>O341/'2015'!N341-1</f>
        <v>0.63278881397348297</v>
      </c>
      <c r="V341" s="80">
        <f>P341/'2015'!O341-1</f>
        <v>0.11304578086383432</v>
      </c>
      <c r="W341" s="81">
        <f>Q341/'2015'!P341-1</f>
        <v>6.6450925204193823E-2</v>
      </c>
      <c r="X341" s="81">
        <f>R341/'2015'!Q341-1</f>
        <v>7.4616677752473493E-2</v>
      </c>
      <c r="Y341" s="81">
        <f>S341/'2015'!R341-1</f>
        <v>7.4172991535051302E-2</v>
      </c>
      <c r="Z341" s="97">
        <f t="shared" ref="Z341:Z346" si="137">Z340+0.3313</f>
        <v>136.48589999999999</v>
      </c>
      <c r="AA341" s="97">
        <f t="shared" si="128"/>
        <v>1719.7147</v>
      </c>
      <c r="AB341" s="106"/>
      <c r="AC341" s="105"/>
      <c r="AD341" s="70">
        <f t="shared" si="129"/>
        <v>19341427.34</v>
      </c>
      <c r="AE341" s="71">
        <f t="shared" si="131"/>
        <v>455890</v>
      </c>
      <c r="AF341" s="71">
        <f t="shared" si="131"/>
        <v>254584</v>
      </c>
      <c r="AG341" s="71">
        <f t="shared" si="130"/>
        <v>68947.339999999851</v>
      </c>
    </row>
    <row r="342" spans="1:33" ht="15" customHeight="1" x14ac:dyDescent="0.15">
      <c r="A342" s="102">
        <v>42707</v>
      </c>
      <c r="B342" s="20" t="s">
        <v>39</v>
      </c>
      <c r="C342" s="8">
        <v>62151</v>
      </c>
      <c r="D342" s="37">
        <f>22746+10408</f>
        <v>33154</v>
      </c>
      <c r="E342" s="37">
        <v>95716</v>
      </c>
      <c r="F342" s="55">
        <v>4785.8999999999996</v>
      </c>
      <c r="G342" s="37">
        <v>3198.7</v>
      </c>
      <c r="H342" s="24"/>
      <c r="I342" s="36"/>
      <c r="J342" s="8">
        <f t="shared" si="125"/>
        <v>62562</v>
      </c>
      <c r="K342" s="37">
        <v>232</v>
      </c>
      <c r="L342" s="37">
        <v>0</v>
      </c>
      <c r="M342" s="37">
        <f t="shared" si="112"/>
        <v>179</v>
      </c>
      <c r="N342" s="74">
        <f t="shared" si="133"/>
        <v>177635</v>
      </c>
      <c r="O342" s="75">
        <f t="shared" si="134"/>
        <v>105320</v>
      </c>
      <c r="P342" s="75">
        <f t="shared" si="135"/>
        <v>284867</v>
      </c>
      <c r="Q342" s="76">
        <f t="shared" si="136"/>
        <v>18624157</v>
      </c>
      <c r="R342" s="76">
        <f t="shared" si="136"/>
        <v>10568510</v>
      </c>
      <c r="S342" s="76">
        <f t="shared" si="136"/>
        <v>29972499.34</v>
      </c>
      <c r="T342" s="80">
        <f>N342/'2015'!M342-1</f>
        <v>-5.6242395906939135E-2</v>
      </c>
      <c r="U342" s="80">
        <f>O342/'2015'!N342-1</f>
        <v>0.61002828097531148</v>
      </c>
      <c r="V342" s="80">
        <f>P342/'2015'!O342-1</f>
        <v>0.11072683248267823</v>
      </c>
      <c r="W342" s="81">
        <f>Q342/'2015'!P342-1</f>
        <v>6.6079057361427385E-2</v>
      </c>
      <c r="X342" s="81">
        <f>R342/'2015'!Q342-1</f>
        <v>7.5670500814042141E-2</v>
      </c>
      <c r="Y342" s="81">
        <f>S342/'2015'!R342-1</f>
        <v>7.4272233726087933E-2</v>
      </c>
      <c r="Z342" s="50">
        <f t="shared" si="137"/>
        <v>136.81719999999999</v>
      </c>
      <c r="AA342" s="97">
        <f t="shared" si="128"/>
        <v>1725.5985000000001</v>
      </c>
      <c r="AB342" s="105"/>
      <c r="AC342" s="105"/>
      <c r="AD342" s="8">
        <f t="shared" si="129"/>
        <v>19403989.34</v>
      </c>
      <c r="AE342" s="37">
        <f t="shared" si="131"/>
        <v>456122</v>
      </c>
      <c r="AF342" s="37">
        <f t="shared" si="131"/>
        <v>254584</v>
      </c>
      <c r="AG342" s="37">
        <f t="shared" si="130"/>
        <v>69126.339999999851</v>
      </c>
    </row>
    <row r="343" spans="1:33" ht="15" customHeight="1" x14ac:dyDescent="0.15">
      <c r="A343" s="102">
        <v>42708</v>
      </c>
      <c r="B343" s="20" t="s">
        <v>1</v>
      </c>
      <c r="C343" s="8">
        <v>57596</v>
      </c>
      <c r="D343" s="37">
        <f>22359+10184</f>
        <v>32543</v>
      </c>
      <c r="E343" s="37">
        <v>90962</v>
      </c>
      <c r="F343" s="55">
        <v>4523.3</v>
      </c>
      <c r="G343" s="37">
        <v>3122.8</v>
      </c>
      <c r="H343" s="24"/>
      <c r="I343" s="36"/>
      <c r="J343" s="8">
        <f t="shared" si="125"/>
        <v>58419</v>
      </c>
      <c r="K343" s="37">
        <v>349</v>
      </c>
      <c r="L343" s="37">
        <v>0</v>
      </c>
      <c r="M343" s="37">
        <f t="shared" si="112"/>
        <v>474</v>
      </c>
      <c r="N343" s="74">
        <f t="shared" si="133"/>
        <v>235231</v>
      </c>
      <c r="O343" s="75">
        <f t="shared" si="134"/>
        <v>137863</v>
      </c>
      <c r="P343" s="75">
        <f t="shared" si="135"/>
        <v>375829</v>
      </c>
      <c r="Q343" s="76">
        <f t="shared" si="136"/>
        <v>18681753</v>
      </c>
      <c r="R343" s="76">
        <f t="shared" si="136"/>
        <v>10601053</v>
      </c>
      <c r="S343" s="76">
        <f t="shared" si="136"/>
        <v>30063461.34</v>
      </c>
      <c r="T343" s="80">
        <f>N343/'2015'!M343-1</f>
        <v>-8.1035573925476778E-2</v>
      </c>
      <c r="U343" s="80">
        <f>O343/'2015'!N343-1</f>
        <v>0.58932709267606609</v>
      </c>
      <c r="V343" s="80">
        <f>P343/'2015'!O343-1</f>
        <v>8.4815771623201419E-2</v>
      </c>
      <c r="W343" s="81">
        <f>Q343/'2015'!P343-1</f>
        <v>6.5244614918274602E-2</v>
      </c>
      <c r="X343" s="81">
        <f>R343/'2015'!Q343-1</f>
        <v>7.6645590883626991E-2</v>
      </c>
      <c r="Y343" s="81">
        <f>S343/'2015'!R343-1</f>
        <v>7.4068708688976415E-2</v>
      </c>
      <c r="Z343" s="50">
        <f t="shared" si="137"/>
        <v>137.14849999999998</v>
      </c>
      <c r="AA343" s="97">
        <f t="shared" si="128"/>
        <v>1731.0268000000001</v>
      </c>
      <c r="AB343" s="105"/>
      <c r="AC343" s="105"/>
      <c r="AD343" s="8">
        <f t="shared" si="129"/>
        <v>19462408.34</v>
      </c>
      <c r="AE343" s="37">
        <f t="shared" si="131"/>
        <v>456471</v>
      </c>
      <c r="AF343" s="37">
        <f t="shared" si="131"/>
        <v>254584</v>
      </c>
      <c r="AG343" s="37">
        <f t="shared" si="130"/>
        <v>69600.339999999851</v>
      </c>
    </row>
    <row r="344" spans="1:33" ht="15" customHeight="1" x14ac:dyDescent="0.15">
      <c r="A344" s="102">
        <v>42709</v>
      </c>
      <c r="B344" s="20" t="s">
        <v>34</v>
      </c>
      <c r="C344" s="8">
        <v>60021</v>
      </c>
      <c r="D344" s="37">
        <f>22865+10645</f>
        <v>33510</v>
      </c>
      <c r="E344" s="37">
        <v>94597</v>
      </c>
      <c r="F344" s="55">
        <v>4777.5</v>
      </c>
      <c r="G344" s="37">
        <v>3006.5</v>
      </c>
      <c r="H344" s="24"/>
      <c r="I344" s="36"/>
      <c r="J344" s="8">
        <f t="shared" si="125"/>
        <v>61087</v>
      </c>
      <c r="K344" s="37">
        <v>868</v>
      </c>
      <c r="L344" s="37">
        <v>0</v>
      </c>
      <c r="M344" s="37">
        <f t="shared" ref="M344" si="138">J344-K344-L344-C344</f>
        <v>198</v>
      </c>
      <c r="N344" s="74">
        <f t="shared" si="133"/>
        <v>295252</v>
      </c>
      <c r="O344" s="75">
        <f t="shared" si="134"/>
        <v>171373</v>
      </c>
      <c r="P344" s="75">
        <f t="shared" si="135"/>
        <v>470426</v>
      </c>
      <c r="Q344" s="76">
        <f t="shared" si="136"/>
        <v>18741774</v>
      </c>
      <c r="R344" s="76">
        <f t="shared" si="136"/>
        <v>10634563</v>
      </c>
      <c r="S344" s="76">
        <f t="shared" si="136"/>
        <v>30158058.34</v>
      </c>
      <c r="T344" s="80">
        <f>N344/'2015'!M344-1</f>
        <v>-9.5631185427278775E-2</v>
      </c>
      <c r="U344" s="80">
        <f>O344/'2015'!N344-1</f>
        <v>0.6003156312157405</v>
      </c>
      <c r="V344" s="80">
        <f>P344/'2015'!O344-1</f>
        <v>7.2672754842608045E-2</v>
      </c>
      <c r="W344" s="81">
        <f>Q344/'2015'!P344-1</f>
        <v>6.4388318893040974E-2</v>
      </c>
      <c r="X344" s="81">
        <f>R344/'2015'!Q344-1</f>
        <v>7.7821941971371267E-2</v>
      </c>
      <c r="Y344" s="81">
        <f>S344/'2015'!R344-1</f>
        <v>7.3914324678234999E-2</v>
      </c>
      <c r="Z344" s="50">
        <f t="shared" si="137"/>
        <v>137.47979999999998</v>
      </c>
      <c r="AA344" s="97">
        <f t="shared" si="128"/>
        <v>1736.6976</v>
      </c>
      <c r="AB344" s="105"/>
      <c r="AC344" s="105"/>
      <c r="AD344" s="8">
        <f t="shared" si="129"/>
        <v>19523495.34</v>
      </c>
      <c r="AE344" s="37">
        <f t="shared" si="131"/>
        <v>457339</v>
      </c>
      <c r="AF344" s="37">
        <f t="shared" si="131"/>
        <v>254584</v>
      </c>
      <c r="AG344" s="37">
        <f t="shared" si="130"/>
        <v>69798.339999999851</v>
      </c>
    </row>
    <row r="345" spans="1:33" ht="15" customHeight="1" x14ac:dyDescent="0.15">
      <c r="A345" s="102">
        <v>42710</v>
      </c>
      <c r="B345" s="20" t="s">
        <v>35</v>
      </c>
      <c r="C345" s="8">
        <v>62060</v>
      </c>
      <c r="D345" s="37">
        <f>23508+10512</f>
        <v>34020</v>
      </c>
      <c r="E345" s="37">
        <v>96630</v>
      </c>
      <c r="F345" s="55">
        <v>3857.1</v>
      </c>
      <c r="G345" s="37">
        <v>3091</v>
      </c>
      <c r="H345" s="24"/>
      <c r="I345" s="36"/>
      <c r="J345" s="8">
        <f t="shared" si="125"/>
        <v>62610</v>
      </c>
      <c r="K345" s="37">
        <v>326</v>
      </c>
      <c r="L345" s="37">
        <v>0</v>
      </c>
      <c r="M345" s="37">
        <f t="shared" si="112"/>
        <v>224</v>
      </c>
      <c r="N345" s="74">
        <f t="shared" si="133"/>
        <v>357312</v>
      </c>
      <c r="O345" s="75">
        <f t="shared" si="134"/>
        <v>205393</v>
      </c>
      <c r="P345" s="75">
        <f t="shared" si="135"/>
        <v>567056</v>
      </c>
      <c r="Q345" s="76">
        <f t="shared" si="136"/>
        <v>18803834</v>
      </c>
      <c r="R345" s="76">
        <f t="shared" si="136"/>
        <v>10668583</v>
      </c>
      <c r="S345" s="76">
        <f t="shared" si="136"/>
        <v>30254688.34</v>
      </c>
      <c r="T345" s="80">
        <f>N345/'2015'!M345-1</f>
        <v>-7.9484239949506041E-2</v>
      </c>
      <c r="U345" s="80">
        <f>O345/'2015'!N345-1</f>
        <v>0.60503407101775442</v>
      </c>
      <c r="V345" s="80">
        <f>P345/'2015'!O345-1</f>
        <v>8.4390525619303602E-2</v>
      </c>
      <c r="W345" s="81">
        <f>Q345/'2015'!P345-1</f>
        <v>6.4184340268080176E-2</v>
      </c>
      <c r="X345" s="81">
        <f>R345/'2015'!Q345-1</f>
        <v>7.898643118241977E-2</v>
      </c>
      <c r="Y345" s="81">
        <f>S345/'2015'!R345-1</f>
        <v>7.4128150435584628E-2</v>
      </c>
      <c r="Z345" s="50">
        <f t="shared" si="137"/>
        <v>137.81109999999998</v>
      </c>
      <c r="AA345" s="97">
        <f t="shared" si="128"/>
        <v>1742.5723</v>
      </c>
      <c r="AB345" s="105"/>
      <c r="AC345" s="105"/>
      <c r="AD345" s="8">
        <f t="shared" si="129"/>
        <v>19586105.34</v>
      </c>
      <c r="AE345" s="37">
        <f t="shared" si="131"/>
        <v>457665</v>
      </c>
      <c r="AF345" s="37">
        <f t="shared" si="131"/>
        <v>254584</v>
      </c>
      <c r="AG345" s="37">
        <f t="shared" si="130"/>
        <v>70022.339999999851</v>
      </c>
    </row>
    <row r="346" spans="1:33" ht="15" customHeight="1" x14ac:dyDescent="0.15">
      <c r="A346" s="102">
        <v>42711</v>
      </c>
      <c r="B346" s="14" t="s">
        <v>36</v>
      </c>
      <c r="C346" s="32">
        <v>63398</v>
      </c>
      <c r="D346" s="33">
        <f>23244+10841</f>
        <v>34085</v>
      </c>
      <c r="E346" s="33">
        <v>97881</v>
      </c>
      <c r="F346" s="59">
        <v>4922.1000000000004</v>
      </c>
      <c r="G346" s="33">
        <v>3202.3</v>
      </c>
      <c r="H346" s="19"/>
      <c r="I346" s="19"/>
      <c r="J346" s="32">
        <f t="shared" si="125"/>
        <v>63796</v>
      </c>
      <c r="K346" s="33">
        <v>169</v>
      </c>
      <c r="L346" s="33">
        <v>0</v>
      </c>
      <c r="M346" s="33">
        <f t="shared" ref="M346:M370" si="139">J346-K346-L346-C346</f>
        <v>229</v>
      </c>
      <c r="N346" s="77">
        <f t="shared" si="133"/>
        <v>420710</v>
      </c>
      <c r="O346" s="78">
        <f t="shared" si="134"/>
        <v>239478</v>
      </c>
      <c r="P346" s="78">
        <f t="shared" si="135"/>
        <v>664937</v>
      </c>
      <c r="Q346" s="77">
        <f t="shared" si="136"/>
        <v>18867232</v>
      </c>
      <c r="R346" s="77">
        <f t="shared" si="136"/>
        <v>10702668</v>
      </c>
      <c r="S346" s="77">
        <f t="shared" si="136"/>
        <v>30352569.34</v>
      </c>
      <c r="T346" s="82">
        <f>N346/'2015'!M346-1</f>
        <v>-7.5338250679138796E-2</v>
      </c>
      <c r="U346" s="82">
        <f>O346/'2015'!N346-1</f>
        <v>0.60792555191491648</v>
      </c>
      <c r="V346" s="82">
        <f>P346/'2015'!O346-1</f>
        <v>8.6003276284177588E-2</v>
      </c>
      <c r="W346" s="82">
        <f>Q346/'2015'!P346-1</f>
        <v>6.3749419418829056E-2</v>
      </c>
      <c r="X346" s="82">
        <f>R346/'2015'!Q346-1</f>
        <v>8.014308832812822E-2</v>
      </c>
      <c r="Y346" s="82">
        <f>S346/'2015'!R346-1</f>
        <v>7.4195549257287663E-2</v>
      </c>
      <c r="Z346" s="49">
        <f t="shared" si="137"/>
        <v>138.14239999999998</v>
      </c>
      <c r="AA346" s="49">
        <f t="shared" si="128"/>
        <v>1748.5808</v>
      </c>
      <c r="AB346" s="33">
        <v>4237.2</v>
      </c>
      <c r="AC346" s="33">
        <f t="shared" si="132"/>
        <v>4126.7365241197022</v>
      </c>
      <c r="AD346" s="32">
        <f t="shared" si="129"/>
        <v>19649901.34</v>
      </c>
      <c r="AE346" s="33">
        <f t="shared" si="131"/>
        <v>457834</v>
      </c>
      <c r="AF346" s="33">
        <f t="shared" si="131"/>
        <v>254584</v>
      </c>
      <c r="AG346" s="33">
        <f t="shared" si="130"/>
        <v>70251.339999999851</v>
      </c>
    </row>
    <row r="347" spans="1:33" ht="15" customHeight="1" x14ac:dyDescent="0.15">
      <c r="A347" s="102">
        <v>42712</v>
      </c>
      <c r="B347" s="20" t="s">
        <v>37</v>
      </c>
      <c r="C347" s="8">
        <v>63319</v>
      </c>
      <c r="D347" s="37">
        <f>23208+10862</f>
        <v>34070</v>
      </c>
      <c r="E347" s="37">
        <v>98046</v>
      </c>
      <c r="F347" s="55">
        <v>4931.8</v>
      </c>
      <c r="G347" s="37">
        <v>3211.2</v>
      </c>
      <c r="H347" s="24"/>
      <c r="I347" s="36"/>
      <c r="J347" s="8">
        <f t="shared" si="125"/>
        <v>63976</v>
      </c>
      <c r="K347" s="37">
        <v>424</v>
      </c>
      <c r="L347" s="37">
        <v>0</v>
      </c>
      <c r="M347" s="37">
        <f t="shared" si="139"/>
        <v>233</v>
      </c>
      <c r="N347" s="74">
        <f t="shared" si="133"/>
        <v>484029</v>
      </c>
      <c r="O347" s="75">
        <f t="shared" si="134"/>
        <v>273548</v>
      </c>
      <c r="P347" s="75">
        <f t="shared" si="135"/>
        <v>762983</v>
      </c>
      <c r="Q347" s="76">
        <f t="shared" si="136"/>
        <v>18930551</v>
      </c>
      <c r="R347" s="76">
        <f t="shared" si="136"/>
        <v>10736738</v>
      </c>
      <c r="S347" s="76">
        <f t="shared" si="136"/>
        <v>30450615.34</v>
      </c>
      <c r="T347" s="80">
        <f>N347/'2015'!M347-1</f>
        <v>-6.8225306562457844E-2</v>
      </c>
      <c r="U347" s="80">
        <f>O347/'2015'!N347-1</f>
        <v>0.58904650703472639</v>
      </c>
      <c r="V347" s="80">
        <f>P347/'2015'!O347-1</f>
        <v>8.790713657317295E-2</v>
      </c>
      <c r="W347" s="81">
        <f>Q347/'2015'!P347-1</f>
        <v>6.3453161672758052E-2</v>
      </c>
      <c r="X347" s="81">
        <f>R347/'2015'!Q347-1</f>
        <v>8.1049258566570526E-2</v>
      </c>
      <c r="Y347" s="81">
        <f>S347/'2015'!R347-1</f>
        <v>7.4279751964578145E-2</v>
      </c>
      <c r="Z347" s="50">
        <v>138.47</v>
      </c>
      <c r="AA347" s="97">
        <f t="shared" si="128"/>
        <v>1754.5851</v>
      </c>
      <c r="AB347" s="105">
        <v>4237.2</v>
      </c>
      <c r="AC347" s="105">
        <f t="shared" si="132"/>
        <v>4140.9069668649108</v>
      </c>
      <c r="AD347" s="8">
        <f t="shared" si="129"/>
        <v>19713877.34</v>
      </c>
      <c r="AE347" s="37">
        <f t="shared" si="131"/>
        <v>458258</v>
      </c>
      <c r="AF347" s="37">
        <f t="shared" si="131"/>
        <v>254584</v>
      </c>
      <c r="AG347" s="37">
        <f t="shared" si="130"/>
        <v>70484.339999999851</v>
      </c>
    </row>
    <row r="348" spans="1:33" ht="15" customHeight="1" x14ac:dyDescent="0.15">
      <c r="A348" s="102">
        <v>42713</v>
      </c>
      <c r="B348" s="20" t="s">
        <v>38</v>
      </c>
      <c r="C348" s="70">
        <v>63300</v>
      </c>
      <c r="D348" s="71">
        <v>34171</v>
      </c>
      <c r="E348" s="71">
        <v>98335</v>
      </c>
      <c r="F348" s="107">
        <v>4936</v>
      </c>
      <c r="G348" s="71">
        <v>3175</v>
      </c>
      <c r="H348" s="24"/>
      <c r="I348" s="24"/>
      <c r="J348" s="70">
        <f t="shared" si="125"/>
        <v>64164</v>
      </c>
      <c r="K348" s="71">
        <v>654</v>
      </c>
      <c r="L348" s="71">
        <v>0</v>
      </c>
      <c r="M348" s="71">
        <f t="shared" si="139"/>
        <v>210</v>
      </c>
      <c r="N348" s="74">
        <f t="shared" si="133"/>
        <v>547329</v>
      </c>
      <c r="O348" s="75">
        <f t="shared" si="134"/>
        <v>307719</v>
      </c>
      <c r="P348" s="75">
        <f t="shared" si="135"/>
        <v>861318</v>
      </c>
      <c r="Q348" s="76">
        <f t="shared" si="136"/>
        <v>18993851</v>
      </c>
      <c r="R348" s="76">
        <f t="shared" si="136"/>
        <v>10770909</v>
      </c>
      <c r="S348" s="76">
        <f t="shared" si="136"/>
        <v>30548950.34</v>
      </c>
      <c r="T348" s="80">
        <f>N348/'2015'!M348-1</f>
        <v>-6.3717867791582616E-2</v>
      </c>
      <c r="U348" s="80">
        <f>O348/'2015'!N348-1</f>
        <v>0.58148486966532364</v>
      </c>
      <c r="V348" s="80">
        <f>P348/'2015'!O348-1</f>
        <v>8.9986206198352292E-2</v>
      </c>
      <c r="W348" s="81">
        <f>Q348/'2015'!P348-1</f>
        <v>6.3120787174522963E-2</v>
      </c>
      <c r="X348" s="81">
        <f>R348/'2015'!Q348-1</f>
        <v>8.204613025349583E-2</v>
      </c>
      <c r="Y348" s="81">
        <f>S348/'2015'!R348-1</f>
        <v>7.4380127835581789E-2</v>
      </c>
      <c r="Z348" s="97">
        <f>Z347+0.4978</f>
        <v>138.96780000000001</v>
      </c>
      <c r="AA348" s="97">
        <f t="shared" si="128"/>
        <v>1760.4173000000001</v>
      </c>
      <c r="AB348" s="106"/>
      <c r="AC348" s="105"/>
      <c r="AD348" s="70">
        <f t="shared" si="129"/>
        <v>19778041.34</v>
      </c>
      <c r="AE348" s="71">
        <f t="shared" si="131"/>
        <v>458912</v>
      </c>
      <c r="AF348" s="71">
        <f t="shared" si="131"/>
        <v>254584</v>
      </c>
      <c r="AG348" s="71">
        <f t="shared" si="130"/>
        <v>70694.339999999851</v>
      </c>
    </row>
    <row r="349" spans="1:33" ht="15" customHeight="1" x14ac:dyDescent="0.15">
      <c r="A349" s="102">
        <v>42714</v>
      </c>
      <c r="B349" s="20" t="s">
        <v>39</v>
      </c>
      <c r="C349" s="8">
        <v>63235</v>
      </c>
      <c r="D349" s="37">
        <v>33857</v>
      </c>
      <c r="E349" s="37">
        <v>97820</v>
      </c>
      <c r="F349" s="55">
        <v>4951</v>
      </c>
      <c r="G349" s="37">
        <v>3208</v>
      </c>
      <c r="H349" s="24"/>
      <c r="I349" s="36"/>
      <c r="J349" s="8">
        <f t="shared" si="125"/>
        <v>63963</v>
      </c>
      <c r="K349" s="37">
        <v>583</v>
      </c>
      <c r="L349" s="37">
        <v>0</v>
      </c>
      <c r="M349" s="37">
        <f t="shared" si="139"/>
        <v>145</v>
      </c>
      <c r="N349" s="74">
        <f t="shared" si="133"/>
        <v>610564</v>
      </c>
      <c r="O349" s="75">
        <f t="shared" si="134"/>
        <v>341576</v>
      </c>
      <c r="P349" s="75">
        <f t="shared" si="135"/>
        <v>959138</v>
      </c>
      <c r="Q349" s="76">
        <f t="shared" si="136"/>
        <v>19057086</v>
      </c>
      <c r="R349" s="76">
        <f t="shared" si="136"/>
        <v>10804766</v>
      </c>
      <c r="S349" s="76">
        <f t="shared" si="136"/>
        <v>30646770.34</v>
      </c>
      <c r="T349" s="80">
        <f>N349/'2015'!M349-1</f>
        <v>-5.8274439882408435E-2</v>
      </c>
      <c r="U349" s="80">
        <f>O349/'2015'!N349-1</f>
        <v>0.58520127344786932</v>
      </c>
      <c r="V349" s="80">
        <f>P349/'2015'!O349-1</f>
        <v>9.4352969902206985E-2</v>
      </c>
      <c r="W349" s="81">
        <f>Q349/'2015'!P349-1</f>
        <v>6.2866510770614559E-2</v>
      </c>
      <c r="X349" s="81">
        <f>R349/'2015'!Q349-1</f>
        <v>8.3172942405530081E-2</v>
      </c>
      <c r="Y349" s="81">
        <f>S349/'2015'!R349-1</f>
        <v>7.4561506931722255E-2</v>
      </c>
      <c r="Z349" s="50">
        <f t="shared" ref="Z349:Z369" si="140">Z348+0.4978</f>
        <v>139.46560000000002</v>
      </c>
      <c r="AA349" s="97">
        <f t="shared" si="128"/>
        <v>1766.2429999999999</v>
      </c>
      <c r="AB349" s="105"/>
      <c r="AC349" s="105"/>
      <c r="AD349" s="8">
        <f t="shared" si="129"/>
        <v>19842004.34</v>
      </c>
      <c r="AE349" s="37">
        <f t="shared" si="131"/>
        <v>459495</v>
      </c>
      <c r="AF349" s="37">
        <f t="shared" si="131"/>
        <v>254584</v>
      </c>
      <c r="AG349" s="37">
        <f t="shared" si="130"/>
        <v>70839.339999999851</v>
      </c>
    </row>
    <row r="350" spans="1:33" ht="15" customHeight="1" x14ac:dyDescent="0.15">
      <c r="A350" s="102">
        <v>42715</v>
      </c>
      <c r="B350" s="20" t="s">
        <v>1</v>
      </c>
      <c r="C350" s="8">
        <v>57782</v>
      </c>
      <c r="D350" s="37">
        <v>34171</v>
      </c>
      <c r="E350" s="37">
        <v>92510</v>
      </c>
      <c r="F350" s="55">
        <v>4593</v>
      </c>
      <c r="G350" s="37">
        <v>3150</v>
      </c>
      <c r="H350" s="24"/>
      <c r="I350" s="36"/>
      <c r="J350" s="8">
        <f t="shared" si="125"/>
        <v>58339</v>
      </c>
      <c r="K350" s="37">
        <v>353</v>
      </c>
      <c r="L350" s="37">
        <v>0</v>
      </c>
      <c r="M350" s="37">
        <f t="shared" si="139"/>
        <v>204</v>
      </c>
      <c r="N350" s="74">
        <f t="shared" si="133"/>
        <v>668346</v>
      </c>
      <c r="O350" s="75">
        <f t="shared" si="134"/>
        <v>375747</v>
      </c>
      <c r="P350" s="75">
        <f t="shared" si="135"/>
        <v>1051648</v>
      </c>
      <c r="Q350" s="76">
        <f t="shared" si="136"/>
        <v>19114868</v>
      </c>
      <c r="R350" s="76">
        <f t="shared" si="136"/>
        <v>10838937</v>
      </c>
      <c r="S350" s="76">
        <f t="shared" si="136"/>
        <v>30739280.34</v>
      </c>
      <c r="T350" s="80">
        <f>N350/'2015'!M350-1</f>
        <v>-6.0506894952136014E-2</v>
      </c>
      <c r="U350" s="80">
        <f>O350/'2015'!N350-1</f>
        <v>0.59107635110243528</v>
      </c>
      <c r="V350" s="80">
        <f>P350/'2015'!O350-1</f>
        <v>9.2730287904040365E-2</v>
      </c>
      <c r="W350" s="81">
        <f>Q350/'2015'!P350-1</f>
        <v>6.2353789875362331E-2</v>
      </c>
      <c r="X350" s="81">
        <f>R350/'2015'!Q350-1</f>
        <v>8.4350428400442157E-2</v>
      </c>
      <c r="Y350" s="81">
        <f>S350/'2015'!R350-1</f>
        <v>7.4566387629430686E-2</v>
      </c>
      <c r="Z350" s="50">
        <f t="shared" si="140"/>
        <v>139.96340000000004</v>
      </c>
      <c r="AA350" s="97">
        <f t="shared" si="128"/>
        <v>1771.5233999999998</v>
      </c>
      <c r="AB350" s="105"/>
      <c r="AC350" s="105"/>
      <c r="AD350" s="8">
        <f t="shared" si="129"/>
        <v>19900343.34</v>
      </c>
      <c r="AE350" s="37">
        <f t="shared" si="131"/>
        <v>459848</v>
      </c>
      <c r="AF350" s="37">
        <f t="shared" si="131"/>
        <v>254584</v>
      </c>
      <c r="AG350" s="37">
        <f t="shared" si="130"/>
        <v>71043.339999999851</v>
      </c>
    </row>
    <row r="351" spans="1:33" ht="15" customHeight="1" x14ac:dyDescent="0.15">
      <c r="A351" s="102">
        <v>42716</v>
      </c>
      <c r="B351" s="20" t="s">
        <v>34</v>
      </c>
      <c r="C351" s="8">
        <v>61901</v>
      </c>
      <c r="D351" s="37">
        <v>33886</v>
      </c>
      <c r="E351" s="37">
        <v>96410</v>
      </c>
      <c r="F351" s="55">
        <v>4924</v>
      </c>
      <c r="G351" s="37">
        <v>3042</v>
      </c>
      <c r="H351" s="24"/>
      <c r="I351" s="36"/>
      <c r="J351" s="8">
        <f t="shared" si="125"/>
        <v>62524</v>
      </c>
      <c r="K351" s="37">
        <v>482</v>
      </c>
      <c r="L351" s="37">
        <v>0</v>
      </c>
      <c r="M351" s="37">
        <f t="shared" si="139"/>
        <v>141</v>
      </c>
      <c r="N351" s="74">
        <f t="shared" si="133"/>
        <v>730247</v>
      </c>
      <c r="O351" s="75">
        <f t="shared" si="134"/>
        <v>409633</v>
      </c>
      <c r="P351" s="75">
        <f t="shared" si="135"/>
        <v>1148058</v>
      </c>
      <c r="Q351" s="76">
        <f t="shared" si="136"/>
        <v>19176769</v>
      </c>
      <c r="R351" s="76">
        <f t="shared" si="136"/>
        <v>10872823</v>
      </c>
      <c r="S351" s="76">
        <f t="shared" si="136"/>
        <v>30835690.34</v>
      </c>
      <c r="T351" s="80">
        <f>N351/'2015'!M351-1</f>
        <v>-5.5493615744381386E-2</v>
      </c>
      <c r="U351" s="80">
        <f>O351/'2015'!N351-1</f>
        <v>0.58774942247166617</v>
      </c>
      <c r="V351" s="80">
        <f>P351/'2015'!O351-1</f>
        <v>9.5621552497471063E-2</v>
      </c>
      <c r="W351" s="81">
        <f>Q351/'2015'!P351-1</f>
        <v>6.2148187214610351E-2</v>
      </c>
      <c r="X351" s="81">
        <f>R351/'2015'!Q351-1</f>
        <v>8.5369336544340646E-2</v>
      </c>
      <c r="Y351" s="81">
        <f>S351/'2015'!R351-1</f>
        <v>7.4726080465015832E-2</v>
      </c>
      <c r="Z351" s="50">
        <f t="shared" si="140"/>
        <v>140.46120000000005</v>
      </c>
      <c r="AA351" s="97">
        <f t="shared" si="128"/>
        <v>1777.2157</v>
      </c>
      <c r="AB351" s="105"/>
      <c r="AC351" s="105"/>
      <c r="AD351" s="8">
        <f t="shared" si="129"/>
        <v>19962867.34</v>
      </c>
      <c r="AE351" s="37">
        <f t="shared" si="131"/>
        <v>460330</v>
      </c>
      <c r="AF351" s="37">
        <f t="shared" si="131"/>
        <v>254584</v>
      </c>
      <c r="AG351" s="37">
        <f t="shared" si="130"/>
        <v>71184.339999999851</v>
      </c>
    </row>
    <row r="352" spans="1:33" ht="15" customHeight="1" x14ac:dyDescent="0.15">
      <c r="A352" s="102">
        <v>42717</v>
      </c>
      <c r="B352" s="20" t="s">
        <v>35</v>
      </c>
      <c r="C352" s="8">
        <v>64089</v>
      </c>
      <c r="D352" s="37">
        <v>33730</v>
      </c>
      <c r="E352" s="37">
        <v>98416</v>
      </c>
      <c r="F352" s="55">
        <v>5045</v>
      </c>
      <c r="G352" s="37">
        <v>3151</v>
      </c>
      <c r="H352" s="24"/>
      <c r="I352" s="36"/>
      <c r="J352" s="8">
        <f t="shared" si="125"/>
        <v>64686</v>
      </c>
      <c r="K352" s="37">
        <v>550</v>
      </c>
      <c r="L352" s="37">
        <v>0</v>
      </c>
      <c r="M352" s="37">
        <f t="shared" si="139"/>
        <v>47</v>
      </c>
      <c r="N352" s="74">
        <f t="shared" si="133"/>
        <v>794336</v>
      </c>
      <c r="O352" s="75">
        <f t="shared" si="134"/>
        <v>443363</v>
      </c>
      <c r="P352" s="75">
        <f t="shared" si="135"/>
        <v>1246474</v>
      </c>
      <c r="Q352" s="76">
        <f t="shared" si="136"/>
        <v>19240858</v>
      </c>
      <c r="R352" s="76">
        <f t="shared" si="136"/>
        <v>10906553</v>
      </c>
      <c r="S352" s="76">
        <f t="shared" si="136"/>
        <v>30934106.34</v>
      </c>
      <c r="T352" s="80">
        <f>N352/'2015'!M352-1</f>
        <v>-4.5951513040553893E-2</v>
      </c>
      <c r="U352" s="80">
        <f>O352/'2015'!N352-1</f>
        <v>0.58537570890158697</v>
      </c>
      <c r="V352" s="80">
        <f>P352/'2015'!O352-1</f>
        <v>0.10278156241705738</v>
      </c>
      <c r="W352" s="81">
        <f>Q352/'2015'!P352-1</f>
        <v>6.2200727663381361E-2</v>
      </c>
      <c r="X352" s="81">
        <f>R352/'2015'!Q352-1</f>
        <v>8.6387210565849859E-2</v>
      </c>
      <c r="Y352" s="81">
        <f>S352/'2015'!R352-1</f>
        <v>7.5067205892073607E-2</v>
      </c>
      <c r="Z352" s="50">
        <f t="shared" si="140"/>
        <v>140.95900000000006</v>
      </c>
      <c r="AA352" s="97">
        <f t="shared" si="128"/>
        <v>1783.1268</v>
      </c>
      <c r="AB352" s="105"/>
      <c r="AC352" s="105"/>
      <c r="AD352" s="8">
        <f t="shared" si="129"/>
        <v>20027553.34</v>
      </c>
      <c r="AE352" s="37">
        <f t="shared" si="131"/>
        <v>460880</v>
      </c>
      <c r="AF352" s="37">
        <f t="shared" si="131"/>
        <v>254584</v>
      </c>
      <c r="AG352" s="37">
        <f t="shared" si="130"/>
        <v>71231.339999999851</v>
      </c>
    </row>
    <row r="353" spans="1:33" ht="15" customHeight="1" x14ac:dyDescent="0.15">
      <c r="A353" s="102">
        <v>42718</v>
      </c>
      <c r="B353" s="14" t="s">
        <v>36</v>
      </c>
      <c r="C353" s="32">
        <v>66627</v>
      </c>
      <c r="D353" s="33">
        <v>34311</v>
      </c>
      <c r="E353" s="33">
        <v>101578</v>
      </c>
      <c r="F353" s="59">
        <v>5188</v>
      </c>
      <c r="G353" s="33">
        <v>3147</v>
      </c>
      <c r="H353" s="19"/>
      <c r="I353" s="19"/>
      <c r="J353" s="32">
        <f t="shared" si="125"/>
        <v>67267</v>
      </c>
      <c r="K353" s="33">
        <v>569</v>
      </c>
      <c r="L353" s="33">
        <v>0</v>
      </c>
      <c r="M353" s="33">
        <f t="shared" si="139"/>
        <v>71</v>
      </c>
      <c r="N353" s="77">
        <f t="shared" si="133"/>
        <v>860963</v>
      </c>
      <c r="O353" s="78">
        <f t="shared" si="134"/>
        <v>477674</v>
      </c>
      <c r="P353" s="78">
        <f t="shared" si="135"/>
        <v>1348052</v>
      </c>
      <c r="Q353" s="77">
        <f t="shared" si="136"/>
        <v>19307485</v>
      </c>
      <c r="R353" s="77">
        <f t="shared" si="136"/>
        <v>10940864</v>
      </c>
      <c r="S353" s="77">
        <f t="shared" si="136"/>
        <v>31035684.34</v>
      </c>
      <c r="T353" s="82">
        <f>N353/'2015'!M353-1</f>
        <v>-3.881093234880717E-2</v>
      </c>
      <c r="U353" s="82">
        <f>O353/'2015'!N353-1</f>
        <v>0.58284981493202026</v>
      </c>
      <c r="V353" s="82">
        <f>P353/'2015'!O353-1</f>
        <v>0.1074224012723366</v>
      </c>
      <c r="W353" s="82">
        <f>Q353/'2015'!P353-1</f>
        <v>6.2176969630819867E-2</v>
      </c>
      <c r="X353" s="82">
        <f>R353/'2015'!Q353-1</f>
        <v>8.7408623642213135E-2</v>
      </c>
      <c r="Y353" s="82">
        <f>S353/'2015'!R353-1</f>
        <v>7.5346476375018456E-2</v>
      </c>
      <c r="Z353" s="49">
        <f t="shared" si="140"/>
        <v>141.45680000000007</v>
      </c>
      <c r="AA353" s="49">
        <f t="shared" si="128"/>
        <v>1789.2916999999998</v>
      </c>
      <c r="AB353" s="33">
        <v>4237.2</v>
      </c>
      <c r="AC353" s="33">
        <f t="shared" si="132"/>
        <v>4222.8162465779278</v>
      </c>
      <c r="AD353" s="32">
        <f t="shared" si="129"/>
        <v>20094820.34</v>
      </c>
      <c r="AE353" s="33">
        <f t="shared" si="131"/>
        <v>461449</v>
      </c>
      <c r="AF353" s="33">
        <f t="shared" si="131"/>
        <v>254584</v>
      </c>
      <c r="AG353" s="33">
        <f t="shared" si="130"/>
        <v>71302.339999999851</v>
      </c>
    </row>
    <row r="354" spans="1:33" ht="15" customHeight="1" x14ac:dyDescent="0.15">
      <c r="A354" s="102">
        <v>42719</v>
      </c>
      <c r="B354" s="20" t="s">
        <v>37</v>
      </c>
      <c r="C354" s="8">
        <v>68680</v>
      </c>
      <c r="D354" s="37">
        <v>33574</v>
      </c>
      <c r="E354" s="37">
        <v>102900</v>
      </c>
      <c r="F354" s="55">
        <v>5178</v>
      </c>
      <c r="G354" s="37">
        <v>3291</v>
      </c>
      <c r="H354" s="24"/>
      <c r="I354" s="36"/>
      <c r="J354" s="8">
        <f t="shared" si="125"/>
        <v>69326</v>
      </c>
      <c r="K354" s="37">
        <v>398</v>
      </c>
      <c r="L354" s="37">
        <v>0</v>
      </c>
      <c r="M354" s="37">
        <f t="shared" si="139"/>
        <v>248</v>
      </c>
      <c r="N354" s="74">
        <f t="shared" si="133"/>
        <v>929643</v>
      </c>
      <c r="O354" s="75">
        <f t="shared" si="134"/>
        <v>511248</v>
      </c>
      <c r="P354" s="75">
        <f t="shared" si="135"/>
        <v>1450952</v>
      </c>
      <c r="Q354" s="76">
        <f t="shared" si="136"/>
        <v>19376165</v>
      </c>
      <c r="R354" s="76">
        <f t="shared" si="136"/>
        <v>10974438</v>
      </c>
      <c r="S354" s="76">
        <f t="shared" si="136"/>
        <v>31138584.34</v>
      </c>
      <c r="T354" s="80">
        <f>N354/'2015'!M354-1</f>
        <v>-3.0819272209798743E-2</v>
      </c>
      <c r="U354" s="80">
        <f>O354/'2015'!N354-1</f>
        <v>0.57616976146947385</v>
      </c>
      <c r="V354" s="80">
        <f>P354/'2015'!O354-1</f>
        <v>0.11179801540170864</v>
      </c>
      <c r="W354" s="81">
        <f>Q354/'2015'!P354-1</f>
        <v>6.2245778752030745E-2</v>
      </c>
      <c r="X354" s="81">
        <f>R354/'2015'!Q354-1</f>
        <v>8.8303141911088678E-2</v>
      </c>
      <c r="Y354" s="81">
        <f>S354/'2015'!R354-1</f>
        <v>7.5640976447296948E-2</v>
      </c>
      <c r="Z354" s="50">
        <f t="shared" si="140"/>
        <v>141.95460000000008</v>
      </c>
      <c r="AA354" s="97">
        <f t="shared" si="128"/>
        <v>1795.6619000000001</v>
      </c>
      <c r="AB354" s="105"/>
      <c r="AC354" s="105"/>
      <c r="AD354" s="8">
        <f t="shared" si="129"/>
        <v>20164146.34</v>
      </c>
      <c r="AE354" s="37">
        <f t="shared" si="131"/>
        <v>461847</v>
      </c>
      <c r="AF354" s="37">
        <f t="shared" si="131"/>
        <v>254584</v>
      </c>
      <c r="AG354" s="37">
        <f t="shared" si="130"/>
        <v>71550.339999999851</v>
      </c>
    </row>
    <row r="355" spans="1:33" ht="15" customHeight="1" x14ac:dyDescent="0.15">
      <c r="A355" s="102">
        <v>42720</v>
      </c>
      <c r="B355" s="20" t="s">
        <v>38</v>
      </c>
      <c r="C355" s="70">
        <v>69230</v>
      </c>
      <c r="D355" s="71">
        <f>22373+10977</f>
        <v>33350</v>
      </c>
      <c r="E355" s="71">
        <v>104271</v>
      </c>
      <c r="F355" s="107">
        <v>5209.6000000000004</v>
      </c>
      <c r="G355" s="71">
        <v>3289.2</v>
      </c>
      <c r="H355" s="24"/>
      <c r="I355" s="24"/>
      <c r="J355" s="70">
        <f t="shared" si="125"/>
        <v>70921</v>
      </c>
      <c r="K355" s="71">
        <v>887</v>
      </c>
      <c r="L355" s="71">
        <v>0</v>
      </c>
      <c r="M355" s="71">
        <f t="shared" si="139"/>
        <v>804</v>
      </c>
      <c r="N355" s="74">
        <f t="shared" si="133"/>
        <v>998873</v>
      </c>
      <c r="O355" s="75">
        <f t="shared" si="134"/>
        <v>544598</v>
      </c>
      <c r="P355" s="75">
        <f t="shared" si="135"/>
        <v>1555223</v>
      </c>
      <c r="Q355" s="76">
        <f t="shared" si="136"/>
        <v>19445395</v>
      </c>
      <c r="R355" s="76">
        <f t="shared" si="136"/>
        <v>11007788</v>
      </c>
      <c r="S355" s="76">
        <f t="shared" si="136"/>
        <v>31242855.34</v>
      </c>
      <c r="T355" s="80">
        <f>N355/'2015'!M355-1</f>
        <v>-2.3688580591119779E-2</v>
      </c>
      <c r="U355" s="80">
        <f>O355/'2015'!N355-1</f>
        <v>0.56782915608680384</v>
      </c>
      <c r="V355" s="80">
        <f>P355/'2015'!O355-1</f>
        <v>0.11627634895752581</v>
      </c>
      <c r="W355" s="81">
        <f>Q355/'2015'!P355-1</f>
        <v>6.2319434631368908E-2</v>
      </c>
      <c r="X355" s="81">
        <f>R355/'2015'!Q355-1</f>
        <v>8.9126561654823577E-2</v>
      </c>
      <c r="Y355" s="81">
        <f>S355/'2015'!R355-1</f>
        <v>7.5965645669506587E-2</v>
      </c>
      <c r="Z355" s="97">
        <f t="shared" si="140"/>
        <v>142.4524000000001</v>
      </c>
      <c r="AA355" s="97">
        <f t="shared" si="128"/>
        <v>1802.0871</v>
      </c>
      <c r="AB355" s="106"/>
      <c r="AC355" s="105"/>
      <c r="AD355" s="70">
        <f t="shared" si="129"/>
        <v>20235067.34</v>
      </c>
      <c r="AE355" s="71">
        <f t="shared" si="131"/>
        <v>462734</v>
      </c>
      <c r="AF355" s="71">
        <f t="shared" si="131"/>
        <v>254584</v>
      </c>
      <c r="AG355" s="71">
        <f t="shared" si="130"/>
        <v>72354.339999999851</v>
      </c>
    </row>
    <row r="356" spans="1:33" ht="15" customHeight="1" x14ac:dyDescent="0.15">
      <c r="A356" s="102">
        <v>42721</v>
      </c>
      <c r="B356" s="20" t="s">
        <v>39</v>
      </c>
      <c r="C356" s="8">
        <v>67216</v>
      </c>
      <c r="D356" s="37">
        <f>22904+10852</f>
        <v>33756</v>
      </c>
      <c r="E356" s="37">
        <v>101732</v>
      </c>
      <c r="F356" s="55">
        <v>5142.2</v>
      </c>
      <c r="G356" s="37">
        <v>3361.1</v>
      </c>
      <c r="H356" s="24"/>
      <c r="I356" s="36"/>
      <c r="J356" s="8">
        <f t="shared" si="125"/>
        <v>67976</v>
      </c>
      <c r="K356" s="37">
        <v>424</v>
      </c>
      <c r="L356" s="37">
        <v>0</v>
      </c>
      <c r="M356" s="37">
        <f t="shared" si="139"/>
        <v>336</v>
      </c>
      <c r="N356" s="74">
        <f t="shared" si="133"/>
        <v>1066089</v>
      </c>
      <c r="O356" s="75">
        <f t="shared" si="134"/>
        <v>578354</v>
      </c>
      <c r="P356" s="75">
        <f t="shared" si="135"/>
        <v>1656955</v>
      </c>
      <c r="Q356" s="76">
        <f t="shared" si="136"/>
        <v>19512611</v>
      </c>
      <c r="R356" s="76">
        <f t="shared" si="136"/>
        <v>11041544</v>
      </c>
      <c r="S356" s="76">
        <f t="shared" si="136"/>
        <v>31344587.34</v>
      </c>
      <c r="T356" s="80">
        <f>N356/'2015'!M356-1</f>
        <v>-2.0682452021120623E-2</v>
      </c>
      <c r="U356" s="80">
        <f>O356/'2015'!N356-1</f>
        <v>0.55933437225328797</v>
      </c>
      <c r="V356" s="80">
        <f>P356/'2015'!O356-1</f>
        <v>0.11581490033825537</v>
      </c>
      <c r="W356" s="81">
        <f>Q356/'2015'!P356-1</f>
        <v>6.2190932095615548E-2</v>
      </c>
      <c r="X356" s="81">
        <f>R356/'2015'!Q356-1</f>
        <v>8.9927898124154915E-2</v>
      </c>
      <c r="Y356" s="81">
        <f>S356/'2015'!R356-1</f>
        <v>7.5935636610783952E-2</v>
      </c>
      <c r="Z356" s="50">
        <f t="shared" si="140"/>
        <v>142.95020000000011</v>
      </c>
      <c r="AA356" s="97">
        <f t="shared" si="128"/>
        <v>1808.3108999999999</v>
      </c>
      <c r="AB356" s="105"/>
      <c r="AC356" s="105"/>
      <c r="AD356" s="8">
        <f t="shared" si="129"/>
        <v>20303043.34</v>
      </c>
      <c r="AE356" s="37">
        <f t="shared" si="131"/>
        <v>463158</v>
      </c>
      <c r="AF356" s="37">
        <f t="shared" si="131"/>
        <v>254584</v>
      </c>
      <c r="AG356" s="37">
        <f t="shared" si="130"/>
        <v>72690.339999999851</v>
      </c>
    </row>
    <row r="357" spans="1:33" ht="15" customHeight="1" x14ac:dyDescent="0.15">
      <c r="A357" s="102">
        <v>42722</v>
      </c>
      <c r="B357" s="20" t="s">
        <v>1</v>
      </c>
      <c r="C357" s="8">
        <v>62457</v>
      </c>
      <c r="D357" s="37">
        <f>23009+10721</f>
        <v>33730</v>
      </c>
      <c r="E357" s="37">
        <v>96744</v>
      </c>
      <c r="F357" s="55">
        <v>4813.3</v>
      </c>
      <c r="G357" s="37">
        <v>3249.6</v>
      </c>
      <c r="H357" s="24"/>
      <c r="I357" s="36"/>
      <c r="J357" s="8">
        <f t="shared" si="125"/>
        <v>63014</v>
      </c>
      <c r="K357" s="37">
        <v>377</v>
      </c>
      <c r="L357" s="37">
        <v>0</v>
      </c>
      <c r="M357" s="37">
        <f t="shared" si="139"/>
        <v>180</v>
      </c>
      <c r="N357" s="74">
        <f t="shared" si="133"/>
        <v>1128546</v>
      </c>
      <c r="O357" s="75">
        <f t="shared" si="134"/>
        <v>612084</v>
      </c>
      <c r="P357" s="75">
        <f t="shared" si="135"/>
        <v>1753699</v>
      </c>
      <c r="Q357" s="76">
        <f t="shared" si="136"/>
        <v>19575068</v>
      </c>
      <c r="R357" s="76">
        <f t="shared" si="136"/>
        <v>11075274</v>
      </c>
      <c r="S357" s="76">
        <f t="shared" si="136"/>
        <v>31441331.34</v>
      </c>
      <c r="T357" s="80">
        <f>N357/'2015'!M357-1</f>
        <v>-2.4347523880249966E-2</v>
      </c>
      <c r="U357" s="80">
        <f>O357/'2015'!N357-1</f>
        <v>0.55112694687865882</v>
      </c>
      <c r="V357" s="80">
        <f>P357/'2015'!O357-1</f>
        <v>0.11050890174362094</v>
      </c>
      <c r="W357" s="81">
        <f>Q357/'2015'!P357-1</f>
        <v>6.1654899196285307E-2</v>
      </c>
      <c r="X357" s="81">
        <f>R357/'2015'!Q357-1</f>
        <v>9.0704912777771929E-2</v>
      </c>
      <c r="Y357" s="81">
        <f>S357/'2015'!R357-1</f>
        <v>7.5910495702374625E-2</v>
      </c>
      <c r="Z357" s="50">
        <f t="shared" si="140"/>
        <v>143.44800000000012</v>
      </c>
      <c r="AA357" s="97">
        <f t="shared" si="128"/>
        <v>1814.0588</v>
      </c>
      <c r="AB357" s="105"/>
      <c r="AC357" s="105"/>
      <c r="AD357" s="8">
        <f t="shared" si="129"/>
        <v>20366057.34</v>
      </c>
      <c r="AE357" s="37">
        <f t="shared" si="131"/>
        <v>463535</v>
      </c>
      <c r="AF357" s="37">
        <f t="shared" si="131"/>
        <v>254584</v>
      </c>
      <c r="AG357" s="37">
        <f t="shared" si="130"/>
        <v>72870.339999999851</v>
      </c>
    </row>
    <row r="358" spans="1:33" ht="15" customHeight="1" x14ac:dyDescent="0.15">
      <c r="A358" s="102">
        <v>42723</v>
      </c>
      <c r="B358" s="20" t="s">
        <v>34</v>
      </c>
      <c r="C358" s="8">
        <v>62766</v>
      </c>
      <c r="D358" s="37">
        <f>24478+10919</f>
        <v>35397</v>
      </c>
      <c r="E358" s="37">
        <v>98672</v>
      </c>
      <c r="F358" s="55">
        <v>5017.3</v>
      </c>
      <c r="G358" s="37">
        <v>3112.1</v>
      </c>
      <c r="H358" s="24"/>
      <c r="I358" s="36"/>
      <c r="J358" s="8">
        <f t="shared" si="125"/>
        <v>63275</v>
      </c>
      <c r="K358" s="37">
        <v>327</v>
      </c>
      <c r="L358" s="37">
        <v>0</v>
      </c>
      <c r="M358" s="37">
        <f t="shared" si="139"/>
        <v>182</v>
      </c>
      <c r="N358" s="74">
        <f t="shared" si="133"/>
        <v>1191312</v>
      </c>
      <c r="O358" s="75">
        <f t="shared" si="134"/>
        <v>647481</v>
      </c>
      <c r="P358" s="75">
        <f t="shared" si="135"/>
        <v>1852371</v>
      </c>
      <c r="Q358" s="76">
        <f t="shared" si="136"/>
        <v>19637834</v>
      </c>
      <c r="R358" s="76">
        <f t="shared" si="136"/>
        <v>11110671</v>
      </c>
      <c r="S358" s="76">
        <f t="shared" si="136"/>
        <v>31540003.34</v>
      </c>
      <c r="T358" s="80">
        <f>N358/'2015'!M358-1</f>
        <v>-2.5929968725087349E-2</v>
      </c>
      <c r="U358" s="80">
        <f>O358/'2015'!N358-1</f>
        <v>0.54701387694248527</v>
      </c>
      <c r="V358" s="80">
        <f>P358/'2015'!O358-1</f>
        <v>0.10863526920616184</v>
      </c>
      <c r="W358" s="81">
        <f>Q358/'2015'!P358-1</f>
        <v>6.1242098237868303E-2</v>
      </c>
      <c r="X358" s="81">
        <f>R358/'2015'!Q358-1</f>
        <v>9.161828286336493E-2</v>
      </c>
      <c r="Y358" s="81">
        <f>S358/'2015'!R358-1</f>
        <v>7.5911898857742521E-2</v>
      </c>
      <c r="Z358" s="50">
        <f t="shared" si="140"/>
        <v>143.94580000000013</v>
      </c>
      <c r="AA358" s="97">
        <f t="shared" si="128"/>
        <v>1819.8375999999998</v>
      </c>
      <c r="AB358" s="105"/>
      <c r="AC358" s="105"/>
      <c r="AD358" s="8">
        <f t="shared" si="129"/>
        <v>20429332.34</v>
      </c>
      <c r="AE358" s="37">
        <f t="shared" si="131"/>
        <v>463862</v>
      </c>
      <c r="AF358" s="37">
        <f t="shared" si="131"/>
        <v>254584</v>
      </c>
      <c r="AG358" s="37">
        <f t="shared" si="130"/>
        <v>73052.339999999851</v>
      </c>
    </row>
    <row r="359" spans="1:33" ht="15" customHeight="1" x14ac:dyDescent="0.15">
      <c r="A359" s="102">
        <v>42724</v>
      </c>
      <c r="B359" s="20" t="s">
        <v>35</v>
      </c>
      <c r="C359" s="8">
        <v>62881</v>
      </c>
      <c r="D359" s="37">
        <f>24702+9922</f>
        <v>34624</v>
      </c>
      <c r="E359" s="37">
        <v>98154</v>
      </c>
      <c r="F359" s="55">
        <v>5063.3</v>
      </c>
      <c r="G359" s="37">
        <v>3210.9</v>
      </c>
      <c r="H359" s="24"/>
      <c r="I359" s="36"/>
      <c r="J359" s="8">
        <f t="shared" si="125"/>
        <v>63530</v>
      </c>
      <c r="K359" s="37">
        <v>507</v>
      </c>
      <c r="L359" s="37">
        <v>0</v>
      </c>
      <c r="M359" s="37">
        <f t="shared" si="139"/>
        <v>142</v>
      </c>
      <c r="N359" s="74">
        <f t="shared" si="133"/>
        <v>1254193</v>
      </c>
      <c r="O359" s="75">
        <f t="shared" si="134"/>
        <v>682105</v>
      </c>
      <c r="P359" s="75">
        <f t="shared" si="135"/>
        <v>1950525</v>
      </c>
      <c r="Q359" s="76">
        <f t="shared" si="136"/>
        <v>19700715</v>
      </c>
      <c r="R359" s="76">
        <f t="shared" si="136"/>
        <v>11145295</v>
      </c>
      <c r="S359" s="76">
        <f t="shared" si="136"/>
        <v>31638157.34</v>
      </c>
      <c r="T359" s="80">
        <f>N359/'2015'!M359-1</f>
        <v>-2.5093375308497978E-2</v>
      </c>
      <c r="U359" s="80">
        <f>O359/'2015'!N359-1</f>
        <v>0.54485971571709402</v>
      </c>
      <c r="V359" s="80">
        <f>P359/'2015'!O359-1</f>
        <v>0.10880283231398291</v>
      </c>
      <c r="W359" s="81">
        <f>Q359/'2015'!P359-1</f>
        <v>6.1002179822571279E-2</v>
      </c>
      <c r="X359" s="81">
        <f>R359/'2015'!Q359-1</f>
        <v>9.2551622310441006E-2</v>
      </c>
      <c r="Y359" s="81">
        <f>S359/'2015'!R359-1</f>
        <v>7.6020162064740493E-2</v>
      </c>
      <c r="Z359" s="50">
        <f t="shared" si="140"/>
        <v>144.44360000000015</v>
      </c>
      <c r="AA359" s="97">
        <f t="shared" si="128"/>
        <v>1825.6279</v>
      </c>
      <c r="AB359" s="105"/>
      <c r="AC359" s="105"/>
      <c r="AD359" s="8">
        <f t="shared" si="129"/>
        <v>20492862.34</v>
      </c>
      <c r="AE359" s="37">
        <f t="shared" si="131"/>
        <v>464369</v>
      </c>
      <c r="AF359" s="37">
        <f t="shared" si="131"/>
        <v>254584</v>
      </c>
      <c r="AG359" s="37">
        <f t="shared" si="130"/>
        <v>73194.339999999851</v>
      </c>
    </row>
    <row r="360" spans="1:33" ht="15" customHeight="1" x14ac:dyDescent="0.15">
      <c r="A360" s="102">
        <v>42725</v>
      </c>
      <c r="B360" s="14" t="s">
        <v>36</v>
      </c>
      <c r="C360" s="32">
        <v>62456</v>
      </c>
      <c r="D360" s="33">
        <f>24561+9662</f>
        <v>34223</v>
      </c>
      <c r="E360" s="33">
        <v>97215</v>
      </c>
      <c r="F360" s="59">
        <v>4962.8</v>
      </c>
      <c r="G360" s="33">
        <v>3163.2</v>
      </c>
      <c r="H360" s="19"/>
      <c r="I360" s="19"/>
      <c r="J360" s="32">
        <f t="shared" si="125"/>
        <v>62992</v>
      </c>
      <c r="K360" s="33">
        <v>376</v>
      </c>
      <c r="L360" s="33">
        <v>0</v>
      </c>
      <c r="M360" s="33">
        <f t="shared" si="139"/>
        <v>160</v>
      </c>
      <c r="N360" s="77">
        <f t="shared" si="133"/>
        <v>1316649</v>
      </c>
      <c r="O360" s="78">
        <f t="shared" si="134"/>
        <v>716328</v>
      </c>
      <c r="P360" s="78">
        <f t="shared" si="135"/>
        <v>2047740</v>
      </c>
      <c r="Q360" s="77">
        <f t="shared" si="136"/>
        <v>19763171</v>
      </c>
      <c r="R360" s="77">
        <f t="shared" si="136"/>
        <v>11179518</v>
      </c>
      <c r="S360" s="77">
        <f t="shared" si="136"/>
        <v>31735372.34</v>
      </c>
      <c r="T360" s="82">
        <f>N360/'2015'!M360-1</f>
        <v>-2.6353153105186378E-2</v>
      </c>
      <c r="U360" s="82">
        <f>O360/'2015'!N360-1</f>
        <v>0.54098741529525651</v>
      </c>
      <c r="V360" s="82">
        <f>P360/'2015'!O360-1</f>
        <v>0.10619167852408373</v>
      </c>
      <c r="W360" s="82">
        <f>Q360/'2015'!P360-1</f>
        <v>6.060668345476472E-2</v>
      </c>
      <c r="X360" s="82">
        <f>R360/'2015'!Q360-1</f>
        <v>9.3407106611495871E-2</v>
      </c>
      <c r="Y360" s="82">
        <f>S360/'2015'!R360-1</f>
        <v>7.595857477558221E-2</v>
      </c>
      <c r="Z360" s="49">
        <f t="shared" si="140"/>
        <v>144.94140000000016</v>
      </c>
      <c r="AA360" s="49">
        <f t="shared" si="128"/>
        <v>1831.3756999999998</v>
      </c>
      <c r="AB360" s="33">
        <v>4238.3999999999996</v>
      </c>
      <c r="AC360" s="33">
        <f t="shared" si="132"/>
        <v>4320.9128444696116</v>
      </c>
      <c r="AD360" s="32">
        <f t="shared" si="129"/>
        <v>20555854.34</v>
      </c>
      <c r="AE360" s="33">
        <f t="shared" si="131"/>
        <v>464745</v>
      </c>
      <c r="AF360" s="33">
        <f t="shared" si="131"/>
        <v>254584</v>
      </c>
      <c r="AG360" s="33">
        <f t="shared" si="130"/>
        <v>73354.339999999851</v>
      </c>
    </row>
    <row r="361" spans="1:33" ht="15" customHeight="1" x14ac:dyDescent="0.15">
      <c r="A361" s="102">
        <v>42726</v>
      </c>
      <c r="B361" s="20" t="s">
        <v>37</v>
      </c>
      <c r="C361" s="8">
        <v>62061</v>
      </c>
      <c r="D361" s="37">
        <f>24619+10919</f>
        <v>35538</v>
      </c>
      <c r="E361" s="37">
        <v>98036</v>
      </c>
      <c r="F361" s="55">
        <v>5020.3999999999996</v>
      </c>
      <c r="G361" s="37">
        <v>3094.8</v>
      </c>
      <c r="H361" s="24"/>
      <c r="I361" s="36"/>
      <c r="J361" s="8">
        <f t="shared" si="125"/>
        <v>62498</v>
      </c>
      <c r="K361" s="37">
        <v>225</v>
      </c>
      <c r="L361" s="37">
        <v>0</v>
      </c>
      <c r="M361" s="37">
        <f t="shared" si="139"/>
        <v>212</v>
      </c>
      <c r="N361" s="74">
        <f t="shared" si="133"/>
        <v>1378710</v>
      </c>
      <c r="O361" s="75">
        <f t="shared" si="134"/>
        <v>751866</v>
      </c>
      <c r="P361" s="75">
        <f t="shared" si="135"/>
        <v>2145776</v>
      </c>
      <c r="Q361" s="76">
        <f t="shared" si="136"/>
        <v>19825232</v>
      </c>
      <c r="R361" s="76">
        <f t="shared" si="136"/>
        <v>11215056</v>
      </c>
      <c r="S361" s="76">
        <f t="shared" si="136"/>
        <v>31833408.34</v>
      </c>
      <c r="T361" s="80">
        <f>N361/'2015'!M361-1</f>
        <v>-2.7742322203025305E-2</v>
      </c>
      <c r="U361" s="80">
        <f>O361/'2015'!N361-1</f>
        <v>0.53796085682959949</v>
      </c>
      <c r="V361" s="80">
        <f>P361/'2015'!O361-1</f>
        <v>0.10464943281707284</v>
      </c>
      <c r="W361" s="81">
        <f>Q361/'2015'!P361-1</f>
        <v>6.0195512203469637E-2</v>
      </c>
      <c r="X361" s="81">
        <f>R361/'2015'!Q361-1</f>
        <v>9.4311841312207489E-2</v>
      </c>
      <c r="Y361" s="81">
        <f>S361/'2015'!R361-1</f>
        <v>7.5950647983836106E-2</v>
      </c>
      <c r="Z361" s="50">
        <f t="shared" si="140"/>
        <v>145.43920000000017</v>
      </c>
      <c r="AA361" s="97">
        <f t="shared" si="128"/>
        <v>1837.0839999999998</v>
      </c>
      <c r="AB361" s="105"/>
      <c r="AC361" s="105"/>
      <c r="AD361" s="8">
        <f t="shared" si="129"/>
        <v>20618352.34</v>
      </c>
      <c r="AE361" s="37">
        <f t="shared" si="131"/>
        <v>464970</v>
      </c>
      <c r="AF361" s="37">
        <f t="shared" si="131"/>
        <v>254584</v>
      </c>
      <c r="AG361" s="37">
        <f t="shared" si="130"/>
        <v>73566.339999999851</v>
      </c>
    </row>
    <row r="362" spans="1:33" ht="15" customHeight="1" x14ac:dyDescent="0.15">
      <c r="A362" s="102">
        <v>42727</v>
      </c>
      <c r="B362" s="20" t="s">
        <v>38</v>
      </c>
      <c r="C362" s="70">
        <v>65604</v>
      </c>
      <c r="D362" s="71">
        <f>24581+8728</f>
        <v>33309</v>
      </c>
      <c r="E362" s="71">
        <v>99362</v>
      </c>
      <c r="F362" s="107">
        <v>4987.7</v>
      </c>
      <c r="G362" s="71">
        <v>3191.9</v>
      </c>
      <c r="H362" s="24"/>
      <c r="I362" s="24"/>
      <c r="J362" s="70">
        <f t="shared" si="125"/>
        <v>66053</v>
      </c>
      <c r="K362" s="71">
        <v>224</v>
      </c>
      <c r="L362" s="71">
        <v>0</v>
      </c>
      <c r="M362" s="71">
        <f t="shared" si="139"/>
        <v>225</v>
      </c>
      <c r="N362" s="74">
        <f t="shared" si="133"/>
        <v>1444314</v>
      </c>
      <c r="O362" s="75">
        <f t="shared" si="134"/>
        <v>785175</v>
      </c>
      <c r="P362" s="75">
        <f t="shared" si="135"/>
        <v>2245138</v>
      </c>
      <c r="Q362" s="76">
        <f t="shared" si="136"/>
        <v>19890836</v>
      </c>
      <c r="R362" s="76">
        <f t="shared" si="136"/>
        <v>11248365</v>
      </c>
      <c r="S362" s="76">
        <f t="shared" si="136"/>
        <v>31932770.34</v>
      </c>
      <c r="T362" s="80">
        <f>N362/'2015'!M362-1</f>
        <v>-2.4483254005401967E-2</v>
      </c>
      <c r="U362" s="80">
        <f>O362/'2015'!N362-1</f>
        <v>0.53096142447120487</v>
      </c>
      <c r="V362" s="80">
        <f>P362/'2015'!O362-1</f>
        <v>0.10506151048931778</v>
      </c>
      <c r="W362" s="81">
        <f>Q362/'2015'!P362-1</f>
        <v>6.0159695232621102E-2</v>
      </c>
      <c r="X362" s="81">
        <f>R362/'2015'!Q362-1</f>
        <v>9.4998555852021438E-2</v>
      </c>
      <c r="Y362" s="81">
        <f>S362/'2015'!R362-1</f>
        <v>7.6065115667806715E-2</v>
      </c>
      <c r="Z362" s="97">
        <f t="shared" si="140"/>
        <v>145.93700000000018</v>
      </c>
      <c r="AA362" s="97">
        <f t="shared" si="128"/>
        <v>1843.1465999999998</v>
      </c>
      <c r="AB362" s="106"/>
      <c r="AC362" s="105"/>
      <c r="AD362" s="70">
        <f t="shared" si="129"/>
        <v>20684405.34</v>
      </c>
      <c r="AE362" s="71">
        <f t="shared" si="131"/>
        <v>465194</v>
      </c>
      <c r="AF362" s="71">
        <f t="shared" si="131"/>
        <v>254584</v>
      </c>
      <c r="AG362" s="71">
        <f t="shared" si="130"/>
        <v>73791.339999999851</v>
      </c>
    </row>
    <row r="363" spans="1:33" ht="15" customHeight="1" x14ac:dyDescent="0.15">
      <c r="A363" s="102">
        <v>42728</v>
      </c>
      <c r="B363" s="20" t="s">
        <v>39</v>
      </c>
      <c r="C363" s="8">
        <v>67396</v>
      </c>
      <c r="D363" s="37">
        <f>23601+8605</f>
        <v>32206</v>
      </c>
      <c r="E363" s="37">
        <v>100176</v>
      </c>
      <c r="F363" s="55">
        <v>5069.3999999999996</v>
      </c>
      <c r="G363" s="37">
        <v>3260.5</v>
      </c>
      <c r="H363" s="24"/>
      <c r="I363" s="36"/>
      <c r="J363" s="8">
        <f t="shared" si="125"/>
        <v>67970</v>
      </c>
      <c r="K363" s="37">
        <v>347</v>
      </c>
      <c r="L363" s="37">
        <v>0</v>
      </c>
      <c r="M363" s="37">
        <f t="shared" si="139"/>
        <v>227</v>
      </c>
      <c r="N363" s="74">
        <f t="shared" si="133"/>
        <v>1511710</v>
      </c>
      <c r="O363" s="75">
        <f t="shared" si="134"/>
        <v>817381</v>
      </c>
      <c r="P363" s="75">
        <f t="shared" si="135"/>
        <v>2345314</v>
      </c>
      <c r="Q363" s="76">
        <f t="shared" si="136"/>
        <v>19958232</v>
      </c>
      <c r="R363" s="76">
        <f t="shared" si="136"/>
        <v>11280571</v>
      </c>
      <c r="S363" s="76">
        <f t="shared" si="136"/>
        <v>32032946.34</v>
      </c>
      <c r="T363" s="80">
        <f>N363/'2015'!M363-1</f>
        <v>-2.0122456334580874E-2</v>
      </c>
      <c r="U363" s="80">
        <f>O363/'2015'!N363-1</f>
        <v>0.52173370716650092</v>
      </c>
      <c r="V363" s="80">
        <f>P363/'2015'!O363-1</f>
        <v>0.10585975332019992</v>
      </c>
      <c r="W363" s="81">
        <f>Q363/'2015'!P363-1</f>
        <v>6.0237446229087777E-2</v>
      </c>
      <c r="X363" s="81">
        <f>R363/'2015'!Q363-1</f>
        <v>9.5544941436472186E-2</v>
      </c>
      <c r="Y363" s="81">
        <f>S363/'2015'!R363-1</f>
        <v>7.6208812341632459E-2</v>
      </c>
      <c r="Z363" s="50">
        <f t="shared" si="140"/>
        <v>146.43480000000019</v>
      </c>
      <c r="AA363" s="97">
        <f t="shared" si="128"/>
        <v>1849.3883999999998</v>
      </c>
      <c r="AB363" s="105"/>
      <c r="AC363" s="105"/>
      <c r="AD363" s="8">
        <f t="shared" si="129"/>
        <v>20752375.34</v>
      </c>
      <c r="AE363" s="37">
        <f t="shared" si="131"/>
        <v>465541</v>
      </c>
      <c r="AF363" s="37">
        <f t="shared" si="131"/>
        <v>254584</v>
      </c>
      <c r="AG363" s="37">
        <f t="shared" si="130"/>
        <v>74018.339999999851</v>
      </c>
    </row>
    <row r="364" spans="1:33" ht="15" customHeight="1" x14ac:dyDescent="0.15">
      <c r="A364" s="102">
        <v>42729</v>
      </c>
      <c r="B364" s="20" t="s">
        <v>1</v>
      </c>
      <c r="C364" s="8">
        <v>62830</v>
      </c>
      <c r="D364" s="37">
        <f>23574+8630</f>
        <v>32204</v>
      </c>
      <c r="E364" s="37">
        <v>96163</v>
      </c>
      <c r="F364" s="55">
        <v>4818.8</v>
      </c>
      <c r="G364" s="37">
        <v>3173.5</v>
      </c>
      <c r="H364" s="24"/>
      <c r="I364" s="36"/>
      <c r="J364" s="8">
        <f t="shared" si="125"/>
        <v>63959</v>
      </c>
      <c r="K364" s="37">
        <v>652</v>
      </c>
      <c r="L364" s="37">
        <v>0</v>
      </c>
      <c r="M364" s="37">
        <f t="shared" si="139"/>
        <v>477</v>
      </c>
      <c r="N364" s="74">
        <f t="shared" si="133"/>
        <v>1574540</v>
      </c>
      <c r="O364" s="75">
        <f t="shared" si="134"/>
        <v>849585</v>
      </c>
      <c r="P364" s="75">
        <f t="shared" si="135"/>
        <v>2441477</v>
      </c>
      <c r="Q364" s="76">
        <f t="shared" si="136"/>
        <v>20021062</v>
      </c>
      <c r="R364" s="76">
        <f t="shared" si="136"/>
        <v>11312775</v>
      </c>
      <c r="S364" s="76">
        <f t="shared" si="136"/>
        <v>32129109.34</v>
      </c>
      <c r="T364" s="80">
        <f>N364/'2015'!M364-1</f>
        <v>-1.7320188829501704E-2</v>
      </c>
      <c r="U364" s="80">
        <f>O364/'2015'!N364-1</f>
        <v>0.51117391969434478</v>
      </c>
      <c r="V364" s="80">
        <f>P364/'2015'!O364-1</f>
        <v>0.10451682192931022</v>
      </c>
      <c r="W364" s="81">
        <f>Q364/'2015'!P364-1</f>
        <v>6.0221855277119873E-2</v>
      </c>
      <c r="X364" s="81">
        <f>R364/'2015'!Q364-1</f>
        <v>9.6004672039292194E-2</v>
      </c>
      <c r="Y364" s="81">
        <f>S364/'2015'!R364-1</f>
        <v>7.6198411469692306E-2</v>
      </c>
      <c r="Z364" s="50">
        <f t="shared" si="140"/>
        <v>146.93260000000021</v>
      </c>
      <c r="AA364" s="97">
        <f t="shared" si="128"/>
        <v>1855.1735999999996</v>
      </c>
      <c r="AB364" s="105"/>
      <c r="AC364" s="105"/>
      <c r="AD364" s="8">
        <f t="shared" si="129"/>
        <v>20816334.34</v>
      </c>
      <c r="AE364" s="37">
        <f t="shared" si="131"/>
        <v>466193</v>
      </c>
      <c r="AF364" s="37">
        <f t="shared" si="131"/>
        <v>254584</v>
      </c>
      <c r="AG364" s="37">
        <f t="shared" si="130"/>
        <v>74495.339999999851</v>
      </c>
    </row>
    <row r="365" spans="1:33" ht="15" customHeight="1" x14ac:dyDescent="0.15">
      <c r="A365" s="102">
        <v>42730</v>
      </c>
      <c r="B365" s="20" t="s">
        <v>34</v>
      </c>
      <c r="C365" s="8">
        <v>65888</v>
      </c>
      <c r="D365" s="37">
        <f>24523+8716</f>
        <v>33239</v>
      </c>
      <c r="E365" s="37">
        <v>99547</v>
      </c>
      <c r="F365" s="55">
        <v>5097.5</v>
      </c>
      <c r="G365" s="37">
        <v>3061.7</v>
      </c>
      <c r="H365" s="24"/>
      <c r="I365" s="36"/>
      <c r="J365" s="8">
        <f t="shared" si="125"/>
        <v>66308</v>
      </c>
      <c r="K365" s="37">
        <v>278</v>
      </c>
      <c r="L365" s="37">
        <v>42</v>
      </c>
      <c r="M365" s="37">
        <f t="shared" si="139"/>
        <v>100</v>
      </c>
      <c r="N365" s="74">
        <f t="shared" si="133"/>
        <v>1640428</v>
      </c>
      <c r="O365" s="75">
        <f t="shared" si="134"/>
        <v>882824</v>
      </c>
      <c r="P365" s="75">
        <f t="shared" si="135"/>
        <v>2541024</v>
      </c>
      <c r="Q365" s="76">
        <f t="shared" si="136"/>
        <v>20086950</v>
      </c>
      <c r="R365" s="76">
        <f t="shared" si="136"/>
        <v>11346014</v>
      </c>
      <c r="S365" s="76">
        <f t="shared" si="136"/>
        <v>32228656.34</v>
      </c>
      <c r="T365" s="80">
        <f>N365/'2015'!M365-1</f>
        <v>-1.2776989743382927E-2</v>
      </c>
      <c r="U365" s="80">
        <f>O365/'2015'!N365-1</f>
        <v>0.50341358246496593</v>
      </c>
      <c r="V365" s="80">
        <f>P365/'2015'!O365-1</f>
        <v>0.10587872789895481</v>
      </c>
      <c r="W365" s="81">
        <f>Q365/'2015'!P365-1</f>
        <v>6.0377362673874391E-2</v>
      </c>
      <c r="X365" s="81">
        <f>R365/'2015'!Q365-1</f>
        <v>9.6567822336515841E-2</v>
      </c>
      <c r="Y365" s="81">
        <f>S365/'2015'!R365-1</f>
        <v>7.6385487113628914E-2</v>
      </c>
      <c r="Z365" s="50">
        <f t="shared" si="140"/>
        <v>147.43040000000022</v>
      </c>
      <c r="AA365" s="97">
        <f t="shared" si="128"/>
        <v>1861.2645999999997</v>
      </c>
      <c r="AB365" s="105"/>
      <c r="AC365" s="105"/>
      <c r="AD365" s="8">
        <f t="shared" si="129"/>
        <v>20882642.34</v>
      </c>
      <c r="AE365" s="37">
        <f t="shared" si="131"/>
        <v>466471</v>
      </c>
      <c r="AF365" s="37">
        <f t="shared" si="131"/>
        <v>254626</v>
      </c>
      <c r="AG365" s="37">
        <f t="shared" si="130"/>
        <v>74595.339999999851</v>
      </c>
    </row>
    <row r="366" spans="1:33" ht="15" customHeight="1" x14ac:dyDescent="0.15">
      <c r="A366" s="102">
        <v>42731</v>
      </c>
      <c r="B366" s="20" t="s">
        <v>35</v>
      </c>
      <c r="C366" s="8">
        <v>68236</v>
      </c>
      <c r="D366" s="37">
        <f>24519+8694</f>
        <v>33213</v>
      </c>
      <c r="E366" s="37">
        <v>102782</v>
      </c>
      <c r="F366" s="55">
        <v>5262.8</v>
      </c>
      <c r="G366" s="37">
        <v>3157.7</v>
      </c>
      <c r="H366" s="24"/>
      <c r="I366" s="36"/>
      <c r="J366" s="8">
        <f t="shared" si="125"/>
        <v>69569</v>
      </c>
      <c r="K366" s="37">
        <v>414</v>
      </c>
      <c r="L366" s="37">
        <v>445</v>
      </c>
      <c r="M366" s="37">
        <f t="shared" si="139"/>
        <v>474</v>
      </c>
      <c r="N366" s="74">
        <f t="shared" si="133"/>
        <v>1708664</v>
      </c>
      <c r="O366" s="75">
        <f t="shared" si="134"/>
        <v>916037</v>
      </c>
      <c r="P366" s="75">
        <f t="shared" si="135"/>
        <v>2643806</v>
      </c>
      <c r="Q366" s="76">
        <f t="shared" si="136"/>
        <v>20155186</v>
      </c>
      <c r="R366" s="76">
        <f t="shared" si="136"/>
        <v>11379227</v>
      </c>
      <c r="S366" s="76">
        <f t="shared" si="136"/>
        <v>32331438.34</v>
      </c>
      <c r="T366" s="80">
        <f>N366/'2015'!M366-1</f>
        <v>-5.5685146126949192E-3</v>
      </c>
      <c r="U366" s="80">
        <f>O366/'2015'!N366-1</f>
        <v>0.49559991379422952</v>
      </c>
      <c r="V366" s="80">
        <f>P366/'2015'!O366-1</f>
        <v>0.11015903649264791</v>
      </c>
      <c r="W366" s="81">
        <f>Q366/'2015'!P366-1</f>
        <v>6.0811434573301959E-2</v>
      </c>
      <c r="X366" s="81">
        <f>R366/'2015'!Q366-1</f>
        <v>9.709782487027474E-2</v>
      </c>
      <c r="Y366" s="81">
        <f>S366/'2015'!R366-1</f>
        <v>7.6807221781112434E-2</v>
      </c>
      <c r="Z366" s="50">
        <f t="shared" si="140"/>
        <v>147.92820000000023</v>
      </c>
      <c r="AA366" s="97">
        <f t="shared" si="128"/>
        <v>1867.5903999999998</v>
      </c>
      <c r="AB366" s="105"/>
      <c r="AC366" s="105"/>
      <c r="AD366" s="8">
        <f t="shared" si="129"/>
        <v>20952211.34</v>
      </c>
      <c r="AE366" s="37">
        <f t="shared" si="131"/>
        <v>466885</v>
      </c>
      <c r="AF366" s="37">
        <f t="shared" si="131"/>
        <v>255071</v>
      </c>
      <c r="AG366" s="37">
        <f t="shared" si="130"/>
        <v>75069.339999999851</v>
      </c>
    </row>
    <row r="367" spans="1:33" ht="15" customHeight="1" x14ac:dyDescent="0.15">
      <c r="A367" s="102">
        <v>42732</v>
      </c>
      <c r="B367" s="14" t="s">
        <v>36</v>
      </c>
      <c r="C367" s="32">
        <v>70494</v>
      </c>
      <c r="D367" s="33">
        <f>24269+8777</f>
        <v>33046</v>
      </c>
      <c r="E367" s="33">
        <v>104705</v>
      </c>
      <c r="F367" s="59">
        <v>5329.5</v>
      </c>
      <c r="G367" s="33">
        <v>3294.9</v>
      </c>
      <c r="H367" s="19"/>
      <c r="I367" s="19"/>
      <c r="J367" s="32">
        <f t="shared" si="125"/>
        <v>71659</v>
      </c>
      <c r="K367" s="33">
        <v>392</v>
      </c>
      <c r="L367" s="33">
        <v>599</v>
      </c>
      <c r="M367" s="33">
        <f t="shared" si="139"/>
        <v>174</v>
      </c>
      <c r="N367" s="77">
        <f t="shared" si="133"/>
        <v>1779158</v>
      </c>
      <c r="O367" s="78">
        <f t="shared" si="134"/>
        <v>949083</v>
      </c>
      <c r="P367" s="78">
        <f t="shared" si="135"/>
        <v>2748511</v>
      </c>
      <c r="Q367" s="77">
        <f t="shared" si="136"/>
        <v>20225680</v>
      </c>
      <c r="R367" s="77">
        <f t="shared" si="136"/>
        <v>11412273</v>
      </c>
      <c r="S367" s="77">
        <f t="shared" si="136"/>
        <v>32436143.34</v>
      </c>
      <c r="T367" s="82">
        <f>N367/'2015'!M367-1</f>
        <v>-1.1750168842010744E-3</v>
      </c>
      <c r="U367" s="82">
        <f>O367/'2015'!N367-1</f>
        <v>0.4885404952689254</v>
      </c>
      <c r="V367" s="82">
        <f>P367/'2015'!O367-1</f>
        <v>0.11157975537659093</v>
      </c>
      <c r="W367" s="82">
        <f>Q367/'2015'!P367-1</f>
        <v>6.1002525284715503E-2</v>
      </c>
      <c r="X367" s="82">
        <f>R367/'2015'!Q367-1</f>
        <v>9.7627135402129639E-2</v>
      </c>
      <c r="Y367" s="82">
        <f>S367/'2015'!R367-1</f>
        <v>7.7024808816157586E-2</v>
      </c>
      <c r="Z367" s="49">
        <f t="shared" si="140"/>
        <v>148.42600000000024</v>
      </c>
      <c r="AA367" s="49">
        <f t="shared" si="128"/>
        <v>1874.1419999999998</v>
      </c>
      <c r="AB367" s="33">
        <v>4238.3999999999996</v>
      </c>
      <c r="AC367" s="33">
        <f t="shared" si="132"/>
        <v>4421.8148357870896</v>
      </c>
      <c r="AD367" s="32">
        <f t="shared" si="129"/>
        <v>21023870.34</v>
      </c>
      <c r="AE367" s="33">
        <f t="shared" si="131"/>
        <v>467277</v>
      </c>
      <c r="AF367" s="33">
        <f t="shared" si="131"/>
        <v>255670</v>
      </c>
      <c r="AG367" s="33">
        <f t="shared" si="130"/>
        <v>75243.339999999851</v>
      </c>
    </row>
    <row r="368" spans="1:33" ht="15" customHeight="1" x14ac:dyDescent="0.15">
      <c r="A368" s="102">
        <v>42733</v>
      </c>
      <c r="B368" s="20" t="s">
        <v>37</v>
      </c>
      <c r="C368" s="8">
        <v>70304</v>
      </c>
      <c r="D368" s="37">
        <v>32788</v>
      </c>
      <c r="E368" s="37">
        <v>104791</v>
      </c>
      <c r="F368" s="55">
        <v>5294</v>
      </c>
      <c r="G368" s="37">
        <v>3279.5</v>
      </c>
      <c r="H368" s="24"/>
      <c r="I368" s="36"/>
      <c r="J368" s="8">
        <f t="shared" si="125"/>
        <v>72003</v>
      </c>
      <c r="K368" s="37">
        <v>662</v>
      </c>
      <c r="L368" s="37">
        <v>791</v>
      </c>
      <c r="M368" s="37">
        <f t="shared" si="139"/>
        <v>246</v>
      </c>
      <c r="N368" s="74">
        <f t="shared" si="133"/>
        <v>1849462</v>
      </c>
      <c r="O368" s="75">
        <f t="shared" si="134"/>
        <v>981871</v>
      </c>
      <c r="P368" s="75">
        <f t="shared" si="135"/>
        <v>2853302</v>
      </c>
      <c r="Q368" s="76">
        <f t="shared" si="136"/>
        <v>20295984</v>
      </c>
      <c r="R368" s="76">
        <f t="shared" si="136"/>
        <v>11445061</v>
      </c>
      <c r="S368" s="76">
        <f t="shared" si="136"/>
        <v>32540934.34</v>
      </c>
      <c r="T368" s="80">
        <f>N368/'2015'!M368-1</f>
        <v>1.568316539999115E-3</v>
      </c>
      <c r="U368" s="80">
        <f>O368/'2015'!N368-1</f>
        <v>0.48277445124851814</v>
      </c>
      <c r="V368" s="80">
        <f>P368/'2015'!O368-1</f>
        <v>0.11254461112434666</v>
      </c>
      <c r="W368" s="81">
        <f>Q368/'2015'!P368-1</f>
        <v>6.105504588115207E-2</v>
      </c>
      <c r="X368" s="81">
        <f>R368/'2015'!Q368-1</f>
        <v>9.8183195363110487E-2</v>
      </c>
      <c r="Y368" s="81">
        <f>S368/'2015'!R368-1</f>
        <v>7.7212013700657556E-2</v>
      </c>
      <c r="Z368" s="50">
        <f t="shared" si="140"/>
        <v>148.92380000000026</v>
      </c>
      <c r="AA368" s="97">
        <f t="shared" si="128"/>
        <v>1880.6745999999998</v>
      </c>
      <c r="AB368" s="105"/>
      <c r="AC368" s="105"/>
      <c r="AD368" s="8">
        <f t="shared" si="129"/>
        <v>21095873.34</v>
      </c>
      <c r="AE368" s="37">
        <f t="shared" si="131"/>
        <v>467939</v>
      </c>
      <c r="AF368" s="37">
        <f t="shared" si="131"/>
        <v>256461</v>
      </c>
      <c r="AG368" s="37">
        <f t="shared" si="130"/>
        <v>75489.339999999851</v>
      </c>
    </row>
    <row r="369" spans="1:33" ht="15" customHeight="1" x14ac:dyDescent="0.15">
      <c r="A369" s="102">
        <v>42734</v>
      </c>
      <c r="B369" s="20" t="s">
        <v>38</v>
      </c>
      <c r="C369" s="70">
        <v>68836</v>
      </c>
      <c r="D369" s="71">
        <f>24402+8719</f>
        <v>33121</v>
      </c>
      <c r="E369" s="71">
        <v>104293</v>
      </c>
      <c r="F369" s="107">
        <v>5298.8</v>
      </c>
      <c r="G369" s="71">
        <v>3296.8</v>
      </c>
      <c r="H369" s="24"/>
      <c r="I369" s="24"/>
      <c r="J369" s="70">
        <f t="shared" si="125"/>
        <v>71172</v>
      </c>
      <c r="K369" s="71">
        <v>754</v>
      </c>
      <c r="L369" s="71">
        <v>788</v>
      </c>
      <c r="M369" s="71">
        <f t="shared" si="139"/>
        <v>794</v>
      </c>
      <c r="N369" s="74">
        <f t="shared" si="133"/>
        <v>1918298</v>
      </c>
      <c r="O369" s="75">
        <f t="shared" si="134"/>
        <v>1014992</v>
      </c>
      <c r="P369" s="75">
        <f t="shared" si="135"/>
        <v>2957595</v>
      </c>
      <c r="Q369" s="76">
        <f t="shared" si="136"/>
        <v>20364820</v>
      </c>
      <c r="R369" s="76">
        <f t="shared" si="136"/>
        <v>11478182</v>
      </c>
      <c r="S369" s="76">
        <f t="shared" si="136"/>
        <v>32645227.34</v>
      </c>
      <c r="T369" s="80">
        <f>N369/'2015'!M369-1</f>
        <v>4.2078041732538374E-3</v>
      </c>
      <c r="U369" s="80">
        <f>O369/'2015'!N369-1</f>
        <v>0.47760716011855897</v>
      </c>
      <c r="V369" s="80">
        <f>P369/'2015'!O369-1</f>
        <v>0.11394070372426524</v>
      </c>
      <c r="W369" s="81">
        <f>Q369/'2015'!P369-1</f>
        <v>6.1120342479422218E-2</v>
      </c>
      <c r="X369" s="81">
        <f>R369/'2015'!Q369-1</f>
        <v>9.8753894230101835E-2</v>
      </c>
      <c r="Y369" s="81">
        <f>S369/'2015'!R369-1</f>
        <v>7.7439783928703987E-2</v>
      </c>
      <c r="Z369" s="97">
        <f t="shared" si="140"/>
        <v>149.42160000000027</v>
      </c>
      <c r="AA369" s="97">
        <f t="shared" si="128"/>
        <v>1887.0603999999996</v>
      </c>
      <c r="AB369" s="106"/>
      <c r="AC369" s="105"/>
      <c r="AD369" s="70">
        <f t="shared" si="129"/>
        <v>21167045.34</v>
      </c>
      <c r="AE369" s="71">
        <f t="shared" si="131"/>
        <v>468693</v>
      </c>
      <c r="AF369" s="71">
        <f t="shared" si="131"/>
        <v>257249</v>
      </c>
      <c r="AG369" s="71">
        <f t="shared" si="130"/>
        <v>76283.339999999851</v>
      </c>
    </row>
    <row r="370" spans="1:33" s="1" customFormat="1" ht="15" customHeight="1" x14ac:dyDescent="0.15">
      <c r="A370" s="13">
        <v>42735</v>
      </c>
      <c r="B370" s="25" t="s">
        <v>39</v>
      </c>
      <c r="C370" s="42">
        <v>62934</v>
      </c>
      <c r="D370" s="43">
        <f>24618+8451</f>
        <v>33069</v>
      </c>
      <c r="E370" s="43">
        <v>97332</v>
      </c>
      <c r="F370" s="57">
        <v>4916.5</v>
      </c>
      <c r="G370" s="43">
        <v>3233.4</v>
      </c>
      <c r="H370" s="30"/>
      <c r="I370" s="30"/>
      <c r="J370" s="42">
        <f t="shared" si="125"/>
        <v>64263</v>
      </c>
      <c r="K370" s="43">
        <v>307</v>
      </c>
      <c r="L370" s="43">
        <v>783</v>
      </c>
      <c r="M370" s="43">
        <f t="shared" si="139"/>
        <v>239</v>
      </c>
      <c r="N370" s="87">
        <v>1981228</v>
      </c>
      <c r="O370" s="88">
        <f t="shared" si="134"/>
        <v>1048061</v>
      </c>
      <c r="P370" s="88">
        <f t="shared" si="135"/>
        <v>3054927</v>
      </c>
      <c r="Q370" s="87">
        <v>20432583</v>
      </c>
      <c r="R370" s="87">
        <v>11514781</v>
      </c>
      <c r="S370" s="87">
        <v>32749112.300000001</v>
      </c>
      <c r="T370" s="89">
        <f>N370/'2015'!M370-1</f>
        <v>4.2115261701063389E-3</v>
      </c>
      <c r="U370" s="89">
        <f>O370/'2015'!N370-1</f>
        <v>0.47480246818031513</v>
      </c>
      <c r="V370" s="89">
        <f>P370/'2015'!O370-1</f>
        <v>0.11367402000723992</v>
      </c>
      <c r="W370" s="89">
        <f>Q370/'2015'!P370-1</f>
        <v>6.0984679095563266E-2</v>
      </c>
      <c r="X370" s="89">
        <f>R370/'2015'!Q370-1</f>
        <v>9.7039280945908857E-2</v>
      </c>
      <c r="Y370" s="89">
        <f>S370/'2015'!R370-1</f>
        <v>7.6687592451751829E-2</v>
      </c>
      <c r="Z370" s="52">
        <v>149.9194</v>
      </c>
      <c r="AA370" s="52">
        <f t="shared" si="128"/>
        <v>1893.3389</v>
      </c>
      <c r="AB370" s="43">
        <v>4239</v>
      </c>
      <c r="AC370" s="43">
        <f t="shared" si="132"/>
        <v>4466.4753479594247</v>
      </c>
      <c r="AD370" s="42">
        <f t="shared" si="129"/>
        <v>21234331.300000001</v>
      </c>
      <c r="AE370" s="109">
        <f t="shared" si="131"/>
        <v>469000</v>
      </c>
      <c r="AF370" s="43">
        <f t="shared" si="131"/>
        <v>258032</v>
      </c>
      <c r="AG370" s="43">
        <f t="shared" si="130"/>
        <v>74716.300000000745</v>
      </c>
    </row>
    <row r="371" spans="1:33" ht="15" customHeight="1" x14ac:dyDescent="0.15">
      <c r="A371" s="20"/>
      <c r="B371" s="20"/>
      <c r="C371" s="21">
        <f>MAX(C5:C370)</f>
        <v>84776</v>
      </c>
      <c r="D371" s="7">
        <f>MAX(D5:D370)</f>
        <v>48346</v>
      </c>
      <c r="E371" s="7">
        <f>MAX(E5:E370)</f>
        <v>130825</v>
      </c>
      <c r="F371" s="22">
        <f>MAX(F5:F370)</f>
        <v>6547</v>
      </c>
      <c r="G371" s="23"/>
      <c r="H371" s="24"/>
      <c r="I371" s="36"/>
      <c r="J371" s="8"/>
      <c r="K371" s="37"/>
      <c r="L371" s="37"/>
      <c r="M371" s="37"/>
      <c r="N371" s="38"/>
      <c r="O371" s="39"/>
      <c r="P371" s="39"/>
      <c r="Q371" s="40"/>
      <c r="R371" s="39"/>
      <c r="S371" s="39"/>
      <c r="T371" s="39"/>
      <c r="U371" s="39"/>
      <c r="V371" s="39"/>
      <c r="W371" s="39"/>
      <c r="X371" s="39"/>
      <c r="Y371" s="39"/>
      <c r="Z371" s="37"/>
      <c r="AA371" s="37"/>
      <c r="AB371" s="37"/>
      <c r="AC371" s="37"/>
    </row>
    <row r="372" spans="1:33" x14ac:dyDescent="0.15">
      <c r="F372" s="61"/>
      <c r="G372" s="61"/>
      <c r="H372" s="61"/>
      <c r="I372" s="61"/>
      <c r="J372" s="62"/>
      <c r="K372" s="62"/>
    </row>
    <row r="374" spans="1:33" x14ac:dyDescent="0.15">
      <c r="G374" s="2" t="e">
        <f>G372/F372</f>
        <v>#DIV/0!</v>
      </c>
      <c r="I374" s="2" t="e">
        <f>I372/H372</f>
        <v>#DIV/0!</v>
      </c>
    </row>
    <row r="375" spans="1:33" x14ac:dyDescent="0.15">
      <c r="A375" s="2" t="s">
        <v>41</v>
      </c>
      <c r="C375" s="22">
        <f>MAX(C5:C35)</f>
        <v>68431</v>
      </c>
      <c r="D375" s="22">
        <f t="shared" ref="D375:AC375" si="141">MAX(D5:D35)</f>
        <v>28628</v>
      </c>
      <c r="E375" s="22">
        <f t="shared" si="141"/>
        <v>95962</v>
      </c>
      <c r="F375" s="22">
        <f t="shared" si="141"/>
        <v>4900</v>
      </c>
      <c r="G375" s="22">
        <f t="shared" si="141"/>
        <v>2988</v>
      </c>
      <c r="H375" s="22">
        <f t="shared" si="141"/>
        <v>0</v>
      </c>
      <c r="I375" s="22">
        <f t="shared" si="141"/>
        <v>0</v>
      </c>
      <c r="J375" s="22">
        <f t="shared" si="141"/>
        <v>70615</v>
      </c>
      <c r="K375" s="22">
        <f>SUM(K5:K35)</f>
        <v>50764.000000000007</v>
      </c>
      <c r="L375" s="22">
        <f>SUM(L5:L35)</f>
        <v>24583</v>
      </c>
      <c r="M375" s="22"/>
      <c r="N375" s="22">
        <f t="shared" si="141"/>
        <v>1816991</v>
      </c>
      <c r="O375" s="22">
        <f t="shared" si="141"/>
        <v>769857</v>
      </c>
      <c r="P375" s="22">
        <f t="shared" si="141"/>
        <v>2662823</v>
      </c>
      <c r="Q375" s="22">
        <f t="shared" si="141"/>
        <v>1816991</v>
      </c>
      <c r="R375" s="22">
        <f t="shared" si="141"/>
        <v>769857</v>
      </c>
      <c r="S375" s="22">
        <f t="shared" si="141"/>
        <v>2662823</v>
      </c>
      <c r="T375" s="22">
        <f t="shared" si="141"/>
        <v>-4.1609963297455588E-2</v>
      </c>
      <c r="U375" s="22">
        <f t="shared" si="141"/>
        <v>0.19280558106315682</v>
      </c>
      <c r="V375" s="22">
        <f t="shared" si="141"/>
        <v>6.2975788658512499E-3</v>
      </c>
      <c r="W375" s="22">
        <f t="shared" si="141"/>
        <v>-4.1609963297455588E-2</v>
      </c>
      <c r="X375" s="22">
        <f t="shared" si="141"/>
        <v>0.19280558106315682</v>
      </c>
      <c r="Y375" s="22">
        <f t="shared" si="141"/>
        <v>6.2975788658512499E-3</v>
      </c>
      <c r="Z375" s="22">
        <f t="shared" si="141"/>
        <v>19.451499999999999</v>
      </c>
      <c r="AA375" s="22">
        <f t="shared" si="141"/>
        <v>162.24759999999998</v>
      </c>
      <c r="AB375" s="22">
        <f t="shared" si="141"/>
        <v>4230.1000000000004</v>
      </c>
      <c r="AC375" s="22">
        <f t="shared" si="141"/>
        <v>383.55499869979423</v>
      </c>
    </row>
    <row r="376" spans="1:33" x14ac:dyDescent="0.15">
      <c r="A376" s="2" t="s">
        <v>42</v>
      </c>
      <c r="C376" s="22">
        <f>MAX(C36:C64)</f>
        <v>48888</v>
      </c>
      <c r="D376" s="22">
        <f t="shared" ref="D376:AC376" si="142">MAX(D36:D64)</f>
        <v>27164</v>
      </c>
      <c r="E376" s="22">
        <f t="shared" si="142"/>
        <v>78707</v>
      </c>
      <c r="F376" s="22">
        <f t="shared" si="142"/>
        <v>4109</v>
      </c>
      <c r="G376" s="22">
        <f t="shared" si="142"/>
        <v>2462.1999999999998</v>
      </c>
      <c r="H376" s="22">
        <f t="shared" si="142"/>
        <v>872.1</v>
      </c>
      <c r="I376" s="22">
        <f t="shared" si="142"/>
        <v>424.4</v>
      </c>
      <c r="J376" s="22">
        <f t="shared" si="142"/>
        <v>51883</v>
      </c>
      <c r="K376" s="22">
        <f>SUM(K36:K64)</f>
        <v>40712</v>
      </c>
      <c r="L376" s="22">
        <f>SUM(L36:L64)</f>
        <v>19214</v>
      </c>
      <c r="M376" s="22"/>
      <c r="N376" s="22">
        <f t="shared" si="142"/>
        <v>878887</v>
      </c>
      <c r="O376" s="22">
        <f t="shared" si="142"/>
        <v>593161</v>
      </c>
      <c r="P376" s="22">
        <f t="shared" si="142"/>
        <v>1536859</v>
      </c>
      <c r="Q376" s="22">
        <f t="shared" si="142"/>
        <v>2695234</v>
      </c>
      <c r="R376" s="22">
        <f t="shared" si="142"/>
        <v>1363018</v>
      </c>
      <c r="S376" s="22">
        <f t="shared" si="142"/>
        <v>4199682</v>
      </c>
      <c r="T376" s="22">
        <f t="shared" si="142"/>
        <v>-6.5522821612058135E-2</v>
      </c>
      <c r="U376" s="22">
        <f t="shared" si="142"/>
        <v>0.16061893310740349</v>
      </c>
      <c r="V376" s="22">
        <f t="shared" si="142"/>
        <v>3.7884574215555356E-2</v>
      </c>
      <c r="W376" s="22">
        <f t="shared" si="142"/>
        <v>-0.11614023914939087</v>
      </c>
      <c r="X376" s="22">
        <f t="shared" si="142"/>
        <v>0.1744382543415206</v>
      </c>
      <c r="Y376" s="22">
        <f t="shared" si="142"/>
        <v>-1.7707398720303247E-2</v>
      </c>
      <c r="Z376" s="22">
        <f t="shared" si="142"/>
        <v>28.07</v>
      </c>
      <c r="AA376" s="22">
        <f t="shared" si="142"/>
        <v>241.45339999999999</v>
      </c>
      <c r="AB376" s="22">
        <f t="shared" si="142"/>
        <v>4230.1000000000004</v>
      </c>
      <c r="AC376" s="22">
        <f t="shared" si="142"/>
        <v>570.79832628070255</v>
      </c>
    </row>
    <row r="377" spans="1:33" x14ac:dyDescent="0.15">
      <c r="A377" s="2" t="s">
        <v>43</v>
      </c>
      <c r="C377" s="22">
        <f>MAX(C65:C95)</f>
        <v>70475</v>
      </c>
      <c r="D377" s="22">
        <f t="shared" ref="D377:AC377" si="143">MAX(D65:D95)</f>
        <v>29545</v>
      </c>
      <c r="E377" s="22">
        <f t="shared" si="143"/>
        <v>95082</v>
      </c>
      <c r="F377" s="22">
        <f t="shared" si="143"/>
        <v>4946</v>
      </c>
      <c r="G377" s="22">
        <f t="shared" si="143"/>
        <v>3108.5</v>
      </c>
      <c r="H377" s="22">
        <f t="shared" si="143"/>
        <v>1420</v>
      </c>
      <c r="I377" s="22">
        <f t="shared" si="143"/>
        <v>850</v>
      </c>
      <c r="J377" s="22">
        <f t="shared" si="143"/>
        <v>73407</v>
      </c>
      <c r="K377" s="22">
        <f>SUM(K65:K95)</f>
        <v>36132.999999999993</v>
      </c>
      <c r="L377" s="22">
        <f>SUM(L65:L95)</f>
        <v>24534</v>
      </c>
      <c r="M377" s="22"/>
      <c r="N377" s="22">
        <f t="shared" si="143"/>
        <v>1919573</v>
      </c>
      <c r="O377" s="22">
        <f t="shared" si="143"/>
        <v>765807</v>
      </c>
      <c r="P377" s="22">
        <f t="shared" si="143"/>
        <v>2749953</v>
      </c>
      <c r="Q377" s="22">
        <f t="shared" si="143"/>
        <v>4614807</v>
      </c>
      <c r="R377" s="22">
        <f t="shared" si="143"/>
        <v>2128927</v>
      </c>
      <c r="S377" s="22">
        <f t="shared" si="143"/>
        <v>6949159</v>
      </c>
      <c r="T377" s="22">
        <f t="shared" si="143"/>
        <v>0.94754464285714279</v>
      </c>
      <c r="U377" s="22">
        <f t="shared" si="143"/>
        <v>0.19160864454290616</v>
      </c>
      <c r="V377" s="22">
        <f t="shared" si="143"/>
        <v>0.62705692465160223</v>
      </c>
      <c r="W377" s="22">
        <f t="shared" si="143"/>
        <v>-1.9592817638124704E-2</v>
      </c>
      <c r="X377" s="22">
        <f t="shared" si="143"/>
        <v>0.17009177989668234</v>
      </c>
      <c r="Y377" s="22">
        <f t="shared" si="143"/>
        <v>3.8258667068298502E-2</v>
      </c>
      <c r="Z377" s="22">
        <f t="shared" si="143"/>
        <v>47.425699999999999</v>
      </c>
      <c r="AA377" s="22">
        <f t="shared" si="143"/>
        <v>414.05500000000001</v>
      </c>
      <c r="AB377" s="22">
        <f t="shared" si="143"/>
        <v>4230.1000000000004</v>
      </c>
      <c r="AC377" s="22">
        <f t="shared" si="143"/>
        <v>978.83028770005433</v>
      </c>
    </row>
    <row r="378" spans="1:33" x14ac:dyDescent="0.15">
      <c r="A378" s="2" t="s">
        <v>44</v>
      </c>
      <c r="C378" s="22">
        <f>MAX(C96:C125)</f>
        <v>60328</v>
      </c>
      <c r="D378" s="22">
        <f t="shared" ref="D378:AC378" si="144">MAX(D96:D125)</f>
        <v>27589</v>
      </c>
      <c r="E378" s="22">
        <f t="shared" si="144"/>
        <v>88149</v>
      </c>
      <c r="F378" s="22">
        <f t="shared" si="144"/>
        <v>4479</v>
      </c>
      <c r="G378" s="22">
        <f t="shared" si="144"/>
        <v>2974.7</v>
      </c>
      <c r="H378" s="22">
        <f t="shared" si="144"/>
        <v>1403.1</v>
      </c>
      <c r="I378" s="22">
        <f t="shared" si="144"/>
        <v>793.9</v>
      </c>
      <c r="J378" s="22">
        <f t="shared" si="144"/>
        <v>62251</v>
      </c>
      <c r="K378" s="22">
        <f>SUM(K96:K125)</f>
        <v>64012</v>
      </c>
      <c r="L378" s="22">
        <f>SUM(L96:L125)</f>
        <v>23752</v>
      </c>
      <c r="M378" s="22"/>
      <c r="N378" s="22">
        <f t="shared" si="144"/>
        <v>1638832</v>
      </c>
      <c r="O378" s="22">
        <f t="shared" si="144"/>
        <v>758190</v>
      </c>
      <c r="P378" s="22">
        <f t="shared" si="144"/>
        <v>2488877</v>
      </c>
      <c r="Q378" s="22">
        <f t="shared" si="144"/>
        <v>6253639</v>
      </c>
      <c r="R378" s="22">
        <f t="shared" si="144"/>
        <v>2887117</v>
      </c>
      <c r="S378" s="22">
        <f t="shared" si="144"/>
        <v>9438036</v>
      </c>
      <c r="T378" s="22">
        <f t="shared" si="144"/>
        <v>3.3169164504227799E-2</v>
      </c>
      <c r="U378" s="22">
        <f t="shared" si="144"/>
        <v>3.0769722465253224E-2</v>
      </c>
      <c r="V378" s="22">
        <f t="shared" si="144"/>
        <v>2.9068749343326372E-2</v>
      </c>
      <c r="W378" s="22">
        <f t="shared" si="144"/>
        <v>-1.8121722322985589E-2</v>
      </c>
      <c r="X378" s="22">
        <f t="shared" si="144"/>
        <v>0.13570837605703301</v>
      </c>
      <c r="Y378" s="22">
        <f t="shared" si="144"/>
        <v>3.7842043726381558E-2</v>
      </c>
      <c r="Z378" s="22">
        <f t="shared" si="144"/>
        <v>61.168900000000001</v>
      </c>
      <c r="AA378" s="22">
        <f t="shared" si="144"/>
        <v>564.19499999999994</v>
      </c>
      <c r="AB378" s="22">
        <f t="shared" si="144"/>
        <v>4230.1000000000004</v>
      </c>
      <c r="AC378" s="22" t="e">
        <f t="shared" si="144"/>
        <v>#DIV/0!</v>
      </c>
    </row>
    <row r="379" spans="1:33" x14ac:dyDescent="0.15">
      <c r="A379" s="2" t="s">
        <v>45</v>
      </c>
      <c r="C379" s="22">
        <f>MAX(C126:C156)</f>
        <v>59874</v>
      </c>
      <c r="D379" s="22">
        <f t="shared" ref="D379:AC379" si="145">MAX(D126:D156)</f>
        <v>26509</v>
      </c>
      <c r="E379" s="22">
        <f t="shared" si="145"/>
        <v>87893</v>
      </c>
      <c r="F379" s="22">
        <f t="shared" si="145"/>
        <v>4423</v>
      </c>
      <c r="G379" s="22">
        <f t="shared" si="145"/>
        <v>4246</v>
      </c>
      <c r="H379" s="22">
        <f t="shared" si="145"/>
        <v>0</v>
      </c>
      <c r="I379" s="22">
        <f t="shared" si="145"/>
        <v>0</v>
      </c>
      <c r="J379" s="22">
        <f t="shared" si="145"/>
        <v>63165</v>
      </c>
      <c r="K379" s="22">
        <f>SUM(K126:K156)</f>
        <v>83644.999999999985</v>
      </c>
      <c r="L379" s="22">
        <f>SUM(L126:L156)</f>
        <v>24523</v>
      </c>
      <c r="M379" s="22"/>
      <c r="N379" s="22">
        <f t="shared" si="145"/>
        <v>1659864</v>
      </c>
      <c r="O379" s="22">
        <f t="shared" si="145"/>
        <v>757258</v>
      </c>
      <c r="P379" s="22">
        <f t="shared" si="145"/>
        <v>2530376</v>
      </c>
      <c r="Q379" s="22">
        <f t="shared" si="145"/>
        <v>7913503</v>
      </c>
      <c r="R379" s="22">
        <f t="shared" si="145"/>
        <v>3644375</v>
      </c>
      <c r="S379" s="22">
        <f t="shared" si="145"/>
        <v>11968412</v>
      </c>
      <c r="T379" s="22">
        <f t="shared" si="145"/>
        <v>-5.2971744295113643E-2</v>
      </c>
      <c r="U379" s="22">
        <f t="shared" si="145"/>
        <v>7.6939448760242612E-2</v>
      </c>
      <c r="V379" s="22">
        <f t="shared" si="145"/>
        <v>-1.8328535625887432E-2</v>
      </c>
      <c r="W379" s="22">
        <f t="shared" si="145"/>
        <v>-3.4594297572416166E-2</v>
      </c>
      <c r="X379" s="22">
        <f t="shared" si="145"/>
        <v>9.0104216464289122E-2</v>
      </c>
      <c r="Y379" s="22">
        <f t="shared" si="145"/>
        <v>1.6621696432882471E-2</v>
      </c>
      <c r="Z379" s="22">
        <f t="shared" si="145"/>
        <v>73.167699999999996</v>
      </c>
      <c r="AA379" s="22">
        <f t="shared" si="145"/>
        <v>718.18259999999998</v>
      </c>
      <c r="AB379" s="22">
        <f t="shared" si="145"/>
        <v>4230.1000000000004</v>
      </c>
      <c r="AC379" s="22">
        <f t="shared" si="145"/>
        <v>1697.7910687690596</v>
      </c>
    </row>
    <row r="380" spans="1:33" x14ac:dyDescent="0.15">
      <c r="A380" s="2" t="s">
        <v>46</v>
      </c>
      <c r="C380" s="22">
        <f>MAX(C157:C186)</f>
        <v>71944</v>
      </c>
      <c r="D380" s="22">
        <f t="shared" ref="D380:AC380" si="146">MAX(D157:D186)</f>
        <v>39035</v>
      </c>
      <c r="E380" s="22">
        <f t="shared" si="146"/>
        <v>110680</v>
      </c>
      <c r="F380" s="22">
        <f t="shared" si="146"/>
        <v>5480</v>
      </c>
      <c r="G380" s="22">
        <f t="shared" si="146"/>
        <v>3723</v>
      </c>
      <c r="H380" s="22">
        <f t="shared" si="146"/>
        <v>0</v>
      </c>
      <c r="I380" s="22">
        <f t="shared" si="146"/>
        <v>0</v>
      </c>
      <c r="J380" s="22">
        <f t="shared" si="146"/>
        <v>74948</v>
      </c>
      <c r="K380" s="22">
        <f>SUM(K157:K186)</f>
        <v>49236.999999999971</v>
      </c>
      <c r="L380" s="22">
        <f>SUM(L157:L186)</f>
        <v>23573</v>
      </c>
      <c r="M380" s="22"/>
      <c r="N380" s="22">
        <f t="shared" si="146"/>
        <v>1581948</v>
      </c>
      <c r="O380" s="22">
        <f t="shared" si="146"/>
        <v>996425</v>
      </c>
      <c r="P380" s="22">
        <f t="shared" si="146"/>
        <v>2651030</v>
      </c>
      <c r="Q380" s="22">
        <f t="shared" si="146"/>
        <v>9495451</v>
      </c>
      <c r="R380" s="22">
        <f t="shared" si="146"/>
        <v>4640800</v>
      </c>
      <c r="S380" s="22">
        <f t="shared" si="146"/>
        <v>14619442</v>
      </c>
      <c r="T380" s="22">
        <f t="shared" si="146"/>
        <v>6.7087325974743539E-2</v>
      </c>
      <c r="U380" s="22">
        <f t="shared" si="146"/>
        <v>0.1668638819863526</v>
      </c>
      <c r="V380" s="22">
        <f t="shared" si="146"/>
        <v>6.5750976938184547E-2</v>
      </c>
      <c r="W380" s="22">
        <f t="shared" si="146"/>
        <v>-2.4747984020892955E-2</v>
      </c>
      <c r="X380" s="22">
        <f t="shared" si="146"/>
        <v>7.349432400693412E-2</v>
      </c>
      <c r="Y380" s="22">
        <f t="shared" si="146"/>
        <v>1.7468539798115135E-2</v>
      </c>
      <c r="Z380" s="22">
        <f t="shared" si="146"/>
        <v>84.507000000000005</v>
      </c>
      <c r="AA380" s="22">
        <f t="shared" si="146"/>
        <v>865.03809999999999</v>
      </c>
      <c r="AB380" s="22">
        <f t="shared" si="146"/>
        <v>4233.1000000000004</v>
      </c>
      <c r="AC380" s="22">
        <f t="shared" si="146"/>
        <v>2043.5097210082445</v>
      </c>
    </row>
    <row r="381" spans="1:33" x14ac:dyDescent="0.15">
      <c r="A381" s="2" t="s">
        <v>47</v>
      </c>
      <c r="C381" s="22">
        <f>MAX(C187:C217)</f>
        <v>82261</v>
      </c>
      <c r="D381" s="22">
        <f t="shared" ref="D381:AC381" si="147">MAX(D187:D217)</f>
        <v>48346</v>
      </c>
      <c r="E381" s="22">
        <f t="shared" si="147"/>
        <v>130825</v>
      </c>
      <c r="F381" s="22">
        <f t="shared" si="147"/>
        <v>6547</v>
      </c>
      <c r="G381" s="22">
        <f t="shared" si="147"/>
        <v>4309.5</v>
      </c>
      <c r="H381" s="22">
        <f t="shared" si="147"/>
        <v>0</v>
      </c>
      <c r="I381" s="22">
        <f t="shared" si="147"/>
        <v>0</v>
      </c>
      <c r="J381" s="22">
        <f t="shared" si="147"/>
        <v>84168</v>
      </c>
      <c r="K381" s="22">
        <f>SUM(K187:K217)</f>
        <v>35039.660000000156</v>
      </c>
      <c r="L381" s="22">
        <f>SUM(L187:L217)</f>
        <v>23586</v>
      </c>
      <c r="M381" s="22"/>
      <c r="N381" s="22">
        <f t="shared" si="147"/>
        <v>2126940</v>
      </c>
      <c r="O381" s="22">
        <f t="shared" si="147"/>
        <v>1325048</v>
      </c>
      <c r="P381" s="22">
        <f t="shared" si="147"/>
        <v>3518459.18</v>
      </c>
      <c r="Q381" s="22">
        <f t="shared" si="147"/>
        <v>11622391</v>
      </c>
      <c r="R381" s="22">
        <f t="shared" si="147"/>
        <v>5965848</v>
      </c>
      <c r="S381" s="22">
        <f t="shared" si="147"/>
        <v>18137901.34</v>
      </c>
      <c r="T381" s="22">
        <f t="shared" si="147"/>
        <v>0.57111662128331853</v>
      </c>
      <c r="U381" s="22">
        <f t="shared" si="147"/>
        <v>0.16277349967043397</v>
      </c>
      <c r="V381" s="22">
        <f t="shared" si="147"/>
        <v>0.33994457095600472</v>
      </c>
      <c r="W381" s="22">
        <f t="shared" si="147"/>
        <v>2.1606397843148661E-2</v>
      </c>
      <c r="X381" s="22">
        <f t="shared" si="147"/>
        <v>8.3700661390318398E-2</v>
      </c>
      <c r="Y381" s="22">
        <f t="shared" si="147"/>
        <v>5.1667328528385292E-2</v>
      </c>
      <c r="Z381" s="22">
        <f t="shared" si="147"/>
        <v>101.583816</v>
      </c>
      <c r="AA381" s="22">
        <f t="shared" si="147"/>
        <v>1060.6552839999999</v>
      </c>
      <c r="AB381" s="22">
        <f t="shared" si="147"/>
        <v>4234</v>
      </c>
      <c r="AC381" s="22">
        <f t="shared" si="147"/>
        <v>2505.0904204062354</v>
      </c>
    </row>
  </sheetData>
  <mergeCells count="7">
    <mergeCell ref="T2:V2"/>
    <mergeCell ref="W2:Y2"/>
    <mergeCell ref="F1:G1"/>
    <mergeCell ref="A2:B2"/>
    <mergeCell ref="C2:M2"/>
    <mergeCell ref="N2:P2"/>
    <mergeCell ref="Q2:S2"/>
  </mergeCells>
  <phoneticPr fontId="16" type="noConversion"/>
  <pageMargins left="0.7" right="0.7" top="0.75" bottom="0.75" header="0.3" footer="0.3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4"/>
  <sheetViews>
    <sheetView workbookViewId="0">
      <pane xSplit="2" ySplit="4" topLeftCell="C342" activePane="bottomRight" state="frozen"/>
      <selection pane="topRight"/>
      <selection pane="bottomLeft"/>
      <selection pane="bottomRight" activeCell="E372" sqref="E372"/>
    </sheetView>
  </sheetViews>
  <sheetFormatPr defaultColWidth="9" defaultRowHeight="14.25" x14ac:dyDescent="0.15"/>
  <cols>
    <col min="1" max="1" width="9.625" style="2" customWidth="1"/>
    <col min="2" max="2" width="6" style="2" customWidth="1"/>
    <col min="3" max="3" width="10.375" style="2" customWidth="1"/>
    <col min="4" max="4" width="8.75" style="2" customWidth="1"/>
    <col min="5" max="6" width="9.5" style="2" customWidth="1"/>
    <col min="7" max="7" width="8.625" style="2" customWidth="1"/>
    <col min="8" max="8" width="7.375" style="2" hidden="1" customWidth="1"/>
    <col min="9" max="9" width="8.75" style="2" hidden="1" customWidth="1"/>
    <col min="10" max="10" width="11.25" style="2" customWidth="1"/>
    <col min="11" max="12" width="9" style="2"/>
    <col min="13" max="13" width="8.875" style="2" customWidth="1"/>
    <col min="14" max="14" width="9" style="2"/>
    <col min="15" max="15" width="10.625" style="2" customWidth="1"/>
    <col min="16" max="16" width="10" style="3" customWidth="1"/>
    <col min="17" max="17" width="10.125" style="2" customWidth="1"/>
    <col min="18" max="24" width="10.625" style="2" customWidth="1"/>
    <col min="25" max="25" width="7.875" style="2" customWidth="1"/>
    <col min="26" max="26" width="9.25" style="2" customWidth="1"/>
    <col min="27" max="28" width="8.125" style="2" customWidth="1"/>
    <col min="29" max="29" width="10.5" style="63" customWidth="1"/>
    <col min="30" max="30" width="9.125" style="2" customWidth="1"/>
    <col min="31" max="31" width="9" style="2"/>
    <col min="32" max="32" width="10.5" style="2" customWidth="1"/>
    <col min="33" max="16384" width="9" style="2"/>
  </cols>
  <sheetData>
    <row r="1" spans="1:32" ht="15" customHeight="1" x14ac:dyDescent="0.15">
      <c r="A1" s="4" t="s">
        <v>61</v>
      </c>
      <c r="B1" s="4"/>
      <c r="C1" s="4"/>
      <c r="D1" s="4"/>
      <c r="E1" s="4"/>
      <c r="F1" s="483"/>
      <c r="G1" s="483"/>
      <c r="H1" s="6"/>
      <c r="I1" s="31"/>
      <c r="M1" s="64"/>
      <c r="N1" s="4"/>
      <c r="O1" s="64"/>
      <c r="P1" s="4"/>
      <c r="Q1" s="4"/>
      <c r="R1" s="64"/>
      <c r="S1" s="64"/>
      <c r="T1" s="64"/>
      <c r="U1" s="64"/>
      <c r="V1" s="64"/>
      <c r="W1" s="64"/>
      <c r="X1" s="64"/>
      <c r="Y1" s="31"/>
      <c r="Z1" s="31"/>
      <c r="AA1" s="31"/>
      <c r="AB1" s="31"/>
    </row>
    <row r="2" spans="1:32" ht="15" customHeight="1" x14ac:dyDescent="0.15">
      <c r="A2" s="479"/>
      <c r="B2" s="479"/>
      <c r="C2" s="483" t="s">
        <v>1</v>
      </c>
      <c r="D2" s="483"/>
      <c r="E2" s="483"/>
      <c r="F2" s="483"/>
      <c r="G2" s="483"/>
      <c r="H2" s="483"/>
      <c r="I2" s="483"/>
      <c r="J2" s="483"/>
      <c r="K2" s="483"/>
      <c r="L2" s="483"/>
      <c r="M2" s="479" t="s">
        <v>2</v>
      </c>
      <c r="N2" s="479"/>
      <c r="O2" s="479"/>
      <c r="P2" s="479" t="s">
        <v>3</v>
      </c>
      <c r="Q2" s="479"/>
      <c r="R2" s="479"/>
      <c r="S2" s="479" t="s">
        <v>4</v>
      </c>
      <c r="T2" s="479"/>
      <c r="U2" s="479"/>
      <c r="V2" s="479" t="s">
        <v>5</v>
      </c>
      <c r="W2" s="479"/>
      <c r="X2" s="479"/>
      <c r="Y2" s="31"/>
      <c r="Z2" s="31"/>
      <c r="AA2" s="31"/>
      <c r="AB2" s="31"/>
    </row>
    <row r="3" spans="1:32" ht="24.75" customHeight="1" x14ac:dyDescent="0.15">
      <c r="A3" s="8" t="s">
        <v>6</v>
      </c>
      <c r="B3" s="8" t="s">
        <v>7</v>
      </c>
      <c r="C3" s="65" t="s">
        <v>8</v>
      </c>
      <c r="D3" s="65" t="s">
        <v>9</v>
      </c>
      <c r="E3" s="65" t="s">
        <v>10</v>
      </c>
      <c r="F3" s="10" t="s">
        <v>11</v>
      </c>
      <c r="G3" s="7" t="s">
        <v>12</v>
      </c>
      <c r="H3" s="11" t="s">
        <v>13</v>
      </c>
      <c r="I3" s="11" t="s">
        <v>14</v>
      </c>
      <c r="J3" s="7" t="s">
        <v>15</v>
      </c>
      <c r="K3" s="7" t="s">
        <v>16</v>
      </c>
      <c r="L3" s="7" t="s">
        <v>17</v>
      </c>
      <c r="M3" s="65" t="s">
        <v>8</v>
      </c>
      <c r="N3" s="65" t="s">
        <v>9</v>
      </c>
      <c r="O3" s="65" t="s">
        <v>10</v>
      </c>
      <c r="P3" s="65" t="s">
        <v>8</v>
      </c>
      <c r="Q3" s="65" t="s">
        <v>9</v>
      </c>
      <c r="R3" s="65" t="s">
        <v>10</v>
      </c>
      <c r="S3" s="65" t="s">
        <v>8</v>
      </c>
      <c r="T3" s="65" t="s">
        <v>9</v>
      </c>
      <c r="U3" s="65" t="s">
        <v>10</v>
      </c>
      <c r="V3" s="65" t="s">
        <v>8</v>
      </c>
      <c r="W3" s="65" t="s">
        <v>9</v>
      </c>
      <c r="X3" s="65" t="s">
        <v>10</v>
      </c>
      <c r="Y3" s="47" t="s">
        <v>19</v>
      </c>
      <c r="Z3" s="47" t="s">
        <v>20</v>
      </c>
      <c r="AA3" s="48" t="s">
        <v>21</v>
      </c>
      <c r="AB3" s="48" t="s">
        <v>22</v>
      </c>
    </row>
    <row r="4" spans="1:32" ht="15" customHeight="1" x14ac:dyDescent="0.15">
      <c r="A4" s="8"/>
      <c r="B4" s="8"/>
      <c r="C4" s="7" t="s">
        <v>29</v>
      </c>
      <c r="D4" s="7" t="s">
        <v>29</v>
      </c>
      <c r="E4" s="7" t="s">
        <v>29</v>
      </c>
      <c r="F4" s="12" t="s">
        <v>30</v>
      </c>
      <c r="G4" s="8" t="s">
        <v>30</v>
      </c>
      <c r="H4" s="8" t="s">
        <v>30</v>
      </c>
      <c r="I4" s="8" t="s">
        <v>30</v>
      </c>
      <c r="J4" s="8" t="s">
        <v>29</v>
      </c>
      <c r="K4" s="8" t="s">
        <v>29</v>
      </c>
      <c r="L4" s="8" t="s">
        <v>29</v>
      </c>
      <c r="M4" s="7" t="s">
        <v>29</v>
      </c>
      <c r="N4" s="7" t="s">
        <v>29</v>
      </c>
      <c r="O4" s="7" t="s">
        <v>29</v>
      </c>
      <c r="P4" s="7" t="s">
        <v>29</v>
      </c>
      <c r="Q4" s="7" t="s">
        <v>29</v>
      </c>
      <c r="R4" s="7" t="s">
        <v>29</v>
      </c>
      <c r="S4" s="7" t="s">
        <v>31</v>
      </c>
      <c r="T4" s="7" t="s">
        <v>31</v>
      </c>
      <c r="U4" s="7" t="s">
        <v>31</v>
      </c>
      <c r="V4" s="7" t="s">
        <v>31</v>
      </c>
      <c r="W4" s="7" t="s">
        <v>31</v>
      </c>
      <c r="X4" s="7" t="s">
        <v>31</v>
      </c>
      <c r="Y4" s="7" t="s">
        <v>29</v>
      </c>
      <c r="Z4" s="7" t="s">
        <v>29</v>
      </c>
      <c r="AA4" s="8" t="s">
        <v>30</v>
      </c>
      <c r="AB4" s="8" t="s">
        <v>33</v>
      </c>
      <c r="AC4" s="83" t="s">
        <v>62</v>
      </c>
      <c r="AD4" s="84" t="s">
        <v>63</v>
      </c>
      <c r="AE4" s="84" t="s">
        <v>64</v>
      </c>
      <c r="AF4" s="84" t="s">
        <v>65</v>
      </c>
    </row>
    <row r="5" spans="1:32" ht="15" customHeight="1" x14ac:dyDescent="0.15">
      <c r="A5" s="13">
        <v>42005</v>
      </c>
      <c r="B5" s="20" t="s">
        <v>37</v>
      </c>
      <c r="C5" s="66">
        <v>48498</v>
      </c>
      <c r="D5" s="67">
        <v>18968</v>
      </c>
      <c r="E5" s="67">
        <v>68439</v>
      </c>
      <c r="F5" s="68">
        <v>3186.4</v>
      </c>
      <c r="G5" s="69">
        <v>2570.4</v>
      </c>
      <c r="H5" s="24">
        <v>1006.8</v>
      </c>
      <c r="I5" s="24">
        <v>650.20000000000005</v>
      </c>
      <c r="J5" s="70">
        <f t="shared" ref="J5:J63" si="0">E5-D5</f>
        <v>49471</v>
      </c>
      <c r="K5" s="71">
        <f t="shared" ref="K5:K63" si="1">J5-C5-L5</f>
        <v>180</v>
      </c>
      <c r="L5" s="71">
        <v>793</v>
      </c>
      <c r="M5" s="72">
        <f>C5</f>
        <v>48498</v>
      </c>
      <c r="N5" s="73">
        <f>D5</f>
        <v>18968</v>
      </c>
      <c r="O5" s="73">
        <f>E5</f>
        <v>68439</v>
      </c>
      <c r="P5" s="72">
        <f>M5</f>
        <v>48498</v>
      </c>
      <c r="Q5" s="72">
        <f>N5</f>
        <v>18968</v>
      </c>
      <c r="R5" s="72">
        <f>O5</f>
        <v>68439</v>
      </c>
      <c r="S5" s="79">
        <f>M5/'[21]2014'!M5-1</f>
        <v>-9.363085893698142E-2</v>
      </c>
      <c r="T5" s="79">
        <f>N5/'[21]2014'!N5-1</f>
        <v>0.1293837451622506</v>
      </c>
      <c r="U5" s="79">
        <f>O5/'[21]2014'!O5-1</f>
        <v>-4.0139689485421015E-2</v>
      </c>
      <c r="V5" s="79">
        <f>P5/'[21]2014'!P5-1</f>
        <v>-9.363085893698142E-2</v>
      </c>
      <c r="W5" s="79">
        <f>Q5/'[21]2014'!Q5-1</f>
        <v>0.1293837451622506</v>
      </c>
      <c r="X5" s="79">
        <f>R5/'[21]2014'!R5-1</f>
        <v>-4.0139689485421015E-2</v>
      </c>
      <c r="Y5" s="71"/>
      <c r="Z5" s="71"/>
      <c r="AA5" s="85">
        <v>3890.0920000000001</v>
      </c>
      <c r="AB5" s="71"/>
    </row>
    <row r="6" spans="1:32" ht="15" customHeight="1" x14ac:dyDescent="0.15">
      <c r="A6" s="20">
        <v>42006</v>
      </c>
      <c r="B6" s="20" t="s">
        <v>38</v>
      </c>
      <c r="C6" s="21">
        <v>59168</v>
      </c>
      <c r="D6" s="7">
        <v>19356</v>
      </c>
      <c r="E6" s="7">
        <v>79397</v>
      </c>
      <c r="F6" s="22">
        <v>4049.8</v>
      </c>
      <c r="G6" s="23">
        <v>2323</v>
      </c>
      <c r="H6" s="24">
        <v>1063.3</v>
      </c>
      <c r="I6" s="36">
        <v>586.29999999999995</v>
      </c>
      <c r="J6" s="8">
        <f t="shared" si="0"/>
        <v>60041</v>
      </c>
      <c r="K6" s="37">
        <f t="shared" si="1"/>
        <v>80</v>
      </c>
      <c r="L6" s="37">
        <v>793</v>
      </c>
      <c r="M6" s="74">
        <f t="shared" ref="M6:O21" si="2">M5+C6</f>
        <v>107666</v>
      </c>
      <c r="N6" s="75">
        <f t="shared" si="2"/>
        <v>38324</v>
      </c>
      <c r="O6" s="75">
        <f t="shared" si="2"/>
        <v>147836</v>
      </c>
      <c r="P6" s="76">
        <f t="shared" ref="P6:R35" si="3">M6</f>
        <v>107666</v>
      </c>
      <c r="Q6" s="76">
        <f t="shared" si="3"/>
        <v>38324</v>
      </c>
      <c r="R6" s="76">
        <f t="shared" si="3"/>
        <v>147836</v>
      </c>
      <c r="S6" s="80">
        <f>M6/'[21]2014'!M6-1</f>
        <v>-8.7707703127515524E-2</v>
      </c>
      <c r="T6" s="80">
        <f>N6/'[21]2014'!N6-1</f>
        <v>9.3503010243387363E-2</v>
      </c>
      <c r="U6" s="80">
        <f>O6/'[21]2014'!O6-1</f>
        <v>-4.663760414785767E-2</v>
      </c>
      <c r="V6" s="81">
        <f>P6/'[21]2014'!P6-1</f>
        <v>-8.7707703127515524E-2</v>
      </c>
      <c r="W6" s="81">
        <f>Q6/'[21]2014'!Q6-1</f>
        <v>9.3503010243387363E-2</v>
      </c>
      <c r="X6" s="81">
        <f>R6/'[21]2014'!R6-1</f>
        <v>-4.663760414785767E-2</v>
      </c>
      <c r="Y6" s="37"/>
      <c r="Z6" s="37"/>
      <c r="AA6" s="37"/>
      <c r="AB6" s="37"/>
    </row>
    <row r="7" spans="1:32" ht="15" customHeight="1" x14ac:dyDescent="0.15">
      <c r="A7" s="20">
        <v>42007</v>
      </c>
      <c r="B7" s="20" t="s">
        <v>39</v>
      </c>
      <c r="C7" s="21">
        <v>66782</v>
      </c>
      <c r="D7" s="7">
        <v>19527</v>
      </c>
      <c r="E7" s="7">
        <v>87685</v>
      </c>
      <c r="F7" s="22">
        <v>4552.3999999999996</v>
      </c>
      <c r="G7" s="23">
        <v>2678.4</v>
      </c>
      <c r="H7" s="24">
        <v>1241.3</v>
      </c>
      <c r="I7" s="36">
        <v>616.29999999999995</v>
      </c>
      <c r="J7" s="8">
        <f t="shared" si="0"/>
        <v>68158</v>
      </c>
      <c r="K7" s="37">
        <f t="shared" si="1"/>
        <v>583</v>
      </c>
      <c r="L7" s="37">
        <v>793</v>
      </c>
      <c r="M7" s="74">
        <f t="shared" si="2"/>
        <v>174448</v>
      </c>
      <c r="N7" s="75">
        <f t="shared" si="2"/>
        <v>57851</v>
      </c>
      <c r="O7" s="75">
        <f t="shared" si="2"/>
        <v>235521</v>
      </c>
      <c r="P7" s="76">
        <f t="shared" si="3"/>
        <v>174448</v>
      </c>
      <c r="Q7" s="76">
        <f t="shared" si="3"/>
        <v>57851</v>
      </c>
      <c r="R7" s="76">
        <f t="shared" si="3"/>
        <v>235521</v>
      </c>
      <c r="S7" s="80">
        <f>M7/'[21]2014'!M7-1</f>
        <v>-4.1573496689833234E-2</v>
      </c>
      <c r="T7" s="80">
        <f>N7/'[21]2014'!N7-1</f>
        <v>2.8096676737160209E-2</v>
      </c>
      <c r="U7" s="80">
        <f>O7/'[21]2014'!O7-1</f>
        <v>-2.3852351663654847E-2</v>
      </c>
      <c r="V7" s="81">
        <f>P7/'[21]2014'!P7-1</f>
        <v>-4.1573496689833234E-2</v>
      </c>
      <c r="W7" s="81">
        <f>Q7/'[21]2014'!Q7-1</f>
        <v>2.8096676737160209E-2</v>
      </c>
      <c r="X7" s="81">
        <f>R7/'[21]2014'!R7-1</f>
        <v>-2.3852351663654847E-2</v>
      </c>
      <c r="Y7" s="37"/>
      <c r="Z7" s="37"/>
      <c r="AA7" s="37"/>
      <c r="AB7" s="37"/>
    </row>
    <row r="8" spans="1:32" ht="15" customHeight="1" x14ac:dyDescent="0.15">
      <c r="A8" s="20">
        <v>42008</v>
      </c>
      <c r="B8" s="20" t="s">
        <v>1</v>
      </c>
      <c r="C8" s="21">
        <v>65676</v>
      </c>
      <c r="D8" s="7">
        <v>21441</v>
      </c>
      <c r="E8" s="7">
        <v>88720</v>
      </c>
      <c r="F8" s="22">
        <v>4641.1000000000004</v>
      </c>
      <c r="G8" s="23">
        <v>2826.9</v>
      </c>
      <c r="H8" s="24">
        <v>1324.9</v>
      </c>
      <c r="I8" s="36">
        <v>654.20000000000005</v>
      </c>
      <c r="J8" s="8">
        <f t="shared" si="0"/>
        <v>67279</v>
      </c>
      <c r="K8" s="37">
        <f t="shared" si="1"/>
        <v>810</v>
      </c>
      <c r="L8" s="37">
        <v>793</v>
      </c>
      <c r="M8" s="74">
        <f t="shared" si="2"/>
        <v>240124</v>
      </c>
      <c r="N8" s="75">
        <f t="shared" si="2"/>
        <v>79292</v>
      </c>
      <c r="O8" s="75">
        <f t="shared" si="2"/>
        <v>324241</v>
      </c>
      <c r="P8" s="76">
        <f t="shared" si="3"/>
        <v>240124</v>
      </c>
      <c r="Q8" s="76">
        <f t="shared" si="3"/>
        <v>79292</v>
      </c>
      <c r="R8" s="76">
        <f t="shared" si="3"/>
        <v>324241</v>
      </c>
      <c r="S8" s="80">
        <f>M8/'[21]2014'!M8-1</f>
        <v>-3.2627919250029169E-2</v>
      </c>
      <c r="T8" s="80">
        <f>N8/'[21]2014'!N8-1</f>
        <v>3.7975677763087301E-2</v>
      </c>
      <c r="U8" s="80">
        <f>O8/'[21]2014'!O8-1</f>
        <v>-1.3127218052435774E-2</v>
      </c>
      <c r="V8" s="81">
        <f>P8/'[21]2014'!P8-1</f>
        <v>-3.2627919250029169E-2</v>
      </c>
      <c r="W8" s="81">
        <f>Q8/'[21]2014'!Q8-1</f>
        <v>3.7975677763087301E-2</v>
      </c>
      <c r="X8" s="81">
        <f>R8/'[21]2014'!R8-1</f>
        <v>-1.3127218052435774E-2</v>
      </c>
      <c r="Y8" s="37"/>
      <c r="Z8" s="37"/>
      <c r="AA8" s="37"/>
      <c r="AB8" s="37"/>
    </row>
    <row r="9" spans="1:32" ht="15" customHeight="1" x14ac:dyDescent="0.15">
      <c r="A9" s="20">
        <v>42009</v>
      </c>
      <c r="B9" s="20" t="s">
        <v>34</v>
      </c>
      <c r="C9" s="21">
        <v>68162</v>
      </c>
      <c r="D9" s="7">
        <v>20491</v>
      </c>
      <c r="E9" s="7">
        <v>89805</v>
      </c>
      <c r="F9" s="22">
        <v>4621.2</v>
      </c>
      <c r="G9" s="23">
        <v>2812.2</v>
      </c>
      <c r="H9" s="24">
        <v>1092.5</v>
      </c>
      <c r="I9" s="36">
        <v>592</v>
      </c>
      <c r="J9" s="8">
        <f t="shared" si="0"/>
        <v>69314</v>
      </c>
      <c r="K9" s="37">
        <f t="shared" si="1"/>
        <v>359</v>
      </c>
      <c r="L9" s="37">
        <v>793</v>
      </c>
      <c r="M9" s="74">
        <f t="shared" si="2"/>
        <v>308286</v>
      </c>
      <c r="N9" s="75">
        <f t="shared" si="2"/>
        <v>99783</v>
      </c>
      <c r="O9" s="75">
        <f t="shared" si="2"/>
        <v>414046</v>
      </c>
      <c r="P9" s="76">
        <f t="shared" si="3"/>
        <v>308286</v>
      </c>
      <c r="Q9" s="76">
        <f t="shared" si="3"/>
        <v>99783</v>
      </c>
      <c r="R9" s="76">
        <f t="shared" si="3"/>
        <v>414046</v>
      </c>
      <c r="S9" s="80">
        <f>M9/'[21]2014'!M9-1</f>
        <v>-1.8972276673200783E-2</v>
      </c>
      <c r="T9" s="80">
        <f>N9/'[21]2014'!N9-1</f>
        <v>4.5242185535908863E-2</v>
      </c>
      <c r="U9" s="80">
        <f>O9/'[21]2014'!O9-1</f>
        <v>-1.5577826435041464E-3</v>
      </c>
      <c r="V9" s="81">
        <f>P9/'[21]2014'!P9-1</f>
        <v>-1.8972276673200783E-2</v>
      </c>
      <c r="W9" s="81">
        <f>Q9/'[21]2014'!Q9-1</f>
        <v>4.5242185535908863E-2</v>
      </c>
      <c r="X9" s="81">
        <f>R9/'[21]2014'!R9-1</f>
        <v>-1.5577826435041464E-3</v>
      </c>
      <c r="Y9" s="37"/>
      <c r="Z9" s="37"/>
      <c r="AA9" s="37"/>
      <c r="AB9" s="37"/>
    </row>
    <row r="10" spans="1:32" ht="15" customHeight="1" x14ac:dyDescent="0.15">
      <c r="A10" s="20">
        <v>42010</v>
      </c>
      <c r="B10" s="20" t="s">
        <v>35</v>
      </c>
      <c r="C10" s="21">
        <v>69820</v>
      </c>
      <c r="D10" s="7">
        <v>21578</v>
      </c>
      <c r="E10" s="7">
        <v>92530</v>
      </c>
      <c r="F10" s="22">
        <v>4766.3</v>
      </c>
      <c r="G10" s="23">
        <v>2827.6</v>
      </c>
      <c r="H10" s="24">
        <v>1195.3</v>
      </c>
      <c r="I10" s="36">
        <v>626.1</v>
      </c>
      <c r="J10" s="8">
        <f t="shared" si="0"/>
        <v>70952</v>
      </c>
      <c r="K10" s="37">
        <f t="shared" si="1"/>
        <v>339</v>
      </c>
      <c r="L10" s="37">
        <v>793</v>
      </c>
      <c r="M10" s="74">
        <f t="shared" si="2"/>
        <v>378106</v>
      </c>
      <c r="N10" s="75">
        <f t="shared" si="2"/>
        <v>121361</v>
      </c>
      <c r="O10" s="75">
        <f t="shared" si="2"/>
        <v>506576</v>
      </c>
      <c r="P10" s="76">
        <f t="shared" si="3"/>
        <v>378106</v>
      </c>
      <c r="Q10" s="76">
        <f t="shared" si="3"/>
        <v>121361</v>
      </c>
      <c r="R10" s="76">
        <f t="shared" si="3"/>
        <v>506576</v>
      </c>
      <c r="S10" s="80">
        <f>M10/'[21]2014'!M10-1</f>
        <v>-7.4368862206285469E-3</v>
      </c>
      <c r="T10" s="80">
        <f>N10/'[21]2014'!N10-1</f>
        <v>4.5945014220460267E-2</v>
      </c>
      <c r="U10" s="80">
        <f>O10/'[21]2014'!O10-1</f>
        <v>6.7790883706140281E-3</v>
      </c>
      <c r="V10" s="81">
        <f>P10/'[21]2014'!P10-1</f>
        <v>-7.4368862206285469E-3</v>
      </c>
      <c r="W10" s="81">
        <f>Q10/'[21]2014'!Q10-1</f>
        <v>4.5945014220460267E-2</v>
      </c>
      <c r="X10" s="81">
        <f>R10/'[21]2014'!R10-1</f>
        <v>6.7790883706140281E-3</v>
      </c>
      <c r="Y10" s="37"/>
      <c r="Z10" s="37"/>
      <c r="AA10" s="37"/>
      <c r="AB10" s="37"/>
    </row>
    <row r="11" spans="1:32" ht="15" customHeight="1" x14ac:dyDescent="0.15">
      <c r="A11" s="20">
        <v>42011</v>
      </c>
      <c r="B11" s="14" t="s">
        <v>36</v>
      </c>
      <c r="C11" s="15">
        <v>72281</v>
      </c>
      <c r="D11" s="16">
        <v>22303</v>
      </c>
      <c r="E11" s="16">
        <v>95469</v>
      </c>
      <c r="F11" s="17">
        <v>4956.8</v>
      </c>
      <c r="G11" s="18">
        <v>2941.5</v>
      </c>
      <c r="H11" s="19">
        <v>1224.4000000000001</v>
      </c>
      <c r="I11" s="19">
        <v>657.4</v>
      </c>
      <c r="J11" s="32">
        <f t="shared" si="0"/>
        <v>73166</v>
      </c>
      <c r="K11" s="33">
        <f t="shared" si="1"/>
        <v>92</v>
      </c>
      <c r="L11" s="33">
        <v>793</v>
      </c>
      <c r="M11" s="77">
        <f t="shared" si="2"/>
        <v>450387</v>
      </c>
      <c r="N11" s="78">
        <f t="shared" si="2"/>
        <v>143664</v>
      </c>
      <c r="O11" s="78">
        <f t="shared" si="2"/>
        <v>602045</v>
      </c>
      <c r="P11" s="77">
        <f t="shared" si="3"/>
        <v>450387</v>
      </c>
      <c r="Q11" s="77">
        <f t="shared" si="3"/>
        <v>143664</v>
      </c>
      <c r="R11" s="77">
        <f t="shared" si="3"/>
        <v>602045</v>
      </c>
      <c r="S11" s="82">
        <f>M11/'[21]2014'!M11-1</f>
        <v>8.459301088871829E-3</v>
      </c>
      <c r="T11" s="82">
        <f>N11/'[21]2014'!N11-1</f>
        <v>3.6731277151557995E-2</v>
      </c>
      <c r="U11" s="82">
        <f>O11/'[21]2014'!O11-1</f>
        <v>1.6415058025871065E-2</v>
      </c>
      <c r="V11" s="82">
        <f>P11/'[21]2014'!P11-1</f>
        <v>8.459301088871829E-3</v>
      </c>
      <c r="W11" s="82">
        <f>Q11/'[21]2014'!Q11-1</f>
        <v>3.6731277151557995E-2</v>
      </c>
      <c r="X11" s="82">
        <f>R11/'[21]2014'!R11-1</f>
        <v>1.6415058025871065E-2</v>
      </c>
      <c r="Y11" s="33"/>
      <c r="Z11" s="33"/>
      <c r="AA11" s="33"/>
      <c r="AB11" s="33"/>
    </row>
    <row r="12" spans="1:32" ht="15" customHeight="1" x14ac:dyDescent="0.15">
      <c r="A12" s="20">
        <v>42012</v>
      </c>
      <c r="B12" s="20" t="s">
        <v>37</v>
      </c>
      <c r="C12" s="66">
        <v>72753</v>
      </c>
      <c r="D12" s="67">
        <v>21990</v>
      </c>
      <c r="E12" s="67">
        <v>95667</v>
      </c>
      <c r="F12" s="68">
        <v>4949.8</v>
      </c>
      <c r="G12" s="69">
        <v>2988</v>
      </c>
      <c r="H12" s="24">
        <v>1211.5999999999999</v>
      </c>
      <c r="I12" s="24">
        <v>652.9</v>
      </c>
      <c r="J12" s="70">
        <f t="shared" si="0"/>
        <v>73677</v>
      </c>
      <c r="K12" s="71">
        <f t="shared" si="1"/>
        <v>131</v>
      </c>
      <c r="L12" s="71">
        <v>793</v>
      </c>
      <c r="M12" s="72">
        <f t="shared" si="2"/>
        <v>523140</v>
      </c>
      <c r="N12" s="73">
        <f t="shared" si="2"/>
        <v>165654</v>
      </c>
      <c r="O12" s="73">
        <f t="shared" si="2"/>
        <v>697712</v>
      </c>
      <c r="P12" s="72">
        <f t="shared" si="3"/>
        <v>523140</v>
      </c>
      <c r="Q12" s="72">
        <f t="shared" si="3"/>
        <v>165654</v>
      </c>
      <c r="R12" s="72">
        <f t="shared" si="3"/>
        <v>697712</v>
      </c>
      <c r="S12" s="79">
        <f>M12/'[21]2014'!M12-1</f>
        <v>2.1630108736407916E-2</v>
      </c>
      <c r="T12" s="79">
        <f>N12/'[21]2014'!N12-1</f>
        <v>3.0750659564936056E-2</v>
      </c>
      <c r="U12" s="79">
        <f>O12/'[21]2014'!O12-1</f>
        <v>2.4859427604481787E-2</v>
      </c>
      <c r="V12" s="79">
        <f>P12/'[21]2014'!P12-1</f>
        <v>2.1630108736407916E-2</v>
      </c>
      <c r="W12" s="79">
        <f>Q12/'[21]2014'!Q12-1</f>
        <v>3.0750659564936056E-2</v>
      </c>
      <c r="X12" s="79">
        <f>R12/'[21]2014'!R12-1</f>
        <v>2.4859427604481787E-2</v>
      </c>
      <c r="Y12" s="71">
        <f>0.42*8</f>
        <v>3.36</v>
      </c>
      <c r="Z12" s="71">
        <f>P12/10000-Y12</f>
        <v>48.954000000000001</v>
      </c>
      <c r="AA12" s="85">
        <v>3890.0920000000001</v>
      </c>
      <c r="AB12" s="71">
        <f>Z12*10000/AA12</f>
        <v>125.84278212443304</v>
      </c>
    </row>
    <row r="13" spans="1:32" ht="15" customHeight="1" x14ac:dyDescent="0.15">
      <c r="A13" s="20">
        <v>42013</v>
      </c>
      <c r="B13" s="20" t="s">
        <v>38</v>
      </c>
      <c r="C13" s="21">
        <v>72906</v>
      </c>
      <c r="D13" s="7">
        <v>21228</v>
      </c>
      <c r="E13" s="7">
        <v>95482</v>
      </c>
      <c r="F13" s="22">
        <v>4968.8999999999996</v>
      </c>
      <c r="G13" s="23">
        <v>3037.5</v>
      </c>
      <c r="H13" s="24">
        <v>1186.2</v>
      </c>
      <c r="I13" s="36">
        <v>628.1</v>
      </c>
      <c r="J13" s="8">
        <f t="shared" si="0"/>
        <v>74254</v>
      </c>
      <c r="K13" s="37">
        <f t="shared" si="1"/>
        <v>555</v>
      </c>
      <c r="L13" s="37">
        <v>793</v>
      </c>
      <c r="M13" s="74">
        <f t="shared" si="2"/>
        <v>596046</v>
      </c>
      <c r="N13" s="75">
        <f t="shared" si="2"/>
        <v>186882</v>
      </c>
      <c r="O13" s="75">
        <f t="shared" si="2"/>
        <v>793194</v>
      </c>
      <c r="P13" s="76">
        <f t="shared" si="3"/>
        <v>596046</v>
      </c>
      <c r="Q13" s="76">
        <f t="shared" si="3"/>
        <v>186882</v>
      </c>
      <c r="R13" s="76">
        <f t="shared" si="3"/>
        <v>793194</v>
      </c>
      <c r="S13" s="80">
        <f>M13/'[21]2014'!M13-1</f>
        <v>2.9929586591213475E-2</v>
      </c>
      <c r="T13" s="80">
        <f>N13/'[21]2014'!N13-1</f>
        <v>2.0276467505241147E-2</v>
      </c>
      <c r="U13" s="80">
        <f>O13/'[21]2014'!O13-1</f>
        <v>2.9059607288578704E-2</v>
      </c>
      <c r="V13" s="81">
        <f>P13/'[21]2014'!P13-1</f>
        <v>2.9929586591213475E-2</v>
      </c>
      <c r="W13" s="81">
        <f>Q13/'[21]2014'!Q13-1</f>
        <v>2.0276467505241147E-2</v>
      </c>
      <c r="X13" s="81">
        <f>R13/'[21]2014'!R13-1</f>
        <v>2.9059607288578704E-2</v>
      </c>
      <c r="Y13" s="37"/>
      <c r="Z13" s="37"/>
      <c r="AA13" s="37"/>
      <c r="AB13" s="37"/>
    </row>
    <row r="14" spans="1:32" ht="15" customHeight="1" x14ac:dyDescent="0.15">
      <c r="A14" s="20">
        <v>42014</v>
      </c>
      <c r="B14" s="20" t="s">
        <v>39</v>
      </c>
      <c r="C14" s="21">
        <v>71310</v>
      </c>
      <c r="D14" s="7">
        <v>20809</v>
      </c>
      <c r="E14" s="7">
        <v>93486</v>
      </c>
      <c r="F14" s="22">
        <v>4804.6000000000004</v>
      </c>
      <c r="G14" s="23">
        <v>2986.8</v>
      </c>
      <c r="H14" s="24">
        <v>1173.5</v>
      </c>
      <c r="I14" s="36">
        <v>616.29999999999995</v>
      </c>
      <c r="J14" s="8">
        <f t="shared" si="0"/>
        <v>72677</v>
      </c>
      <c r="K14" s="37">
        <f t="shared" si="1"/>
        <v>574</v>
      </c>
      <c r="L14" s="37">
        <v>793</v>
      </c>
      <c r="M14" s="74">
        <f t="shared" si="2"/>
        <v>667356</v>
      </c>
      <c r="N14" s="75">
        <f t="shared" si="2"/>
        <v>207691</v>
      </c>
      <c r="O14" s="75">
        <f t="shared" si="2"/>
        <v>886680</v>
      </c>
      <c r="P14" s="76">
        <f t="shared" si="3"/>
        <v>667356</v>
      </c>
      <c r="Q14" s="76">
        <f t="shared" si="3"/>
        <v>207691</v>
      </c>
      <c r="R14" s="76">
        <f t="shared" si="3"/>
        <v>886680</v>
      </c>
      <c r="S14" s="80">
        <f>M14/'[21]2014'!M14-1</f>
        <v>3.438462921515506E-2</v>
      </c>
      <c r="T14" s="80">
        <f>N14/'[21]2014'!N14-1</f>
        <v>1.0096539649344649E-2</v>
      </c>
      <c r="U14" s="80">
        <f>O14/'[21]2014'!O14-1</f>
        <v>3.032598869137404E-2</v>
      </c>
      <c r="V14" s="81">
        <f>P14/'[21]2014'!P14-1</f>
        <v>3.438462921515506E-2</v>
      </c>
      <c r="W14" s="81">
        <f>Q14/'[21]2014'!Q14-1</f>
        <v>1.0096539649344649E-2</v>
      </c>
      <c r="X14" s="81">
        <f>R14/'[21]2014'!R14-1</f>
        <v>3.032598869137404E-2</v>
      </c>
      <c r="Y14" s="37">
        <v>2.4958</v>
      </c>
      <c r="Z14" s="37">
        <f>P14/10000-Y14</f>
        <v>64.239800000000002</v>
      </c>
      <c r="AA14" s="37">
        <f>AA12</f>
        <v>3890.0920000000001</v>
      </c>
      <c r="AB14" s="37">
        <f>Z14*10000/AA14</f>
        <v>165.13696848300759</v>
      </c>
    </row>
    <row r="15" spans="1:32" ht="15" customHeight="1" x14ac:dyDescent="0.15">
      <c r="A15" s="20">
        <v>42015</v>
      </c>
      <c r="B15" s="20" t="s">
        <v>1</v>
      </c>
      <c r="C15" s="21">
        <v>66073</v>
      </c>
      <c r="D15" s="7">
        <v>20893</v>
      </c>
      <c r="E15" s="7">
        <v>88036</v>
      </c>
      <c r="F15" s="22">
        <v>4429.3999999999996</v>
      </c>
      <c r="G15" s="23">
        <v>2948.9</v>
      </c>
      <c r="H15" s="24">
        <v>1163.4000000000001</v>
      </c>
      <c r="I15" s="36">
        <v>615.6</v>
      </c>
      <c r="J15" s="8">
        <f t="shared" si="0"/>
        <v>67143</v>
      </c>
      <c r="K15" s="37">
        <f t="shared" si="1"/>
        <v>277</v>
      </c>
      <c r="L15" s="37">
        <v>793</v>
      </c>
      <c r="M15" s="74">
        <f t="shared" si="2"/>
        <v>733429</v>
      </c>
      <c r="N15" s="75">
        <f t="shared" si="2"/>
        <v>228584</v>
      </c>
      <c r="O15" s="75">
        <f t="shared" si="2"/>
        <v>974716</v>
      </c>
      <c r="P15" s="76">
        <f t="shared" si="3"/>
        <v>733429</v>
      </c>
      <c r="Q15" s="76">
        <f t="shared" si="3"/>
        <v>228584</v>
      </c>
      <c r="R15" s="76">
        <f t="shared" si="3"/>
        <v>974716</v>
      </c>
      <c r="S15" s="80">
        <f>M15/'[21]2014'!M15-1</f>
        <v>3.1934681427035816E-2</v>
      </c>
      <c r="T15" s="80">
        <f>N15/'[21]2014'!N15-1</f>
        <v>3.2742562698058197E-3</v>
      </c>
      <c r="U15" s="80">
        <f>O15/'[21]2014'!O15-1</f>
        <v>2.6819923371647514E-2</v>
      </c>
      <c r="V15" s="81">
        <f>P15/'[21]2014'!P15-1</f>
        <v>3.1934681427035816E-2</v>
      </c>
      <c r="W15" s="81">
        <f>Q15/'[21]2014'!Q15-1</f>
        <v>3.2742562698058197E-3</v>
      </c>
      <c r="X15" s="81">
        <f>R15/'[21]2014'!R15-1</f>
        <v>2.6819923371647514E-2</v>
      </c>
      <c r="Y15" s="37"/>
      <c r="Z15" s="37"/>
      <c r="AA15" s="37"/>
      <c r="AB15" s="37"/>
    </row>
    <row r="16" spans="1:32" ht="15" customHeight="1" x14ac:dyDescent="0.15">
      <c r="A16" s="20">
        <v>42016</v>
      </c>
      <c r="B16" s="20" t="s">
        <v>34</v>
      </c>
      <c r="C16" s="21">
        <v>71620</v>
      </c>
      <c r="D16" s="7">
        <v>21031</v>
      </c>
      <c r="E16" s="7">
        <v>93789</v>
      </c>
      <c r="F16" s="22">
        <v>4882.8</v>
      </c>
      <c r="G16" s="23">
        <v>2808.3</v>
      </c>
      <c r="H16" s="24">
        <v>1164.0999999999999</v>
      </c>
      <c r="I16" s="36">
        <v>619.6</v>
      </c>
      <c r="J16" s="8">
        <f t="shared" si="0"/>
        <v>72758</v>
      </c>
      <c r="K16" s="37">
        <f t="shared" si="1"/>
        <v>345</v>
      </c>
      <c r="L16" s="37">
        <v>793</v>
      </c>
      <c r="M16" s="74">
        <f t="shared" si="2"/>
        <v>805049</v>
      </c>
      <c r="N16" s="75">
        <f t="shared" si="2"/>
        <v>249615</v>
      </c>
      <c r="O16" s="75">
        <f t="shared" si="2"/>
        <v>1068505</v>
      </c>
      <c r="P16" s="76">
        <f t="shared" si="3"/>
        <v>805049</v>
      </c>
      <c r="Q16" s="76">
        <f t="shared" si="3"/>
        <v>249615</v>
      </c>
      <c r="R16" s="76">
        <f t="shared" si="3"/>
        <v>1068505</v>
      </c>
      <c r="S16" s="80">
        <f>M16/'[21]2014'!M16-1</f>
        <v>4.1500963814895764E-2</v>
      </c>
      <c r="T16" s="80">
        <f>N16/'[21]2014'!N16-1</f>
        <v>2.9008449414005266E-3</v>
      </c>
      <c r="U16" s="80">
        <f>O16/'[21]2014'!O16-1</f>
        <v>3.3742313482219899E-2</v>
      </c>
      <c r="V16" s="81">
        <f>P16/'[21]2014'!P16-1</f>
        <v>4.1500963814895764E-2</v>
      </c>
      <c r="W16" s="81">
        <f>Q16/'[21]2014'!Q16-1</f>
        <v>2.9008449414005266E-3</v>
      </c>
      <c r="X16" s="81">
        <f>R16/'[21]2014'!R16-1</f>
        <v>3.3742313482219899E-2</v>
      </c>
      <c r="Y16" s="37"/>
      <c r="Z16" s="37"/>
      <c r="AA16" s="37"/>
      <c r="AB16" s="37"/>
    </row>
    <row r="17" spans="1:28" s="2" customFormat="1" ht="15" customHeight="1" x14ac:dyDescent="0.15">
      <c r="A17" s="20">
        <v>42017</v>
      </c>
      <c r="B17" s="20" t="s">
        <v>35</v>
      </c>
      <c r="C17" s="21">
        <v>73005</v>
      </c>
      <c r="D17" s="7">
        <v>20979</v>
      </c>
      <c r="E17" s="7">
        <v>95254</v>
      </c>
      <c r="F17" s="22">
        <v>4975.2</v>
      </c>
      <c r="G17" s="23">
        <v>2969.8</v>
      </c>
      <c r="H17" s="24">
        <v>1174</v>
      </c>
      <c r="I17" s="36">
        <v>615.70000000000005</v>
      </c>
      <c r="J17" s="8">
        <f t="shared" si="0"/>
        <v>74275</v>
      </c>
      <c r="K17" s="37">
        <f t="shared" si="1"/>
        <v>477</v>
      </c>
      <c r="L17" s="37">
        <v>793</v>
      </c>
      <c r="M17" s="74">
        <f t="shared" si="2"/>
        <v>878054</v>
      </c>
      <c r="N17" s="75">
        <f t="shared" si="2"/>
        <v>270594</v>
      </c>
      <c r="O17" s="75">
        <f t="shared" si="2"/>
        <v>1163759</v>
      </c>
      <c r="P17" s="76">
        <f t="shared" si="3"/>
        <v>878054</v>
      </c>
      <c r="Q17" s="76">
        <f t="shared" si="3"/>
        <v>270594</v>
      </c>
      <c r="R17" s="76">
        <f t="shared" si="3"/>
        <v>1163759</v>
      </c>
      <c r="S17" s="80">
        <f>M17/'[21]2014'!M17-1</f>
        <v>4.9999880417391118E-2</v>
      </c>
      <c r="T17" s="80">
        <f>N17/'[21]2014'!N17-1</f>
        <v>-3.9020224255854608E-3</v>
      </c>
      <c r="U17" s="80">
        <f>O17/'[21]2014'!O17-1</f>
        <v>3.839743166483145E-2</v>
      </c>
      <c r="V17" s="81">
        <f>P17/'[21]2014'!P17-1</f>
        <v>4.9999880417391118E-2</v>
      </c>
      <c r="W17" s="81">
        <f>Q17/'[21]2014'!Q17-1</f>
        <v>-3.9020224255854608E-3</v>
      </c>
      <c r="X17" s="81">
        <f>R17/'[21]2014'!R17-1</f>
        <v>3.839743166483145E-2</v>
      </c>
      <c r="Y17" s="37"/>
      <c r="Z17" s="37"/>
      <c r="AA17" s="37"/>
      <c r="AB17" s="37"/>
    </row>
    <row r="18" spans="1:28" s="2" customFormat="1" ht="15" customHeight="1" x14ac:dyDescent="0.15">
      <c r="A18" s="20">
        <v>42018</v>
      </c>
      <c r="B18" s="14" t="s">
        <v>36</v>
      </c>
      <c r="C18" s="15">
        <v>70720</v>
      </c>
      <c r="D18" s="16">
        <v>21518</v>
      </c>
      <c r="E18" s="16">
        <v>93188</v>
      </c>
      <c r="F18" s="17">
        <v>4857.2</v>
      </c>
      <c r="G18" s="18">
        <v>2943.4</v>
      </c>
      <c r="H18" s="19">
        <v>1206.5</v>
      </c>
      <c r="I18" s="19">
        <v>618.79999999999995</v>
      </c>
      <c r="J18" s="32">
        <f t="shared" si="0"/>
        <v>71670</v>
      </c>
      <c r="K18" s="33">
        <f t="shared" si="1"/>
        <v>157</v>
      </c>
      <c r="L18" s="33">
        <v>793</v>
      </c>
      <c r="M18" s="77">
        <f t="shared" si="2"/>
        <v>948774</v>
      </c>
      <c r="N18" s="78">
        <f t="shared" si="2"/>
        <v>292112</v>
      </c>
      <c r="O18" s="78">
        <f t="shared" si="2"/>
        <v>1256947</v>
      </c>
      <c r="P18" s="77">
        <f t="shared" si="3"/>
        <v>948774</v>
      </c>
      <c r="Q18" s="77">
        <f t="shared" si="3"/>
        <v>292112</v>
      </c>
      <c r="R18" s="77">
        <f t="shared" si="3"/>
        <v>1256947</v>
      </c>
      <c r="S18" s="82">
        <f>M18/'[21]2014'!M18-1</f>
        <v>5.5747628453000297E-2</v>
      </c>
      <c r="T18" s="82">
        <f>N18/'[21]2014'!N18-1</f>
        <v>-5.6980250930950271E-3</v>
      </c>
      <c r="U18" s="82">
        <f>O18/'[21]2014'!O18-1</f>
        <v>4.1812681309573163E-2</v>
      </c>
      <c r="V18" s="82">
        <f>P18/'[21]2014'!P18-1</f>
        <v>5.5747628453000297E-2</v>
      </c>
      <c r="W18" s="82">
        <f>Q18/'[21]2014'!Q18-1</f>
        <v>-5.6980250930950271E-3</v>
      </c>
      <c r="X18" s="82">
        <f>R18/'[21]2014'!R18-1</f>
        <v>4.1812681309573163E-2</v>
      </c>
      <c r="Y18" s="33"/>
      <c r="Z18" s="33"/>
      <c r="AA18" s="33"/>
      <c r="AB18" s="33"/>
    </row>
    <row r="19" spans="1:28" s="2" customFormat="1" ht="15" customHeight="1" x14ac:dyDescent="0.15">
      <c r="A19" s="20">
        <v>42019</v>
      </c>
      <c r="B19" s="20" t="s">
        <v>37</v>
      </c>
      <c r="C19" s="66">
        <v>71700</v>
      </c>
      <c r="D19" s="67">
        <v>21520</v>
      </c>
      <c r="E19" s="67">
        <v>94174</v>
      </c>
      <c r="F19" s="68">
        <v>4774.3999999999996</v>
      </c>
      <c r="G19" s="69">
        <v>2908.3</v>
      </c>
      <c r="H19" s="24">
        <v>1194.2</v>
      </c>
      <c r="I19" s="24">
        <v>619</v>
      </c>
      <c r="J19" s="70">
        <f t="shared" si="0"/>
        <v>72654</v>
      </c>
      <c r="K19" s="71">
        <f t="shared" si="1"/>
        <v>161</v>
      </c>
      <c r="L19" s="71">
        <v>793</v>
      </c>
      <c r="M19" s="72">
        <f t="shared" si="2"/>
        <v>1020474</v>
      </c>
      <c r="N19" s="73">
        <f t="shared" si="2"/>
        <v>313632</v>
      </c>
      <c r="O19" s="73">
        <f t="shared" si="2"/>
        <v>1351121</v>
      </c>
      <c r="P19" s="72">
        <f t="shared" si="3"/>
        <v>1020474</v>
      </c>
      <c r="Q19" s="72">
        <f t="shared" si="3"/>
        <v>313632</v>
      </c>
      <c r="R19" s="72">
        <f t="shared" si="3"/>
        <v>1351121</v>
      </c>
      <c r="S19" s="79">
        <f>M19/'[21]2014'!M19-1</f>
        <v>6.3837062504756403E-2</v>
      </c>
      <c r="T19" s="79">
        <f>N19/'[21]2014'!N19-1</f>
        <v>-8.1057575230475409E-3</v>
      </c>
      <c r="U19" s="79">
        <f>O19/'[21]2014'!O19-1</f>
        <v>4.6780141624184646E-2</v>
      </c>
      <c r="V19" s="79">
        <f>P19/'[21]2014'!P19-1</f>
        <v>6.3837062504756403E-2</v>
      </c>
      <c r="W19" s="79">
        <f>Q19/'[21]2014'!Q19-1</f>
        <v>-8.1057575230475409E-3</v>
      </c>
      <c r="X19" s="79">
        <f>R19/'[21]2014'!R19-1</f>
        <v>4.6780141624184646E-2</v>
      </c>
      <c r="Y19" s="71">
        <v>4.54</v>
      </c>
      <c r="Z19" s="71">
        <f>P19/10000-Y19</f>
        <v>97.50739999999999</v>
      </c>
      <c r="AA19" s="85">
        <f>AA12</f>
        <v>3890.0920000000001</v>
      </c>
      <c r="AB19" s="71">
        <f>Z19*10000/AA19</f>
        <v>250.65576855251749</v>
      </c>
    </row>
    <row r="20" spans="1:28" s="2" customFormat="1" ht="15" customHeight="1" x14ac:dyDescent="0.15">
      <c r="A20" s="20">
        <v>42020</v>
      </c>
      <c r="B20" s="20" t="s">
        <v>38</v>
      </c>
      <c r="C20" s="21">
        <v>69446</v>
      </c>
      <c r="D20" s="7">
        <v>22361</v>
      </c>
      <c r="E20" s="7">
        <v>92666</v>
      </c>
      <c r="F20" s="22">
        <v>4750</v>
      </c>
      <c r="G20" s="23">
        <v>2910</v>
      </c>
      <c r="H20" s="24"/>
      <c r="I20" s="36"/>
      <c r="J20" s="8">
        <f t="shared" si="0"/>
        <v>70305</v>
      </c>
      <c r="K20" s="37">
        <f t="shared" si="1"/>
        <v>66</v>
      </c>
      <c r="L20" s="37">
        <v>793</v>
      </c>
      <c r="M20" s="74">
        <f t="shared" si="2"/>
        <v>1089920</v>
      </c>
      <c r="N20" s="75">
        <f t="shared" si="2"/>
        <v>335993</v>
      </c>
      <c r="O20" s="75">
        <f t="shared" si="2"/>
        <v>1443787</v>
      </c>
      <c r="P20" s="76">
        <f t="shared" si="3"/>
        <v>1089920</v>
      </c>
      <c r="Q20" s="76">
        <f t="shared" si="3"/>
        <v>335993</v>
      </c>
      <c r="R20" s="76">
        <f t="shared" si="3"/>
        <v>1443787</v>
      </c>
      <c r="S20" s="80">
        <f>M20/'[21]2014'!M20-1</f>
        <v>7.1002876197719722E-2</v>
      </c>
      <c r="T20" s="80">
        <f>N20/'[21]2014'!N20-1</f>
        <v>-6.1848534683688339E-3</v>
      </c>
      <c r="U20" s="80">
        <f>O20/'[21]2014'!O20-1</f>
        <v>5.2250026419453421E-2</v>
      </c>
      <c r="V20" s="81">
        <f>P20/'[21]2014'!P20-1</f>
        <v>7.1002876197719722E-2</v>
      </c>
      <c r="W20" s="81">
        <f>Q20/'[21]2014'!Q20-1</f>
        <v>-6.1848534683688339E-3</v>
      </c>
      <c r="X20" s="81">
        <f>R20/'[21]2014'!R20-1</f>
        <v>5.2250026419453421E-2</v>
      </c>
      <c r="Y20" s="37"/>
      <c r="Z20" s="37"/>
      <c r="AA20" s="37"/>
      <c r="AB20" s="37"/>
    </row>
    <row r="21" spans="1:28" s="2" customFormat="1" ht="15" customHeight="1" x14ac:dyDescent="0.15">
      <c r="A21" s="20">
        <v>42021</v>
      </c>
      <c r="B21" s="20" t="s">
        <v>39</v>
      </c>
      <c r="C21" s="21">
        <v>69306</v>
      </c>
      <c r="D21" s="7">
        <v>22240</v>
      </c>
      <c r="E21" s="7">
        <v>92453</v>
      </c>
      <c r="F21" s="22">
        <v>4709.8999999999996</v>
      </c>
      <c r="G21" s="23">
        <v>2898.6</v>
      </c>
      <c r="H21" s="24">
        <v>1217.3</v>
      </c>
      <c r="I21" s="36">
        <v>684.3</v>
      </c>
      <c r="J21" s="8">
        <f t="shared" si="0"/>
        <v>70213</v>
      </c>
      <c r="K21" s="37">
        <f t="shared" si="1"/>
        <v>114</v>
      </c>
      <c r="L21" s="37">
        <v>793</v>
      </c>
      <c r="M21" s="74">
        <f t="shared" si="2"/>
        <v>1159226</v>
      </c>
      <c r="N21" s="75">
        <f t="shared" si="2"/>
        <v>358233</v>
      </c>
      <c r="O21" s="75">
        <f t="shared" si="2"/>
        <v>1536240</v>
      </c>
      <c r="P21" s="76">
        <f t="shared" si="3"/>
        <v>1159226</v>
      </c>
      <c r="Q21" s="76">
        <f t="shared" si="3"/>
        <v>358233</v>
      </c>
      <c r="R21" s="76">
        <f t="shared" si="3"/>
        <v>1536240</v>
      </c>
      <c r="S21" s="80">
        <f>M21/'[21]2014'!M21-1</f>
        <v>8.0979312467071018E-2</v>
      </c>
      <c r="T21" s="80">
        <f>N21/'[21]2014'!N21-1</f>
        <v>-5.3890619533891737E-3</v>
      </c>
      <c r="U21" s="80">
        <f>O21/'[21]2014'!O21-1</f>
        <v>5.9605206980438252E-2</v>
      </c>
      <c r="V21" s="81">
        <f>P21/'[21]2014'!P21-1</f>
        <v>8.0979312467071018E-2</v>
      </c>
      <c r="W21" s="81">
        <f>Q21/'[21]2014'!Q21-1</f>
        <v>-5.3890619533891737E-3</v>
      </c>
      <c r="X21" s="81">
        <f>R21/'[21]2014'!R21-1</f>
        <v>5.9605206980438252E-2</v>
      </c>
      <c r="Y21" s="37"/>
      <c r="Z21" s="37"/>
      <c r="AA21" s="37"/>
      <c r="AB21" s="37"/>
    </row>
    <row r="22" spans="1:28" s="2" customFormat="1" ht="15" customHeight="1" x14ac:dyDescent="0.15">
      <c r="A22" s="20">
        <v>42022</v>
      </c>
      <c r="B22" s="20" t="s">
        <v>1</v>
      </c>
      <c r="C22" s="21">
        <v>65704</v>
      </c>
      <c r="D22" s="7">
        <v>21140</v>
      </c>
      <c r="E22" s="7">
        <v>87752</v>
      </c>
      <c r="F22" s="22">
        <v>4417.8999999999996</v>
      </c>
      <c r="G22" s="23">
        <v>2939</v>
      </c>
      <c r="H22" s="24">
        <v>1192.5</v>
      </c>
      <c r="I22" s="36">
        <v>659.3</v>
      </c>
      <c r="J22" s="8">
        <f t="shared" si="0"/>
        <v>66612</v>
      </c>
      <c r="K22" s="37">
        <f t="shared" si="1"/>
        <v>115</v>
      </c>
      <c r="L22" s="37">
        <v>793</v>
      </c>
      <c r="M22" s="74">
        <f t="shared" ref="M22:O35" si="4">M21+C22</f>
        <v>1224930</v>
      </c>
      <c r="N22" s="75">
        <f t="shared" si="4"/>
        <v>379373</v>
      </c>
      <c r="O22" s="75">
        <f t="shared" si="4"/>
        <v>1623992</v>
      </c>
      <c r="P22" s="76">
        <f t="shared" si="3"/>
        <v>1224930</v>
      </c>
      <c r="Q22" s="76">
        <f t="shared" si="3"/>
        <v>379373</v>
      </c>
      <c r="R22" s="76">
        <f t="shared" si="3"/>
        <v>1623992</v>
      </c>
      <c r="S22" s="80">
        <f>M22/'[21]2014'!M22-1</f>
        <v>8.9850641891981997E-2</v>
      </c>
      <c r="T22" s="80">
        <f>N22/'[21]2014'!N22-1</f>
        <v>-8.107740656881246E-3</v>
      </c>
      <c r="U22" s="80">
        <f>O22/'[21]2014'!O22-1</f>
        <v>6.5111142009397049E-2</v>
      </c>
      <c r="V22" s="81">
        <f>P22/'[21]2014'!P22-1</f>
        <v>8.9850641891981997E-2</v>
      </c>
      <c r="W22" s="81">
        <f>Q22/'[21]2014'!Q22-1</f>
        <v>-8.107740656881246E-3</v>
      </c>
      <c r="X22" s="81">
        <f>R22/'[21]2014'!R22-1</f>
        <v>6.5111142009397049E-2</v>
      </c>
      <c r="Y22" s="37"/>
      <c r="Z22" s="37"/>
      <c r="AA22" s="37"/>
      <c r="AB22" s="37"/>
    </row>
    <row r="23" spans="1:28" s="2" customFormat="1" ht="15" customHeight="1" x14ac:dyDescent="0.15">
      <c r="A23" s="20">
        <v>42023</v>
      </c>
      <c r="B23" s="20" t="s">
        <v>34</v>
      </c>
      <c r="C23" s="21">
        <v>68433</v>
      </c>
      <c r="D23" s="7">
        <v>21244</v>
      </c>
      <c r="E23" s="7">
        <v>90622</v>
      </c>
      <c r="F23" s="22">
        <v>4737.3</v>
      </c>
      <c r="G23" s="23">
        <v>2766.6</v>
      </c>
      <c r="H23" s="24">
        <v>1191</v>
      </c>
      <c r="I23" s="36">
        <v>620.70000000000005</v>
      </c>
      <c r="J23" s="8">
        <f t="shared" si="0"/>
        <v>69378</v>
      </c>
      <c r="K23" s="37">
        <f t="shared" si="1"/>
        <v>152</v>
      </c>
      <c r="L23" s="37">
        <v>793</v>
      </c>
      <c r="M23" s="74">
        <f t="shared" si="4"/>
        <v>1293363</v>
      </c>
      <c r="N23" s="75">
        <f t="shared" si="4"/>
        <v>400617</v>
      </c>
      <c r="O23" s="75">
        <f t="shared" si="4"/>
        <v>1714614</v>
      </c>
      <c r="P23" s="76">
        <f t="shared" si="3"/>
        <v>1293363</v>
      </c>
      <c r="Q23" s="76">
        <f t="shared" si="3"/>
        <v>400617</v>
      </c>
      <c r="R23" s="76">
        <f t="shared" si="3"/>
        <v>1714614</v>
      </c>
      <c r="S23" s="80">
        <f>M23/'[21]2014'!M23-1</f>
        <v>0.10460387194632426</v>
      </c>
      <c r="T23" s="80">
        <f>N23/'[21]2014'!N23-1</f>
        <v>-9.2688536347111938E-3</v>
      </c>
      <c r="U23" s="80">
        <f>O23/'[21]2014'!O23-1</f>
        <v>7.5258715946133314E-2</v>
      </c>
      <c r="V23" s="81">
        <f>P23/'[21]2014'!P23-1</f>
        <v>0.10460387194632426</v>
      </c>
      <c r="W23" s="81">
        <f>Q23/'[21]2014'!Q23-1</f>
        <v>-9.2688536347111938E-3</v>
      </c>
      <c r="X23" s="81">
        <f>R23/'[21]2014'!R23-1</f>
        <v>7.5258715946133314E-2</v>
      </c>
      <c r="Y23" s="37"/>
      <c r="Z23" s="37"/>
      <c r="AA23" s="37"/>
      <c r="AB23" s="37"/>
    </row>
    <row r="24" spans="1:28" s="2" customFormat="1" ht="15" customHeight="1" x14ac:dyDescent="0.15">
      <c r="A24" s="20">
        <v>42024</v>
      </c>
      <c r="B24" s="20" t="s">
        <v>35</v>
      </c>
      <c r="C24" s="21">
        <v>68909</v>
      </c>
      <c r="D24" s="7">
        <v>21963</v>
      </c>
      <c r="E24" s="7">
        <v>91812</v>
      </c>
      <c r="F24" s="22">
        <v>4742.7</v>
      </c>
      <c r="G24" s="23">
        <v>2917.8</v>
      </c>
      <c r="H24" s="24">
        <v>1186.2</v>
      </c>
      <c r="I24" s="36">
        <v>769</v>
      </c>
      <c r="J24" s="8">
        <f t="shared" si="0"/>
        <v>69849</v>
      </c>
      <c r="K24" s="37">
        <f t="shared" si="1"/>
        <v>147</v>
      </c>
      <c r="L24" s="37">
        <v>793</v>
      </c>
      <c r="M24" s="74">
        <f t="shared" si="4"/>
        <v>1362272</v>
      </c>
      <c r="N24" s="75">
        <f t="shared" si="4"/>
        <v>422580</v>
      </c>
      <c r="O24" s="75">
        <f t="shared" si="4"/>
        <v>1806426</v>
      </c>
      <c r="P24" s="76">
        <f t="shared" si="3"/>
        <v>1362272</v>
      </c>
      <c r="Q24" s="76">
        <f t="shared" si="3"/>
        <v>422580</v>
      </c>
      <c r="R24" s="76">
        <f t="shared" si="3"/>
        <v>1806426</v>
      </c>
      <c r="S24" s="80">
        <f>M24/'[21]2014'!M24-1</f>
        <v>0.1205751466245506</v>
      </c>
      <c r="T24" s="80">
        <f>N24/'[21]2014'!N24-1</f>
        <v>-9.5046116703974004E-3</v>
      </c>
      <c r="U24" s="80">
        <f>O24/'[21]2014'!O24-1</f>
        <v>8.6494913443737609E-2</v>
      </c>
      <c r="V24" s="81">
        <f>P24/'[21]2014'!P24-1</f>
        <v>0.1205751466245506</v>
      </c>
      <c r="W24" s="81">
        <f>Q24/'[21]2014'!Q24-1</f>
        <v>-9.5046116703974004E-3</v>
      </c>
      <c r="X24" s="81">
        <f>R24/'[21]2014'!R24-1</f>
        <v>8.6494913443737609E-2</v>
      </c>
      <c r="Y24" s="37">
        <v>6.3888999999999996</v>
      </c>
      <c r="Z24" s="37">
        <f>P24/10000-Y24</f>
        <v>129.8383</v>
      </c>
      <c r="AA24" s="37">
        <f>AA19</f>
        <v>3890.0920000000001</v>
      </c>
      <c r="AB24" s="37">
        <f>Z24*10000/AA24</f>
        <v>333.76665641840862</v>
      </c>
    </row>
    <row r="25" spans="1:28" s="2" customFormat="1" ht="15" customHeight="1" x14ac:dyDescent="0.15">
      <c r="A25" s="20">
        <v>42025</v>
      </c>
      <c r="B25" s="14" t="s">
        <v>36</v>
      </c>
      <c r="C25" s="15">
        <v>65971</v>
      </c>
      <c r="D25" s="16">
        <v>22254</v>
      </c>
      <c r="E25" s="16">
        <v>89275</v>
      </c>
      <c r="F25" s="17">
        <v>4595</v>
      </c>
      <c r="G25" s="18">
        <v>2889.2</v>
      </c>
      <c r="H25" s="19">
        <v>1207.3</v>
      </c>
      <c r="I25" s="19">
        <v>655.4</v>
      </c>
      <c r="J25" s="32">
        <f t="shared" si="0"/>
        <v>67021</v>
      </c>
      <c r="K25" s="33">
        <f t="shared" si="1"/>
        <v>257</v>
      </c>
      <c r="L25" s="33">
        <v>793</v>
      </c>
      <c r="M25" s="77">
        <f t="shared" si="4"/>
        <v>1428243</v>
      </c>
      <c r="N25" s="78">
        <f t="shared" si="4"/>
        <v>444834</v>
      </c>
      <c r="O25" s="78">
        <f t="shared" si="4"/>
        <v>1895701</v>
      </c>
      <c r="P25" s="77">
        <f t="shared" si="3"/>
        <v>1428243</v>
      </c>
      <c r="Q25" s="77">
        <f t="shared" si="3"/>
        <v>444834</v>
      </c>
      <c r="R25" s="77">
        <f t="shared" si="3"/>
        <v>1895701</v>
      </c>
      <c r="S25" s="82">
        <f>M25/'[21]2014'!M25-1</f>
        <v>0.13558917748194932</v>
      </c>
      <c r="T25" s="82">
        <f>N25/'[21]2014'!N25-1</f>
        <v>-8.6579797155903471E-3</v>
      </c>
      <c r="U25" s="82">
        <f>O25/'[21]2014'!O25-1</f>
        <v>9.7077759548136466E-2</v>
      </c>
      <c r="V25" s="82">
        <f>P25/'[21]2014'!P25-1</f>
        <v>0.13558917748194932</v>
      </c>
      <c r="W25" s="82">
        <f>Q25/'[21]2014'!Q25-1</f>
        <v>-8.6579797155903471E-3</v>
      </c>
      <c r="X25" s="82">
        <f>R25/'[21]2014'!R25-1</f>
        <v>9.7077759548136466E-2</v>
      </c>
      <c r="Y25" s="33"/>
      <c r="Z25" s="33"/>
      <c r="AA25" s="33"/>
      <c r="AB25" s="33"/>
    </row>
    <row r="26" spans="1:28" s="2" customFormat="1" ht="15" customHeight="1" x14ac:dyDescent="0.15">
      <c r="A26" s="20">
        <v>42026</v>
      </c>
      <c r="B26" s="20" t="s">
        <v>37</v>
      </c>
      <c r="C26" s="66">
        <v>67069</v>
      </c>
      <c r="D26" s="67">
        <v>22941</v>
      </c>
      <c r="E26" s="67">
        <v>90854</v>
      </c>
      <c r="F26" s="68">
        <v>4686.3</v>
      </c>
      <c r="G26" s="69">
        <v>2826.4</v>
      </c>
      <c r="H26" s="24">
        <v>1239.3</v>
      </c>
      <c r="I26" s="24">
        <v>648.20000000000005</v>
      </c>
      <c r="J26" s="70">
        <f t="shared" si="0"/>
        <v>67913</v>
      </c>
      <c r="K26" s="71">
        <f t="shared" si="1"/>
        <v>51</v>
      </c>
      <c r="L26" s="71">
        <v>793</v>
      </c>
      <c r="M26" s="72">
        <f t="shared" si="4"/>
        <v>1495312</v>
      </c>
      <c r="N26" s="73">
        <f t="shared" si="4"/>
        <v>467775</v>
      </c>
      <c r="O26" s="73">
        <f t="shared" si="4"/>
        <v>1986555</v>
      </c>
      <c r="P26" s="72">
        <f t="shared" si="3"/>
        <v>1495312</v>
      </c>
      <c r="Q26" s="72">
        <f t="shared" si="3"/>
        <v>467775</v>
      </c>
      <c r="R26" s="72">
        <f t="shared" si="3"/>
        <v>1986555</v>
      </c>
      <c r="S26" s="79">
        <f>M26/'[21]2014'!M26-1</f>
        <v>0.15014533419172427</v>
      </c>
      <c r="T26" s="79">
        <f>N26/'[21]2014'!N26-1</f>
        <v>-5.1304085729175775E-5</v>
      </c>
      <c r="U26" s="79">
        <f>O26/'[21]2014'!O26-1</f>
        <v>0.10941184091927014</v>
      </c>
      <c r="V26" s="79">
        <f>P26/'[21]2014'!P26-1</f>
        <v>0.15014533419172427</v>
      </c>
      <c r="W26" s="79">
        <f>Q26/'[21]2014'!Q26-1</f>
        <v>-5.1304085729175775E-5</v>
      </c>
      <c r="X26" s="79">
        <f>R26/'[21]2014'!R26-1</f>
        <v>0.10941184091927014</v>
      </c>
      <c r="Y26" s="71">
        <f>Y24+0.4*2</f>
        <v>7.1888999999999994</v>
      </c>
      <c r="Z26" s="71">
        <f>P26/10000-Y26</f>
        <v>142.34230000000002</v>
      </c>
      <c r="AA26" s="85">
        <f>AA19</f>
        <v>3890.0920000000001</v>
      </c>
      <c r="AB26" s="71">
        <f>Z26*10000/AA26</f>
        <v>365.9098550882602</v>
      </c>
    </row>
    <row r="27" spans="1:28" s="2" customFormat="1" ht="15" customHeight="1" x14ac:dyDescent="0.15">
      <c r="A27" s="20">
        <v>42027</v>
      </c>
      <c r="B27" s="20" t="s">
        <v>38</v>
      </c>
      <c r="C27" s="21">
        <v>70003</v>
      </c>
      <c r="D27" s="7">
        <v>20800</v>
      </c>
      <c r="E27" s="7">
        <v>91845</v>
      </c>
      <c r="F27" s="22">
        <v>4773</v>
      </c>
      <c r="G27" s="23">
        <v>2933</v>
      </c>
      <c r="H27" s="24"/>
      <c r="I27" s="36"/>
      <c r="J27" s="8">
        <f t="shared" si="0"/>
        <v>71045</v>
      </c>
      <c r="K27" s="37">
        <f t="shared" si="1"/>
        <v>249</v>
      </c>
      <c r="L27" s="37">
        <v>793</v>
      </c>
      <c r="M27" s="74">
        <f t="shared" si="4"/>
        <v>1565315</v>
      </c>
      <c r="N27" s="75">
        <f t="shared" si="4"/>
        <v>488575</v>
      </c>
      <c r="O27" s="75">
        <f t="shared" si="4"/>
        <v>2078400</v>
      </c>
      <c r="P27" s="76">
        <f t="shared" si="3"/>
        <v>1565315</v>
      </c>
      <c r="Q27" s="76">
        <f t="shared" si="3"/>
        <v>488575</v>
      </c>
      <c r="R27" s="76">
        <f t="shared" si="3"/>
        <v>2078400</v>
      </c>
      <c r="S27" s="80">
        <f>M27/'[21]2014'!M27-1</f>
        <v>0.16955160271042269</v>
      </c>
      <c r="T27" s="80">
        <f>N27/'[21]2014'!N27-1</f>
        <v>4.1702120662794329E-3</v>
      </c>
      <c r="U27" s="80">
        <f>O27/'[21]2014'!O27-1</f>
        <v>0.12422089123065505</v>
      </c>
      <c r="V27" s="81">
        <f>P27/'[21]2014'!P27-1</f>
        <v>0.16955160271042269</v>
      </c>
      <c r="W27" s="81">
        <f>Q27/'[21]2014'!Q27-1</f>
        <v>4.1702120662794329E-3</v>
      </c>
      <c r="X27" s="81">
        <f>R27/'[21]2014'!R27-1</f>
        <v>0.12422089123065505</v>
      </c>
      <c r="Y27" s="37"/>
      <c r="Z27" s="37"/>
      <c r="AA27" s="37"/>
      <c r="AB27" s="37"/>
    </row>
    <row r="28" spans="1:28" s="2" customFormat="1" ht="15" customHeight="1" x14ac:dyDescent="0.15">
      <c r="A28" s="20">
        <v>42028</v>
      </c>
      <c r="B28" s="20" t="s">
        <v>39</v>
      </c>
      <c r="C28" s="21">
        <v>66050</v>
      </c>
      <c r="D28" s="7">
        <v>20300</v>
      </c>
      <c r="E28" s="7">
        <v>87201</v>
      </c>
      <c r="F28" s="22">
        <v>4516</v>
      </c>
      <c r="G28" s="23">
        <v>2857</v>
      </c>
      <c r="H28" s="24"/>
      <c r="I28" s="36"/>
      <c r="J28" s="8">
        <f t="shared" si="0"/>
        <v>66901</v>
      </c>
      <c r="K28" s="37">
        <f t="shared" si="1"/>
        <v>58</v>
      </c>
      <c r="L28" s="37">
        <v>793</v>
      </c>
      <c r="M28" s="74">
        <f t="shared" si="4"/>
        <v>1631365</v>
      </c>
      <c r="N28" s="75">
        <f t="shared" si="4"/>
        <v>508875</v>
      </c>
      <c r="O28" s="75">
        <f t="shared" si="4"/>
        <v>2165601</v>
      </c>
      <c r="P28" s="76">
        <f t="shared" si="3"/>
        <v>1631365</v>
      </c>
      <c r="Q28" s="76">
        <f t="shared" si="3"/>
        <v>508875</v>
      </c>
      <c r="R28" s="76">
        <f t="shared" si="3"/>
        <v>2165601</v>
      </c>
      <c r="S28" s="80">
        <f>M28/'[21]2014'!M28-1</f>
        <v>0.1900919835218986</v>
      </c>
      <c r="T28" s="80">
        <f>N28/'[21]2014'!N28-1</f>
        <v>8.1344139596528642E-3</v>
      </c>
      <c r="U28" s="80">
        <f>O28/'[21]2014'!O28-1</f>
        <v>0.13951411763467791</v>
      </c>
      <c r="V28" s="81">
        <f>P28/'[21]2014'!P28-1</f>
        <v>0.1900919835218986</v>
      </c>
      <c r="W28" s="81">
        <f>Q28/'[21]2014'!Q28-1</f>
        <v>8.1344139596528642E-3</v>
      </c>
      <c r="X28" s="81">
        <f>R28/'[21]2014'!R28-1</f>
        <v>0.13951411763467791</v>
      </c>
      <c r="Y28" s="37"/>
      <c r="Z28" s="37"/>
      <c r="AA28" s="37"/>
      <c r="AB28" s="37"/>
    </row>
    <row r="29" spans="1:28" s="2" customFormat="1" ht="15" customHeight="1" x14ac:dyDescent="0.15">
      <c r="A29" s="20">
        <v>42029</v>
      </c>
      <c r="B29" s="20" t="s">
        <v>1</v>
      </c>
      <c r="C29" s="21">
        <v>62200</v>
      </c>
      <c r="D29" s="7">
        <v>19950</v>
      </c>
      <c r="E29" s="7">
        <v>83037</v>
      </c>
      <c r="F29" s="22">
        <v>4205</v>
      </c>
      <c r="G29" s="23">
        <v>2718</v>
      </c>
      <c r="H29" s="24"/>
      <c r="I29" s="36"/>
      <c r="J29" s="8">
        <f t="shared" si="0"/>
        <v>63087</v>
      </c>
      <c r="K29" s="37">
        <f t="shared" si="1"/>
        <v>94</v>
      </c>
      <c r="L29" s="37">
        <v>793</v>
      </c>
      <c r="M29" s="74">
        <f t="shared" si="4"/>
        <v>1693565</v>
      </c>
      <c r="N29" s="75">
        <f t="shared" si="4"/>
        <v>528825</v>
      </c>
      <c r="O29" s="75">
        <f t="shared" si="4"/>
        <v>2248638</v>
      </c>
      <c r="P29" s="76">
        <f t="shared" si="3"/>
        <v>1693565</v>
      </c>
      <c r="Q29" s="76">
        <f t="shared" si="3"/>
        <v>528825</v>
      </c>
      <c r="R29" s="76">
        <f t="shared" si="3"/>
        <v>2248638</v>
      </c>
      <c r="S29" s="80">
        <f>M29/'[21]2014'!M29-1</f>
        <v>0.21181082022884357</v>
      </c>
      <c r="T29" s="80">
        <f>N29/'[21]2014'!N29-1</f>
        <v>1.4119916695751522E-2</v>
      </c>
      <c r="U29" s="80">
        <f>O29/'[21]2014'!O29-1</f>
        <v>0.15559399590517775</v>
      </c>
      <c r="V29" s="81">
        <f>P29/'[21]2014'!P29-1</f>
        <v>0.21181082022884357</v>
      </c>
      <c r="W29" s="81">
        <f>Q29/'[21]2014'!Q29-1</f>
        <v>1.4119916695751522E-2</v>
      </c>
      <c r="X29" s="81">
        <f>R29/'[21]2014'!R29-1</f>
        <v>0.15559399590517775</v>
      </c>
      <c r="Y29" s="37"/>
      <c r="Z29" s="37"/>
      <c r="AA29" s="37"/>
      <c r="AB29" s="37"/>
    </row>
    <row r="30" spans="1:28" s="2" customFormat="1" ht="15" customHeight="1" x14ac:dyDescent="0.15">
      <c r="A30" s="20">
        <v>42030</v>
      </c>
      <c r="B30" s="20" t="s">
        <v>34</v>
      </c>
      <c r="C30" s="21">
        <v>64800</v>
      </c>
      <c r="D30" s="7">
        <v>20950</v>
      </c>
      <c r="E30" s="7">
        <v>86671</v>
      </c>
      <c r="F30" s="22">
        <v>4519</v>
      </c>
      <c r="G30" s="23">
        <v>2637</v>
      </c>
      <c r="H30" s="24"/>
      <c r="I30" s="36"/>
      <c r="J30" s="8">
        <f t="shared" si="0"/>
        <v>65721</v>
      </c>
      <c r="K30" s="37">
        <f t="shared" si="1"/>
        <v>128</v>
      </c>
      <c r="L30" s="37">
        <v>793</v>
      </c>
      <c r="M30" s="74">
        <f t="shared" si="4"/>
        <v>1758365</v>
      </c>
      <c r="N30" s="75">
        <f t="shared" si="4"/>
        <v>549775</v>
      </c>
      <c r="O30" s="75">
        <f t="shared" si="4"/>
        <v>2335309</v>
      </c>
      <c r="P30" s="76">
        <f t="shared" si="3"/>
        <v>1758365</v>
      </c>
      <c r="Q30" s="76">
        <f t="shared" si="3"/>
        <v>549775</v>
      </c>
      <c r="R30" s="76">
        <f t="shared" si="3"/>
        <v>2335309</v>
      </c>
      <c r="S30" s="80">
        <f>M30/'[21]2014'!M30-1</f>
        <v>0.23636883956627797</v>
      </c>
      <c r="T30" s="80">
        <f>N30/'[21]2014'!N30-1</f>
        <v>2.1072416233152369E-2</v>
      </c>
      <c r="U30" s="80">
        <f>O30/'[21]2014'!O30-1</f>
        <v>0.17448412518796808</v>
      </c>
      <c r="V30" s="81">
        <f>P30/'[21]2014'!P30-1</f>
        <v>0.23636883956627797</v>
      </c>
      <c r="W30" s="81">
        <f>Q30/'[21]2014'!Q30-1</f>
        <v>2.1072416233152369E-2</v>
      </c>
      <c r="X30" s="81">
        <f>R30/'[21]2014'!R30-1</f>
        <v>0.17448412518796808</v>
      </c>
      <c r="Y30" s="37"/>
      <c r="Z30" s="37"/>
      <c r="AA30" s="37"/>
      <c r="AB30" s="37"/>
    </row>
    <row r="31" spans="1:28" s="2" customFormat="1" ht="15" customHeight="1" x14ac:dyDescent="0.15">
      <c r="A31" s="20">
        <v>42031</v>
      </c>
      <c r="B31" s="20" t="s">
        <v>35</v>
      </c>
      <c r="C31" s="21">
        <v>68000</v>
      </c>
      <c r="D31" s="7">
        <v>20900</v>
      </c>
      <c r="E31" s="7">
        <v>89777</v>
      </c>
      <c r="F31" s="22">
        <v>4612</v>
      </c>
      <c r="G31" s="23">
        <v>2740</v>
      </c>
      <c r="H31" s="24">
        <v>1150</v>
      </c>
      <c r="I31" s="36"/>
      <c r="J31" s="8">
        <f t="shared" si="0"/>
        <v>68877</v>
      </c>
      <c r="K31" s="37">
        <f t="shared" si="1"/>
        <v>84</v>
      </c>
      <c r="L31" s="37">
        <v>793</v>
      </c>
      <c r="M31" s="74">
        <f t="shared" si="4"/>
        <v>1826365</v>
      </c>
      <c r="N31" s="75">
        <f t="shared" si="4"/>
        <v>570675</v>
      </c>
      <c r="O31" s="75">
        <f t="shared" si="4"/>
        <v>2425086</v>
      </c>
      <c r="P31" s="76">
        <f t="shared" si="3"/>
        <v>1826365</v>
      </c>
      <c r="Q31" s="76">
        <f t="shared" si="3"/>
        <v>570675</v>
      </c>
      <c r="R31" s="76">
        <f t="shared" si="3"/>
        <v>2425086</v>
      </c>
      <c r="S31" s="80">
        <f>M31/'[21]2014'!M31-1</f>
        <v>0.26452861410851591</v>
      </c>
      <c r="T31" s="80">
        <f>N31/'[21]2014'!N31-1</f>
        <v>2.7700691346730366E-2</v>
      </c>
      <c r="U31" s="80">
        <f>O31/'[21]2014'!O31-1</f>
        <v>0.19563139177898226</v>
      </c>
      <c r="V31" s="81">
        <f>P31/'[21]2014'!P31-1</f>
        <v>0.26452861410851591</v>
      </c>
      <c r="W31" s="81">
        <f>Q31/'[21]2014'!Q31-1</f>
        <v>2.7700691346730366E-2</v>
      </c>
      <c r="X31" s="81">
        <f>R31/'[21]2014'!R31-1</f>
        <v>0.19563139177898226</v>
      </c>
      <c r="Y31" s="37"/>
      <c r="Z31" s="37"/>
      <c r="AA31" s="37"/>
      <c r="AB31" s="37"/>
    </row>
    <row r="32" spans="1:28" s="2" customFormat="1" ht="15" customHeight="1" x14ac:dyDescent="0.15">
      <c r="A32" s="20">
        <v>42032</v>
      </c>
      <c r="B32" s="14" t="s">
        <v>36</v>
      </c>
      <c r="C32" s="15">
        <v>71900</v>
      </c>
      <c r="D32" s="16">
        <v>20600</v>
      </c>
      <c r="E32" s="16">
        <v>93400</v>
      </c>
      <c r="F32" s="17">
        <v>4837</v>
      </c>
      <c r="G32" s="18">
        <v>2812</v>
      </c>
      <c r="H32" s="19">
        <v>1150</v>
      </c>
      <c r="I32" s="19"/>
      <c r="J32" s="32">
        <f t="shared" si="0"/>
        <v>72800</v>
      </c>
      <c r="K32" s="33">
        <f t="shared" si="1"/>
        <v>107</v>
      </c>
      <c r="L32" s="33">
        <v>793</v>
      </c>
      <c r="M32" s="77">
        <f t="shared" si="4"/>
        <v>1898265</v>
      </c>
      <c r="N32" s="78">
        <f t="shared" si="4"/>
        <v>591275</v>
      </c>
      <c r="O32" s="78">
        <f t="shared" si="4"/>
        <v>2518486</v>
      </c>
      <c r="P32" s="77">
        <f t="shared" si="3"/>
        <v>1898265</v>
      </c>
      <c r="Q32" s="77">
        <f t="shared" si="3"/>
        <v>591275</v>
      </c>
      <c r="R32" s="77">
        <f t="shared" si="3"/>
        <v>2518486</v>
      </c>
      <c r="S32" s="82">
        <f>M32/'[21]2014'!M32-1</f>
        <v>0.29594748663612713</v>
      </c>
      <c r="T32" s="82">
        <f>N32/'[21]2014'!N32-1</f>
        <v>3.5263116426063945E-2</v>
      </c>
      <c r="U32" s="82">
        <f>O32/'[21]2014'!O32-1</f>
        <v>0.2193129398459257</v>
      </c>
      <c r="V32" s="82">
        <f>P32/'[21]2014'!P32-1</f>
        <v>0.29594748663612713</v>
      </c>
      <c r="W32" s="82">
        <f>Q32/'[21]2014'!Q32-1</f>
        <v>3.5263116426063945E-2</v>
      </c>
      <c r="X32" s="82">
        <f>R32/'[21]2014'!R32-1</f>
        <v>0.2193129398459257</v>
      </c>
      <c r="Y32" s="33"/>
      <c r="Z32" s="33"/>
      <c r="AA32" s="33"/>
      <c r="AB32" s="33"/>
    </row>
    <row r="33" spans="1:29" ht="15" customHeight="1" x14ac:dyDescent="0.15">
      <c r="A33" s="20">
        <v>42033</v>
      </c>
      <c r="B33" s="20" t="s">
        <v>37</v>
      </c>
      <c r="C33" s="66">
        <v>70800</v>
      </c>
      <c r="D33" s="67">
        <v>21400</v>
      </c>
      <c r="E33" s="67">
        <v>93100</v>
      </c>
      <c r="F33" s="68">
        <v>4811</v>
      </c>
      <c r="G33" s="69">
        <v>2854</v>
      </c>
      <c r="H33" s="24"/>
      <c r="I33" s="24"/>
      <c r="J33" s="70">
        <f t="shared" si="0"/>
        <v>71700</v>
      </c>
      <c r="K33" s="71">
        <f t="shared" si="1"/>
        <v>107</v>
      </c>
      <c r="L33" s="71">
        <v>793</v>
      </c>
      <c r="M33" s="72">
        <f t="shared" si="4"/>
        <v>1969065</v>
      </c>
      <c r="N33" s="73">
        <f t="shared" si="4"/>
        <v>612675</v>
      </c>
      <c r="O33" s="73">
        <f t="shared" si="4"/>
        <v>2611586</v>
      </c>
      <c r="P33" s="72">
        <f t="shared" si="3"/>
        <v>1969065</v>
      </c>
      <c r="Q33" s="72">
        <f t="shared" si="3"/>
        <v>612675</v>
      </c>
      <c r="R33" s="72">
        <f t="shared" si="3"/>
        <v>2611586</v>
      </c>
      <c r="S33" s="79">
        <f>M33/'[21]2014'!M33-1</f>
        <v>0.32673267993849664</v>
      </c>
      <c r="T33" s="79">
        <f>N33/'[21]2014'!N33-1</f>
        <v>4.6683260755549183E-2</v>
      </c>
      <c r="U33" s="79">
        <f>O33/'[21]2014'!O33-1</f>
        <v>0.24365146714134833</v>
      </c>
      <c r="V33" s="79">
        <f>P33/'[21]2014'!P33-1</f>
        <v>0.32673267993849664</v>
      </c>
      <c r="W33" s="79">
        <f>Q33/'[21]2014'!Q33-1</f>
        <v>4.6683260755549183E-2</v>
      </c>
      <c r="X33" s="79">
        <f>R33/'[21]2014'!R33-1</f>
        <v>0.24365146714134833</v>
      </c>
      <c r="Y33" s="71">
        <f>Y26+0.4*7</f>
        <v>9.9888999999999992</v>
      </c>
      <c r="Z33" s="71">
        <f>P33/10000-Y33</f>
        <v>186.91759999999999</v>
      </c>
      <c r="AA33" s="85">
        <f>AA26</f>
        <v>3890.0920000000001</v>
      </c>
      <c r="AB33" s="71">
        <f>Z33*10000/AA33</f>
        <v>480.49660522167596</v>
      </c>
    </row>
    <row r="34" spans="1:29" ht="15" customHeight="1" x14ac:dyDescent="0.15">
      <c r="A34" s="20">
        <v>42034</v>
      </c>
      <c r="B34" s="20" t="s">
        <v>38</v>
      </c>
      <c r="C34" s="21">
        <v>71133</v>
      </c>
      <c r="D34" s="7">
        <v>21468</v>
      </c>
      <c r="E34" s="7">
        <v>93430</v>
      </c>
      <c r="F34" s="22">
        <v>4844</v>
      </c>
      <c r="G34" s="23">
        <v>2815</v>
      </c>
      <c r="H34" s="24"/>
      <c r="I34" s="36"/>
      <c r="J34" s="8">
        <f t="shared" si="0"/>
        <v>71962</v>
      </c>
      <c r="K34" s="37">
        <f t="shared" si="1"/>
        <v>36</v>
      </c>
      <c r="L34" s="37">
        <v>793</v>
      </c>
      <c r="M34" s="74">
        <f t="shared" si="4"/>
        <v>2040198</v>
      </c>
      <c r="N34" s="75">
        <f t="shared" si="4"/>
        <v>634143</v>
      </c>
      <c r="O34" s="75">
        <f t="shared" si="4"/>
        <v>2705016</v>
      </c>
      <c r="P34" s="76">
        <f t="shared" si="3"/>
        <v>2040198</v>
      </c>
      <c r="Q34" s="76">
        <f t="shared" si="3"/>
        <v>634143</v>
      </c>
      <c r="R34" s="76">
        <f t="shared" si="3"/>
        <v>2705016</v>
      </c>
      <c r="S34" s="80">
        <f>M34/'[21]2014'!M34-1</f>
        <v>0.35804423333195756</v>
      </c>
      <c r="T34" s="80">
        <f>N34/'[21]2014'!N34-1</f>
        <v>5.7596844602510799E-2</v>
      </c>
      <c r="U34" s="80">
        <f>O34/'[21]2014'!O34-1</f>
        <v>0.26870020205279643</v>
      </c>
      <c r="V34" s="81">
        <f>P34/'[21]2014'!P34-1</f>
        <v>0.35804423333195756</v>
      </c>
      <c r="W34" s="81">
        <f>Q34/'[21]2014'!Q34-1</f>
        <v>5.7596844602510799E-2</v>
      </c>
      <c r="X34" s="81">
        <f>R34/'[21]2014'!R34-1</f>
        <v>0.26870020205279643</v>
      </c>
      <c r="Y34" s="37"/>
      <c r="Z34" s="37"/>
      <c r="AA34" s="37"/>
      <c r="AB34" s="37"/>
    </row>
    <row r="35" spans="1:29" s="1" customFormat="1" ht="15" customHeight="1" x14ac:dyDescent="0.15">
      <c r="A35" s="25">
        <v>42035</v>
      </c>
      <c r="B35" s="20" t="s">
        <v>39</v>
      </c>
      <c r="C35" s="21">
        <v>68681</v>
      </c>
      <c r="D35" s="7">
        <v>20072</v>
      </c>
      <c r="E35" s="7">
        <v>89611</v>
      </c>
      <c r="F35" s="22">
        <v>4581</v>
      </c>
      <c r="G35" s="23">
        <v>2797</v>
      </c>
      <c r="H35" s="24"/>
      <c r="I35" s="36"/>
      <c r="J35" s="8">
        <f t="shared" si="0"/>
        <v>69539</v>
      </c>
      <c r="K35" s="37">
        <f t="shared" si="1"/>
        <v>65</v>
      </c>
      <c r="L35" s="37">
        <v>793</v>
      </c>
      <c r="M35" s="74">
        <f t="shared" si="4"/>
        <v>2108879</v>
      </c>
      <c r="N35" s="75">
        <f t="shared" si="4"/>
        <v>654215</v>
      </c>
      <c r="O35" s="75">
        <f t="shared" si="4"/>
        <v>2794627</v>
      </c>
      <c r="P35" s="76">
        <f t="shared" si="3"/>
        <v>2108879</v>
      </c>
      <c r="Q35" s="76">
        <f t="shared" si="3"/>
        <v>654215</v>
      </c>
      <c r="R35" s="76">
        <f t="shared" si="3"/>
        <v>2794627</v>
      </c>
      <c r="S35" s="80">
        <f>M35/'[21]2014'!M35-1</f>
        <v>0.38910285418062274</v>
      </c>
      <c r="T35" s="80">
        <f>N35/'[21]2014'!N35-1</f>
        <v>6.976097718511487E-2</v>
      </c>
      <c r="U35" s="80">
        <f>O35/'[21]2014'!O35-1</f>
        <v>0.29334953745591275</v>
      </c>
      <c r="V35" s="81">
        <f>P35/'[21]2014'!P35-1</f>
        <v>0.38910285418062274</v>
      </c>
      <c r="W35" s="81">
        <f>Q35/'[21]2014'!Q35-1</f>
        <v>6.976097718511487E-2</v>
      </c>
      <c r="X35" s="81">
        <f>R35/'[21]2014'!R35-1</f>
        <v>0.29334953745591275</v>
      </c>
      <c r="Y35" s="37">
        <v>10.3177</v>
      </c>
      <c r="Z35" s="37">
        <f>P35/10000-Y35</f>
        <v>200.5702</v>
      </c>
      <c r="AA35" s="37">
        <v>3890.0920000000001</v>
      </c>
      <c r="AB35" s="37">
        <f>Z35*10000/AA35</f>
        <v>515.59243328949549</v>
      </c>
      <c r="AC35" s="86"/>
    </row>
    <row r="36" spans="1:29" ht="15" customHeight="1" x14ac:dyDescent="0.15">
      <c r="A36" s="20">
        <v>42036</v>
      </c>
      <c r="B36" s="20" t="s">
        <v>1</v>
      </c>
      <c r="C36" s="21">
        <v>65300</v>
      </c>
      <c r="D36" s="7">
        <v>19800</v>
      </c>
      <c r="E36" s="7">
        <v>86084</v>
      </c>
      <c r="F36" s="22">
        <v>4320</v>
      </c>
      <c r="G36" s="23">
        <v>2704</v>
      </c>
      <c r="H36" s="24"/>
      <c r="I36" s="36"/>
      <c r="J36" s="8">
        <f t="shared" si="0"/>
        <v>66284</v>
      </c>
      <c r="K36" s="37">
        <f t="shared" si="1"/>
        <v>192</v>
      </c>
      <c r="L36" s="37">
        <v>792</v>
      </c>
      <c r="M36" s="74">
        <f>C36</f>
        <v>65300</v>
      </c>
      <c r="N36" s="75">
        <f>D36</f>
        <v>19800</v>
      </c>
      <c r="O36" s="75">
        <f>E36</f>
        <v>86084</v>
      </c>
      <c r="P36" s="76">
        <f>M36+P$35</f>
        <v>2174179</v>
      </c>
      <c r="Q36" s="76">
        <f>N36+Q$35</f>
        <v>674015</v>
      </c>
      <c r="R36" s="76">
        <f>O36+R$35</f>
        <v>2880711</v>
      </c>
      <c r="S36" s="80">
        <f>M36/'[21]2014'!M36-1</f>
        <v>3.2629586107846977</v>
      </c>
      <c r="T36" s="80">
        <f>N36/'[21]2014'!N36-1</f>
        <v>0.68797953964194369</v>
      </c>
      <c r="U36" s="80">
        <f>O36/'[21]2014'!O36-1</f>
        <v>2.0886584622008537</v>
      </c>
      <c r="V36" s="81">
        <f>P36/'[21]2014'!P36-1</f>
        <v>0.41780998345589793</v>
      </c>
      <c r="W36" s="81">
        <f>Q36/'[21]2014'!Q36-1</f>
        <v>8.1395675315767635E-2</v>
      </c>
      <c r="X36" s="81">
        <f>R36/'[21]2014'!R36-1</f>
        <v>0.31621172619684024</v>
      </c>
      <c r="Y36" s="37"/>
      <c r="Z36" s="37"/>
      <c r="AA36" s="37"/>
      <c r="AB36" s="37"/>
    </row>
    <row r="37" spans="1:29" ht="15" customHeight="1" x14ac:dyDescent="0.15">
      <c r="A37" s="20">
        <v>42037</v>
      </c>
      <c r="B37" s="20" t="s">
        <v>34</v>
      </c>
      <c r="C37" s="21">
        <v>66500</v>
      </c>
      <c r="D37" s="7">
        <v>20800</v>
      </c>
      <c r="E37" s="7">
        <v>88398</v>
      </c>
      <c r="F37" s="22">
        <v>4612</v>
      </c>
      <c r="G37" s="23">
        <v>2587</v>
      </c>
      <c r="H37" s="24"/>
      <c r="I37" s="36"/>
      <c r="J37" s="8">
        <f t="shared" si="0"/>
        <v>67598</v>
      </c>
      <c r="K37" s="37">
        <f t="shared" si="1"/>
        <v>306</v>
      </c>
      <c r="L37" s="37">
        <v>792</v>
      </c>
      <c r="M37" s="74">
        <f t="shared" ref="M37:O52" si="5">M36+C37</f>
        <v>131800</v>
      </c>
      <c r="N37" s="75">
        <f t="shared" si="5"/>
        <v>40600</v>
      </c>
      <c r="O37" s="75">
        <f t="shared" si="5"/>
        <v>174482</v>
      </c>
      <c r="P37" s="76">
        <f t="shared" ref="P37:R63" si="6">M37+P$35</f>
        <v>2240679</v>
      </c>
      <c r="Q37" s="76">
        <f t="shared" si="6"/>
        <v>694815</v>
      </c>
      <c r="R37" s="76">
        <f t="shared" si="6"/>
        <v>2969109</v>
      </c>
      <c r="S37" s="80">
        <f>M37/'[21]2014'!M37-1</f>
        <v>3.2007968127490036</v>
      </c>
      <c r="T37" s="80">
        <f>N37/'[21]2014'!N37-1</f>
        <v>0.73585873701312576</v>
      </c>
      <c r="U37" s="80">
        <f>O37/'[21]2014'!O37-1</f>
        <v>2.0957382633689363</v>
      </c>
      <c r="V37" s="81">
        <f>P37/'[21]2014'!P37-1</f>
        <v>0.44603409799333216</v>
      </c>
      <c r="W37" s="81">
        <f>Q37/'[21]2014'!Q37-1</f>
        <v>9.4297663643028606E-2</v>
      </c>
      <c r="X37" s="81">
        <f>R37/'[21]2014'!R37-1</f>
        <v>0.33916835691563274</v>
      </c>
      <c r="Y37" s="37"/>
      <c r="Z37" s="37"/>
      <c r="AA37" s="37"/>
      <c r="AB37" s="37"/>
    </row>
    <row r="38" spans="1:29" ht="15" customHeight="1" x14ac:dyDescent="0.15">
      <c r="A38" s="20">
        <v>42038</v>
      </c>
      <c r="B38" s="20" t="s">
        <v>35</v>
      </c>
      <c r="C38" s="21">
        <v>63800</v>
      </c>
      <c r="D38" s="7">
        <v>21080</v>
      </c>
      <c r="E38" s="7">
        <v>86572</v>
      </c>
      <c r="F38" s="22">
        <v>4467</v>
      </c>
      <c r="G38" s="23">
        <v>2622</v>
      </c>
      <c r="H38" s="24"/>
      <c r="I38" s="36"/>
      <c r="J38" s="8">
        <f t="shared" si="0"/>
        <v>65492</v>
      </c>
      <c r="K38" s="37">
        <f t="shared" si="1"/>
        <v>900</v>
      </c>
      <c r="L38" s="37">
        <v>792</v>
      </c>
      <c r="M38" s="74">
        <f t="shared" si="5"/>
        <v>195600</v>
      </c>
      <c r="N38" s="75">
        <f t="shared" si="5"/>
        <v>61680</v>
      </c>
      <c r="O38" s="75">
        <f t="shared" si="5"/>
        <v>261054</v>
      </c>
      <c r="P38" s="76">
        <f t="shared" si="6"/>
        <v>2304479</v>
      </c>
      <c r="Q38" s="76">
        <f t="shared" si="6"/>
        <v>715895</v>
      </c>
      <c r="R38" s="76">
        <f t="shared" si="6"/>
        <v>3055681</v>
      </c>
      <c r="S38" s="80">
        <f>M38/'[21]2014'!M38-1</f>
        <v>3.0806108399048693</v>
      </c>
      <c r="T38" s="80">
        <f>N38/'[21]2014'!N38-1</f>
        <v>0.71071973374011921</v>
      </c>
      <c r="U38" s="80">
        <f>O38/'[21]2014'!O38-1</f>
        <v>2.0165355149582278</v>
      </c>
      <c r="V38" s="81">
        <f>P38/'[21]2014'!P38-1</f>
        <v>0.47148285574356064</v>
      </c>
      <c r="W38" s="81">
        <f>Q38/'[21]2014'!Q38-1</f>
        <v>0.10544581401543374</v>
      </c>
      <c r="X38" s="81">
        <f>R38/'[21]2014'!R38-1</f>
        <v>0.3597072586401151</v>
      </c>
      <c r="Y38" s="37"/>
      <c r="Z38" s="37"/>
      <c r="AA38" s="37"/>
      <c r="AB38" s="37"/>
    </row>
    <row r="39" spans="1:29" ht="15" customHeight="1" x14ac:dyDescent="0.15">
      <c r="A39" s="20">
        <v>42039</v>
      </c>
      <c r="B39" s="14" t="s">
        <v>36</v>
      </c>
      <c r="C39" s="15">
        <v>61200</v>
      </c>
      <c r="D39" s="16">
        <v>19870</v>
      </c>
      <c r="E39" s="16">
        <v>82012</v>
      </c>
      <c r="F39" s="17">
        <v>4271</v>
      </c>
      <c r="G39" s="18">
        <v>2545</v>
      </c>
      <c r="H39" s="19"/>
      <c r="I39" s="19"/>
      <c r="J39" s="32">
        <f t="shared" si="0"/>
        <v>62142</v>
      </c>
      <c r="K39" s="33">
        <f t="shared" si="1"/>
        <v>150</v>
      </c>
      <c r="L39" s="33">
        <v>792</v>
      </c>
      <c r="M39" s="77">
        <f t="shared" si="5"/>
        <v>256800</v>
      </c>
      <c r="N39" s="78">
        <f t="shared" si="5"/>
        <v>81550</v>
      </c>
      <c r="O39" s="78">
        <f t="shared" si="5"/>
        <v>343066</v>
      </c>
      <c r="P39" s="77">
        <f t="shared" si="6"/>
        <v>2365679</v>
      </c>
      <c r="Q39" s="77">
        <f t="shared" si="6"/>
        <v>735765</v>
      </c>
      <c r="R39" s="77">
        <f t="shared" si="6"/>
        <v>3137693</v>
      </c>
      <c r="S39" s="82">
        <f>M39/'[21]2014'!M39-1</f>
        <v>2.8784510360659699</v>
      </c>
      <c r="T39" s="82">
        <f>N39/'[21]2014'!N39-1</f>
        <v>0.65097681951614539</v>
      </c>
      <c r="U39" s="82">
        <f>O39/'[21]2014'!O39-1</f>
        <v>1.8771532565121856</v>
      </c>
      <c r="V39" s="82">
        <f>P39/'[21]2014'!P39-1</f>
        <v>0.49313449943226684</v>
      </c>
      <c r="W39" s="82">
        <f>Q39/'[21]2014'!Q39-1</f>
        <v>0.11319734169506646</v>
      </c>
      <c r="X39" s="82">
        <f>R39/'[21]2014'!R39-1</f>
        <v>0.37617812241639825</v>
      </c>
      <c r="Y39" s="33"/>
      <c r="Z39" s="33"/>
      <c r="AA39" s="33"/>
      <c r="AB39" s="33"/>
    </row>
    <row r="40" spans="1:29" ht="15" customHeight="1" x14ac:dyDescent="0.15">
      <c r="A40" s="20">
        <v>42040</v>
      </c>
      <c r="B40" s="20" t="s">
        <v>37</v>
      </c>
      <c r="C40" s="66">
        <v>58700</v>
      </c>
      <c r="D40" s="67">
        <v>19800</v>
      </c>
      <c r="E40" s="67">
        <v>79814</v>
      </c>
      <c r="F40" s="68">
        <v>4059</v>
      </c>
      <c r="G40" s="69">
        <v>2464</v>
      </c>
      <c r="H40" s="24">
        <v>1046</v>
      </c>
      <c r="I40" s="24"/>
      <c r="J40" s="70">
        <f t="shared" si="0"/>
        <v>60014</v>
      </c>
      <c r="K40" s="71">
        <f t="shared" si="1"/>
        <v>523</v>
      </c>
      <c r="L40" s="71">
        <v>791</v>
      </c>
      <c r="M40" s="72">
        <f t="shared" si="5"/>
        <v>315500</v>
      </c>
      <c r="N40" s="73">
        <f t="shared" si="5"/>
        <v>101350</v>
      </c>
      <c r="O40" s="73">
        <f t="shared" si="5"/>
        <v>422880</v>
      </c>
      <c r="P40" s="72">
        <f t="shared" si="6"/>
        <v>2424379</v>
      </c>
      <c r="Q40" s="72">
        <f t="shared" si="6"/>
        <v>755565</v>
      </c>
      <c r="R40" s="72">
        <f t="shared" si="6"/>
        <v>3217507</v>
      </c>
      <c r="S40" s="79">
        <f>M40/'[21]2014'!M40-1</f>
        <v>2.5777871018223468</v>
      </c>
      <c r="T40" s="79">
        <f>N40/'[21]2014'!N40-1</f>
        <v>0.64620082513075405</v>
      </c>
      <c r="U40" s="79">
        <f>O40/'[21]2014'!O40-1</f>
        <v>1.7377252952144189</v>
      </c>
      <c r="V40" s="79">
        <f>P40/'[21]2014'!P40-1</f>
        <v>0.50925456720922435</v>
      </c>
      <c r="W40" s="79">
        <f>Q40/'[21]2014'!Q40-1</f>
        <v>0.12248437682220881</v>
      </c>
      <c r="X40" s="79">
        <f>R40/'[21]2014'!R40-1</f>
        <v>0.38971316469069395</v>
      </c>
      <c r="Y40" s="71">
        <f>Y35+0.32*5</f>
        <v>11.9177</v>
      </c>
      <c r="Z40" s="71">
        <f>P40/10000-Y40</f>
        <v>230.52020000000002</v>
      </c>
      <c r="AA40" s="85">
        <v>3890.0920000000001</v>
      </c>
      <c r="AB40" s="71">
        <f>Z40*10000/AA40</f>
        <v>592.58290035299933</v>
      </c>
    </row>
    <row r="41" spans="1:29" ht="15" customHeight="1" x14ac:dyDescent="0.15">
      <c r="A41" s="20">
        <v>42041</v>
      </c>
      <c r="B41" s="20" t="s">
        <v>38</v>
      </c>
      <c r="C41" s="21">
        <v>56980</v>
      </c>
      <c r="D41" s="7">
        <v>19200</v>
      </c>
      <c r="E41" s="7">
        <v>77500</v>
      </c>
      <c r="F41" s="22">
        <v>3996</v>
      </c>
      <c r="G41" s="23">
        <v>2440</v>
      </c>
      <c r="H41" s="24">
        <v>938</v>
      </c>
      <c r="I41" s="36">
        <v>640</v>
      </c>
      <c r="J41" s="8">
        <f t="shared" si="0"/>
        <v>58300</v>
      </c>
      <c r="K41" s="37">
        <f t="shared" si="1"/>
        <v>528</v>
      </c>
      <c r="L41" s="37">
        <v>792</v>
      </c>
      <c r="M41" s="74">
        <f t="shared" si="5"/>
        <v>372480</v>
      </c>
      <c r="N41" s="75">
        <f t="shared" si="5"/>
        <v>120550</v>
      </c>
      <c r="O41" s="75">
        <f t="shared" si="5"/>
        <v>500380</v>
      </c>
      <c r="P41" s="76">
        <f t="shared" si="6"/>
        <v>2481359</v>
      </c>
      <c r="Q41" s="76">
        <f t="shared" si="6"/>
        <v>774765</v>
      </c>
      <c r="R41" s="76">
        <f t="shared" si="6"/>
        <v>3295007</v>
      </c>
      <c r="S41" s="80">
        <f>M41/'[21]2014'!M41-1</f>
        <v>2.3471419713702901</v>
      </c>
      <c r="T41" s="80">
        <f>N41/'[21]2014'!N41-1</f>
        <v>0.62409398324037402</v>
      </c>
      <c r="U41" s="80">
        <f>O41/'[21]2014'!O41-1</f>
        <v>1.6183374671648196</v>
      </c>
      <c r="V41" s="81">
        <f>P41/'[21]2014'!P41-1</f>
        <v>0.52282744645099366</v>
      </c>
      <c r="W41" s="81">
        <f>Q41/'[21]2014'!Q41-1</f>
        <v>0.12975982769946848</v>
      </c>
      <c r="X41" s="81">
        <f>R41/'[21]2014'!R41-1</f>
        <v>0.40101400033080026</v>
      </c>
      <c r="Y41" s="37"/>
      <c r="Z41" s="37"/>
      <c r="AA41" s="37"/>
      <c r="AB41" s="37"/>
    </row>
    <row r="42" spans="1:29" ht="15" customHeight="1" x14ac:dyDescent="0.15">
      <c r="A42" s="20">
        <v>42042</v>
      </c>
      <c r="B42" s="20" t="s">
        <v>39</v>
      </c>
      <c r="C42" s="21">
        <v>58200</v>
      </c>
      <c r="D42" s="7">
        <v>18066</v>
      </c>
      <c r="E42" s="7">
        <v>77400</v>
      </c>
      <c r="F42" s="22">
        <v>3594</v>
      </c>
      <c r="G42" s="23">
        <v>2337</v>
      </c>
      <c r="H42" s="24"/>
      <c r="I42" s="36"/>
      <c r="J42" s="8">
        <f t="shared" si="0"/>
        <v>59334</v>
      </c>
      <c r="K42" s="37">
        <f t="shared" si="1"/>
        <v>342</v>
      </c>
      <c r="L42" s="37">
        <v>792</v>
      </c>
      <c r="M42" s="74">
        <f t="shared" si="5"/>
        <v>430680</v>
      </c>
      <c r="N42" s="75">
        <f t="shared" si="5"/>
        <v>138616</v>
      </c>
      <c r="O42" s="75">
        <f t="shared" si="5"/>
        <v>577780</v>
      </c>
      <c r="P42" s="76">
        <f t="shared" si="6"/>
        <v>2539559</v>
      </c>
      <c r="Q42" s="76">
        <f t="shared" si="6"/>
        <v>792831</v>
      </c>
      <c r="R42" s="76">
        <f t="shared" si="6"/>
        <v>3372407</v>
      </c>
      <c r="S42" s="80">
        <f>M42/'[21]2014'!M42-1</f>
        <v>2.1308519918580981</v>
      </c>
      <c r="T42" s="80">
        <f>N42/'[21]2014'!N42-1</f>
        <v>0.5658224702347332</v>
      </c>
      <c r="U42" s="80">
        <f>O42/'[21]2014'!O42-1</f>
        <v>1.4789658175764675</v>
      </c>
      <c r="V42" s="81">
        <f>P42/'[21]2014'!P42-1</f>
        <v>0.5338103869074402</v>
      </c>
      <c r="W42" s="81">
        <f>Q42/'[21]2014'!Q42-1</f>
        <v>0.13248871376567051</v>
      </c>
      <c r="X42" s="81">
        <f>R42/'[21]2014'!R42-1</f>
        <v>0.40878546602947563</v>
      </c>
      <c r="Y42" s="37"/>
      <c r="Z42" s="37"/>
      <c r="AA42" s="37"/>
      <c r="AB42" s="37"/>
    </row>
    <row r="43" spans="1:29" ht="15" customHeight="1" x14ac:dyDescent="0.15">
      <c r="A43" s="20">
        <v>42043</v>
      </c>
      <c r="B43" s="20" t="s">
        <v>1</v>
      </c>
      <c r="C43" s="21">
        <v>44400</v>
      </c>
      <c r="D43" s="7">
        <v>20200</v>
      </c>
      <c r="E43" s="7">
        <v>65800</v>
      </c>
      <c r="F43" s="22">
        <v>3236</v>
      </c>
      <c r="G43" s="23">
        <v>2116</v>
      </c>
      <c r="H43" s="24"/>
      <c r="I43" s="36"/>
      <c r="J43" s="8">
        <f t="shared" si="0"/>
        <v>45600</v>
      </c>
      <c r="K43" s="37">
        <f t="shared" si="1"/>
        <v>408</v>
      </c>
      <c r="L43" s="37">
        <v>792</v>
      </c>
      <c r="M43" s="74">
        <f t="shared" si="5"/>
        <v>475080</v>
      </c>
      <c r="N43" s="75">
        <f t="shared" si="5"/>
        <v>158816</v>
      </c>
      <c r="O43" s="75">
        <f t="shared" si="5"/>
        <v>643580</v>
      </c>
      <c r="P43" s="76">
        <f t="shared" si="6"/>
        <v>2583959</v>
      </c>
      <c r="Q43" s="76">
        <f t="shared" si="6"/>
        <v>813031</v>
      </c>
      <c r="R43" s="76">
        <f t="shared" si="6"/>
        <v>3438207</v>
      </c>
      <c r="S43" s="80">
        <f>M43/'[21]2014'!M43-1</f>
        <v>1.7776121235507691</v>
      </c>
      <c r="T43" s="80">
        <f>N43/'[21]2014'!N43-1</f>
        <v>0.5726380623248537</v>
      </c>
      <c r="U43" s="80">
        <f>O43/'[21]2014'!O43-1</f>
        <v>1.2909888294804888</v>
      </c>
      <c r="V43" s="81">
        <f>P43/'[21]2014'!P43-1</f>
        <v>0.5296957491069727</v>
      </c>
      <c r="W43" s="81">
        <f>Q43/'[21]2014'!Q43-1</f>
        <v>0.14103288308928841</v>
      </c>
      <c r="X43" s="81">
        <f>R43/'[21]2014'!R43-1</f>
        <v>0.40812881268468293</v>
      </c>
      <c r="Y43" s="37"/>
      <c r="Z43" s="37"/>
      <c r="AA43" s="37"/>
      <c r="AB43" s="37"/>
    </row>
    <row r="44" spans="1:29" ht="15" customHeight="1" x14ac:dyDescent="0.15">
      <c r="A44" s="20">
        <v>42044</v>
      </c>
      <c r="B44" s="20" t="s">
        <v>34</v>
      </c>
      <c r="C44" s="21">
        <v>43800</v>
      </c>
      <c r="D44" s="7">
        <v>21400</v>
      </c>
      <c r="E44" s="7">
        <v>66900</v>
      </c>
      <c r="F44" s="22">
        <v>3400</v>
      </c>
      <c r="G44" s="23">
        <v>2034</v>
      </c>
      <c r="H44" s="24"/>
      <c r="I44" s="36"/>
      <c r="J44" s="8">
        <f t="shared" si="0"/>
        <v>45500</v>
      </c>
      <c r="K44" s="37">
        <f t="shared" si="1"/>
        <v>908</v>
      </c>
      <c r="L44" s="37">
        <v>792</v>
      </c>
      <c r="M44" s="74">
        <f t="shared" si="5"/>
        <v>518880</v>
      </c>
      <c r="N44" s="75">
        <f t="shared" si="5"/>
        <v>180216</v>
      </c>
      <c r="O44" s="75">
        <f t="shared" si="5"/>
        <v>710480</v>
      </c>
      <c r="P44" s="76">
        <f t="shared" si="6"/>
        <v>2627759</v>
      </c>
      <c r="Q44" s="76">
        <f t="shared" si="6"/>
        <v>834431</v>
      </c>
      <c r="R44" s="76">
        <f t="shared" si="6"/>
        <v>3505107</v>
      </c>
      <c r="S44" s="80">
        <f>M44/'[21]2014'!M44-1</f>
        <v>1.4654331898394961</v>
      </c>
      <c r="T44" s="80">
        <f>N44/'[21]2014'!N44-1</f>
        <v>0.58003822616563494</v>
      </c>
      <c r="U44" s="80">
        <f>O44/'[21]2014'!O44-1</f>
        <v>1.1251749841467356</v>
      </c>
      <c r="V44" s="81">
        <f>P44/'[21]2014'!P44-1</f>
        <v>0.52014756271039175</v>
      </c>
      <c r="W44" s="81">
        <f>Q44/'[21]2014'!Q44-1</f>
        <v>0.14997095549196149</v>
      </c>
      <c r="X44" s="81">
        <f>R44/'[21]2014'!R44-1</f>
        <v>0.40480577199235457</v>
      </c>
      <c r="Y44" s="37"/>
      <c r="Z44" s="37"/>
      <c r="AA44" s="37"/>
      <c r="AB44" s="37"/>
    </row>
    <row r="45" spans="1:29" ht="15" customHeight="1" x14ac:dyDescent="0.15">
      <c r="A45" s="20">
        <v>42045</v>
      </c>
      <c r="B45" s="20" t="s">
        <v>35</v>
      </c>
      <c r="C45" s="21">
        <v>39700</v>
      </c>
      <c r="D45" s="7">
        <v>21300</v>
      </c>
      <c r="E45" s="7">
        <v>62000</v>
      </c>
      <c r="F45" s="22">
        <v>3186</v>
      </c>
      <c r="G45" s="23">
        <v>2018</v>
      </c>
      <c r="H45" s="24"/>
      <c r="I45" s="36"/>
      <c r="J45" s="8">
        <f t="shared" si="0"/>
        <v>40700</v>
      </c>
      <c r="K45" s="37">
        <f t="shared" si="1"/>
        <v>208</v>
      </c>
      <c r="L45" s="37">
        <v>792</v>
      </c>
      <c r="M45" s="74">
        <f t="shared" si="5"/>
        <v>558580</v>
      </c>
      <c r="N45" s="75">
        <f t="shared" si="5"/>
        <v>201516</v>
      </c>
      <c r="O45" s="75">
        <f t="shared" si="5"/>
        <v>772480</v>
      </c>
      <c r="P45" s="76">
        <f t="shared" si="6"/>
        <v>2667459</v>
      </c>
      <c r="Q45" s="76">
        <f t="shared" si="6"/>
        <v>855731</v>
      </c>
      <c r="R45" s="76">
        <f t="shared" si="6"/>
        <v>3567107</v>
      </c>
      <c r="S45" s="80">
        <f>M45/'[21]2014'!M45-1</f>
        <v>1.1838085091826063</v>
      </c>
      <c r="T45" s="80">
        <f>N45/'[21]2014'!N45-1</f>
        <v>0.57927899686520368</v>
      </c>
      <c r="U45" s="80">
        <f>O45/'[21]2014'!O45-1</f>
        <v>0.95823837638189291</v>
      </c>
      <c r="V45" s="81">
        <f>P45/'[21]2014'!P45-1</f>
        <v>0.50369051065099946</v>
      </c>
      <c r="W45" s="81">
        <f>Q45/'[21]2014'!Q45-1</f>
        <v>0.15771914456083147</v>
      </c>
      <c r="X45" s="81">
        <f>R45/'[21]2014'!R45-1</f>
        <v>0.39599466821955165</v>
      </c>
      <c r="Y45" s="37">
        <v>13.199400000000001</v>
      </c>
      <c r="Z45" s="37">
        <f>P45/10000-Y45</f>
        <v>253.54650000000001</v>
      </c>
      <c r="AA45" s="37">
        <v>3890.0920000000001</v>
      </c>
      <c r="AB45" s="37">
        <f>Z45*10000/AA45</f>
        <v>651.7750737000564</v>
      </c>
    </row>
    <row r="46" spans="1:29" ht="15" customHeight="1" x14ac:dyDescent="0.15">
      <c r="A46" s="20">
        <v>42046</v>
      </c>
      <c r="B46" s="14" t="s">
        <v>36</v>
      </c>
      <c r="C46" s="15">
        <v>34400</v>
      </c>
      <c r="D46" s="16">
        <v>20800</v>
      </c>
      <c r="E46" s="16">
        <v>56600</v>
      </c>
      <c r="F46" s="17">
        <v>2873</v>
      </c>
      <c r="G46" s="18">
        <v>1854</v>
      </c>
      <c r="H46" s="19"/>
      <c r="I46" s="19"/>
      <c r="J46" s="32">
        <f t="shared" si="0"/>
        <v>35800</v>
      </c>
      <c r="K46" s="33">
        <f t="shared" si="1"/>
        <v>608</v>
      </c>
      <c r="L46" s="33">
        <v>792</v>
      </c>
      <c r="M46" s="77">
        <f t="shared" si="5"/>
        <v>592980</v>
      </c>
      <c r="N46" s="78">
        <f t="shared" si="5"/>
        <v>222316</v>
      </c>
      <c r="O46" s="78">
        <f t="shared" si="5"/>
        <v>829080</v>
      </c>
      <c r="P46" s="77">
        <f t="shared" si="6"/>
        <v>2701859</v>
      </c>
      <c r="Q46" s="77">
        <f t="shared" si="6"/>
        <v>876531</v>
      </c>
      <c r="R46" s="77">
        <f t="shared" si="6"/>
        <v>3623707</v>
      </c>
      <c r="S46" s="82">
        <f>M46/'[21]2014'!M46-1</f>
        <v>0.95357065789452</v>
      </c>
      <c r="T46" s="82">
        <f>N46/'[21]2014'!N46-1</f>
        <v>0.55068844774911763</v>
      </c>
      <c r="U46" s="82">
        <f>O46/'[21]2014'!O46-1</f>
        <v>0.80680986087381013</v>
      </c>
      <c r="V46" s="82">
        <f>P46/'[21]2014'!P46-1</f>
        <v>0.48315621353843174</v>
      </c>
      <c r="W46" s="82">
        <f>Q46/'[21]2014'!Q46-1</f>
        <v>0.16109354850887869</v>
      </c>
      <c r="X46" s="82">
        <f>R46/'[21]2014'!R46-1</f>
        <v>0.38328909682317858</v>
      </c>
      <c r="Y46" s="33"/>
      <c r="Z46" s="33"/>
      <c r="AA46" s="33"/>
      <c r="AB46" s="33"/>
    </row>
    <row r="47" spans="1:29" ht="15" customHeight="1" x14ac:dyDescent="0.15">
      <c r="A47" s="20">
        <v>42047</v>
      </c>
      <c r="B47" s="20" t="s">
        <v>37</v>
      </c>
      <c r="C47" s="66">
        <v>28300</v>
      </c>
      <c r="D47" s="67">
        <v>21000</v>
      </c>
      <c r="E47" s="67">
        <v>50400</v>
      </c>
      <c r="F47" s="68">
        <v>2509</v>
      </c>
      <c r="G47" s="69">
        <v>1650</v>
      </c>
      <c r="H47" s="24"/>
      <c r="I47" s="24"/>
      <c r="J47" s="70">
        <f t="shared" si="0"/>
        <v>29400</v>
      </c>
      <c r="K47" s="71">
        <f t="shared" si="1"/>
        <v>309</v>
      </c>
      <c r="L47" s="71">
        <v>791</v>
      </c>
      <c r="M47" s="72">
        <f t="shared" si="5"/>
        <v>621280</v>
      </c>
      <c r="N47" s="73">
        <f t="shared" si="5"/>
        <v>243316</v>
      </c>
      <c r="O47" s="73">
        <f t="shared" si="5"/>
        <v>879480</v>
      </c>
      <c r="P47" s="72">
        <f t="shared" si="6"/>
        <v>2730159</v>
      </c>
      <c r="Q47" s="72">
        <f t="shared" si="6"/>
        <v>897531</v>
      </c>
      <c r="R47" s="72">
        <f t="shared" si="6"/>
        <v>3674107</v>
      </c>
      <c r="S47" s="79">
        <f>M47/'[21]2014'!M47-1</f>
        <v>0.7497025297294253</v>
      </c>
      <c r="T47" s="79">
        <f>N47/'[21]2014'!N47-1</f>
        <v>0.52137158292274211</v>
      </c>
      <c r="U47" s="79">
        <f>O47/'[21]2014'!O47-1</f>
        <v>0.66471703898876777</v>
      </c>
      <c r="V47" s="79">
        <f>P47/'[21]2014'!P47-1</f>
        <v>0.45745558556007215</v>
      </c>
      <c r="W47" s="79">
        <f>Q47/'[21]2014'!Q47-1</f>
        <v>0.16338176593308096</v>
      </c>
      <c r="X47" s="79">
        <f>R47/'[21]2014'!R47-1</f>
        <v>0.36630987704684848</v>
      </c>
      <c r="Y47" s="71">
        <f>Y45+0.2*2</f>
        <v>13.599400000000001</v>
      </c>
      <c r="Z47" s="71">
        <f>P47/10000-Y47</f>
        <v>259.41649999999998</v>
      </c>
      <c r="AA47" s="85">
        <v>3890.0920000000001</v>
      </c>
      <c r="AB47" s="71">
        <f>Z47*10000/AA47</f>
        <v>666.86469111784504</v>
      </c>
    </row>
    <row r="48" spans="1:29" ht="15" customHeight="1" x14ac:dyDescent="0.15">
      <c r="A48" s="20">
        <v>42048</v>
      </c>
      <c r="B48" s="20" t="s">
        <v>38</v>
      </c>
      <c r="C48" s="21">
        <v>24500</v>
      </c>
      <c r="D48" s="7">
        <v>20500</v>
      </c>
      <c r="E48" s="7">
        <v>46700</v>
      </c>
      <c r="F48" s="22">
        <v>2330</v>
      </c>
      <c r="G48" s="23">
        <v>1543</v>
      </c>
      <c r="H48" s="24"/>
      <c r="I48" s="36"/>
      <c r="J48" s="8">
        <f t="shared" si="0"/>
        <v>26200</v>
      </c>
      <c r="K48" s="37">
        <f t="shared" si="1"/>
        <v>908</v>
      </c>
      <c r="L48" s="37">
        <v>792</v>
      </c>
      <c r="M48" s="74">
        <f t="shared" si="5"/>
        <v>645780</v>
      </c>
      <c r="N48" s="75">
        <f t="shared" si="5"/>
        <v>263816</v>
      </c>
      <c r="O48" s="75">
        <f t="shared" si="5"/>
        <v>926180</v>
      </c>
      <c r="P48" s="76">
        <f t="shared" si="6"/>
        <v>2754659</v>
      </c>
      <c r="Q48" s="76">
        <f t="shared" si="6"/>
        <v>918031</v>
      </c>
      <c r="R48" s="76">
        <f t="shared" si="6"/>
        <v>3720807</v>
      </c>
      <c r="S48" s="80">
        <f>M48/'[21]2014'!M48-1</f>
        <v>0.58038673931743689</v>
      </c>
      <c r="T48" s="80">
        <f>N48/'[21]2014'!N48-1</f>
        <v>0.49340518754174822</v>
      </c>
      <c r="U48" s="80">
        <f>O48/'[21]2014'!O48-1</f>
        <v>0.54463992368360037</v>
      </c>
      <c r="V48" s="81">
        <f>P48/'[21]2014'!P48-1</f>
        <v>0.42966933701062482</v>
      </c>
      <c r="W48" s="81">
        <f>Q48/'[21]2014'!Q48-1</f>
        <v>0.16470874066631014</v>
      </c>
      <c r="X48" s="81">
        <f>R48/'[21]2014'!R48-1</f>
        <v>0.34793484655713569</v>
      </c>
      <c r="Y48" s="37"/>
      <c r="Z48" s="37"/>
      <c r="AA48" s="37"/>
      <c r="AB48" s="37"/>
    </row>
    <row r="49" spans="1:28" s="2" customFormat="1" ht="15" customHeight="1" x14ac:dyDescent="0.15">
      <c r="A49" s="20">
        <v>42049</v>
      </c>
      <c r="B49" s="20" t="s">
        <v>39</v>
      </c>
      <c r="C49" s="21">
        <v>23000</v>
      </c>
      <c r="D49" s="7">
        <v>15800</v>
      </c>
      <c r="E49" s="7">
        <v>40071</v>
      </c>
      <c r="F49" s="22">
        <v>1999</v>
      </c>
      <c r="G49" s="23">
        <v>1394</v>
      </c>
      <c r="H49" s="24"/>
      <c r="I49" s="36"/>
      <c r="J49" s="8">
        <f t="shared" si="0"/>
        <v>24271</v>
      </c>
      <c r="K49" s="37">
        <f t="shared" si="1"/>
        <v>479</v>
      </c>
      <c r="L49" s="37">
        <v>792</v>
      </c>
      <c r="M49" s="74">
        <f t="shared" si="5"/>
        <v>668780</v>
      </c>
      <c r="N49" s="75">
        <f t="shared" si="5"/>
        <v>279616</v>
      </c>
      <c r="O49" s="75">
        <f t="shared" si="5"/>
        <v>966251</v>
      </c>
      <c r="P49" s="76">
        <f t="shared" si="6"/>
        <v>2777659</v>
      </c>
      <c r="Q49" s="76">
        <f t="shared" si="6"/>
        <v>933831</v>
      </c>
      <c r="R49" s="76">
        <f t="shared" si="6"/>
        <v>3760878</v>
      </c>
      <c r="S49" s="80">
        <f>M49/'[21]2014'!M49-1</f>
        <v>0.45842396963561205</v>
      </c>
      <c r="T49" s="80">
        <f>N49/'[21]2014'!N49-1</f>
        <v>0.43441369899555737</v>
      </c>
      <c r="U49" s="80">
        <f>O49/'[21]2014'!O49-1</f>
        <v>0.44483970333153899</v>
      </c>
      <c r="V49" s="81">
        <f>P49/'[21]2014'!P49-1</f>
        <v>0.40518408628424063</v>
      </c>
      <c r="W49" s="81">
        <f>Q49/'[21]2014'!Q49-1</f>
        <v>0.15790034923089236</v>
      </c>
      <c r="X49" s="81">
        <f>R49/'[21]2014'!R49-1</f>
        <v>0.32915430741604523</v>
      </c>
      <c r="Y49" s="37"/>
      <c r="Z49" s="37"/>
      <c r="AA49" s="37"/>
      <c r="AB49" s="37"/>
    </row>
    <row r="50" spans="1:28" s="2" customFormat="1" ht="15" customHeight="1" x14ac:dyDescent="0.15">
      <c r="A50" s="20">
        <v>42050</v>
      </c>
      <c r="B50" s="20" t="s">
        <v>1</v>
      </c>
      <c r="C50" s="21">
        <v>18283</v>
      </c>
      <c r="D50" s="7">
        <v>18812</v>
      </c>
      <c r="E50" s="7">
        <v>38136</v>
      </c>
      <c r="F50" s="22">
        <v>1875.6</v>
      </c>
      <c r="G50" s="23">
        <v>1231.4000000000001</v>
      </c>
      <c r="H50" s="24"/>
      <c r="I50" s="36"/>
      <c r="J50" s="8">
        <f t="shared" si="0"/>
        <v>19324</v>
      </c>
      <c r="K50" s="37">
        <f t="shared" si="1"/>
        <v>250</v>
      </c>
      <c r="L50" s="37">
        <v>791</v>
      </c>
      <c r="M50" s="74">
        <f t="shared" si="5"/>
        <v>687063</v>
      </c>
      <c r="N50" s="75">
        <f t="shared" si="5"/>
        <v>298428</v>
      </c>
      <c r="O50" s="75">
        <f t="shared" si="5"/>
        <v>1004387</v>
      </c>
      <c r="P50" s="76">
        <f t="shared" si="6"/>
        <v>2795942</v>
      </c>
      <c r="Q50" s="76">
        <f t="shared" si="6"/>
        <v>952643</v>
      </c>
      <c r="R50" s="76">
        <f t="shared" si="6"/>
        <v>3799014</v>
      </c>
      <c r="S50" s="80">
        <f>M50/'[21]2014'!M50-1</f>
        <v>0.34496579656468107</v>
      </c>
      <c r="T50" s="80">
        <f>N50/'[21]2014'!N50-1</f>
        <v>0.41113386072507696</v>
      </c>
      <c r="U50" s="80">
        <f>O50/'[21]2014'!O50-1</f>
        <v>0.36010654576674228</v>
      </c>
      <c r="V50" s="81">
        <f>P50/'[21]2014'!P50-1</f>
        <v>0.37799048250135114</v>
      </c>
      <c r="W50" s="81">
        <f>Q50/'[21]2014'!Q50-1</f>
        <v>0.15747779403876017</v>
      </c>
      <c r="X50" s="81">
        <f>R50/'[21]2014'!R50-1</f>
        <v>0.31035320079924689</v>
      </c>
      <c r="Y50" s="37"/>
      <c r="Z50" s="37"/>
      <c r="AA50" s="37"/>
      <c r="AB50" s="37"/>
    </row>
    <row r="51" spans="1:28" s="2" customFormat="1" ht="15" customHeight="1" x14ac:dyDescent="0.15">
      <c r="A51" s="20">
        <v>42051</v>
      </c>
      <c r="B51" s="20" t="s">
        <v>34</v>
      </c>
      <c r="C51" s="21">
        <v>16554</v>
      </c>
      <c r="D51" s="7">
        <v>17501</v>
      </c>
      <c r="E51" s="7">
        <v>34890</v>
      </c>
      <c r="F51" s="22">
        <v>1744.4</v>
      </c>
      <c r="G51" s="23">
        <v>1122.0999999999999</v>
      </c>
      <c r="H51" s="24"/>
      <c r="I51" s="36"/>
      <c r="J51" s="8">
        <f t="shared" si="0"/>
        <v>17389</v>
      </c>
      <c r="K51" s="37">
        <f t="shared" si="1"/>
        <v>43</v>
      </c>
      <c r="L51" s="37">
        <v>792</v>
      </c>
      <c r="M51" s="74">
        <f t="shared" si="5"/>
        <v>703617</v>
      </c>
      <c r="N51" s="75">
        <f t="shared" si="5"/>
        <v>315929</v>
      </c>
      <c r="O51" s="75">
        <f t="shared" si="5"/>
        <v>1039277</v>
      </c>
      <c r="P51" s="76">
        <f t="shared" si="6"/>
        <v>2812496</v>
      </c>
      <c r="Q51" s="76">
        <f t="shared" si="6"/>
        <v>970144</v>
      </c>
      <c r="R51" s="76">
        <f t="shared" si="6"/>
        <v>3833904</v>
      </c>
      <c r="S51" s="80">
        <f>M51/'[21]2014'!M51-1</f>
        <v>0.2465035940634841</v>
      </c>
      <c r="T51" s="80">
        <f>N51/'[21]2014'!N51-1</f>
        <v>0.38847918571127216</v>
      </c>
      <c r="U51" s="80">
        <f>O51/'[21]2014'!O51-1</f>
        <v>0.28464400494437569</v>
      </c>
      <c r="V51" s="81">
        <f>P51/'[21]2014'!P51-1</f>
        <v>0.3504530206135843</v>
      </c>
      <c r="W51" s="81">
        <f>Q51/'[21]2014'!Q51-1</f>
        <v>0.15618793488410332</v>
      </c>
      <c r="X51" s="81">
        <f>R51/'[21]2014'!R51-1</f>
        <v>0.29097804642586445</v>
      </c>
      <c r="Y51" s="37"/>
      <c r="Z51" s="37"/>
      <c r="AA51" s="37"/>
      <c r="AB51" s="37"/>
    </row>
    <row r="52" spans="1:28" s="2" customFormat="1" ht="15" customHeight="1" x14ac:dyDescent="0.15">
      <c r="A52" s="20">
        <v>42052</v>
      </c>
      <c r="B52" s="20" t="s">
        <v>35</v>
      </c>
      <c r="C52" s="21">
        <v>17514</v>
      </c>
      <c r="D52" s="7">
        <v>15507</v>
      </c>
      <c r="E52" s="7">
        <v>34017</v>
      </c>
      <c r="F52" s="22">
        <v>1761.6</v>
      </c>
      <c r="G52" s="23">
        <v>1074.4000000000001</v>
      </c>
      <c r="H52" s="24"/>
      <c r="I52" s="36"/>
      <c r="J52" s="8">
        <f t="shared" si="0"/>
        <v>18510</v>
      </c>
      <c r="K52" s="37">
        <f t="shared" si="1"/>
        <v>202</v>
      </c>
      <c r="L52" s="37">
        <v>794</v>
      </c>
      <c r="M52" s="74">
        <f t="shared" si="5"/>
        <v>721131</v>
      </c>
      <c r="N52" s="75">
        <f t="shared" si="5"/>
        <v>331436</v>
      </c>
      <c r="O52" s="75">
        <f t="shared" si="5"/>
        <v>1073294</v>
      </c>
      <c r="P52" s="76">
        <f t="shared" si="6"/>
        <v>2830010</v>
      </c>
      <c r="Q52" s="76">
        <f t="shared" si="6"/>
        <v>985651</v>
      </c>
      <c r="R52" s="76">
        <f t="shared" si="6"/>
        <v>3867921</v>
      </c>
      <c r="S52" s="80">
        <f>M52/'[21]2014'!M52-1</f>
        <v>0.15955263227714234</v>
      </c>
      <c r="T52" s="80">
        <f>N52/'[21]2014'!N52-1</f>
        <v>0.36533882595262623</v>
      </c>
      <c r="U52" s="80">
        <f>O52/'[21]2014'!O52-1</f>
        <v>0.21596568585243836</v>
      </c>
      <c r="V52" s="81">
        <f>P52/'[21]2014'!P52-1</f>
        <v>0.32239534013827154</v>
      </c>
      <c r="W52" s="81">
        <f>Q52/'[21]2014'!Q52-1</f>
        <v>0.15374940375335444</v>
      </c>
      <c r="X52" s="81">
        <f>R52/'[21]2014'!R52-1</f>
        <v>0.27090639359802338</v>
      </c>
      <c r="Y52" s="37"/>
      <c r="Z52" s="37"/>
      <c r="AA52" s="37"/>
      <c r="AB52" s="37"/>
    </row>
    <row r="53" spans="1:28" s="2" customFormat="1" ht="15" customHeight="1" x14ac:dyDescent="0.15">
      <c r="A53" s="13">
        <v>42053</v>
      </c>
      <c r="B53" s="14" t="s">
        <v>36</v>
      </c>
      <c r="C53" s="15">
        <v>20223</v>
      </c>
      <c r="D53" s="16">
        <v>12480</v>
      </c>
      <c r="E53" s="16">
        <v>33380</v>
      </c>
      <c r="F53" s="17">
        <v>1813.7</v>
      </c>
      <c r="G53" s="18">
        <v>1038.4000000000001</v>
      </c>
      <c r="H53" s="19"/>
      <c r="I53" s="19"/>
      <c r="J53" s="32">
        <f t="shared" si="0"/>
        <v>20900</v>
      </c>
      <c r="K53" s="33">
        <f t="shared" si="1"/>
        <v>75</v>
      </c>
      <c r="L53" s="33">
        <v>602</v>
      </c>
      <c r="M53" s="77">
        <f t="shared" ref="M53:O63" si="7">M52+C53</f>
        <v>741354</v>
      </c>
      <c r="N53" s="78">
        <f t="shared" si="7"/>
        <v>343916</v>
      </c>
      <c r="O53" s="78">
        <f t="shared" si="7"/>
        <v>1106674</v>
      </c>
      <c r="P53" s="77">
        <f t="shared" si="6"/>
        <v>2850233</v>
      </c>
      <c r="Q53" s="77">
        <f t="shared" si="6"/>
        <v>998131</v>
      </c>
      <c r="R53" s="77">
        <f t="shared" si="6"/>
        <v>3901301</v>
      </c>
      <c r="S53" s="82">
        <f>M53/'[21]2014'!M53-1</f>
        <v>8.7097069832064333E-2</v>
      </c>
      <c r="T53" s="82">
        <f>N53/'[21]2014'!N53-1</f>
        <v>0.32606390567223564</v>
      </c>
      <c r="U53" s="82">
        <f>O53/'[21]2014'!O53-1</f>
        <v>0.15162299720386407</v>
      </c>
      <c r="V53" s="82">
        <f>P53/'[21]2014'!P53-1</f>
        <v>0.29549185236327258</v>
      </c>
      <c r="W53" s="82">
        <f>Q53/'[21]2014'!Q53-1</f>
        <v>0.14608679377221478</v>
      </c>
      <c r="X53" s="82">
        <f>R53/'[21]2014'!R53-1</f>
        <v>0.24972162924731633</v>
      </c>
      <c r="Y53" s="33"/>
      <c r="Z53" s="33"/>
      <c r="AA53" s="33"/>
      <c r="AB53" s="33"/>
    </row>
    <row r="54" spans="1:28" s="2" customFormat="1" ht="15" customHeight="1" x14ac:dyDescent="0.15">
      <c r="A54" s="13">
        <v>42054</v>
      </c>
      <c r="B54" s="20" t="s">
        <v>37</v>
      </c>
      <c r="C54" s="66">
        <v>17255</v>
      </c>
      <c r="D54" s="67">
        <v>12926</v>
      </c>
      <c r="E54" s="67">
        <v>30806</v>
      </c>
      <c r="F54" s="68">
        <v>1628</v>
      </c>
      <c r="G54" s="69">
        <v>1071.5999999999999</v>
      </c>
      <c r="H54" s="24"/>
      <c r="I54" s="24"/>
      <c r="J54" s="70">
        <f t="shared" si="0"/>
        <v>17880</v>
      </c>
      <c r="K54" s="71">
        <f t="shared" si="1"/>
        <v>27</v>
      </c>
      <c r="L54" s="71">
        <v>598</v>
      </c>
      <c r="M54" s="72">
        <f t="shared" si="7"/>
        <v>758609</v>
      </c>
      <c r="N54" s="73">
        <f t="shared" si="7"/>
        <v>356842</v>
      </c>
      <c r="O54" s="73">
        <f t="shared" si="7"/>
        <v>1137480</v>
      </c>
      <c r="P54" s="72">
        <f t="shared" si="6"/>
        <v>2867488</v>
      </c>
      <c r="Q54" s="72">
        <f t="shared" si="6"/>
        <v>1011057</v>
      </c>
      <c r="R54" s="72">
        <f t="shared" si="6"/>
        <v>3932107</v>
      </c>
      <c r="S54" s="79">
        <f>M54/'[21]2014'!M54-1</f>
        <v>2.3409575497820301E-2</v>
      </c>
      <c r="T54" s="79">
        <f>N54/'[21]2014'!N54-1</f>
        <v>0.27989354604994143</v>
      </c>
      <c r="U54" s="79">
        <f>O54/'[21]2014'!O54-1</f>
        <v>9.2511148611982286E-2</v>
      </c>
      <c r="V54" s="79">
        <f>P54/'[21]2014'!P54-1</f>
        <v>0.26912823250083928</v>
      </c>
      <c r="W54" s="79">
        <f>Q54/'[21]2014'!Q54-1</f>
        <v>0.13556168666890911</v>
      </c>
      <c r="X54" s="79">
        <f>R54/'[21]2014'!R54-1</f>
        <v>0.22804354126638704</v>
      </c>
      <c r="Y54" s="71">
        <v>14.086</v>
      </c>
      <c r="Z54" s="71">
        <f>P54/10000-Y54</f>
        <v>272.6628</v>
      </c>
      <c r="AA54" s="85">
        <v>3890.0920000000001</v>
      </c>
      <c r="AB54" s="71">
        <f>Z54*10000/AA54</f>
        <v>700.91607087955754</v>
      </c>
    </row>
    <row r="55" spans="1:28" s="2" customFormat="1" ht="15" customHeight="1" x14ac:dyDescent="0.15">
      <c r="A55" s="13">
        <v>42055</v>
      </c>
      <c r="B55" s="20" t="s">
        <v>38</v>
      </c>
      <c r="C55" s="21">
        <v>18053</v>
      </c>
      <c r="D55" s="7">
        <v>12024</v>
      </c>
      <c r="E55" s="7">
        <v>31132</v>
      </c>
      <c r="F55" s="22">
        <v>1641.8</v>
      </c>
      <c r="G55" s="23">
        <v>983.7</v>
      </c>
      <c r="H55" s="24"/>
      <c r="I55" s="36"/>
      <c r="J55" s="8">
        <f t="shared" si="0"/>
        <v>19108</v>
      </c>
      <c r="K55" s="37">
        <f t="shared" si="1"/>
        <v>498</v>
      </c>
      <c r="L55" s="37">
        <v>557</v>
      </c>
      <c r="M55" s="74">
        <f t="shared" si="7"/>
        <v>776662</v>
      </c>
      <c r="N55" s="75">
        <f t="shared" si="7"/>
        <v>368866</v>
      </c>
      <c r="O55" s="75">
        <f t="shared" si="7"/>
        <v>1168612</v>
      </c>
      <c r="P55" s="76">
        <f t="shared" si="6"/>
        <v>2885541</v>
      </c>
      <c r="Q55" s="76">
        <f t="shared" si="6"/>
        <v>1023081</v>
      </c>
      <c r="R55" s="76">
        <f t="shared" si="6"/>
        <v>3963239</v>
      </c>
      <c r="S55" s="80">
        <f>M55/'[21]2014'!M55-1</f>
        <v>-3.0457749445890747E-2</v>
      </c>
      <c r="T55" s="80">
        <f>N55/'[21]2014'!N55-1</f>
        <v>0.23724902225173916</v>
      </c>
      <c r="U55" s="80">
        <f>O55/'[21]2014'!O55-1</f>
        <v>4.2043332721037441E-2</v>
      </c>
      <c r="V55" s="81">
        <f>P55/'[21]2014'!P55-1</f>
        <v>0.24418624455339399</v>
      </c>
      <c r="W55" s="81">
        <f>Q55/'[21]2014'!Q55-1</f>
        <v>0.12465228405610063</v>
      </c>
      <c r="X55" s="81">
        <f>R55/'[21]2014'!R55-1</f>
        <v>0.20748399944062412</v>
      </c>
      <c r="Y55" s="37">
        <v>14.1305</v>
      </c>
      <c r="Z55" s="37">
        <f>P55/10000-Y55</f>
        <v>274.42360000000002</v>
      </c>
      <c r="AA55" s="37">
        <v>3890.0920000000001</v>
      </c>
      <c r="AB55" s="37">
        <f>Z55*10000/AA55</f>
        <v>705.44244197823593</v>
      </c>
    </row>
    <row r="56" spans="1:28" s="2" customFormat="1" ht="15" customHeight="1" x14ac:dyDescent="0.15">
      <c r="A56" s="13">
        <v>42056</v>
      </c>
      <c r="B56" s="20" t="s">
        <v>39</v>
      </c>
      <c r="C56" s="21">
        <v>18383</v>
      </c>
      <c r="D56" s="7">
        <v>12361</v>
      </c>
      <c r="E56" s="7">
        <v>31849</v>
      </c>
      <c r="F56" s="22">
        <v>1673.4</v>
      </c>
      <c r="G56" s="23">
        <v>1023.2</v>
      </c>
      <c r="H56" s="24"/>
      <c r="I56" s="36"/>
      <c r="J56" s="8">
        <f t="shared" si="0"/>
        <v>19488</v>
      </c>
      <c r="K56" s="37">
        <f t="shared" si="1"/>
        <v>625</v>
      </c>
      <c r="L56" s="37">
        <v>480</v>
      </c>
      <c r="M56" s="74">
        <f t="shared" si="7"/>
        <v>795045</v>
      </c>
      <c r="N56" s="75">
        <f t="shared" si="7"/>
        <v>381227</v>
      </c>
      <c r="O56" s="75">
        <f t="shared" si="7"/>
        <v>1200461</v>
      </c>
      <c r="P56" s="76">
        <f t="shared" si="6"/>
        <v>2903924</v>
      </c>
      <c r="Q56" s="76">
        <f t="shared" si="6"/>
        <v>1035442</v>
      </c>
      <c r="R56" s="76">
        <f t="shared" si="6"/>
        <v>3995088</v>
      </c>
      <c r="S56" s="80">
        <f>M56/'[21]2014'!M56-1</f>
        <v>-7.6811335882892906E-2</v>
      </c>
      <c r="T56" s="80">
        <f>N56/'[21]2014'!N56-1</f>
        <v>0.19677972273846001</v>
      </c>
      <c r="U56" s="80">
        <f>O56/'[21]2014'!O56-1</f>
        <v>-2.3833880842230037E-3</v>
      </c>
      <c r="V56" s="81">
        <f>P56/'[21]2014'!P56-1</f>
        <v>0.22046766064815504</v>
      </c>
      <c r="W56" s="81">
        <f>Q56/'[21]2014'!Q56-1</f>
        <v>0.11326297862641144</v>
      </c>
      <c r="X56" s="81">
        <f>R56/'[21]2014'!R56-1</f>
        <v>0.18756658549577665</v>
      </c>
      <c r="Y56" s="37"/>
      <c r="Z56" s="37"/>
      <c r="AA56" s="37"/>
      <c r="AB56" s="37"/>
    </row>
    <row r="57" spans="1:28" s="2" customFormat="1" ht="15" customHeight="1" x14ac:dyDescent="0.15">
      <c r="A57" s="13">
        <v>42057</v>
      </c>
      <c r="B57" s="20" t="s">
        <v>1</v>
      </c>
      <c r="C57" s="21">
        <v>19214</v>
      </c>
      <c r="D57" s="7">
        <v>13028</v>
      </c>
      <c r="E57" s="7">
        <v>32922</v>
      </c>
      <c r="F57" s="22">
        <v>1755</v>
      </c>
      <c r="G57" s="23">
        <v>1031.4000000000001</v>
      </c>
      <c r="H57" s="24"/>
      <c r="I57" s="36"/>
      <c r="J57" s="8">
        <f t="shared" si="0"/>
        <v>19894</v>
      </c>
      <c r="K57" s="37">
        <f t="shared" si="1"/>
        <v>199</v>
      </c>
      <c r="L57" s="37">
        <v>481</v>
      </c>
      <c r="M57" s="74">
        <f t="shared" si="7"/>
        <v>814259</v>
      </c>
      <c r="N57" s="75">
        <f t="shared" si="7"/>
        <v>394255</v>
      </c>
      <c r="O57" s="75">
        <f t="shared" si="7"/>
        <v>1233383</v>
      </c>
      <c r="P57" s="76">
        <f t="shared" si="6"/>
        <v>2923138</v>
      </c>
      <c r="Q57" s="76">
        <f t="shared" si="6"/>
        <v>1048470</v>
      </c>
      <c r="R57" s="76">
        <f t="shared" si="6"/>
        <v>4028010</v>
      </c>
      <c r="S57" s="80">
        <f>M57/'[21]2014'!M57-1</f>
        <v>-0.11527100875374929</v>
      </c>
      <c r="T57" s="80">
        <f>N57/'[21]2014'!N57-1</f>
        <v>0.16408607484306814</v>
      </c>
      <c r="U57" s="80">
        <f>O57/'[21]2014'!O57-1</f>
        <v>-3.9200595152313E-2</v>
      </c>
      <c r="V57" s="81">
        <f>P57/'[21]2014'!P57-1</f>
        <v>0.19874062310655183</v>
      </c>
      <c r="W57" s="81">
        <f>Q57/'[21]2014'!Q57-1</f>
        <v>0.10338027086998003</v>
      </c>
      <c r="X57" s="81">
        <f>R57/'[21]2014'!R57-1</f>
        <v>0.16941290276129406</v>
      </c>
      <c r="Y57" s="37"/>
      <c r="Z57" s="37"/>
      <c r="AA57" s="37"/>
      <c r="AB57" s="37"/>
    </row>
    <row r="58" spans="1:28" s="2" customFormat="1" ht="15" customHeight="1" x14ac:dyDescent="0.15">
      <c r="A58" s="13">
        <v>42058</v>
      </c>
      <c r="B58" s="20" t="s">
        <v>34</v>
      </c>
      <c r="C58" s="21">
        <v>18779</v>
      </c>
      <c r="D58" s="7">
        <v>15209</v>
      </c>
      <c r="E58" s="7">
        <v>34732</v>
      </c>
      <c r="F58" s="22">
        <v>1844.7</v>
      </c>
      <c r="G58" s="23">
        <v>1066.9000000000001</v>
      </c>
      <c r="H58" s="24"/>
      <c r="I58" s="36"/>
      <c r="J58" s="8">
        <f t="shared" si="0"/>
        <v>19523</v>
      </c>
      <c r="K58" s="37">
        <f t="shared" si="1"/>
        <v>264</v>
      </c>
      <c r="L58" s="37">
        <v>480</v>
      </c>
      <c r="M58" s="74">
        <f t="shared" si="7"/>
        <v>833038</v>
      </c>
      <c r="N58" s="75">
        <f t="shared" si="7"/>
        <v>409464</v>
      </c>
      <c r="O58" s="75">
        <f t="shared" si="7"/>
        <v>1268115</v>
      </c>
      <c r="P58" s="76">
        <f t="shared" si="6"/>
        <v>2941917</v>
      </c>
      <c r="Q58" s="76">
        <f t="shared" si="6"/>
        <v>1063679</v>
      </c>
      <c r="R58" s="76">
        <f t="shared" si="6"/>
        <v>4062742</v>
      </c>
      <c r="S58" s="80">
        <f>M58/'[21]2014'!M58-1</f>
        <v>-0.147280814847078</v>
      </c>
      <c r="T58" s="80">
        <f>N58/'[21]2014'!N58-1</f>
        <v>0.14222590444628547</v>
      </c>
      <c r="U58" s="80">
        <f>O58/'[21]2014'!O58-1</f>
        <v>-6.8334549237506814E-2</v>
      </c>
      <c r="V58" s="81">
        <f>P58/'[21]2014'!P58-1</f>
        <v>0.17908795254337684</v>
      </c>
      <c r="W58" s="81">
        <f>Q58/'[21]2014'!Q58-1</f>
        <v>9.6540679349072622E-2</v>
      </c>
      <c r="X58" s="81">
        <f>R58/'[21]2014'!R58-1</f>
        <v>0.15356737028428458</v>
      </c>
      <c r="Y58" s="37"/>
      <c r="Z58" s="37"/>
      <c r="AA58" s="37"/>
      <c r="AB58" s="37"/>
    </row>
    <row r="59" spans="1:28" s="2" customFormat="1" ht="15" customHeight="1" x14ac:dyDescent="0.15">
      <c r="A59" s="13">
        <v>42059</v>
      </c>
      <c r="B59" s="20" t="s">
        <v>35</v>
      </c>
      <c r="C59" s="21">
        <v>17737</v>
      </c>
      <c r="D59" s="7">
        <v>17402</v>
      </c>
      <c r="E59" s="7">
        <v>35707</v>
      </c>
      <c r="F59" s="22">
        <v>1864.2</v>
      </c>
      <c r="G59" s="23">
        <v>1114.2</v>
      </c>
      <c r="H59" s="24"/>
      <c r="I59" s="36"/>
      <c r="J59" s="8">
        <f t="shared" si="0"/>
        <v>18305</v>
      </c>
      <c r="K59" s="37">
        <f t="shared" si="1"/>
        <v>87</v>
      </c>
      <c r="L59" s="37">
        <v>481</v>
      </c>
      <c r="M59" s="74">
        <f t="shared" si="7"/>
        <v>850775</v>
      </c>
      <c r="N59" s="75">
        <f t="shared" si="7"/>
        <v>426866</v>
      </c>
      <c r="O59" s="75">
        <f t="shared" si="7"/>
        <v>1303822</v>
      </c>
      <c r="P59" s="76">
        <f t="shared" si="6"/>
        <v>2959654</v>
      </c>
      <c r="Q59" s="76">
        <f t="shared" si="6"/>
        <v>1081081</v>
      </c>
      <c r="R59" s="76">
        <f t="shared" si="6"/>
        <v>4098449</v>
      </c>
      <c r="S59" s="80">
        <f>M59/'[21]2014'!M59-1</f>
        <v>-0.18028206332574581</v>
      </c>
      <c r="T59" s="80">
        <f>N59/'[21]2014'!N59-1</f>
        <v>0.12655114353124985</v>
      </c>
      <c r="U59" s="80">
        <f>O59/'[21]2014'!O59-1</f>
        <v>-9.6967363103310222E-2</v>
      </c>
      <c r="V59" s="81">
        <f>P59/'[21]2014'!P59-1</f>
        <v>0.1579030350191204</v>
      </c>
      <c r="W59" s="81">
        <f>Q59/'[21]2014'!Q59-1</f>
        <v>9.1486688343320965E-2</v>
      </c>
      <c r="X59" s="81">
        <f>R59/'[21]2014'!R59-1</f>
        <v>0.13700742358429929</v>
      </c>
      <c r="Y59" s="37"/>
      <c r="Z59" s="37"/>
      <c r="AA59" s="37"/>
      <c r="AB59" s="37"/>
    </row>
    <row r="60" spans="1:28" s="2" customFormat="1" ht="15" customHeight="1" x14ac:dyDescent="0.15">
      <c r="A60" s="20">
        <v>42060</v>
      </c>
      <c r="B60" s="14" t="s">
        <v>36</v>
      </c>
      <c r="C60" s="15">
        <v>19539</v>
      </c>
      <c r="D60" s="16">
        <v>18228</v>
      </c>
      <c r="E60" s="16">
        <v>38435</v>
      </c>
      <c r="F60" s="17">
        <v>1974.4</v>
      </c>
      <c r="G60" s="18">
        <v>1121</v>
      </c>
      <c r="H60" s="19"/>
      <c r="I60" s="19"/>
      <c r="J60" s="32">
        <f t="shared" si="0"/>
        <v>20207</v>
      </c>
      <c r="K60" s="33">
        <f t="shared" si="1"/>
        <v>187</v>
      </c>
      <c r="L60" s="33">
        <v>481</v>
      </c>
      <c r="M60" s="77">
        <f t="shared" si="7"/>
        <v>870314</v>
      </c>
      <c r="N60" s="78">
        <f t="shared" si="7"/>
        <v>445094</v>
      </c>
      <c r="O60" s="78">
        <f t="shared" si="7"/>
        <v>1342257</v>
      </c>
      <c r="P60" s="77">
        <f t="shared" si="6"/>
        <v>2979193</v>
      </c>
      <c r="Q60" s="77">
        <f t="shared" si="6"/>
        <v>1099309</v>
      </c>
      <c r="R60" s="77">
        <f t="shared" si="6"/>
        <v>4136884</v>
      </c>
      <c r="S60" s="82">
        <f>M60/'[21]2014'!M60-1</f>
        <v>-0.20796914196217187</v>
      </c>
      <c r="T60" s="82">
        <f>N60/'[21]2014'!N60-1</f>
        <v>0.11417786032912614</v>
      </c>
      <c r="U60" s="82">
        <f>O60/'[21]2014'!O60-1</f>
        <v>-0.12069233203165686</v>
      </c>
      <c r="V60" s="82">
        <f>P60/'[21]2014'!P60-1</f>
        <v>0.13840116392927393</v>
      </c>
      <c r="W60" s="82">
        <f>Q60/'[21]2014'!Q60-1</f>
        <v>8.7311066041762198E-2</v>
      </c>
      <c r="X60" s="82">
        <f>R60/'[21]2014'!R60-1</f>
        <v>0.12193986862873785</v>
      </c>
      <c r="Y60" s="33"/>
      <c r="Z60" s="33"/>
      <c r="AA60" s="33"/>
      <c r="AB60" s="33"/>
    </row>
    <row r="61" spans="1:28" s="2" customFormat="1" ht="15" customHeight="1" x14ac:dyDescent="0.15">
      <c r="A61" s="20">
        <v>42061</v>
      </c>
      <c r="B61" s="20" t="s">
        <v>37</v>
      </c>
      <c r="C61" s="66">
        <v>19343</v>
      </c>
      <c r="D61" s="67">
        <v>21059</v>
      </c>
      <c r="E61" s="67">
        <v>41046</v>
      </c>
      <c r="F61" s="68">
        <v>2081.1999999999998</v>
      </c>
      <c r="G61" s="69">
        <v>1145.2</v>
      </c>
      <c r="H61" s="24"/>
      <c r="I61" s="24"/>
      <c r="J61" s="70">
        <f t="shared" si="0"/>
        <v>19987</v>
      </c>
      <c r="K61" s="71">
        <f t="shared" si="1"/>
        <v>165</v>
      </c>
      <c r="L61" s="71">
        <v>479</v>
      </c>
      <c r="M61" s="72">
        <f t="shared" si="7"/>
        <v>889657</v>
      </c>
      <c r="N61" s="73">
        <f t="shared" si="7"/>
        <v>466153</v>
      </c>
      <c r="O61" s="73">
        <f t="shared" si="7"/>
        <v>1383303</v>
      </c>
      <c r="P61" s="72">
        <f t="shared" si="6"/>
        <v>2998536</v>
      </c>
      <c r="Q61" s="72">
        <f t="shared" si="6"/>
        <v>1120368</v>
      </c>
      <c r="R61" s="72">
        <f t="shared" si="6"/>
        <v>4177930</v>
      </c>
      <c r="S61" s="79">
        <f>M61/'[21]2014'!M61-1</f>
        <v>-0.23196747811666252</v>
      </c>
      <c r="T61" s="79">
        <f>N61/'[21]2014'!N61-1</f>
        <v>0.11084024401868264</v>
      </c>
      <c r="U61" s="79">
        <f>O61/'[21]2014'!O61-1</f>
        <v>-0.1394308174300809</v>
      </c>
      <c r="V61" s="79">
        <f>P61/'[21]2014'!P61-1</f>
        <v>0.12031249562164259</v>
      </c>
      <c r="W61" s="79">
        <f>Q61/'[21]2014'!Q61-1</f>
        <v>8.6478033926740139E-2</v>
      </c>
      <c r="X61" s="79">
        <f>R61/'[21]2014'!R61-1</f>
        <v>0.10873508403890986</v>
      </c>
      <c r="Y61" s="71">
        <v>14.48</v>
      </c>
      <c r="Z61" s="71">
        <f>P61/10000-Y61</f>
        <v>285.37359999999995</v>
      </c>
      <c r="AA61" s="85">
        <v>3890.0920000000001</v>
      </c>
      <c r="AB61" s="71">
        <f>Z61*10000/AA61</f>
        <v>733.59087651397431</v>
      </c>
    </row>
    <row r="62" spans="1:28" s="2" customFormat="1" ht="15" customHeight="1" x14ac:dyDescent="0.15">
      <c r="A62" s="20">
        <v>42062</v>
      </c>
      <c r="B62" s="20" t="s">
        <v>38</v>
      </c>
      <c r="C62" s="21">
        <v>23993</v>
      </c>
      <c r="D62" s="7">
        <v>22154</v>
      </c>
      <c r="E62" s="7">
        <v>46650</v>
      </c>
      <c r="F62" s="22">
        <v>2410</v>
      </c>
      <c r="G62" s="23">
        <v>1266</v>
      </c>
      <c r="H62" s="24"/>
      <c r="I62" s="36"/>
      <c r="J62" s="8">
        <f t="shared" si="0"/>
        <v>24496</v>
      </c>
      <c r="K62" s="37">
        <f t="shared" si="1"/>
        <v>23</v>
      </c>
      <c r="L62" s="37">
        <v>480</v>
      </c>
      <c r="M62" s="74">
        <f t="shared" si="7"/>
        <v>913650</v>
      </c>
      <c r="N62" s="75">
        <f t="shared" si="7"/>
        <v>488307</v>
      </c>
      <c r="O62" s="75">
        <f t="shared" si="7"/>
        <v>1429953</v>
      </c>
      <c r="P62" s="76">
        <f t="shared" si="6"/>
        <v>3022529</v>
      </c>
      <c r="Q62" s="76">
        <f t="shared" si="6"/>
        <v>1142522</v>
      </c>
      <c r="R62" s="76">
        <f t="shared" si="6"/>
        <v>4224580</v>
      </c>
      <c r="S62" s="80">
        <f>M62/'[21]2014'!M62-1</f>
        <v>-0.24991225783676063</v>
      </c>
      <c r="T62" s="80">
        <f>N62/'[21]2014'!N62-1</f>
        <v>0.11021758406657112</v>
      </c>
      <c r="U62" s="80">
        <f>O62/'[21]2014'!O62-1</f>
        <v>-0.15311577761629203</v>
      </c>
      <c r="V62" s="81">
        <f>P62/'[21]2014'!P62-1</f>
        <v>0.10463810155373299</v>
      </c>
      <c r="W62" s="81">
        <f>Q62/'[21]2014'!Q62-1</f>
        <v>8.6685388048593159E-2</v>
      </c>
      <c r="X62" s="81">
        <f>R62/'[21]2014'!R62-1</f>
        <v>9.7506166129852634E-2</v>
      </c>
      <c r="Y62" s="37"/>
      <c r="Z62" s="37"/>
      <c r="AA62" s="37"/>
      <c r="AB62" s="37"/>
    </row>
    <row r="63" spans="1:28" s="2" customFormat="1" ht="15" customHeight="1" x14ac:dyDescent="0.15">
      <c r="A63" s="25">
        <v>42063</v>
      </c>
      <c r="B63" s="20" t="s">
        <v>39</v>
      </c>
      <c r="C63" s="21">
        <v>26862</v>
      </c>
      <c r="D63" s="7">
        <v>22766</v>
      </c>
      <c r="E63" s="7">
        <v>50808</v>
      </c>
      <c r="F63" s="22">
        <v>2657</v>
      </c>
      <c r="G63" s="23">
        <v>1425</v>
      </c>
      <c r="H63" s="24"/>
      <c r="I63" s="36"/>
      <c r="J63" s="8">
        <f t="shared" si="0"/>
        <v>28042</v>
      </c>
      <c r="K63" s="37">
        <f t="shared" si="1"/>
        <v>456</v>
      </c>
      <c r="L63" s="37">
        <v>724</v>
      </c>
      <c r="M63" s="74">
        <f t="shared" si="7"/>
        <v>940512</v>
      </c>
      <c r="N63" s="75">
        <f t="shared" si="7"/>
        <v>511073</v>
      </c>
      <c r="O63" s="75">
        <f t="shared" si="7"/>
        <v>1480761</v>
      </c>
      <c r="P63" s="76">
        <f t="shared" si="6"/>
        <v>3049391</v>
      </c>
      <c r="Q63" s="76">
        <f t="shared" si="6"/>
        <v>1165288</v>
      </c>
      <c r="R63" s="76">
        <f t="shared" si="6"/>
        <v>4275388</v>
      </c>
      <c r="S63" s="80">
        <f>M63/'[21]2014'!M63-1</f>
        <v>-0.26405323475971898</v>
      </c>
      <c r="T63" s="80">
        <f>N63/'[21]2014'!N63-1</f>
        <v>0.10816630094451729</v>
      </c>
      <c r="U63" s="80">
        <f>O63/'[21]2014'!O63-1</f>
        <v>-0.16391351629700146</v>
      </c>
      <c r="V63" s="81">
        <f>P63/'[21]2014'!P63-1</f>
        <v>9.0579055770476424E-2</v>
      </c>
      <c r="W63" s="81">
        <f>Q63/'[21]2014'!Q63-1</f>
        <v>8.6272029442348908E-2</v>
      </c>
      <c r="X63" s="81">
        <f>R63/'[21]2014'!R63-1</f>
        <v>8.7378927211737789E-2</v>
      </c>
      <c r="Y63" s="37">
        <v>14.7913</v>
      </c>
      <c r="Z63" s="37">
        <f>P63/10000-Y63</f>
        <v>290.14780000000002</v>
      </c>
      <c r="AA63" s="37">
        <v>3890.0920000000001</v>
      </c>
      <c r="AB63" s="37">
        <f>Z63*10000/AA63</f>
        <v>745.86359397155638</v>
      </c>
    </row>
    <row r="64" spans="1:28" s="2" customFormat="1" ht="15" customHeight="1" x14ac:dyDescent="0.15">
      <c r="A64" s="20"/>
      <c r="B64" s="20"/>
      <c r="C64" s="21"/>
      <c r="D64" s="7"/>
      <c r="E64" s="7"/>
      <c r="F64" s="22"/>
      <c r="G64" s="23"/>
      <c r="H64" s="24"/>
      <c r="I64" s="36"/>
      <c r="J64" s="8"/>
      <c r="K64" s="37"/>
      <c r="L64" s="37"/>
      <c r="M64" s="74"/>
      <c r="N64" s="75"/>
      <c r="O64" s="75"/>
      <c r="P64" s="76"/>
      <c r="Q64" s="76"/>
      <c r="R64" s="76"/>
      <c r="S64" s="80"/>
      <c r="T64" s="80"/>
      <c r="U64" s="80"/>
      <c r="V64" s="81"/>
      <c r="W64" s="81"/>
      <c r="X64" s="81"/>
      <c r="Y64" s="37"/>
      <c r="Z64" s="37"/>
      <c r="AA64" s="37"/>
      <c r="AB64" s="37"/>
    </row>
    <row r="65" spans="1:28" s="2" customFormat="1" ht="15" customHeight="1" x14ac:dyDescent="0.15">
      <c r="A65" s="20">
        <v>42064</v>
      </c>
      <c r="B65" s="20" t="s">
        <v>1</v>
      </c>
      <c r="C65" s="21">
        <v>27776</v>
      </c>
      <c r="D65" s="7">
        <v>22118</v>
      </c>
      <c r="E65" s="7">
        <v>50804</v>
      </c>
      <c r="F65" s="22">
        <v>2580</v>
      </c>
      <c r="G65" s="23">
        <v>1495</v>
      </c>
      <c r="H65" s="24"/>
      <c r="I65" s="36"/>
      <c r="J65" s="8">
        <f t="shared" ref="J65:J128" si="8">E65-D65</f>
        <v>28686</v>
      </c>
      <c r="K65" s="37">
        <f t="shared" ref="K65:K128" si="9">J65-C65-L65</f>
        <v>117</v>
      </c>
      <c r="L65" s="37">
        <v>793</v>
      </c>
      <c r="M65" s="74">
        <f>C65</f>
        <v>27776</v>
      </c>
      <c r="N65" s="75">
        <f>D65</f>
        <v>22118</v>
      </c>
      <c r="O65" s="75">
        <f>E65</f>
        <v>50804</v>
      </c>
      <c r="P65" s="76">
        <f>P$63+M65</f>
        <v>3077167</v>
      </c>
      <c r="Q65" s="76">
        <f>Q$63+N65</f>
        <v>1187406</v>
      </c>
      <c r="R65" s="76">
        <f>R$63+O65</f>
        <v>4326192</v>
      </c>
      <c r="S65" s="80">
        <f>M65/'[21]2014'!M65-1</f>
        <v>-0.55174695392560325</v>
      </c>
      <c r="T65" s="80">
        <f>N65/'[21]2014'!N65-1</f>
        <v>0.22925582170844216</v>
      </c>
      <c r="U65" s="80">
        <f>O65/'[21]2014'!O65-1</f>
        <v>-0.37564212854860513</v>
      </c>
      <c r="V65" s="81">
        <f>P65/'[21]2014'!P65-1</f>
        <v>7.6653046829241678E-2</v>
      </c>
      <c r="W65" s="81">
        <f>Q65/'[21]2014'!Q65-1</f>
        <v>8.8630724186980592E-2</v>
      </c>
      <c r="X65" s="81">
        <f>R65/'[21]2014'!R65-1</f>
        <v>7.7990899529278179E-2</v>
      </c>
      <c r="Y65" s="37"/>
      <c r="Z65" s="37"/>
      <c r="AA65" s="37"/>
      <c r="AB65" s="37"/>
    </row>
    <row r="66" spans="1:28" s="2" customFormat="1" ht="15" customHeight="1" x14ac:dyDescent="0.15">
      <c r="A66" s="20">
        <v>42065</v>
      </c>
      <c r="B66" s="20" t="s">
        <v>34</v>
      </c>
      <c r="C66" s="21">
        <v>30919</v>
      </c>
      <c r="D66" s="7">
        <v>23529</v>
      </c>
      <c r="E66" s="7">
        <v>55376</v>
      </c>
      <c r="F66" s="22">
        <v>2889</v>
      </c>
      <c r="G66" s="23">
        <v>1632</v>
      </c>
      <c r="H66" s="24"/>
      <c r="I66" s="36"/>
      <c r="J66" s="8">
        <f t="shared" si="8"/>
        <v>31847</v>
      </c>
      <c r="K66" s="37">
        <f t="shared" si="9"/>
        <v>135</v>
      </c>
      <c r="L66" s="37">
        <v>793</v>
      </c>
      <c r="M66" s="74">
        <f t="shared" ref="M66:M95" si="10">M65+C66</f>
        <v>58695</v>
      </c>
      <c r="N66" s="75">
        <f t="shared" ref="N66:N95" si="11">D66+N65</f>
        <v>45647</v>
      </c>
      <c r="O66" s="75">
        <f t="shared" ref="O66:O95" si="12">O65+E66</f>
        <v>106180</v>
      </c>
      <c r="P66" s="76">
        <f t="shared" ref="P66:R95" si="13">P$63+M66</f>
        <v>3108086</v>
      </c>
      <c r="Q66" s="76">
        <f t="shared" si="13"/>
        <v>1210935</v>
      </c>
      <c r="R66" s="76">
        <f t="shared" si="13"/>
        <v>4381568</v>
      </c>
      <c r="S66" s="80">
        <f>M66/'[21]2014'!M66-1</f>
        <v>-0.51365124083357494</v>
      </c>
      <c r="T66" s="80">
        <f>N66/'[21]2014'!N66-1</f>
        <v>0.27970283151107367</v>
      </c>
      <c r="U66" s="80">
        <f>O66/'[21]2014'!O66-1</f>
        <v>-0.3332035493817469</v>
      </c>
      <c r="V66" s="81">
        <f>P66/'[21]2014'!P66-1</f>
        <v>6.5578581503192179E-2</v>
      </c>
      <c r="W66" s="81">
        <f>Q66/'[21]2014'!Q66-1</f>
        <v>9.2496868263157062E-2</v>
      </c>
      <c r="X66" s="81">
        <f>R66/'[21]2014'!R66-1</f>
        <v>7.1008352831094523E-2</v>
      </c>
      <c r="Y66" s="37"/>
      <c r="Z66" s="37"/>
      <c r="AA66" s="37"/>
      <c r="AB66" s="37"/>
    </row>
    <row r="67" spans="1:28" s="2" customFormat="1" ht="15" customHeight="1" x14ac:dyDescent="0.15">
      <c r="A67" s="20">
        <v>42066</v>
      </c>
      <c r="B67" s="14" t="s">
        <v>35</v>
      </c>
      <c r="C67" s="15">
        <v>35200</v>
      </c>
      <c r="D67" s="16">
        <v>23296</v>
      </c>
      <c r="E67" s="16">
        <v>59338</v>
      </c>
      <c r="F67" s="17">
        <v>3100</v>
      </c>
      <c r="G67" s="18">
        <v>1750</v>
      </c>
      <c r="H67" s="19"/>
      <c r="I67" s="19"/>
      <c r="J67" s="32">
        <f t="shared" si="8"/>
        <v>36042</v>
      </c>
      <c r="K67" s="33">
        <f t="shared" si="9"/>
        <v>49</v>
      </c>
      <c r="L67" s="33">
        <v>793</v>
      </c>
      <c r="M67" s="77">
        <f t="shared" si="10"/>
        <v>93895</v>
      </c>
      <c r="N67" s="78">
        <f t="shared" si="11"/>
        <v>68943</v>
      </c>
      <c r="O67" s="78">
        <f t="shared" si="12"/>
        <v>165518</v>
      </c>
      <c r="P67" s="77">
        <f t="shared" si="13"/>
        <v>3143286</v>
      </c>
      <c r="Q67" s="77">
        <f t="shared" si="13"/>
        <v>1234231</v>
      </c>
      <c r="R67" s="77">
        <f t="shared" si="13"/>
        <v>4440906</v>
      </c>
      <c r="S67" s="82">
        <f>M67/'[21]2014'!M67-1</f>
        <v>-0.48202435001351551</v>
      </c>
      <c r="T67" s="82">
        <f>N67/'[21]2014'!N67-1</f>
        <v>0.24158982855496336</v>
      </c>
      <c r="U67" s="82">
        <f>O67/'[21]2014'!O67-1</f>
        <v>-0.31382116517492553</v>
      </c>
      <c r="V67" s="82">
        <f>P67/'[21]2014'!P67-1</f>
        <v>5.5717180863533722E-2</v>
      </c>
      <c r="W67" s="82">
        <f>Q67/'[21]2014'!Q67-1</f>
        <v>9.3916031512002673E-2</v>
      </c>
      <c r="X67" s="82">
        <f>R67/'[21]2014'!R67-1</f>
        <v>6.4188125412468544E-2</v>
      </c>
      <c r="Y67" s="33"/>
      <c r="Z67" s="33"/>
      <c r="AA67" s="33"/>
      <c r="AB67" s="33"/>
    </row>
    <row r="68" spans="1:28" s="2" customFormat="1" ht="15" customHeight="1" x14ac:dyDescent="0.15">
      <c r="A68" s="20">
        <v>42067</v>
      </c>
      <c r="B68" s="20" t="s">
        <v>36</v>
      </c>
      <c r="C68" s="66">
        <v>40800</v>
      </c>
      <c r="D68" s="67">
        <v>24279</v>
      </c>
      <c r="E68" s="67">
        <v>66031</v>
      </c>
      <c r="F68" s="68">
        <v>3450</v>
      </c>
      <c r="G68" s="69">
        <v>1950</v>
      </c>
      <c r="H68" s="24"/>
      <c r="I68" s="24"/>
      <c r="J68" s="70">
        <f t="shared" si="8"/>
        <v>41752</v>
      </c>
      <c r="K68" s="71">
        <f t="shared" si="9"/>
        <v>159</v>
      </c>
      <c r="L68" s="71">
        <v>793</v>
      </c>
      <c r="M68" s="72">
        <f t="shared" si="10"/>
        <v>134695</v>
      </c>
      <c r="N68" s="73">
        <f t="shared" si="11"/>
        <v>93222</v>
      </c>
      <c r="O68" s="73">
        <f t="shared" si="12"/>
        <v>231549</v>
      </c>
      <c r="P68" s="72">
        <f t="shared" si="13"/>
        <v>3184086</v>
      </c>
      <c r="Q68" s="72">
        <f t="shared" si="13"/>
        <v>1258510</v>
      </c>
      <c r="R68" s="72">
        <f t="shared" si="13"/>
        <v>4506937</v>
      </c>
      <c r="S68" s="79">
        <f>M68/'[21]2014'!M68-1</f>
        <v>-0.45000673736132268</v>
      </c>
      <c r="T68" s="79">
        <f>N68/'[21]2014'!N68-1</f>
        <v>0.23494111568879417</v>
      </c>
      <c r="U68" s="79">
        <f>O68/'[21]2014'!O68-1</f>
        <v>-0.29000358755944766</v>
      </c>
      <c r="V68" s="79">
        <f>P68/'[21]2014'!P68-1</f>
        <v>4.7044022013637443E-2</v>
      </c>
      <c r="W68" s="79">
        <f>Q68/'[21]2014'!Q68-1</f>
        <v>9.6045861991634895E-2</v>
      </c>
      <c r="X68" s="79">
        <f>R68/'[21]2014'!R68-1</f>
        <v>5.8474300814757019E-2</v>
      </c>
      <c r="Y68" s="71"/>
      <c r="Z68" s="71"/>
      <c r="AA68" s="85"/>
      <c r="AB68" s="71"/>
    </row>
    <row r="69" spans="1:28" s="2" customFormat="1" ht="15" customHeight="1" x14ac:dyDescent="0.15">
      <c r="A69" s="20">
        <v>42068</v>
      </c>
      <c r="B69" s="20" t="s">
        <v>37</v>
      </c>
      <c r="C69" s="21">
        <v>45200</v>
      </c>
      <c r="D69" s="7">
        <v>24213</v>
      </c>
      <c r="E69" s="7">
        <v>70325</v>
      </c>
      <c r="F69" s="22">
        <v>3670</v>
      </c>
      <c r="G69" s="23">
        <v>2010</v>
      </c>
      <c r="H69" s="24">
        <v>1225</v>
      </c>
      <c r="I69" s="36">
        <v>639</v>
      </c>
      <c r="J69" s="8">
        <f t="shared" si="8"/>
        <v>46112</v>
      </c>
      <c r="K69" s="37">
        <f t="shared" si="9"/>
        <v>119</v>
      </c>
      <c r="L69" s="37">
        <v>793</v>
      </c>
      <c r="M69" s="74">
        <f t="shared" si="10"/>
        <v>179895</v>
      </c>
      <c r="N69" s="75">
        <f t="shared" si="11"/>
        <v>117435</v>
      </c>
      <c r="O69" s="75">
        <f t="shared" si="12"/>
        <v>301874</v>
      </c>
      <c r="P69" s="76">
        <f t="shared" si="13"/>
        <v>3229286</v>
      </c>
      <c r="Q69" s="76">
        <f t="shared" si="13"/>
        <v>1282723</v>
      </c>
      <c r="R69" s="76">
        <f t="shared" si="13"/>
        <v>4577262</v>
      </c>
      <c r="S69" s="80">
        <f>M69/'[21]2014'!M69-1</f>
        <v>-0.4174837447866746</v>
      </c>
      <c r="T69" s="80">
        <f>N69/'[21]2014'!N69-1</f>
        <v>0.23474119168532948</v>
      </c>
      <c r="U69" s="80">
        <f>O69/'[21]2014'!O69-1</f>
        <v>-0.26704171593538539</v>
      </c>
      <c r="V69" s="81">
        <f>P69/'[21]2014'!P69-1</f>
        <v>4.0046119979580963E-2</v>
      </c>
      <c r="W69" s="81">
        <f>Q69/'[21]2014'!Q69-1</f>
        <v>9.8363273692372077E-2</v>
      </c>
      <c r="X69" s="81">
        <f>R69/'[21]2014'!R69-1</f>
        <v>5.3773684377738107E-2</v>
      </c>
      <c r="Y69" s="37">
        <v>15.79</v>
      </c>
      <c r="Z69" s="37">
        <f>P69/10000-Y69</f>
        <v>307.1386</v>
      </c>
      <c r="AA69" s="37">
        <v>3890.0920000000001</v>
      </c>
      <c r="AB69" s="37">
        <f>Z69*10000/AA69</f>
        <v>789.54071009117524</v>
      </c>
    </row>
    <row r="70" spans="1:28" s="2" customFormat="1" ht="15" customHeight="1" x14ac:dyDescent="0.15">
      <c r="A70" s="20">
        <v>42069</v>
      </c>
      <c r="B70" s="20" t="s">
        <v>38</v>
      </c>
      <c r="C70" s="21">
        <v>47200</v>
      </c>
      <c r="D70" s="7">
        <f>11790+11769</f>
        <v>23559</v>
      </c>
      <c r="E70" s="7">
        <v>71927</v>
      </c>
      <c r="F70" s="22">
        <v>3834</v>
      </c>
      <c r="G70" s="23">
        <v>2035</v>
      </c>
      <c r="H70" s="24">
        <v>1230</v>
      </c>
      <c r="I70" s="36">
        <v>639</v>
      </c>
      <c r="J70" s="8">
        <f t="shared" si="8"/>
        <v>48368</v>
      </c>
      <c r="K70" s="37">
        <f t="shared" si="9"/>
        <v>375</v>
      </c>
      <c r="L70" s="37">
        <v>793</v>
      </c>
      <c r="M70" s="74">
        <f t="shared" si="10"/>
        <v>227095</v>
      </c>
      <c r="N70" s="75">
        <f t="shared" si="11"/>
        <v>140994</v>
      </c>
      <c r="O70" s="75">
        <f t="shared" si="12"/>
        <v>373801</v>
      </c>
      <c r="P70" s="76">
        <f t="shared" si="13"/>
        <v>3276486</v>
      </c>
      <c r="Q70" s="76">
        <f t="shared" si="13"/>
        <v>1306282</v>
      </c>
      <c r="R70" s="76">
        <f t="shared" si="13"/>
        <v>4649189</v>
      </c>
      <c r="S70" s="80">
        <f>M70/'[21]2014'!M70-1</f>
        <v>-0.39719427706845756</v>
      </c>
      <c r="T70" s="80">
        <f>N70/'[21]2014'!N70-1</f>
        <v>0.22585356947233892</v>
      </c>
      <c r="U70" s="80">
        <f>O70/'[21]2014'!O70-1</f>
        <v>-0.25483766149626119</v>
      </c>
      <c r="V70" s="81">
        <f>P70/'[21]2014'!P70-1</f>
        <v>3.2663052882092369E-2</v>
      </c>
      <c r="W70" s="81">
        <f>Q70/'[21]2014'!Q70-1</f>
        <v>9.9788466921909569E-2</v>
      </c>
      <c r="X70" s="81">
        <f>R70/'[21]2014'!R70-1</f>
        <v>4.8657867230740059E-2</v>
      </c>
      <c r="Y70" s="37"/>
      <c r="Z70" s="37"/>
      <c r="AA70" s="37"/>
      <c r="AB70" s="37"/>
    </row>
    <row r="71" spans="1:28" s="2" customFormat="1" ht="15" customHeight="1" x14ac:dyDescent="0.15">
      <c r="A71" s="20">
        <v>42070</v>
      </c>
      <c r="B71" s="20" t="s">
        <v>39</v>
      </c>
      <c r="C71" s="21">
        <v>51919</v>
      </c>
      <c r="D71" s="7">
        <f>6684+11739</f>
        <v>18423</v>
      </c>
      <c r="E71" s="7">
        <v>71525</v>
      </c>
      <c r="F71" s="22">
        <v>3700</v>
      </c>
      <c r="G71" s="23">
        <v>2156</v>
      </c>
      <c r="H71" s="24">
        <v>937</v>
      </c>
      <c r="I71" s="36">
        <v>463</v>
      </c>
      <c r="J71" s="8">
        <f t="shared" si="8"/>
        <v>53102</v>
      </c>
      <c r="K71" s="37">
        <f t="shared" si="9"/>
        <v>390</v>
      </c>
      <c r="L71" s="37">
        <v>793</v>
      </c>
      <c r="M71" s="74">
        <f t="shared" si="10"/>
        <v>279014</v>
      </c>
      <c r="N71" s="75">
        <f t="shared" si="11"/>
        <v>159417</v>
      </c>
      <c r="O71" s="75">
        <f t="shared" si="12"/>
        <v>445326</v>
      </c>
      <c r="P71" s="76">
        <f t="shared" si="13"/>
        <v>3328405</v>
      </c>
      <c r="Q71" s="76">
        <f t="shared" si="13"/>
        <v>1324705</v>
      </c>
      <c r="R71" s="76">
        <f t="shared" si="13"/>
        <v>4720714</v>
      </c>
      <c r="S71" s="80">
        <f>M71/'[21]2014'!M71-1</f>
        <v>-0.36888510892405968</v>
      </c>
      <c r="T71" s="80">
        <f>N71/'[21]2014'!N71-1</f>
        <v>0.16949227146347012</v>
      </c>
      <c r="U71" s="80">
        <f>O71/'[21]2014'!O71-1</f>
        <v>-0.24613525098015321</v>
      </c>
      <c r="V71" s="81">
        <f>P71/'[21]2014'!P71-1</f>
        <v>2.7850811773636019E-2</v>
      </c>
      <c r="W71" s="81">
        <f>Q71/'[21]2014'!Q71-1</f>
        <v>9.5654576079553078E-2</v>
      </c>
      <c r="X71" s="81">
        <f>R71/'[21]2014'!R71-1</f>
        <v>4.3816180816454775E-2</v>
      </c>
      <c r="Y71" s="37"/>
      <c r="Z71" s="37"/>
      <c r="AA71" s="37"/>
      <c r="AB71" s="37"/>
    </row>
    <row r="72" spans="1:28" s="2" customFormat="1" ht="15" customHeight="1" x14ac:dyDescent="0.15">
      <c r="A72" s="20">
        <v>42071</v>
      </c>
      <c r="B72" s="20" t="s">
        <v>1</v>
      </c>
      <c r="C72" s="21">
        <v>50928</v>
      </c>
      <c r="D72" s="7">
        <f>7195+11707</f>
        <v>18902</v>
      </c>
      <c r="E72" s="7">
        <v>70928</v>
      </c>
      <c r="F72" s="22">
        <v>3614</v>
      </c>
      <c r="G72" s="23">
        <v>2220</v>
      </c>
      <c r="H72" s="24">
        <v>943</v>
      </c>
      <c r="I72" s="36">
        <v>570</v>
      </c>
      <c r="J72" s="8">
        <f t="shared" si="8"/>
        <v>52026</v>
      </c>
      <c r="K72" s="37">
        <f t="shared" si="9"/>
        <v>305</v>
      </c>
      <c r="L72" s="37">
        <v>793</v>
      </c>
      <c r="M72" s="74">
        <f t="shared" si="10"/>
        <v>329942</v>
      </c>
      <c r="N72" s="75">
        <f t="shared" si="11"/>
        <v>178319</v>
      </c>
      <c r="O72" s="75">
        <f t="shared" si="12"/>
        <v>516254</v>
      </c>
      <c r="P72" s="76">
        <f t="shared" si="13"/>
        <v>3379333</v>
      </c>
      <c r="Q72" s="76">
        <f t="shared" si="13"/>
        <v>1343607</v>
      </c>
      <c r="R72" s="76">
        <f t="shared" si="13"/>
        <v>4791642</v>
      </c>
      <c r="S72" s="80">
        <f>M72/'[21]2014'!M72-1</f>
        <v>-0.3506050275942969</v>
      </c>
      <c r="T72" s="80">
        <f>N72/'[21]2014'!N72-1</f>
        <v>0.13477068365353406</v>
      </c>
      <c r="U72" s="80">
        <f>O72/'[21]2014'!O72-1</f>
        <v>-0.24030802419811725</v>
      </c>
      <c r="V72" s="81">
        <f>P72/'[21]2014'!P72-1</f>
        <v>2.2739564257215905E-2</v>
      </c>
      <c r="W72" s="81">
        <f>Q72/'[21]2014'!Q72-1</f>
        <v>9.2468664664034694E-2</v>
      </c>
      <c r="X72" s="81">
        <f>R72/'[21]2014'!R72-1</f>
        <v>3.9089332361246676E-2</v>
      </c>
      <c r="Y72" s="37"/>
      <c r="Z72" s="37"/>
      <c r="AA72" s="37"/>
      <c r="AB72" s="37"/>
    </row>
    <row r="73" spans="1:28" s="2" customFormat="1" ht="15" customHeight="1" x14ac:dyDescent="0.15">
      <c r="A73" s="20">
        <v>42072</v>
      </c>
      <c r="B73" s="20" t="s">
        <v>34</v>
      </c>
      <c r="C73" s="21">
        <v>53130</v>
      </c>
      <c r="D73" s="7">
        <v>18087</v>
      </c>
      <c r="E73" s="7">
        <v>73112</v>
      </c>
      <c r="F73" s="22">
        <v>3872</v>
      </c>
      <c r="G73" s="23">
        <v>2119</v>
      </c>
      <c r="H73" s="24">
        <v>959</v>
      </c>
      <c r="I73" s="36">
        <v>568</v>
      </c>
      <c r="J73" s="8">
        <f t="shared" si="8"/>
        <v>55025</v>
      </c>
      <c r="K73" s="37">
        <f t="shared" si="9"/>
        <v>1102</v>
      </c>
      <c r="L73" s="37">
        <v>793</v>
      </c>
      <c r="M73" s="74">
        <f t="shared" si="10"/>
        <v>383072</v>
      </c>
      <c r="N73" s="75">
        <f t="shared" si="11"/>
        <v>196406</v>
      </c>
      <c r="O73" s="75">
        <f t="shared" si="12"/>
        <v>589366</v>
      </c>
      <c r="P73" s="76">
        <f t="shared" si="13"/>
        <v>3432463</v>
      </c>
      <c r="Q73" s="76">
        <f t="shared" si="13"/>
        <v>1361694</v>
      </c>
      <c r="R73" s="76">
        <f t="shared" si="13"/>
        <v>4864754</v>
      </c>
      <c r="S73" s="80">
        <f>M73/'[21]2014'!M73-1</f>
        <v>-0.32657100967234964</v>
      </c>
      <c r="T73" s="80">
        <f>N73/'[21]2014'!N73-1</f>
        <v>0.10421094057457703</v>
      </c>
      <c r="U73" s="80">
        <f>O73/'[21]2014'!O73-1</f>
        <v>-0.22739231831070483</v>
      </c>
      <c r="V73" s="81">
        <f>P73/'[21]2014'!P73-1</f>
        <v>2.0060868497951967E-2</v>
      </c>
      <c r="W73" s="81">
        <f>Q73/'[21]2014'!Q73-1</f>
        <v>8.8823418642335117E-2</v>
      </c>
      <c r="X73" s="81">
        <f>R73/'[21]2014'!R73-1</f>
        <v>3.6232260681080763E-2</v>
      </c>
      <c r="Y73" s="37"/>
      <c r="Z73" s="37"/>
      <c r="AA73" s="37"/>
      <c r="AB73" s="37"/>
    </row>
    <row r="74" spans="1:28" s="2" customFormat="1" ht="15" customHeight="1" x14ac:dyDescent="0.15">
      <c r="A74" s="20">
        <v>42073</v>
      </c>
      <c r="B74" s="14" t="s">
        <v>35</v>
      </c>
      <c r="C74" s="15">
        <v>56583</v>
      </c>
      <c r="D74" s="16">
        <v>19900</v>
      </c>
      <c r="E74" s="16">
        <v>78307</v>
      </c>
      <c r="F74" s="17">
        <v>4088</v>
      </c>
      <c r="G74" s="18">
        <v>2349</v>
      </c>
      <c r="H74" s="19"/>
      <c r="I74" s="19"/>
      <c r="J74" s="32">
        <f t="shared" si="8"/>
        <v>58407</v>
      </c>
      <c r="K74" s="33">
        <f t="shared" si="9"/>
        <v>1031</v>
      </c>
      <c r="L74" s="33">
        <v>793</v>
      </c>
      <c r="M74" s="77">
        <f t="shared" si="10"/>
        <v>439655</v>
      </c>
      <c r="N74" s="78">
        <f t="shared" si="11"/>
        <v>216306</v>
      </c>
      <c r="O74" s="78">
        <f t="shared" si="12"/>
        <v>667673</v>
      </c>
      <c r="P74" s="77">
        <f t="shared" si="13"/>
        <v>3489046</v>
      </c>
      <c r="Q74" s="77">
        <f t="shared" si="13"/>
        <v>1381594</v>
      </c>
      <c r="R74" s="77">
        <f t="shared" si="13"/>
        <v>4943061</v>
      </c>
      <c r="S74" s="82">
        <f>M74/'[21]2014'!M74-1</f>
        <v>-0.30452712653460245</v>
      </c>
      <c r="T74" s="82">
        <f>N74/'[21]2014'!N74-1</f>
        <v>8.8124031631688027E-2</v>
      </c>
      <c r="U74" s="82">
        <f>O74/'[21]2014'!O74-1</f>
        <v>-0.21344559396271223</v>
      </c>
      <c r="V74" s="82">
        <f>P74/'[21]2014'!P74-1</f>
        <v>1.7722548397334226E-2</v>
      </c>
      <c r="W74" s="82">
        <f>Q74/'[21]2014'!Q74-1</f>
        <v>8.6561567436357123E-2</v>
      </c>
      <c r="X74" s="82">
        <f>R74/'[21]2014'!R74-1</f>
        <v>3.396457454754942E-2</v>
      </c>
      <c r="Y74" s="33">
        <v>17.987300000000001</v>
      </c>
      <c r="Z74" s="33">
        <f>P74/10000-Y74</f>
        <v>330.91730000000001</v>
      </c>
      <c r="AA74" s="33">
        <v>3890.0920000000001</v>
      </c>
      <c r="AB74" s="33">
        <f>Z74*10000/AA74</f>
        <v>850.6670279263318</v>
      </c>
    </row>
    <row r="75" spans="1:28" s="2" customFormat="1" ht="15" customHeight="1" x14ac:dyDescent="0.15">
      <c r="A75" s="20">
        <v>42074</v>
      </c>
      <c r="B75" s="20" t="s">
        <v>36</v>
      </c>
      <c r="C75" s="66">
        <v>59872</v>
      </c>
      <c r="D75" s="67">
        <v>19934</v>
      </c>
      <c r="E75" s="67">
        <v>81226</v>
      </c>
      <c r="F75" s="68">
        <v>4237</v>
      </c>
      <c r="G75" s="69">
        <v>2511</v>
      </c>
      <c r="H75" s="24"/>
      <c r="I75" s="24"/>
      <c r="J75" s="70">
        <f t="shared" si="8"/>
        <v>61292</v>
      </c>
      <c r="K75" s="71">
        <f t="shared" si="9"/>
        <v>627</v>
      </c>
      <c r="L75" s="71">
        <v>793</v>
      </c>
      <c r="M75" s="72">
        <f t="shared" si="10"/>
        <v>499527</v>
      </c>
      <c r="N75" s="73">
        <f t="shared" si="11"/>
        <v>236240</v>
      </c>
      <c r="O75" s="73">
        <f t="shared" si="12"/>
        <v>748899</v>
      </c>
      <c r="P75" s="72">
        <f t="shared" si="13"/>
        <v>3548918</v>
      </c>
      <c r="Q75" s="72">
        <f t="shared" si="13"/>
        <v>1401528</v>
      </c>
      <c r="R75" s="72">
        <f t="shared" si="13"/>
        <v>5024287</v>
      </c>
      <c r="S75" s="79">
        <f>M75/'[21]2014'!M75-1</f>
        <v>-0.28082150364248903</v>
      </c>
      <c r="T75" s="79">
        <f>N75/'[21]2014'!N75-1</f>
        <v>7.2716209711841451E-2</v>
      </c>
      <c r="U75" s="79">
        <f>O75/'[21]2014'!O75-1</f>
        <v>-0.19882599876758755</v>
      </c>
      <c r="V75" s="79">
        <f>P75/'[21]2014'!P75-1</f>
        <v>1.6677738941261344E-2</v>
      </c>
      <c r="W75" s="79">
        <f>Q75/'[21]2014'!Q75-1</f>
        <v>8.3963118920714397E-2</v>
      </c>
      <c r="X75" s="79">
        <f>R75/'[21]2014'!R75-1</f>
        <v>3.2405912898603839E-2</v>
      </c>
      <c r="Y75" s="71"/>
      <c r="Z75" s="71"/>
      <c r="AA75" s="85"/>
      <c r="AB75" s="71"/>
    </row>
    <row r="76" spans="1:28" s="2" customFormat="1" ht="15" customHeight="1" x14ac:dyDescent="0.15">
      <c r="A76" s="20">
        <v>42075</v>
      </c>
      <c r="B76" s="20" t="s">
        <v>37</v>
      </c>
      <c r="C76" s="21">
        <v>58700</v>
      </c>
      <c r="D76" s="7">
        <v>20540</v>
      </c>
      <c r="E76" s="7">
        <v>80387</v>
      </c>
      <c r="F76" s="22">
        <v>4153</v>
      </c>
      <c r="G76" s="23">
        <v>2586</v>
      </c>
      <c r="H76" s="24">
        <v>964</v>
      </c>
      <c r="I76" s="36">
        <v>639</v>
      </c>
      <c r="J76" s="8">
        <f t="shared" si="8"/>
        <v>59847</v>
      </c>
      <c r="K76" s="37">
        <f t="shared" si="9"/>
        <v>354</v>
      </c>
      <c r="L76" s="37">
        <v>793</v>
      </c>
      <c r="M76" s="74">
        <f t="shared" si="10"/>
        <v>558227</v>
      </c>
      <c r="N76" s="75">
        <f t="shared" si="11"/>
        <v>256780</v>
      </c>
      <c r="O76" s="75">
        <f t="shared" si="12"/>
        <v>829286</v>
      </c>
      <c r="P76" s="76">
        <f t="shared" si="13"/>
        <v>3607618</v>
      </c>
      <c r="Q76" s="76">
        <f t="shared" si="13"/>
        <v>1422068</v>
      </c>
      <c r="R76" s="76">
        <f t="shared" si="13"/>
        <v>5104674</v>
      </c>
      <c r="S76" s="80">
        <f>M76/'[21]2014'!M76-1</f>
        <v>-0.2623723716184343</v>
      </c>
      <c r="T76" s="80">
        <f>N76/'[21]2014'!N76-1</f>
        <v>6.7967625749673521E-2</v>
      </c>
      <c r="U76" s="80">
        <f>O76/'[21]2014'!O76-1</f>
        <v>-0.18695298797125026</v>
      </c>
      <c r="V76" s="81">
        <f>P76/'[21]2014'!P76-1</f>
        <v>1.5398653722528133E-2</v>
      </c>
      <c r="W76" s="81">
        <f>Q76/'[21]2014'!Q76-1</f>
        <v>8.2920562589168245E-2</v>
      </c>
      <c r="X76" s="81">
        <f>R76/'[21]2014'!R76-1</f>
        <v>3.0871993670183118E-2</v>
      </c>
      <c r="Y76" s="37">
        <v>18.690000000000001</v>
      </c>
      <c r="Z76" s="37">
        <f>P76/10000-Y76</f>
        <v>342.0718</v>
      </c>
      <c r="AA76" s="37">
        <v>3890.0920000000001</v>
      </c>
      <c r="AB76" s="37">
        <f>Z76*10000/AA76</f>
        <v>879.34115697006655</v>
      </c>
    </row>
    <row r="77" spans="1:28" s="2" customFormat="1" ht="15" customHeight="1" x14ac:dyDescent="0.15">
      <c r="A77" s="20">
        <v>42076</v>
      </c>
      <c r="B77" s="20" t="s">
        <v>38</v>
      </c>
      <c r="C77" s="21">
        <v>58135</v>
      </c>
      <c r="D77" s="7">
        <v>19776</v>
      </c>
      <c r="E77" s="7">
        <v>79853</v>
      </c>
      <c r="F77" s="22">
        <v>4092</v>
      </c>
      <c r="G77" s="23">
        <v>2559</v>
      </c>
      <c r="H77" s="24"/>
      <c r="I77" s="36"/>
      <c r="J77" s="8">
        <f t="shared" si="8"/>
        <v>60077</v>
      </c>
      <c r="K77" s="37">
        <f t="shared" si="9"/>
        <v>1149</v>
      </c>
      <c r="L77" s="37">
        <v>793</v>
      </c>
      <c r="M77" s="74">
        <f t="shared" si="10"/>
        <v>616362</v>
      </c>
      <c r="N77" s="75">
        <f t="shared" si="11"/>
        <v>276556</v>
      </c>
      <c r="O77" s="75">
        <f t="shared" si="12"/>
        <v>909139</v>
      </c>
      <c r="P77" s="76">
        <f t="shared" si="13"/>
        <v>3665753</v>
      </c>
      <c r="Q77" s="76">
        <f t="shared" si="13"/>
        <v>1441844</v>
      </c>
      <c r="R77" s="76">
        <f t="shared" si="13"/>
        <v>5184527</v>
      </c>
      <c r="S77" s="80">
        <f>M77/'[21]2014'!M77-1</f>
        <v>-0.24619527730081159</v>
      </c>
      <c r="T77" s="80">
        <f>N77/'[21]2014'!N77-1</f>
        <v>5.5488765996099421E-2</v>
      </c>
      <c r="U77" s="80">
        <f>O77/'[21]2014'!O77-1</f>
        <v>-0.17755567838568642</v>
      </c>
      <c r="V77" s="81">
        <f>P77/'[21]2014'!P77-1</f>
        <v>1.4379367472755034E-2</v>
      </c>
      <c r="W77" s="81">
        <f>Q77/'[21]2014'!Q77-1</f>
        <v>8.0229180206891515E-2</v>
      </c>
      <c r="X77" s="81">
        <f>R77/'[21]2014'!R77-1</f>
        <v>2.923962328576768E-2</v>
      </c>
      <c r="Y77" s="37"/>
      <c r="Z77" s="37"/>
      <c r="AA77" s="37"/>
      <c r="AB77" s="37"/>
    </row>
    <row r="78" spans="1:28" s="2" customFormat="1" ht="15" customHeight="1" x14ac:dyDescent="0.15">
      <c r="A78" s="20">
        <v>42077</v>
      </c>
      <c r="B78" s="20" t="s">
        <v>39</v>
      </c>
      <c r="C78" s="21">
        <v>59120</v>
      </c>
      <c r="D78" s="7">
        <v>19869</v>
      </c>
      <c r="E78" s="7">
        <v>80938</v>
      </c>
      <c r="F78" s="22">
        <v>4151</v>
      </c>
      <c r="G78" s="23">
        <v>2604</v>
      </c>
      <c r="H78" s="24"/>
      <c r="I78" s="36"/>
      <c r="J78" s="8">
        <f t="shared" si="8"/>
        <v>61069</v>
      </c>
      <c r="K78" s="37">
        <f t="shared" si="9"/>
        <v>1156</v>
      </c>
      <c r="L78" s="37">
        <v>793</v>
      </c>
      <c r="M78" s="74">
        <f t="shared" si="10"/>
        <v>675482</v>
      </c>
      <c r="N78" s="75">
        <f t="shared" si="11"/>
        <v>296425</v>
      </c>
      <c r="O78" s="75">
        <f t="shared" si="12"/>
        <v>990077</v>
      </c>
      <c r="P78" s="76">
        <f t="shared" si="13"/>
        <v>3724873</v>
      </c>
      <c r="Q78" s="76">
        <f t="shared" si="13"/>
        <v>1461713</v>
      </c>
      <c r="R78" s="76">
        <f t="shared" si="13"/>
        <v>5265465</v>
      </c>
      <c r="S78" s="80">
        <f>M78/'[21]2014'!M78-1</f>
        <v>-0.23103754071169913</v>
      </c>
      <c r="T78" s="80">
        <f>N78/'[21]2014'!N78-1</f>
        <v>4.5727308325954397E-2</v>
      </c>
      <c r="U78" s="80">
        <f>O78/'[21]2014'!O78-1</f>
        <v>-0.16838338744020598</v>
      </c>
      <c r="V78" s="81">
        <f>P78/'[21]2014'!P78-1</f>
        <v>1.3693906797940691E-2</v>
      </c>
      <c r="W78" s="81">
        <f>Q78/'[21]2014'!Q78-1</f>
        <v>7.7797690390859486E-2</v>
      </c>
      <c r="X78" s="81">
        <f>R78/'[21]2014'!R78-1</f>
        <v>2.7934508491570531E-2</v>
      </c>
      <c r="Y78" s="37"/>
      <c r="Z78" s="37"/>
      <c r="AA78" s="37"/>
      <c r="AB78" s="37"/>
    </row>
    <row r="79" spans="1:28" s="2" customFormat="1" ht="15" customHeight="1" x14ac:dyDescent="0.15">
      <c r="A79" s="20">
        <v>42078</v>
      </c>
      <c r="B79" s="20" t="s">
        <v>1</v>
      </c>
      <c r="C79" s="21">
        <v>56719</v>
      </c>
      <c r="D79" s="7">
        <v>19836</v>
      </c>
      <c r="E79" s="7">
        <v>77870</v>
      </c>
      <c r="F79" s="22">
        <v>3953</v>
      </c>
      <c r="G79" s="23">
        <v>2575</v>
      </c>
      <c r="H79" s="24"/>
      <c r="I79" s="36"/>
      <c r="J79" s="8">
        <f t="shared" si="8"/>
        <v>58034</v>
      </c>
      <c r="K79" s="37">
        <f t="shared" si="9"/>
        <v>522</v>
      </c>
      <c r="L79" s="37">
        <v>793</v>
      </c>
      <c r="M79" s="74">
        <f t="shared" si="10"/>
        <v>732201</v>
      </c>
      <c r="N79" s="75">
        <f t="shared" si="11"/>
        <v>316261</v>
      </c>
      <c r="O79" s="75">
        <f t="shared" si="12"/>
        <v>1067947</v>
      </c>
      <c r="P79" s="76">
        <f t="shared" si="13"/>
        <v>3781592</v>
      </c>
      <c r="Q79" s="76">
        <f t="shared" si="13"/>
        <v>1481549</v>
      </c>
      <c r="R79" s="76">
        <f t="shared" si="13"/>
        <v>5343335</v>
      </c>
      <c r="S79" s="80">
        <f>M79/'[21]2014'!M79-1</f>
        <v>-0.22001974981437944</v>
      </c>
      <c r="T79" s="80">
        <f>N79/'[21]2014'!N79-1</f>
        <v>3.5932929565561933E-2</v>
      </c>
      <c r="U79" s="80">
        <f>O79/'[21]2014'!O79-1</f>
        <v>-0.1615659396737168</v>
      </c>
      <c r="V79" s="81">
        <f>P79/'[21]2014'!P79-1</f>
        <v>1.2511298938863602E-2</v>
      </c>
      <c r="W79" s="81">
        <f>Q79/'[21]2014'!Q79-1</f>
        <v>7.5119835794755119E-2</v>
      </c>
      <c r="X79" s="81">
        <f>R79/'[21]2014'!R79-1</f>
        <v>2.646511841452881E-2</v>
      </c>
      <c r="Y79" s="37"/>
      <c r="Z79" s="37"/>
      <c r="AA79" s="37"/>
      <c r="AB79" s="37"/>
    </row>
    <row r="80" spans="1:28" s="2" customFormat="1" ht="15" customHeight="1" x14ac:dyDescent="0.15">
      <c r="A80" s="20">
        <v>42079</v>
      </c>
      <c r="B80" s="20" t="s">
        <v>34</v>
      </c>
      <c r="C80" s="21">
        <v>59419</v>
      </c>
      <c r="D80" s="7">
        <v>19565</v>
      </c>
      <c r="E80" s="7">
        <v>81041</v>
      </c>
      <c r="F80" s="22">
        <v>4221</v>
      </c>
      <c r="G80" s="23">
        <v>2512</v>
      </c>
      <c r="H80" s="24"/>
      <c r="I80" s="36"/>
      <c r="J80" s="8">
        <f t="shared" si="8"/>
        <v>61476</v>
      </c>
      <c r="K80" s="37">
        <f t="shared" si="9"/>
        <v>1264</v>
      </c>
      <c r="L80" s="37">
        <v>793</v>
      </c>
      <c r="M80" s="74">
        <f t="shared" si="10"/>
        <v>791620</v>
      </c>
      <c r="N80" s="75">
        <f t="shared" si="11"/>
        <v>335826</v>
      </c>
      <c r="O80" s="75">
        <f t="shared" si="12"/>
        <v>1148988</v>
      </c>
      <c r="P80" s="76">
        <f t="shared" si="13"/>
        <v>3841011</v>
      </c>
      <c r="Q80" s="76">
        <f t="shared" si="13"/>
        <v>1501114</v>
      </c>
      <c r="R80" s="76">
        <f t="shared" si="13"/>
        <v>5424376</v>
      </c>
      <c r="S80" s="80">
        <f>M80/'[21]2014'!M80-1</f>
        <v>-0.20454990780608628</v>
      </c>
      <c r="T80" s="80">
        <f>N80/'[21]2014'!N80-1</f>
        <v>2.898586249793178E-2</v>
      </c>
      <c r="U80" s="80">
        <f>O80/'[21]2014'!O80-1</f>
        <v>-0.15060663139934771</v>
      </c>
      <c r="V80" s="81">
        <f>P80/'[21]2014'!P80-1</f>
        <v>1.3110258048282031E-2</v>
      </c>
      <c r="W80" s="81">
        <f>Q80/'[21]2014'!Q80-1</f>
        <v>7.2909031585515427E-2</v>
      </c>
      <c r="X80" s="81">
        <f>R80/'[21]2014'!R80-1</f>
        <v>2.6460366975775695E-2</v>
      </c>
      <c r="Y80" s="37"/>
      <c r="Z80" s="37"/>
      <c r="AA80" s="37"/>
      <c r="AB80" s="37"/>
    </row>
    <row r="81" spans="1:29" ht="15" customHeight="1" x14ac:dyDescent="0.15">
      <c r="A81" s="20">
        <v>42080</v>
      </c>
      <c r="B81" s="14" t="s">
        <v>35</v>
      </c>
      <c r="C81" s="15">
        <v>59023</v>
      </c>
      <c r="D81" s="16">
        <v>20085</v>
      </c>
      <c r="E81" s="16">
        <v>81182</v>
      </c>
      <c r="F81" s="17">
        <v>4152</v>
      </c>
      <c r="G81" s="18">
        <v>2643</v>
      </c>
      <c r="H81" s="19"/>
      <c r="I81" s="19"/>
      <c r="J81" s="32">
        <f t="shared" si="8"/>
        <v>61097</v>
      </c>
      <c r="K81" s="33">
        <f t="shared" si="9"/>
        <v>1281</v>
      </c>
      <c r="L81" s="33">
        <v>793</v>
      </c>
      <c r="M81" s="77">
        <f t="shared" si="10"/>
        <v>850643</v>
      </c>
      <c r="N81" s="78">
        <f t="shared" si="11"/>
        <v>355911</v>
      </c>
      <c r="O81" s="78">
        <f t="shared" si="12"/>
        <v>1230170</v>
      </c>
      <c r="P81" s="77">
        <f t="shared" si="13"/>
        <v>3900034</v>
      </c>
      <c r="Q81" s="77">
        <f t="shared" si="13"/>
        <v>1521199</v>
      </c>
      <c r="R81" s="77">
        <f t="shared" si="13"/>
        <v>5505558</v>
      </c>
      <c r="S81" s="82">
        <f>M81/'[21]2014'!M81-1</f>
        <v>-0.19282881833113985</v>
      </c>
      <c r="T81" s="82">
        <f>N81/'[21]2014'!N81-1</f>
        <v>2.5195584795658643E-2</v>
      </c>
      <c r="U81" s="82">
        <f>O81/'[21]2014'!O81-1</f>
        <v>-0.14303309037382972</v>
      </c>
      <c r="V81" s="82">
        <f>P81/'[21]2014'!P81-1</f>
        <v>1.3001632736602708E-2</v>
      </c>
      <c r="W81" s="82">
        <f>Q81/'[21]2014'!Q81-1</f>
        <v>7.1338952725341631E-2</v>
      </c>
      <c r="X81" s="82">
        <f>R81/'[21]2014'!R81-1</f>
        <v>2.5755115865975675E-2</v>
      </c>
      <c r="Y81" s="33"/>
      <c r="Z81" s="33"/>
      <c r="AA81" s="33"/>
      <c r="AB81" s="33"/>
    </row>
    <row r="82" spans="1:29" ht="15" customHeight="1" x14ac:dyDescent="0.15">
      <c r="A82" s="20">
        <v>42081</v>
      </c>
      <c r="B82" s="20" t="s">
        <v>36</v>
      </c>
      <c r="C82" s="66">
        <v>59146</v>
      </c>
      <c r="D82" s="67">
        <v>20090</v>
      </c>
      <c r="E82" s="67">
        <v>81492</v>
      </c>
      <c r="F82" s="68">
        <v>4215</v>
      </c>
      <c r="G82" s="69">
        <v>2620</v>
      </c>
      <c r="H82" s="24">
        <v>986</v>
      </c>
      <c r="I82" s="24">
        <v>674</v>
      </c>
      <c r="J82" s="70">
        <f t="shared" si="8"/>
        <v>61402</v>
      </c>
      <c r="K82" s="71">
        <f t="shared" si="9"/>
        <v>1463</v>
      </c>
      <c r="L82" s="71">
        <v>793</v>
      </c>
      <c r="M82" s="72">
        <f t="shared" si="10"/>
        <v>909789</v>
      </c>
      <c r="N82" s="73">
        <f t="shared" si="11"/>
        <v>376001</v>
      </c>
      <c r="O82" s="73">
        <f t="shared" si="12"/>
        <v>1311662</v>
      </c>
      <c r="P82" s="72">
        <f t="shared" si="13"/>
        <v>3959180</v>
      </c>
      <c r="Q82" s="72">
        <f t="shared" si="13"/>
        <v>1541289</v>
      </c>
      <c r="R82" s="72">
        <f t="shared" si="13"/>
        <v>5587050</v>
      </c>
      <c r="S82" s="79">
        <f>M82/'[21]2014'!M82-1</f>
        <v>-0.18466290986912148</v>
      </c>
      <c r="T82" s="79">
        <f>N82/'[21]2014'!N82-1</f>
        <v>2.5470324167762071E-2</v>
      </c>
      <c r="U82" s="79">
        <f>O82/'[21]2014'!O82-1</f>
        <v>-0.13629623191154239</v>
      </c>
      <c r="V82" s="79">
        <f>P82/'[21]2014'!P82-1</f>
        <v>1.2069382011342222E-2</v>
      </c>
      <c r="W82" s="79">
        <f>Q82/'[21]2014'!Q82-1</f>
        <v>7.0783884285319676E-2</v>
      </c>
      <c r="X82" s="79">
        <f>R82/'[21]2014'!R82-1</f>
        <v>2.5057072986456097E-2</v>
      </c>
      <c r="Y82" s="71"/>
      <c r="Z82" s="71"/>
      <c r="AA82" s="85"/>
      <c r="AB82" s="71"/>
    </row>
    <row r="83" spans="1:29" ht="15" customHeight="1" x14ac:dyDescent="0.15">
      <c r="A83" s="20">
        <v>42082</v>
      </c>
      <c r="B83" s="20" t="s">
        <v>37</v>
      </c>
      <c r="C83" s="21">
        <v>57700</v>
      </c>
      <c r="D83" s="7">
        <v>23445</v>
      </c>
      <c r="E83" s="7">
        <v>82096</v>
      </c>
      <c r="F83" s="22">
        <v>4175</v>
      </c>
      <c r="G83" s="23">
        <v>2655</v>
      </c>
      <c r="H83" s="24">
        <v>1101</v>
      </c>
      <c r="I83" s="36">
        <v>623</v>
      </c>
      <c r="J83" s="8">
        <f t="shared" si="8"/>
        <v>58651</v>
      </c>
      <c r="K83" s="37">
        <f t="shared" si="9"/>
        <v>158</v>
      </c>
      <c r="L83" s="37">
        <v>793</v>
      </c>
      <c r="M83" s="74">
        <f t="shared" si="10"/>
        <v>967489</v>
      </c>
      <c r="N83" s="75">
        <f t="shared" si="11"/>
        <v>399446</v>
      </c>
      <c r="O83" s="75">
        <f t="shared" si="12"/>
        <v>1393758</v>
      </c>
      <c r="P83" s="76">
        <f t="shared" si="13"/>
        <v>4016880</v>
      </c>
      <c r="Q83" s="76">
        <f t="shared" si="13"/>
        <v>1564734</v>
      </c>
      <c r="R83" s="76">
        <f t="shared" si="13"/>
        <v>5669146</v>
      </c>
      <c r="S83" s="80">
        <f>M83/'[21]2014'!M83-1</f>
        <v>-0.17966999889773527</v>
      </c>
      <c r="T83" s="80">
        <f>N83/'[21]2014'!N83-1</f>
        <v>3.2715257812984788E-2</v>
      </c>
      <c r="U83" s="80">
        <f>O83/'[21]2014'!O83-1</f>
        <v>-0.13120951771262723</v>
      </c>
      <c r="V83" s="81">
        <f>P83/'[21]2014'!P83-1</f>
        <v>1.0405957875603944E-2</v>
      </c>
      <c r="W83" s="81">
        <f>Q83/'[21]2014'!Q83-1</f>
        <v>7.2078901977174148E-2</v>
      </c>
      <c r="X83" s="81">
        <f>R83/'[21]2014'!R83-1</f>
        <v>2.4036141096226871E-2</v>
      </c>
      <c r="Y83" s="37">
        <v>21.14</v>
      </c>
      <c r="Z83" s="37">
        <f>P83/10000-Y83</f>
        <v>380.548</v>
      </c>
      <c r="AA83" s="37">
        <v>3890.0920000000001</v>
      </c>
      <c r="AB83" s="37">
        <f>Z83*10000/AA83</f>
        <v>978.24935759874052</v>
      </c>
    </row>
    <row r="84" spans="1:29" ht="15" customHeight="1" x14ac:dyDescent="0.15">
      <c r="A84" s="20">
        <v>42083</v>
      </c>
      <c r="B84" s="20" t="s">
        <v>38</v>
      </c>
      <c r="C84" s="21">
        <v>57722</v>
      </c>
      <c r="D84" s="7">
        <f>12243+11771</f>
        <v>24014</v>
      </c>
      <c r="E84" s="7">
        <v>84297</v>
      </c>
      <c r="F84" s="22">
        <v>4342</v>
      </c>
      <c r="G84" s="23">
        <v>2713</v>
      </c>
      <c r="H84" s="24"/>
      <c r="I84" s="36"/>
      <c r="J84" s="8">
        <f t="shared" si="8"/>
        <v>60283</v>
      </c>
      <c r="K84" s="37">
        <f t="shared" si="9"/>
        <v>1768</v>
      </c>
      <c r="L84" s="37">
        <v>793</v>
      </c>
      <c r="M84" s="74">
        <f t="shared" si="10"/>
        <v>1025211</v>
      </c>
      <c r="N84" s="75">
        <f t="shared" si="11"/>
        <v>423460</v>
      </c>
      <c r="O84" s="75">
        <f t="shared" si="12"/>
        <v>1478055</v>
      </c>
      <c r="P84" s="76">
        <f t="shared" si="13"/>
        <v>4074602</v>
      </c>
      <c r="Q84" s="76">
        <f t="shared" si="13"/>
        <v>1588748</v>
      </c>
      <c r="R84" s="76">
        <f t="shared" si="13"/>
        <v>5753443</v>
      </c>
      <c r="S84" s="80">
        <f>M84/'[21]2014'!M84-1</f>
        <v>-0.1740169400443603</v>
      </c>
      <c r="T84" s="80">
        <f>N84/'[21]2014'!N84-1</f>
        <v>3.5749576855720111E-2</v>
      </c>
      <c r="U84" s="80">
        <f>O84/'[21]2014'!O84-1</f>
        <v>-0.12549714051755867</v>
      </c>
      <c r="V84" s="81">
        <f>P84/'[21]2014'!P84-1</f>
        <v>9.2338436220842368E-3</v>
      </c>
      <c r="W84" s="81">
        <f>Q84/'[21]2014'!Q84-1</f>
        <v>7.233033282948087E-2</v>
      </c>
      <c r="X84" s="81">
        <f>R84/'[21]2014'!R84-1</f>
        <v>2.3381023995930228E-2</v>
      </c>
      <c r="Y84" s="37">
        <v>22.564699999999998</v>
      </c>
      <c r="Z84" s="37">
        <f>P84/10000-Y84</f>
        <v>384.89549999999997</v>
      </c>
      <c r="AA84" s="37">
        <v>3890.0920000000001</v>
      </c>
      <c r="AB84" s="37">
        <f>Z84*10000/AA84</f>
        <v>989.42518583108051</v>
      </c>
    </row>
    <row r="85" spans="1:29" ht="15" customHeight="1" x14ac:dyDescent="0.15">
      <c r="A85" s="20">
        <v>42084</v>
      </c>
      <c r="B85" s="20" t="s">
        <v>39</v>
      </c>
      <c r="C85" s="21">
        <v>56097</v>
      </c>
      <c r="D85" s="7">
        <f>13068+11745</f>
        <v>24813</v>
      </c>
      <c r="E85" s="7">
        <v>83352</v>
      </c>
      <c r="F85" s="22">
        <v>4278</v>
      </c>
      <c r="G85" s="23">
        <v>2759</v>
      </c>
      <c r="H85" s="24"/>
      <c r="I85" s="36"/>
      <c r="J85" s="8">
        <f t="shared" si="8"/>
        <v>58539</v>
      </c>
      <c r="K85" s="37">
        <f t="shared" si="9"/>
        <v>1649</v>
      </c>
      <c r="L85" s="37">
        <v>793</v>
      </c>
      <c r="M85" s="74">
        <f t="shared" si="10"/>
        <v>1081308</v>
      </c>
      <c r="N85" s="75">
        <f t="shared" si="11"/>
        <v>448273</v>
      </c>
      <c r="O85" s="75">
        <f t="shared" si="12"/>
        <v>1561407</v>
      </c>
      <c r="P85" s="76">
        <f t="shared" si="13"/>
        <v>4130699</v>
      </c>
      <c r="Q85" s="76">
        <f t="shared" si="13"/>
        <v>1613561</v>
      </c>
      <c r="R85" s="76">
        <f t="shared" si="13"/>
        <v>5836795</v>
      </c>
      <c r="S85" s="80">
        <f>M85/'[21]2014'!M85-1</f>
        <v>-0.17043317751739406</v>
      </c>
      <c r="T85" s="80">
        <f>N85/'[21]2014'!N85-1</f>
        <v>4.0670545137131642E-2</v>
      </c>
      <c r="U85" s="80">
        <f>O85/'[21]2014'!O85-1</f>
        <v>-0.12094372860286751</v>
      </c>
      <c r="V85" s="81">
        <f>P85/'[21]2014'!P85-1</f>
        <v>7.5902860340395506E-3</v>
      </c>
      <c r="W85" s="81">
        <f>Q85/'[21]2014'!Q85-1</f>
        <v>7.3207118482974121E-2</v>
      </c>
      <c r="X85" s="81">
        <f>R85/'[21]2014'!R85-1</f>
        <v>2.2553196707813195E-2</v>
      </c>
      <c r="Y85" s="37"/>
      <c r="Z85" s="37"/>
      <c r="AA85" s="37"/>
      <c r="AB85" s="37"/>
    </row>
    <row r="86" spans="1:29" ht="15" customHeight="1" x14ac:dyDescent="0.15">
      <c r="A86" s="20">
        <v>42085</v>
      </c>
      <c r="B86" s="20" t="s">
        <v>1</v>
      </c>
      <c r="C86" s="21">
        <v>52703</v>
      </c>
      <c r="D86" s="7">
        <f>13003+11704</f>
        <v>24707</v>
      </c>
      <c r="E86" s="7">
        <v>79426</v>
      </c>
      <c r="F86" s="22">
        <v>3999</v>
      </c>
      <c r="G86" s="23">
        <v>2742</v>
      </c>
      <c r="H86" s="24"/>
      <c r="I86" s="36"/>
      <c r="J86" s="8">
        <f t="shared" si="8"/>
        <v>54719</v>
      </c>
      <c r="K86" s="37">
        <f t="shared" si="9"/>
        <v>1223</v>
      </c>
      <c r="L86" s="37">
        <v>793</v>
      </c>
      <c r="M86" s="74">
        <f t="shared" si="10"/>
        <v>1134011</v>
      </c>
      <c r="N86" s="75">
        <f t="shared" si="11"/>
        <v>472980</v>
      </c>
      <c r="O86" s="75">
        <f t="shared" si="12"/>
        <v>1640833</v>
      </c>
      <c r="P86" s="76">
        <f t="shared" si="13"/>
        <v>4183402</v>
      </c>
      <c r="Q86" s="76">
        <f t="shared" si="13"/>
        <v>1638268</v>
      </c>
      <c r="R86" s="76">
        <f t="shared" si="13"/>
        <v>5916221</v>
      </c>
      <c r="S86" s="80">
        <f>M86/'[21]2014'!M86-1</f>
        <v>-0.16762748241318159</v>
      </c>
      <c r="T86" s="80">
        <f>N86/'[21]2014'!N86-1</f>
        <v>4.0733340961299769E-2</v>
      </c>
      <c r="U86" s="80">
        <f>O86/'[21]2014'!O86-1</f>
        <v>-0.11834743977716256</v>
      </c>
      <c r="V86" s="81">
        <f>P86/'[21]2014'!P86-1</f>
        <v>5.987007349997242E-3</v>
      </c>
      <c r="W86" s="81">
        <f>Q86/'[21]2014'!Q86-1</f>
        <v>7.2720587922343372E-2</v>
      </c>
      <c r="X86" s="81">
        <f>R86/'[21]2014'!R86-1</f>
        <v>2.128530410499585E-2</v>
      </c>
      <c r="Y86" s="37"/>
      <c r="Z86" s="37"/>
      <c r="AA86" s="37"/>
      <c r="AB86" s="37"/>
    </row>
    <row r="87" spans="1:29" ht="15" customHeight="1" x14ac:dyDescent="0.15">
      <c r="A87" s="20">
        <v>42086</v>
      </c>
      <c r="B87" s="20" t="s">
        <v>34</v>
      </c>
      <c r="C87" s="21">
        <v>57748</v>
      </c>
      <c r="D87" s="7">
        <f>13042+11546</f>
        <v>24588</v>
      </c>
      <c r="E87" s="7">
        <v>84409</v>
      </c>
      <c r="F87" s="22">
        <v>4363</v>
      </c>
      <c r="G87" s="23">
        <v>2655</v>
      </c>
      <c r="H87" s="24"/>
      <c r="I87" s="36"/>
      <c r="J87" s="8">
        <f t="shared" si="8"/>
        <v>59821</v>
      </c>
      <c r="K87" s="37">
        <f t="shared" si="9"/>
        <v>1280</v>
      </c>
      <c r="L87" s="37">
        <v>793</v>
      </c>
      <c r="M87" s="74">
        <f t="shared" si="10"/>
        <v>1191759</v>
      </c>
      <c r="N87" s="75">
        <f t="shared" si="11"/>
        <v>497568</v>
      </c>
      <c r="O87" s="75">
        <f t="shared" si="12"/>
        <v>1725242</v>
      </c>
      <c r="P87" s="76">
        <f t="shared" si="13"/>
        <v>4241150</v>
      </c>
      <c r="Q87" s="76">
        <f t="shared" si="13"/>
        <v>1662856</v>
      </c>
      <c r="R87" s="76">
        <f t="shared" si="13"/>
        <v>6000630</v>
      </c>
      <c r="S87" s="80">
        <f>M87/'[21]2014'!M87-1</f>
        <v>-0.15995161696197657</v>
      </c>
      <c r="T87" s="80">
        <f>N87/'[21]2014'!N87-1</f>
        <v>4.2413627669314113E-2</v>
      </c>
      <c r="U87" s="80">
        <f>O87/'[21]2014'!O87-1</f>
        <v>-0.11164056200291028</v>
      </c>
      <c r="V87" s="81">
        <f>P87/'[21]2014'!P87-1</f>
        <v>6.2517794438645691E-3</v>
      </c>
      <c r="W87" s="81">
        <f>Q87/'[21]2014'!Q87-1</f>
        <v>7.2766373764687753E-2</v>
      </c>
      <c r="X87" s="81">
        <f>R87/'[21]2014'!R87-1</f>
        <v>2.157806003286078E-2</v>
      </c>
      <c r="Y87" s="37"/>
      <c r="Z87" s="37"/>
      <c r="AA87" s="37"/>
      <c r="AB87" s="37"/>
    </row>
    <row r="88" spans="1:29" ht="15" customHeight="1" x14ac:dyDescent="0.15">
      <c r="A88" s="20">
        <v>42087</v>
      </c>
      <c r="B88" s="14" t="s">
        <v>35</v>
      </c>
      <c r="C88" s="15">
        <v>59650</v>
      </c>
      <c r="D88" s="16">
        <f>13512+11698</f>
        <v>25210</v>
      </c>
      <c r="E88" s="16">
        <v>86671</v>
      </c>
      <c r="F88" s="17">
        <v>4396</v>
      </c>
      <c r="G88" s="18">
        <v>2831</v>
      </c>
      <c r="H88" s="19"/>
      <c r="I88" s="19"/>
      <c r="J88" s="32">
        <f t="shared" si="8"/>
        <v>61461</v>
      </c>
      <c r="K88" s="33">
        <f t="shared" si="9"/>
        <v>1018</v>
      </c>
      <c r="L88" s="33">
        <v>793</v>
      </c>
      <c r="M88" s="77">
        <f t="shared" si="10"/>
        <v>1251409</v>
      </c>
      <c r="N88" s="78">
        <f t="shared" si="11"/>
        <v>522778</v>
      </c>
      <c r="O88" s="78">
        <f t="shared" si="12"/>
        <v>1811913</v>
      </c>
      <c r="P88" s="77">
        <f t="shared" si="13"/>
        <v>4300800</v>
      </c>
      <c r="Q88" s="77">
        <f t="shared" si="13"/>
        <v>1688066</v>
      </c>
      <c r="R88" s="77">
        <f t="shared" si="13"/>
        <v>6087301</v>
      </c>
      <c r="S88" s="82">
        <f>M88/'[21]2014'!M88-1</f>
        <v>-0.15265276550507667</v>
      </c>
      <c r="T88" s="82">
        <f>N88/'[21]2014'!N88-1</f>
        <v>4.4361250729165747E-2</v>
      </c>
      <c r="U88" s="82">
        <f>O88/'[21]2014'!O88-1</f>
        <v>-0.1057064295983926</v>
      </c>
      <c r="V88" s="82">
        <f>P88/'[21]2014'!P88-1</f>
        <v>6.5116209405342573E-3</v>
      </c>
      <c r="W88" s="82">
        <f>Q88/'[21]2014'!Q88-1</f>
        <v>7.2937512414094519E-2</v>
      </c>
      <c r="X88" s="82">
        <f>R88/'[21]2014'!R88-1</f>
        <v>2.1717172056250567E-2</v>
      </c>
      <c r="Y88" s="33"/>
      <c r="Z88" s="33"/>
      <c r="AA88" s="33"/>
      <c r="AB88" s="33"/>
    </row>
    <row r="89" spans="1:29" ht="15" customHeight="1" x14ac:dyDescent="0.15">
      <c r="A89" s="20">
        <v>42088</v>
      </c>
      <c r="B89" s="20" t="s">
        <v>36</v>
      </c>
      <c r="C89" s="66">
        <v>59601</v>
      </c>
      <c r="D89" s="67">
        <f>13723+11710</f>
        <v>25433</v>
      </c>
      <c r="E89" s="67">
        <v>87509</v>
      </c>
      <c r="F89" s="68">
        <v>4453</v>
      </c>
      <c r="G89" s="69">
        <v>2878</v>
      </c>
      <c r="H89" s="24"/>
      <c r="I89" s="24"/>
      <c r="J89" s="70">
        <f t="shared" si="8"/>
        <v>62076</v>
      </c>
      <c r="K89" s="71">
        <f t="shared" si="9"/>
        <v>1682</v>
      </c>
      <c r="L89" s="71">
        <v>793</v>
      </c>
      <c r="M89" s="72">
        <f t="shared" si="10"/>
        <v>1311010</v>
      </c>
      <c r="N89" s="73">
        <f t="shared" si="11"/>
        <v>548211</v>
      </c>
      <c r="O89" s="73">
        <f t="shared" si="12"/>
        <v>1899422</v>
      </c>
      <c r="P89" s="72">
        <f t="shared" si="13"/>
        <v>4360401</v>
      </c>
      <c r="Q89" s="72">
        <f t="shared" si="13"/>
        <v>1713499</v>
      </c>
      <c r="R89" s="72">
        <f t="shared" si="13"/>
        <v>6174810</v>
      </c>
      <c r="S89" s="79">
        <f>M89/'[21]2014'!M89-1</f>
        <v>-0.14647730890449795</v>
      </c>
      <c r="T89" s="79">
        <f>N89/'[21]2014'!N89-1</f>
        <v>4.4864219931690652E-2</v>
      </c>
      <c r="U89" s="79">
        <f>O89/'[21]2014'!O89-1</f>
        <v>-0.10028354429420394</v>
      </c>
      <c r="V89" s="79">
        <f>P89/'[21]2014'!P89-1</f>
        <v>6.528212514888887E-3</v>
      </c>
      <c r="W89" s="79">
        <f>Q89/'[21]2014'!Q89-1</f>
        <v>7.2671586080614636E-2</v>
      </c>
      <c r="X89" s="79">
        <f>R89/'[21]2014'!R89-1</f>
        <v>2.1818270275690832E-2</v>
      </c>
      <c r="Y89" s="71"/>
      <c r="Z89" s="71"/>
      <c r="AA89" s="85"/>
      <c r="AB89" s="71"/>
    </row>
    <row r="90" spans="1:29" ht="15" customHeight="1" x14ac:dyDescent="0.15">
      <c r="A90" s="20">
        <v>42089</v>
      </c>
      <c r="B90" s="20" t="s">
        <v>37</v>
      </c>
      <c r="C90" s="21">
        <v>61661</v>
      </c>
      <c r="D90" s="7">
        <v>26503</v>
      </c>
      <c r="E90" s="7">
        <v>90042</v>
      </c>
      <c r="F90" s="22">
        <v>4506</v>
      </c>
      <c r="G90" s="23">
        <v>2914</v>
      </c>
      <c r="H90" s="24"/>
      <c r="I90" s="36"/>
      <c r="J90" s="8">
        <f t="shared" si="8"/>
        <v>63539</v>
      </c>
      <c r="K90" s="37">
        <f t="shared" si="9"/>
        <v>1085</v>
      </c>
      <c r="L90" s="37">
        <v>793</v>
      </c>
      <c r="M90" s="74">
        <f t="shared" si="10"/>
        <v>1372671</v>
      </c>
      <c r="N90" s="75">
        <f t="shared" si="11"/>
        <v>574714</v>
      </c>
      <c r="O90" s="75">
        <f t="shared" si="12"/>
        <v>1989464</v>
      </c>
      <c r="P90" s="76">
        <f t="shared" si="13"/>
        <v>4422062</v>
      </c>
      <c r="Q90" s="76">
        <f t="shared" si="13"/>
        <v>1740002</v>
      </c>
      <c r="R90" s="76">
        <f t="shared" si="13"/>
        <v>6264852</v>
      </c>
      <c r="S90" s="80">
        <f>M90/'[21]2014'!M90-1</f>
        <v>-0.13982858872385262</v>
      </c>
      <c r="T90" s="80">
        <f>N90/'[21]2014'!N90-1</f>
        <v>4.8893642183952535E-2</v>
      </c>
      <c r="U90" s="80">
        <f>O90/'[21]2014'!O90-1</f>
        <v>-9.409967952541709E-2</v>
      </c>
      <c r="V90" s="81">
        <f>P90/'[21]2014'!P90-1</f>
        <v>6.8603065803387597E-3</v>
      </c>
      <c r="W90" s="81">
        <f>Q90/'[21]2014'!Q90-1</f>
        <v>7.3634919503697382E-2</v>
      </c>
      <c r="X90" s="81">
        <f>R90/'[21]2014'!R90-1</f>
        <v>2.2341087480032051E-2</v>
      </c>
      <c r="Y90" s="37">
        <v>25.3</v>
      </c>
      <c r="Z90" s="37">
        <f>P90/10000-Y90</f>
        <v>416.90620000000001</v>
      </c>
      <c r="AA90" s="37">
        <v>3890.0920000000001</v>
      </c>
      <c r="AB90" s="37">
        <f>Z90*10000/AA90</f>
        <v>1071.7129569172143</v>
      </c>
    </row>
    <row r="91" spans="1:29" ht="15" customHeight="1" x14ac:dyDescent="0.15">
      <c r="A91" s="20">
        <v>42090</v>
      </c>
      <c r="B91" s="20" t="s">
        <v>38</v>
      </c>
      <c r="C91" s="21">
        <v>61577</v>
      </c>
      <c r="D91" s="7">
        <f>14303+11709</f>
        <v>26012</v>
      </c>
      <c r="E91" s="7">
        <v>89507</v>
      </c>
      <c r="F91" s="22">
        <v>4589</v>
      </c>
      <c r="G91" s="23">
        <v>2923</v>
      </c>
      <c r="H91" s="24"/>
      <c r="I91" s="36"/>
      <c r="J91" s="8">
        <f t="shared" si="8"/>
        <v>63495</v>
      </c>
      <c r="K91" s="37">
        <f t="shared" si="9"/>
        <v>1125</v>
      </c>
      <c r="L91" s="37">
        <v>793</v>
      </c>
      <c r="M91" s="74">
        <f t="shared" si="10"/>
        <v>1434248</v>
      </c>
      <c r="N91" s="75">
        <f t="shared" si="11"/>
        <v>600726</v>
      </c>
      <c r="O91" s="75">
        <f t="shared" si="12"/>
        <v>2078971</v>
      </c>
      <c r="P91" s="76">
        <f t="shared" si="13"/>
        <v>4483639</v>
      </c>
      <c r="Q91" s="76">
        <f t="shared" si="13"/>
        <v>1766014</v>
      </c>
      <c r="R91" s="76">
        <f t="shared" si="13"/>
        <v>6354359</v>
      </c>
      <c r="S91" s="80">
        <f>M91/'[21]2014'!M91-1</f>
        <v>-0.13362779257054214</v>
      </c>
      <c r="T91" s="80">
        <f>N91/'[21]2014'!N91-1</f>
        <v>5.1722477734806427E-2</v>
      </c>
      <c r="U91" s="80">
        <f>O91/'[21]2014'!O91-1</f>
        <v>-8.8636688430390409E-2</v>
      </c>
      <c r="V91" s="81">
        <f>P91/'[21]2014'!P91-1</f>
        <v>7.2005813659627993E-3</v>
      </c>
      <c r="W91" s="81">
        <f>Q91/'[21]2014'!Q91-1</f>
        <v>7.4267750293733226E-2</v>
      </c>
      <c r="X91" s="81">
        <f>R91/'[21]2014'!R91-1</f>
        <v>2.2752955700109156E-2</v>
      </c>
      <c r="Y91" s="37"/>
      <c r="Z91" s="37"/>
      <c r="AA91" s="37"/>
      <c r="AB91" s="37"/>
    </row>
    <row r="92" spans="1:29" ht="15" customHeight="1" x14ac:dyDescent="0.15">
      <c r="A92" s="20">
        <v>42091</v>
      </c>
      <c r="B92" s="20" t="s">
        <v>39</v>
      </c>
      <c r="C92" s="21">
        <v>57882</v>
      </c>
      <c r="D92" s="7">
        <f>13869+11751</f>
        <v>25620</v>
      </c>
      <c r="E92" s="7">
        <v>87291</v>
      </c>
      <c r="F92" s="22">
        <v>4414</v>
      </c>
      <c r="G92" s="23">
        <v>2929</v>
      </c>
      <c r="H92" s="24">
        <v>1302</v>
      </c>
      <c r="I92" s="36">
        <v>887</v>
      </c>
      <c r="J92" s="8">
        <f t="shared" si="8"/>
        <v>61671</v>
      </c>
      <c r="K92" s="37">
        <f t="shared" si="9"/>
        <v>2996</v>
      </c>
      <c r="L92" s="37">
        <v>793</v>
      </c>
      <c r="M92" s="74">
        <f t="shared" si="10"/>
        <v>1492130</v>
      </c>
      <c r="N92" s="75">
        <f t="shared" si="11"/>
        <v>626346</v>
      </c>
      <c r="O92" s="75">
        <f t="shared" si="12"/>
        <v>2166262</v>
      </c>
      <c r="P92" s="76">
        <f t="shared" si="13"/>
        <v>4541521</v>
      </c>
      <c r="Q92" s="76">
        <f t="shared" si="13"/>
        <v>1791634</v>
      </c>
      <c r="R92" s="76">
        <f t="shared" si="13"/>
        <v>6441650</v>
      </c>
      <c r="S92" s="80">
        <f>M92/'[21]2014'!M92-1</f>
        <v>-0.12925167686147088</v>
      </c>
      <c r="T92" s="80">
        <f>N92/'[21]2014'!N92-1</f>
        <v>5.1413588308562019E-2</v>
      </c>
      <c r="U92" s="80">
        <f>O92/'[21]2014'!O92-1</f>
        <v>-8.4412765782988064E-2</v>
      </c>
      <c r="V92" s="81">
        <f>P92/'[21]2014'!P92-1</f>
        <v>7.0474144956060858E-3</v>
      </c>
      <c r="W92" s="81">
        <f>Q92/'[21]2014'!Q92-1</f>
        <v>7.3825929742933338E-2</v>
      </c>
      <c r="X92" s="81">
        <f>R92/'[21]2014'!R92-1</f>
        <v>2.2839685541481858E-2</v>
      </c>
      <c r="Y92" s="37"/>
      <c r="Z92" s="37"/>
      <c r="AA92" s="37"/>
      <c r="AB92" s="37"/>
    </row>
    <row r="93" spans="1:29" ht="15" customHeight="1" x14ac:dyDescent="0.15">
      <c r="A93" s="20">
        <v>42092</v>
      </c>
      <c r="B93" s="20" t="s">
        <v>1</v>
      </c>
      <c r="C93" s="21">
        <v>53863</v>
      </c>
      <c r="D93" s="7">
        <f>15165+11687</f>
        <v>26852</v>
      </c>
      <c r="E93" s="7">
        <v>82420</v>
      </c>
      <c r="F93" s="22">
        <v>4097</v>
      </c>
      <c r="G93" s="23">
        <v>2876</v>
      </c>
      <c r="H93" s="24">
        <v>1287</v>
      </c>
      <c r="I93" s="36">
        <v>887</v>
      </c>
      <c r="J93" s="8">
        <f t="shared" si="8"/>
        <v>55568</v>
      </c>
      <c r="K93" s="37">
        <f t="shared" si="9"/>
        <v>912</v>
      </c>
      <c r="L93" s="37">
        <v>793</v>
      </c>
      <c r="M93" s="74">
        <f t="shared" si="10"/>
        <v>1545993</v>
      </c>
      <c r="N93" s="75">
        <f t="shared" si="11"/>
        <v>653198</v>
      </c>
      <c r="O93" s="75">
        <f t="shared" si="12"/>
        <v>2248682</v>
      </c>
      <c r="P93" s="76">
        <f t="shared" si="13"/>
        <v>4595384</v>
      </c>
      <c r="Q93" s="76">
        <f t="shared" si="13"/>
        <v>1818486</v>
      </c>
      <c r="R93" s="76">
        <f t="shared" si="13"/>
        <v>6524070</v>
      </c>
      <c r="S93" s="80">
        <f>M93/'[21]2014'!M93-1</f>
        <v>-0.12591366747027188</v>
      </c>
      <c r="T93" s="80">
        <f>N93/'[21]2014'!N93-1</f>
        <v>5.069134801603381E-2</v>
      </c>
      <c r="U93" s="80">
        <f>O93/'[21]2014'!O93-1</f>
        <v>-8.1561068692936667E-2</v>
      </c>
      <c r="V93" s="81">
        <f>P93/'[21]2014'!P93-1</f>
        <v>6.6962158614463085E-3</v>
      </c>
      <c r="W93" s="81">
        <f>Q93/'[21]2014'!Q93-1</f>
        <v>7.3217484756623818E-2</v>
      </c>
      <c r="X93" s="81">
        <f>R93/'[21]2014'!R93-1</f>
        <v>2.2548969053179047E-2</v>
      </c>
      <c r="Y93" s="37"/>
      <c r="Z93" s="37"/>
      <c r="AA93" s="37"/>
      <c r="AB93" s="37"/>
    </row>
    <row r="94" spans="1:29" ht="15" customHeight="1" x14ac:dyDescent="0.15">
      <c r="A94" s="20">
        <v>42093</v>
      </c>
      <c r="B94" s="20" t="s">
        <v>34</v>
      </c>
      <c r="C94" s="21">
        <v>55355</v>
      </c>
      <c r="D94" s="7">
        <v>25909</v>
      </c>
      <c r="E94" s="7">
        <v>85355</v>
      </c>
      <c r="F94" s="22">
        <v>4430</v>
      </c>
      <c r="G94" s="23">
        <v>2717</v>
      </c>
      <c r="H94" s="24">
        <v>1333</v>
      </c>
      <c r="I94" s="36">
        <v>861</v>
      </c>
      <c r="J94" s="8">
        <f t="shared" si="8"/>
        <v>59446</v>
      </c>
      <c r="K94" s="37">
        <f t="shared" si="9"/>
        <v>3298</v>
      </c>
      <c r="L94" s="37">
        <v>793</v>
      </c>
      <c r="M94" s="74">
        <f t="shared" si="10"/>
        <v>1601348</v>
      </c>
      <c r="N94" s="75">
        <f t="shared" si="11"/>
        <v>679107</v>
      </c>
      <c r="O94" s="75">
        <f t="shared" si="12"/>
        <v>2334037</v>
      </c>
      <c r="P94" s="76">
        <f t="shared" si="13"/>
        <v>4650739</v>
      </c>
      <c r="Q94" s="76">
        <f t="shared" si="13"/>
        <v>1844395</v>
      </c>
      <c r="R94" s="76">
        <f t="shared" si="13"/>
        <v>6609425</v>
      </c>
      <c r="S94" s="80">
        <f>M94/'[21]2014'!M94-1</f>
        <v>-0.11988893554436308</v>
      </c>
      <c r="T94" s="80">
        <f>N94/'[21]2014'!N94-1</f>
        <v>4.7056138960540395E-2</v>
      </c>
      <c r="U94" s="80">
        <f>O94/'[21]2014'!O94-1</f>
        <v>-7.6406558280038284E-2</v>
      </c>
      <c r="V94" s="81">
        <f>P94/'[21]2014'!P94-1</f>
        <v>7.612003193514072E-3</v>
      </c>
      <c r="W94" s="81">
        <f>Q94/'[21]2014'!Q94-1</f>
        <v>7.1495691552014407E-2</v>
      </c>
      <c r="X94" s="81">
        <f>R94/'[21]2014'!R94-1</f>
        <v>2.3296338184737309E-2</v>
      </c>
      <c r="Y94" s="37"/>
      <c r="Z94" s="37"/>
      <c r="AA94" s="37"/>
      <c r="AB94" s="37"/>
    </row>
    <row r="95" spans="1:29" s="1" customFormat="1" ht="15" customHeight="1" x14ac:dyDescent="0.15">
      <c r="A95" s="25">
        <v>42094</v>
      </c>
      <c r="B95" s="14" t="s">
        <v>35</v>
      </c>
      <c r="C95" s="15">
        <v>56292</v>
      </c>
      <c r="D95" s="16">
        <f>16432+10818</f>
        <v>27250</v>
      </c>
      <c r="E95" s="16">
        <v>85628</v>
      </c>
      <c r="F95" s="17">
        <v>4309</v>
      </c>
      <c r="G95" s="18">
        <v>2808</v>
      </c>
      <c r="H95" s="19"/>
      <c r="I95" s="19"/>
      <c r="J95" s="32">
        <f t="shared" si="8"/>
        <v>58378</v>
      </c>
      <c r="K95" s="33">
        <f t="shared" si="9"/>
        <v>1293</v>
      </c>
      <c r="L95" s="33">
        <v>793</v>
      </c>
      <c r="M95" s="77">
        <f t="shared" si="10"/>
        <v>1657640</v>
      </c>
      <c r="N95" s="78">
        <f t="shared" si="11"/>
        <v>706357</v>
      </c>
      <c r="O95" s="78">
        <f t="shared" si="12"/>
        <v>2419665</v>
      </c>
      <c r="P95" s="77">
        <f t="shared" si="13"/>
        <v>4707031</v>
      </c>
      <c r="Q95" s="77">
        <f t="shared" si="13"/>
        <v>1871645</v>
      </c>
      <c r="R95" s="77">
        <f t="shared" si="13"/>
        <v>6695053</v>
      </c>
      <c r="S95" s="82">
        <f>M95/'[21]2014'!M95-1</f>
        <v>-0.11471273530036297</v>
      </c>
      <c r="T95" s="82">
        <f>N95/'[21]2014'!N95-1</f>
        <v>4.4711153207106502E-2</v>
      </c>
      <c r="U95" s="82">
        <f>O95/'[21]2014'!O95-1</f>
        <v>-7.255258852756763E-2</v>
      </c>
      <c r="V95" s="82">
        <f>P95/'[21]2014'!P95-1</f>
        <v>8.2420038705057763E-3</v>
      </c>
      <c r="W95" s="82">
        <f>Q95/'[21]2014'!Q95-1</f>
        <v>7.0204248224464694E-2</v>
      </c>
      <c r="X95" s="82">
        <f>R95/'[21]2014'!R95-1</f>
        <v>2.3586305643392924E-2</v>
      </c>
      <c r="Y95" s="33">
        <v>28.24</v>
      </c>
      <c r="Z95" s="33">
        <f>P95/10000-Y95</f>
        <v>442.4631</v>
      </c>
      <c r="AA95" s="33">
        <v>3890.0920000000001</v>
      </c>
      <c r="AB95" s="33">
        <f>Z95*10000/AA95</f>
        <v>1137.4103748703114</v>
      </c>
      <c r="AC95" s="86"/>
    </row>
    <row r="96" spans="1:29" ht="15" customHeight="1" x14ac:dyDescent="0.15">
      <c r="A96" s="20">
        <v>42095</v>
      </c>
      <c r="B96" s="20" t="s">
        <v>36</v>
      </c>
      <c r="C96" s="66">
        <v>56649</v>
      </c>
      <c r="D96" s="67">
        <f>16391+10793</f>
        <v>27184</v>
      </c>
      <c r="E96" s="67">
        <v>85659</v>
      </c>
      <c r="F96" s="68">
        <v>4289</v>
      </c>
      <c r="G96" s="69">
        <v>2856</v>
      </c>
      <c r="H96" s="24">
        <v>1364</v>
      </c>
      <c r="I96" s="24">
        <v>957</v>
      </c>
      <c r="J96" s="70">
        <f t="shared" si="8"/>
        <v>58475</v>
      </c>
      <c r="K96" s="71">
        <f t="shared" si="9"/>
        <v>1033</v>
      </c>
      <c r="L96" s="71">
        <v>793</v>
      </c>
      <c r="M96" s="72">
        <f>C96</f>
        <v>56649</v>
      </c>
      <c r="N96" s="73">
        <f>D96</f>
        <v>27184</v>
      </c>
      <c r="O96" s="73">
        <f>E96</f>
        <v>85659</v>
      </c>
      <c r="P96" s="72">
        <f>M96+P$95</f>
        <v>4763680</v>
      </c>
      <c r="Q96" s="72">
        <f>N96+Q$95</f>
        <v>1898829</v>
      </c>
      <c r="R96" s="72">
        <f>O96+R$95</f>
        <v>6780712</v>
      </c>
      <c r="S96" s="79">
        <f>M96/'[21]2014'!M96-1</f>
        <v>-6.6632765785827885E-3</v>
      </c>
      <c r="T96" s="79">
        <f>N96/'[21]2014'!N96-1</f>
        <v>0.17486386031636258</v>
      </c>
      <c r="U96" s="79">
        <f>O96/'[21]2014'!O96-1</f>
        <v>4.8932809228169338E-2</v>
      </c>
      <c r="V96" s="79">
        <f>P96/'[21]2014'!P96-1</f>
        <v>8.0621248037362481E-3</v>
      </c>
      <c r="W96" s="79">
        <f>Q96/'[21]2014'!Q96-1</f>
        <v>7.1570843673079754E-2</v>
      </c>
      <c r="X96" s="79">
        <f>R96/'[21]2014'!R96-1</f>
        <v>2.3898859707238262E-2</v>
      </c>
      <c r="Y96" s="71"/>
      <c r="Z96" s="71"/>
      <c r="AA96" s="85"/>
      <c r="AB96" s="71"/>
    </row>
    <row r="97" spans="1:28" s="2" customFormat="1" ht="15" customHeight="1" x14ac:dyDescent="0.15">
      <c r="A97" s="20">
        <v>42096</v>
      </c>
      <c r="B97" s="20" t="s">
        <v>37</v>
      </c>
      <c r="C97" s="21">
        <v>60823</v>
      </c>
      <c r="D97" s="7">
        <f>14646+10599</f>
        <v>25245</v>
      </c>
      <c r="E97" s="7">
        <v>87589</v>
      </c>
      <c r="F97" s="22">
        <v>4427</v>
      </c>
      <c r="G97" s="23">
        <v>2866</v>
      </c>
      <c r="H97" s="24">
        <v>1238</v>
      </c>
      <c r="I97" s="36">
        <v>891</v>
      </c>
      <c r="J97" s="8">
        <f t="shared" si="8"/>
        <v>62344</v>
      </c>
      <c r="K97" s="37">
        <f t="shared" si="9"/>
        <v>728</v>
      </c>
      <c r="L97" s="37">
        <v>793</v>
      </c>
      <c r="M97" s="74">
        <f t="shared" ref="M97:O112" si="14">M96+C97</f>
        <v>117472</v>
      </c>
      <c r="N97" s="75">
        <f t="shared" si="14"/>
        <v>52429</v>
      </c>
      <c r="O97" s="75">
        <f t="shared" si="14"/>
        <v>173248</v>
      </c>
      <c r="P97" s="76">
        <f t="shared" ref="P97:R125" si="15">M97+P$95</f>
        <v>4824503</v>
      </c>
      <c r="Q97" s="76">
        <f t="shared" si="15"/>
        <v>1924074</v>
      </c>
      <c r="R97" s="76">
        <f t="shared" si="15"/>
        <v>6868301</v>
      </c>
      <c r="S97" s="80">
        <f>M97/'[21]2014'!M97-1</f>
        <v>7.6513981815062859E-3</v>
      </c>
      <c r="T97" s="80">
        <f>N97/'[21]2014'!N97-1</f>
        <v>0.16289231451702335</v>
      </c>
      <c r="U97" s="80">
        <f>O97/'[21]2014'!O97-1</f>
        <v>5.1415254648735198E-2</v>
      </c>
      <c r="V97" s="81">
        <f>P97/'[21]2014'!P97-1</f>
        <v>8.2276149675153398E-3</v>
      </c>
      <c r="W97" s="81">
        <f>Q97/'[21]2014'!Q97-1</f>
        <v>7.2533653490525207E-2</v>
      </c>
      <c r="X97" s="81">
        <f>R97/'[21]2014'!R97-1</f>
        <v>2.4270147936543474E-2</v>
      </c>
      <c r="Y97" s="37">
        <f>Y95+0.52*2</f>
        <v>29.279999999999998</v>
      </c>
      <c r="Z97" s="37">
        <f>P97/10000-Y97</f>
        <v>453.17030000000005</v>
      </c>
      <c r="AA97" s="37">
        <v>3890.0920000000001</v>
      </c>
      <c r="AB97" s="37">
        <f>Z97*10000/AA97</f>
        <v>1164.9346596430112</v>
      </c>
    </row>
    <row r="98" spans="1:28" s="2" customFormat="1" ht="15" customHeight="1" x14ac:dyDescent="0.15">
      <c r="A98" s="20">
        <v>42097</v>
      </c>
      <c r="B98" s="20" t="s">
        <v>38</v>
      </c>
      <c r="C98" s="21">
        <v>59702</v>
      </c>
      <c r="D98" s="7">
        <f>14840+10888</f>
        <v>25728</v>
      </c>
      <c r="E98" s="7">
        <v>87144</v>
      </c>
      <c r="F98" s="22">
        <v>4444</v>
      </c>
      <c r="G98" s="23">
        <v>2903</v>
      </c>
      <c r="H98" s="24">
        <v>1233</v>
      </c>
      <c r="I98" s="36">
        <v>900</v>
      </c>
      <c r="J98" s="8">
        <f t="shared" si="8"/>
        <v>61416</v>
      </c>
      <c r="K98" s="37">
        <f t="shared" si="9"/>
        <v>921</v>
      </c>
      <c r="L98" s="37">
        <v>793</v>
      </c>
      <c r="M98" s="74">
        <f t="shared" si="14"/>
        <v>177174</v>
      </c>
      <c r="N98" s="75">
        <f t="shared" si="14"/>
        <v>78157</v>
      </c>
      <c r="O98" s="75">
        <f t="shared" si="14"/>
        <v>260392</v>
      </c>
      <c r="P98" s="76">
        <f t="shared" si="15"/>
        <v>4884205</v>
      </c>
      <c r="Q98" s="76">
        <f t="shared" si="15"/>
        <v>1949802</v>
      </c>
      <c r="R98" s="76">
        <f t="shared" si="15"/>
        <v>6955445</v>
      </c>
      <c r="S98" s="80">
        <f>M98/'[21]2014'!M98-1</f>
        <v>5.0486714619590867E-3</v>
      </c>
      <c r="T98" s="80">
        <f>N98/'[21]2014'!N98-1</f>
        <v>0.18185117418457297</v>
      </c>
      <c r="U98" s="80">
        <f>O98/'[21]2014'!O98-1</f>
        <v>5.2025129790113755E-2</v>
      </c>
      <c r="V98" s="81">
        <f>P98/'[21]2014'!P98-1</f>
        <v>8.1258114295563733E-3</v>
      </c>
      <c r="W98" s="81">
        <f>Q98/'[21]2014'!Q98-1</f>
        <v>7.4272198962632485E-2</v>
      </c>
      <c r="X98" s="81">
        <f>R98/'[21]2014'!R98-1</f>
        <v>2.4623242811380619E-2</v>
      </c>
      <c r="Y98" s="37"/>
      <c r="Z98" s="37"/>
      <c r="AA98" s="37"/>
      <c r="AB98" s="37"/>
    </row>
    <row r="99" spans="1:28" s="2" customFormat="1" ht="15" customHeight="1" x14ac:dyDescent="0.15">
      <c r="A99" s="20">
        <v>42098</v>
      </c>
      <c r="B99" s="20" t="s">
        <v>39</v>
      </c>
      <c r="C99" s="21">
        <v>56079</v>
      </c>
      <c r="D99" s="7">
        <f>12782+10931</f>
        <v>23713</v>
      </c>
      <c r="E99" s="7">
        <v>80973</v>
      </c>
      <c r="F99" s="22">
        <v>4042</v>
      </c>
      <c r="G99" s="23">
        <v>2828</v>
      </c>
      <c r="H99" s="24">
        <v>1130</v>
      </c>
      <c r="I99" s="36">
        <v>855</v>
      </c>
      <c r="J99" s="8">
        <f t="shared" si="8"/>
        <v>57260</v>
      </c>
      <c r="K99" s="37">
        <f t="shared" si="9"/>
        <v>388</v>
      </c>
      <c r="L99" s="37">
        <v>793</v>
      </c>
      <c r="M99" s="74">
        <f t="shared" si="14"/>
        <v>233253</v>
      </c>
      <c r="N99" s="75">
        <f t="shared" si="14"/>
        <v>101870</v>
      </c>
      <c r="O99" s="75">
        <f t="shared" si="14"/>
        <v>341365</v>
      </c>
      <c r="P99" s="76">
        <f t="shared" si="15"/>
        <v>4940284</v>
      </c>
      <c r="Q99" s="76">
        <f t="shared" si="15"/>
        <v>1973515</v>
      </c>
      <c r="R99" s="76">
        <f t="shared" si="15"/>
        <v>7036418</v>
      </c>
      <c r="S99" s="80">
        <f>M99/'[21]2014'!M99-1</f>
        <v>-2.4377413684709692E-3</v>
      </c>
      <c r="T99" s="80">
        <f>N99/'[21]2014'!N99-1</f>
        <v>0.14293728262089078</v>
      </c>
      <c r="U99" s="80">
        <f>O99/'[21]2014'!O99-1</f>
        <v>3.5556539782310548E-2</v>
      </c>
      <c r="V99" s="81">
        <f>P99/'[21]2014'!P99-1</f>
        <v>7.7326242986062166E-3</v>
      </c>
      <c r="W99" s="81">
        <f>Q99/'[21]2014'!Q99-1</f>
        <v>7.3731291523800424E-2</v>
      </c>
      <c r="X99" s="81">
        <f>R99/'[21]2014'!R99-1</f>
        <v>2.4160639304691811E-2</v>
      </c>
      <c r="Y99" s="37"/>
      <c r="Z99" s="37"/>
      <c r="AA99" s="37"/>
      <c r="AB99" s="37"/>
    </row>
    <row r="100" spans="1:28" s="2" customFormat="1" ht="15" customHeight="1" x14ac:dyDescent="0.15">
      <c r="A100" s="20">
        <v>42099</v>
      </c>
      <c r="B100" s="20" t="s">
        <v>1</v>
      </c>
      <c r="C100" s="21">
        <v>42991</v>
      </c>
      <c r="D100" s="7">
        <v>22531</v>
      </c>
      <c r="E100" s="7">
        <v>67014</v>
      </c>
      <c r="F100" s="22">
        <v>2999</v>
      </c>
      <c r="G100" s="23">
        <v>2585</v>
      </c>
      <c r="H100" s="24">
        <v>1105</v>
      </c>
      <c r="I100" s="36">
        <v>810</v>
      </c>
      <c r="J100" s="8">
        <f t="shared" si="8"/>
        <v>44483</v>
      </c>
      <c r="K100" s="37">
        <f t="shared" si="9"/>
        <v>699</v>
      </c>
      <c r="L100" s="37">
        <v>793</v>
      </c>
      <c r="M100" s="74">
        <f t="shared" si="14"/>
        <v>276244</v>
      </c>
      <c r="N100" s="75">
        <f t="shared" si="14"/>
        <v>124401</v>
      </c>
      <c r="O100" s="75">
        <f t="shared" si="14"/>
        <v>408379</v>
      </c>
      <c r="P100" s="76">
        <f t="shared" si="15"/>
        <v>4983275</v>
      </c>
      <c r="Q100" s="76">
        <f t="shared" si="15"/>
        <v>1996046</v>
      </c>
      <c r="R100" s="76">
        <f t="shared" si="15"/>
        <v>7103432</v>
      </c>
      <c r="S100" s="80">
        <f>M100/'[21]2014'!M100-1</f>
        <v>-1.8081903522896514E-2</v>
      </c>
      <c r="T100" s="80">
        <f>N100/'[21]2014'!N100-1</f>
        <v>0.17489115344295114</v>
      </c>
      <c r="U100" s="80">
        <f>O100/'[21]2014'!O100-1</f>
        <v>3.3101944375578674E-2</v>
      </c>
      <c r="V100" s="81">
        <f>P100/'[21]2014'!P100-1</f>
        <v>6.7458614285806906E-3</v>
      </c>
      <c r="W100" s="81">
        <f>Q100/'[21]2014'!Q100-1</f>
        <v>7.6180559310928153E-2</v>
      </c>
      <c r="X100" s="81">
        <f>R100/'[21]2014'!R100-1</f>
        <v>2.412861168139524E-2</v>
      </c>
      <c r="Y100" s="37"/>
      <c r="Z100" s="37"/>
      <c r="AA100" s="37"/>
      <c r="AB100" s="37"/>
    </row>
    <row r="101" spans="1:28" s="2" customFormat="1" ht="15" customHeight="1" x14ac:dyDescent="0.15">
      <c r="A101" s="20">
        <v>42100</v>
      </c>
      <c r="B101" s="20" t="s">
        <v>34</v>
      </c>
      <c r="C101" s="21">
        <v>53829</v>
      </c>
      <c r="D101" s="7">
        <f>12371+10503</f>
        <v>22874</v>
      </c>
      <c r="E101" s="7">
        <v>78637</v>
      </c>
      <c r="F101" s="22">
        <v>4143</v>
      </c>
      <c r="G101" s="23">
        <v>2327</v>
      </c>
      <c r="H101" s="24">
        <v>1144</v>
      </c>
      <c r="I101" s="36">
        <v>808</v>
      </c>
      <c r="J101" s="8">
        <f t="shared" si="8"/>
        <v>55763</v>
      </c>
      <c r="K101" s="37">
        <f t="shared" si="9"/>
        <v>1141</v>
      </c>
      <c r="L101" s="37">
        <v>793</v>
      </c>
      <c r="M101" s="74">
        <f t="shared" si="14"/>
        <v>330073</v>
      </c>
      <c r="N101" s="75">
        <f t="shared" si="14"/>
        <v>147275</v>
      </c>
      <c r="O101" s="75">
        <f t="shared" si="14"/>
        <v>487016</v>
      </c>
      <c r="P101" s="76">
        <f t="shared" si="15"/>
        <v>5037104</v>
      </c>
      <c r="Q101" s="76">
        <f t="shared" si="15"/>
        <v>2018920</v>
      </c>
      <c r="R101" s="76">
        <f t="shared" si="15"/>
        <v>7182069</v>
      </c>
      <c r="S101" s="80">
        <f>M101/'[21]2014'!M101-1</f>
        <v>-1.4783927217589032E-2</v>
      </c>
      <c r="T101" s="80">
        <f>N101/'[21]2014'!N101-1</f>
        <v>0.18093978029027347</v>
      </c>
      <c r="U101" s="80">
        <f>O101/'[21]2014'!O101-1</f>
        <v>3.7519918875851044E-2</v>
      </c>
      <c r="V101" s="81">
        <f>P101/'[21]2014'!P101-1</f>
        <v>6.7002502690689525E-3</v>
      </c>
      <c r="W101" s="81">
        <f>Q101/'[21]2014'!Q101-1</f>
        <v>7.7575083512709364E-2</v>
      </c>
      <c r="X101" s="81">
        <f>R101/'[21]2014'!R101-1</f>
        <v>2.4519304497130356E-2</v>
      </c>
      <c r="Y101" s="37"/>
      <c r="Z101" s="37"/>
      <c r="AA101" s="37"/>
      <c r="AB101" s="37"/>
    </row>
    <row r="102" spans="1:28" s="2" customFormat="1" ht="15" customHeight="1" x14ac:dyDescent="0.15">
      <c r="A102" s="20">
        <v>42101</v>
      </c>
      <c r="B102" s="14" t="s">
        <v>35</v>
      </c>
      <c r="C102" s="15">
        <v>60074</v>
      </c>
      <c r="D102" s="16">
        <f>14148+11007</f>
        <v>25155</v>
      </c>
      <c r="E102" s="16">
        <v>87185</v>
      </c>
      <c r="F102" s="17">
        <v>4514</v>
      </c>
      <c r="G102" s="18">
        <v>2747</v>
      </c>
      <c r="H102" s="19">
        <v>1138</v>
      </c>
      <c r="I102" s="19">
        <v>808</v>
      </c>
      <c r="J102" s="32">
        <f t="shared" si="8"/>
        <v>62030</v>
      </c>
      <c r="K102" s="33">
        <f t="shared" si="9"/>
        <v>1163</v>
      </c>
      <c r="L102" s="33">
        <v>793</v>
      </c>
      <c r="M102" s="77">
        <f t="shared" si="14"/>
        <v>390147</v>
      </c>
      <c r="N102" s="78">
        <f t="shared" si="14"/>
        <v>172430</v>
      </c>
      <c r="O102" s="78">
        <f t="shared" si="14"/>
        <v>574201</v>
      </c>
      <c r="P102" s="77">
        <f t="shared" si="15"/>
        <v>5097178</v>
      </c>
      <c r="Q102" s="77">
        <f t="shared" si="15"/>
        <v>2044075</v>
      </c>
      <c r="R102" s="77">
        <f t="shared" si="15"/>
        <v>7269254</v>
      </c>
      <c r="S102" s="82">
        <f>M102/'[21]2014'!M102-1</f>
        <v>-4.2901477178761693E-3</v>
      </c>
      <c r="T102" s="82">
        <f>N102/'[21]2014'!N102-1</f>
        <v>0.16212299915753992</v>
      </c>
      <c r="U102" s="82">
        <f>O102/'[21]2014'!O102-1</f>
        <v>4.119815551215722E-2</v>
      </c>
      <c r="V102" s="82">
        <f>P102/'[21]2014'!P102-1</f>
        <v>7.2716326443553747E-3</v>
      </c>
      <c r="W102" s="82">
        <f>Q102/'[21]2014'!Q102-1</f>
        <v>7.7392811386590932E-2</v>
      </c>
      <c r="X102" s="82">
        <f>R102/'[21]2014'!R102-1</f>
        <v>2.4955770241263942E-2</v>
      </c>
      <c r="Y102" s="33"/>
      <c r="Z102" s="33"/>
      <c r="AA102" s="33"/>
      <c r="AB102" s="33"/>
    </row>
    <row r="103" spans="1:28" s="2" customFormat="1" ht="15" customHeight="1" x14ac:dyDescent="0.15">
      <c r="A103" s="20">
        <v>42102</v>
      </c>
      <c r="B103" s="20" t="s">
        <v>36</v>
      </c>
      <c r="C103" s="66">
        <v>61079</v>
      </c>
      <c r="D103" s="67">
        <f>14942+10495</f>
        <v>25437</v>
      </c>
      <c r="E103" s="67">
        <v>88087</v>
      </c>
      <c r="F103" s="68">
        <v>4496</v>
      </c>
      <c r="G103" s="69">
        <v>2861</v>
      </c>
      <c r="H103" s="24">
        <v>1217</v>
      </c>
      <c r="I103" s="24">
        <v>874</v>
      </c>
      <c r="J103" s="70">
        <f t="shared" si="8"/>
        <v>62650</v>
      </c>
      <c r="K103" s="71">
        <f t="shared" si="9"/>
        <v>778</v>
      </c>
      <c r="L103" s="71">
        <v>793</v>
      </c>
      <c r="M103" s="72">
        <f t="shared" si="14"/>
        <v>451226</v>
      </c>
      <c r="N103" s="73">
        <f t="shared" si="14"/>
        <v>197867</v>
      </c>
      <c r="O103" s="73">
        <f t="shared" si="14"/>
        <v>662288</v>
      </c>
      <c r="P103" s="72">
        <f t="shared" si="15"/>
        <v>5158257</v>
      </c>
      <c r="Q103" s="72">
        <f t="shared" si="15"/>
        <v>2069512</v>
      </c>
      <c r="R103" s="72">
        <f t="shared" si="15"/>
        <v>7357341</v>
      </c>
      <c r="S103" s="79">
        <f>M103/'[21]2014'!M103-1</f>
        <v>-1.8051420000796403E-3</v>
      </c>
      <c r="T103" s="79">
        <f>N103/'[21]2014'!N103-1</f>
        <v>0.15745539631471184</v>
      </c>
      <c r="U103" s="79">
        <f>O103/'[21]2014'!O103-1</f>
        <v>4.0621587436266093E-2</v>
      </c>
      <c r="V103" s="79">
        <f>P103/'[21]2014'!P103-1</f>
        <v>7.3550498900345485E-3</v>
      </c>
      <c r="W103" s="79">
        <f>Q103/'[21]2014'!Q103-1</f>
        <v>7.7973521540150914E-2</v>
      </c>
      <c r="X103" s="79">
        <f>R103/'[21]2014'!R103-1</f>
        <v>2.5096898446611338E-2</v>
      </c>
      <c r="Y103" s="71"/>
      <c r="Z103" s="71"/>
      <c r="AA103" s="85"/>
      <c r="AB103" s="71"/>
    </row>
    <row r="104" spans="1:28" s="2" customFormat="1" ht="15" customHeight="1" x14ac:dyDescent="0.15">
      <c r="A104" s="20">
        <v>42103</v>
      </c>
      <c r="B104" s="20" t="s">
        <v>37</v>
      </c>
      <c r="C104" s="21">
        <v>61879</v>
      </c>
      <c r="D104" s="7">
        <v>26429</v>
      </c>
      <c r="E104" s="7">
        <v>89673</v>
      </c>
      <c r="F104" s="22">
        <v>4511</v>
      </c>
      <c r="G104" s="23">
        <v>2931</v>
      </c>
      <c r="H104" s="24">
        <v>1240</v>
      </c>
      <c r="I104" s="36">
        <v>916</v>
      </c>
      <c r="J104" s="8">
        <f t="shared" si="8"/>
        <v>63244</v>
      </c>
      <c r="K104" s="37">
        <f t="shared" si="9"/>
        <v>572</v>
      </c>
      <c r="L104" s="37">
        <v>793</v>
      </c>
      <c r="M104" s="74">
        <f t="shared" si="14"/>
        <v>513105</v>
      </c>
      <c r="N104" s="75">
        <f t="shared" si="14"/>
        <v>224296</v>
      </c>
      <c r="O104" s="75">
        <f t="shared" si="14"/>
        <v>751961</v>
      </c>
      <c r="P104" s="76">
        <f t="shared" si="15"/>
        <v>5220136</v>
      </c>
      <c r="Q104" s="76">
        <f t="shared" si="15"/>
        <v>2095941</v>
      </c>
      <c r="R104" s="76">
        <f t="shared" si="15"/>
        <v>7447014</v>
      </c>
      <c r="S104" s="80">
        <f>M104/'[21]2014'!M104-1</f>
        <v>8.4264238608233732E-4</v>
      </c>
      <c r="T104" s="80">
        <f>N104/'[21]2014'!N104-1</f>
        <v>0.15190172454523987</v>
      </c>
      <c r="U104" s="80">
        <f>O104/'[21]2014'!O104-1</f>
        <v>4.1120869048723474E-2</v>
      </c>
      <c r="V104" s="81">
        <f>P104/'[21]2014'!P104-1</f>
        <v>7.5098503186825649E-3</v>
      </c>
      <c r="W104" s="81">
        <f>Q104/'[21]2014'!Q104-1</f>
        <v>7.8389106810913489E-2</v>
      </c>
      <c r="X104" s="81">
        <f>R104/'[21]2014'!R104-1</f>
        <v>2.5330001021225179E-2</v>
      </c>
      <c r="Y104" s="37">
        <f>Y97+0.53*7</f>
        <v>32.989999999999995</v>
      </c>
      <c r="Z104" s="37">
        <f>P104/10000-Y104</f>
        <v>489.02359999999999</v>
      </c>
      <c r="AA104" s="37">
        <v>3890.0920000000001</v>
      </c>
      <c r="AB104" s="37">
        <f>Z104*10000/AA104</f>
        <v>1257.1003462128915</v>
      </c>
    </row>
    <row r="105" spans="1:28" s="2" customFormat="1" ht="15" customHeight="1" x14ac:dyDescent="0.15">
      <c r="A105" s="20">
        <v>42104</v>
      </c>
      <c r="B105" s="20" t="s">
        <v>38</v>
      </c>
      <c r="C105" s="21">
        <v>61874</v>
      </c>
      <c r="D105" s="7">
        <f>15227+10788</f>
        <v>26015</v>
      </c>
      <c r="E105" s="7">
        <v>89546</v>
      </c>
      <c r="F105" s="22">
        <v>4519</v>
      </c>
      <c r="G105" s="23">
        <v>2980</v>
      </c>
      <c r="H105" s="24"/>
      <c r="I105" s="36"/>
      <c r="J105" s="8">
        <f t="shared" si="8"/>
        <v>63531</v>
      </c>
      <c r="K105" s="37">
        <f t="shared" si="9"/>
        <v>864</v>
      </c>
      <c r="L105" s="37">
        <v>793</v>
      </c>
      <c r="M105" s="74">
        <f t="shared" si="14"/>
        <v>574979</v>
      </c>
      <c r="N105" s="75">
        <f t="shared" si="14"/>
        <v>250311</v>
      </c>
      <c r="O105" s="75">
        <f t="shared" si="14"/>
        <v>841507</v>
      </c>
      <c r="P105" s="76">
        <f t="shared" si="15"/>
        <v>5282010</v>
      </c>
      <c r="Q105" s="76">
        <f t="shared" si="15"/>
        <v>2121956</v>
      </c>
      <c r="R105" s="76">
        <f t="shared" si="15"/>
        <v>7536560</v>
      </c>
      <c r="S105" s="80">
        <f>M105/'[21]2014'!M105-1</f>
        <v>2.6785574154710723E-3</v>
      </c>
      <c r="T105" s="80">
        <f>N105/'[21]2014'!N105-1</f>
        <v>0.14893763511931812</v>
      </c>
      <c r="U105" s="80">
        <f>O105/'[21]2014'!O105-1</f>
        <v>4.1256426596053997E-2</v>
      </c>
      <c r="V105" s="81">
        <f>P105/'[21]2014'!P105-1</f>
        <v>7.6333960872312367E-3</v>
      </c>
      <c r="W105" s="81">
        <f>Q105/'[21]2014'!Q105-1</f>
        <v>7.8925878034815211E-2</v>
      </c>
      <c r="X105" s="81">
        <f>R105/'[21]2014'!R105-1</f>
        <v>2.5529492453036706E-2</v>
      </c>
      <c r="Y105" s="37">
        <v>31.602</v>
      </c>
      <c r="Z105" s="37">
        <f>P105/10000-Y105</f>
        <v>496.59900000000005</v>
      </c>
      <c r="AA105" s="37">
        <v>3890.0920000000001</v>
      </c>
      <c r="AB105" s="37">
        <f>Z105*10000/AA105</f>
        <v>1276.5739216450409</v>
      </c>
    </row>
    <row r="106" spans="1:28" s="2" customFormat="1" ht="15" customHeight="1" x14ac:dyDescent="0.15">
      <c r="A106" s="20">
        <v>42105</v>
      </c>
      <c r="B106" s="20" t="s">
        <v>39</v>
      </c>
      <c r="C106" s="21">
        <v>60262</v>
      </c>
      <c r="D106" s="7">
        <v>25955</v>
      </c>
      <c r="E106" s="7">
        <v>88081</v>
      </c>
      <c r="F106" s="22">
        <v>4449</v>
      </c>
      <c r="G106" s="23">
        <v>2965</v>
      </c>
      <c r="H106" s="24">
        <v>1304</v>
      </c>
      <c r="I106" s="36">
        <v>899</v>
      </c>
      <c r="J106" s="8">
        <f t="shared" si="8"/>
        <v>62126</v>
      </c>
      <c r="K106" s="37">
        <f t="shared" si="9"/>
        <v>1071</v>
      </c>
      <c r="L106" s="37">
        <v>793</v>
      </c>
      <c r="M106" s="74">
        <f t="shared" si="14"/>
        <v>635241</v>
      </c>
      <c r="N106" s="75">
        <f t="shared" si="14"/>
        <v>276266</v>
      </c>
      <c r="O106" s="75">
        <f t="shared" si="14"/>
        <v>929588</v>
      </c>
      <c r="P106" s="76">
        <f t="shared" si="15"/>
        <v>5342272</v>
      </c>
      <c r="Q106" s="76">
        <f t="shared" si="15"/>
        <v>2147911</v>
      </c>
      <c r="R106" s="76">
        <f t="shared" si="15"/>
        <v>7624641</v>
      </c>
      <c r="S106" s="80">
        <f>M106/'[21]2014'!M106-1</f>
        <v>3.4626071599512809E-3</v>
      </c>
      <c r="T106" s="80">
        <f>N106/'[21]2014'!N106-1</f>
        <v>0.13944798231431688</v>
      </c>
      <c r="U106" s="80">
        <f>O106/'[21]2014'!O106-1</f>
        <v>3.9959994137843458E-2</v>
      </c>
      <c r="V106" s="81">
        <f>P106/'[21]2014'!P106-1</f>
        <v>7.671309872827381E-3</v>
      </c>
      <c r="W106" s="81">
        <f>Q106/'[21]2014'!Q106-1</f>
        <v>7.8635104468983474E-2</v>
      </c>
      <c r="X106" s="81">
        <f>R106/'[21]2014'!R106-1</f>
        <v>2.5554916703022901E-2</v>
      </c>
      <c r="Y106" s="37"/>
      <c r="Z106" s="37"/>
      <c r="AA106" s="37"/>
      <c r="AB106" s="37"/>
    </row>
    <row r="107" spans="1:28" s="2" customFormat="1" ht="15" customHeight="1" x14ac:dyDescent="0.15">
      <c r="A107" s="20">
        <v>42106</v>
      </c>
      <c r="B107" s="20" t="s">
        <v>1</v>
      </c>
      <c r="C107" s="21">
        <v>56280</v>
      </c>
      <c r="D107" s="7">
        <f>15818+10862</f>
        <v>26680</v>
      </c>
      <c r="E107" s="7">
        <v>83915</v>
      </c>
      <c r="F107" s="22">
        <v>4167</v>
      </c>
      <c r="G107" s="23">
        <v>2926</v>
      </c>
      <c r="H107" s="24">
        <v>1296</v>
      </c>
      <c r="I107" s="36">
        <v>901</v>
      </c>
      <c r="J107" s="8">
        <f t="shared" si="8"/>
        <v>57235</v>
      </c>
      <c r="K107" s="37">
        <f t="shared" si="9"/>
        <v>162</v>
      </c>
      <c r="L107" s="37">
        <v>793</v>
      </c>
      <c r="M107" s="74">
        <f t="shared" si="14"/>
        <v>691521</v>
      </c>
      <c r="N107" s="75">
        <f t="shared" si="14"/>
        <v>302946</v>
      </c>
      <c r="O107" s="75">
        <f t="shared" si="14"/>
        <v>1013503</v>
      </c>
      <c r="P107" s="76">
        <f t="shared" si="15"/>
        <v>5398552</v>
      </c>
      <c r="Q107" s="76">
        <f t="shared" si="15"/>
        <v>2174591</v>
      </c>
      <c r="R107" s="76">
        <f t="shared" si="15"/>
        <v>7708556</v>
      </c>
      <c r="S107" s="80">
        <f>M107/'[21]2014'!M107-1</f>
        <v>-2.2738520005136653E-3</v>
      </c>
      <c r="T107" s="80">
        <f>N107/'[21]2014'!N107-1</f>
        <v>0.13725298816745757</v>
      </c>
      <c r="U107" s="80">
        <f>O107/'[21]2014'!O107-1</f>
        <v>3.494921768895054E-2</v>
      </c>
      <c r="V107" s="81">
        <f>P107/'[21]2014'!P107-1</f>
        <v>6.8826259795033984E-3</v>
      </c>
      <c r="W107" s="81">
        <f>Q107/'[21]2014'!Q107-1</f>
        <v>7.9067020481963679E-2</v>
      </c>
      <c r="X107" s="81">
        <f>R107/'[21]2014'!R107-1</f>
        <v>2.506600826608496E-2</v>
      </c>
      <c r="Y107" s="37"/>
      <c r="Z107" s="37"/>
      <c r="AA107" s="37"/>
      <c r="AB107" s="37"/>
    </row>
    <row r="108" spans="1:28" s="2" customFormat="1" ht="15" customHeight="1" x14ac:dyDescent="0.15">
      <c r="A108" s="20">
        <v>42107</v>
      </c>
      <c r="B108" s="20" t="s">
        <v>34</v>
      </c>
      <c r="C108" s="21">
        <v>59834</v>
      </c>
      <c r="D108" s="7">
        <f>15650+10703</f>
        <v>26353</v>
      </c>
      <c r="E108" s="7">
        <v>87218</v>
      </c>
      <c r="F108" s="22">
        <v>4439</v>
      </c>
      <c r="G108" s="23">
        <v>2800</v>
      </c>
      <c r="H108" s="24">
        <v>1305</v>
      </c>
      <c r="I108" s="36">
        <v>858</v>
      </c>
      <c r="J108" s="8">
        <f t="shared" si="8"/>
        <v>60865</v>
      </c>
      <c r="K108" s="37">
        <f t="shared" si="9"/>
        <v>238</v>
      </c>
      <c r="L108" s="37">
        <v>793</v>
      </c>
      <c r="M108" s="74">
        <f t="shared" si="14"/>
        <v>751355</v>
      </c>
      <c r="N108" s="75">
        <f t="shared" si="14"/>
        <v>329299</v>
      </c>
      <c r="O108" s="75">
        <f t="shared" si="14"/>
        <v>1100721</v>
      </c>
      <c r="P108" s="76">
        <f t="shared" si="15"/>
        <v>5458386</v>
      </c>
      <c r="Q108" s="76">
        <f t="shared" si="15"/>
        <v>2200944</v>
      </c>
      <c r="R108" s="76">
        <f t="shared" si="15"/>
        <v>7795774</v>
      </c>
      <c r="S108" s="80">
        <f>M108/'[21]2014'!M108-1</f>
        <v>-2.2221571690517194E-4</v>
      </c>
      <c r="T108" s="80">
        <f>N108/'[21]2014'!N108-1</f>
        <v>0.13995568941046144</v>
      </c>
      <c r="U108" s="80">
        <f>O108/'[21]2014'!O108-1</f>
        <v>3.7125501380828929E-2</v>
      </c>
      <c r="V108" s="81">
        <f>P108/'[21]2014'!P108-1</f>
        <v>7.0683951099812514E-3</v>
      </c>
      <c r="W108" s="81">
        <f>Q108/'[21]2014'!Q108-1</f>
        <v>8.009222583227249E-2</v>
      </c>
      <c r="X108" s="81">
        <f>R108/'[21]2014'!R108-1</f>
        <v>2.5476494836986552E-2</v>
      </c>
      <c r="Y108" s="37"/>
      <c r="Z108" s="37"/>
      <c r="AA108" s="37"/>
      <c r="AB108" s="37"/>
    </row>
    <row r="109" spans="1:28" s="2" customFormat="1" ht="15" customHeight="1" x14ac:dyDescent="0.15">
      <c r="A109" s="20">
        <v>42108</v>
      </c>
      <c r="B109" s="14" t="s">
        <v>35</v>
      </c>
      <c r="C109" s="15">
        <v>60489</v>
      </c>
      <c r="D109" s="16">
        <f>16136+10866</f>
        <v>27002</v>
      </c>
      <c r="E109" s="16">
        <v>88872</v>
      </c>
      <c r="F109" s="17">
        <v>4532</v>
      </c>
      <c r="G109" s="18">
        <v>2958</v>
      </c>
      <c r="H109" s="19">
        <v>1320</v>
      </c>
      <c r="I109" s="19">
        <v>886</v>
      </c>
      <c r="J109" s="32">
        <f t="shared" si="8"/>
        <v>61870</v>
      </c>
      <c r="K109" s="33">
        <f t="shared" si="9"/>
        <v>588</v>
      </c>
      <c r="L109" s="33">
        <v>793</v>
      </c>
      <c r="M109" s="77">
        <f t="shared" si="14"/>
        <v>811844</v>
      </c>
      <c r="N109" s="78">
        <f t="shared" si="14"/>
        <v>356301</v>
      </c>
      <c r="O109" s="78">
        <f t="shared" si="14"/>
        <v>1189593</v>
      </c>
      <c r="P109" s="77">
        <f t="shared" si="15"/>
        <v>5518875</v>
      </c>
      <c r="Q109" s="77">
        <f t="shared" si="15"/>
        <v>2227946</v>
      </c>
      <c r="R109" s="77">
        <f t="shared" si="15"/>
        <v>7884646</v>
      </c>
      <c r="S109" s="82">
        <f>M109/'[21]2014'!M109-1</f>
        <v>1.2283436599707098E-3</v>
      </c>
      <c r="T109" s="82">
        <f>N109/'[21]2014'!N109-1</f>
        <v>0.14019968638996438</v>
      </c>
      <c r="U109" s="82">
        <f>O109/'[21]2014'!O109-1</f>
        <v>3.7834598063558156E-2</v>
      </c>
      <c r="V109" s="82">
        <f>P109/'[21]2014'!P109-1</f>
        <v>7.2041144017287451E-3</v>
      </c>
      <c r="W109" s="82">
        <f>Q109/'[21]2014'!Q109-1</f>
        <v>8.0815158130534526E-2</v>
      </c>
      <c r="X109" s="82">
        <f>R109/'[21]2014'!R109-1</f>
        <v>2.5710899131112352E-2</v>
      </c>
      <c r="Y109" s="33"/>
      <c r="Z109" s="33"/>
      <c r="AA109" s="33"/>
      <c r="AB109" s="33"/>
    </row>
    <row r="110" spans="1:28" s="2" customFormat="1" ht="15" customHeight="1" x14ac:dyDescent="0.15">
      <c r="A110" s="20">
        <v>42109</v>
      </c>
      <c r="B110" s="20" t="s">
        <v>36</v>
      </c>
      <c r="C110" s="66">
        <v>60576</v>
      </c>
      <c r="D110" s="67">
        <v>26715</v>
      </c>
      <c r="E110" s="67">
        <v>88355</v>
      </c>
      <c r="F110" s="68">
        <v>4460</v>
      </c>
      <c r="G110" s="69">
        <v>2969</v>
      </c>
      <c r="H110" s="24">
        <v>1299</v>
      </c>
      <c r="I110" s="24">
        <v>828</v>
      </c>
      <c r="J110" s="70">
        <f t="shared" si="8"/>
        <v>61640</v>
      </c>
      <c r="K110" s="71">
        <f t="shared" si="9"/>
        <v>271</v>
      </c>
      <c r="L110" s="71">
        <v>793</v>
      </c>
      <c r="M110" s="72">
        <f t="shared" si="14"/>
        <v>872420</v>
      </c>
      <c r="N110" s="73">
        <f t="shared" si="14"/>
        <v>383016</v>
      </c>
      <c r="O110" s="73">
        <f t="shared" si="14"/>
        <v>1277948</v>
      </c>
      <c r="P110" s="72">
        <f t="shared" si="15"/>
        <v>5579451</v>
      </c>
      <c r="Q110" s="72">
        <f t="shared" si="15"/>
        <v>2254661</v>
      </c>
      <c r="R110" s="72">
        <f t="shared" si="15"/>
        <v>7973001</v>
      </c>
      <c r="S110" s="79">
        <f>M110/'[21]2014'!M110-1</f>
        <v>-2.3377766369014896E-4</v>
      </c>
      <c r="T110" s="79">
        <f>N110/'[21]2014'!N110-1</f>
        <v>0.14286737324548837</v>
      </c>
      <c r="U110" s="79">
        <f>O110/'[21]2014'!O110-1</f>
        <v>3.7297138469380542E-2</v>
      </c>
      <c r="V110" s="79">
        <f>P110/'[21]2014'!P110-1</f>
        <v>6.9072385864348274E-3</v>
      </c>
      <c r="W110" s="79">
        <f>Q110/'[21]2014'!Q110-1</f>
        <v>8.1889465519509042E-2</v>
      </c>
      <c r="X110" s="79">
        <f>R110/'[21]2014'!R110-1</f>
        <v>2.575949498087815E-2</v>
      </c>
      <c r="Y110" s="71"/>
      <c r="Z110" s="71"/>
      <c r="AA110" s="85"/>
      <c r="AB110" s="71"/>
    </row>
    <row r="111" spans="1:28" s="2" customFormat="1" ht="15" customHeight="1" x14ac:dyDescent="0.15">
      <c r="A111" s="20">
        <v>42110</v>
      </c>
      <c r="B111" s="20" t="s">
        <v>37</v>
      </c>
      <c r="C111" s="21">
        <v>60430</v>
      </c>
      <c r="D111" s="7">
        <v>26025</v>
      </c>
      <c r="E111" s="7">
        <v>87319</v>
      </c>
      <c r="F111" s="22">
        <v>4453</v>
      </c>
      <c r="G111" s="23">
        <v>2929</v>
      </c>
      <c r="H111" s="24">
        <v>1287</v>
      </c>
      <c r="I111" s="36">
        <v>859</v>
      </c>
      <c r="J111" s="8">
        <f t="shared" si="8"/>
        <v>61294</v>
      </c>
      <c r="K111" s="37">
        <f t="shared" si="9"/>
        <v>71</v>
      </c>
      <c r="L111" s="37">
        <v>793</v>
      </c>
      <c r="M111" s="74">
        <f t="shared" si="14"/>
        <v>932850</v>
      </c>
      <c r="N111" s="75">
        <f t="shared" si="14"/>
        <v>409041</v>
      </c>
      <c r="O111" s="75">
        <f t="shared" si="14"/>
        <v>1365267</v>
      </c>
      <c r="P111" s="76">
        <f t="shared" si="15"/>
        <v>5639881</v>
      </c>
      <c r="Q111" s="76">
        <f t="shared" si="15"/>
        <v>2280686</v>
      </c>
      <c r="R111" s="76">
        <f t="shared" si="15"/>
        <v>8060320</v>
      </c>
      <c r="S111" s="80">
        <f>M111/'[21]2014'!M111-1</f>
        <v>-9.2854687233923094E-4</v>
      </c>
      <c r="T111" s="80">
        <f>N111/'[21]2014'!N111-1</f>
        <v>0.14375471856387878</v>
      </c>
      <c r="U111" s="80">
        <f>O111/'[21]2014'!O111-1</f>
        <v>3.6231405560855912E-2</v>
      </c>
      <c r="V111" s="81">
        <f>P111/'[21]2014'!P111-1</f>
        <v>6.7135699536298166E-3</v>
      </c>
      <c r="W111" s="81">
        <f>Q111/'[21]2014'!Q111-1</f>
        <v>8.2691260291789526E-2</v>
      </c>
      <c r="X111" s="81">
        <f>R111/'[21]2014'!R111-1</f>
        <v>2.5706393636873992E-2</v>
      </c>
      <c r="Y111" s="37">
        <f>Y105+0.4*6</f>
        <v>34.002000000000002</v>
      </c>
      <c r="Z111" s="37">
        <f>P111/10000-Y111</f>
        <v>529.98610000000008</v>
      </c>
      <c r="AA111" s="37">
        <v>3890.0920000000001</v>
      </c>
      <c r="AB111" s="37">
        <f>Z111*10000/AA111</f>
        <v>1362.3999123928177</v>
      </c>
    </row>
    <row r="112" spans="1:28" s="2" customFormat="1" ht="15" customHeight="1" x14ac:dyDescent="0.15">
      <c r="A112" s="20">
        <v>42111</v>
      </c>
      <c r="B112" s="20" t="s">
        <v>38</v>
      </c>
      <c r="C112" s="21">
        <v>60453</v>
      </c>
      <c r="D112" s="7">
        <f>15865+10694</f>
        <v>26559</v>
      </c>
      <c r="E112" s="7">
        <v>88015</v>
      </c>
      <c r="F112" s="22">
        <v>4423</v>
      </c>
      <c r="G112" s="23">
        <v>2958</v>
      </c>
      <c r="H112" s="24">
        <v>1316</v>
      </c>
      <c r="I112" s="36">
        <v>861</v>
      </c>
      <c r="J112" s="8">
        <f t="shared" si="8"/>
        <v>61456</v>
      </c>
      <c r="K112" s="37">
        <f t="shared" si="9"/>
        <v>210</v>
      </c>
      <c r="L112" s="37">
        <v>793</v>
      </c>
      <c r="M112" s="74">
        <f t="shared" si="14"/>
        <v>993303</v>
      </c>
      <c r="N112" s="75">
        <f t="shared" si="14"/>
        <v>435600</v>
      </c>
      <c r="O112" s="75">
        <f t="shared" si="14"/>
        <v>1453282</v>
      </c>
      <c r="P112" s="76">
        <f t="shared" si="15"/>
        <v>5700334</v>
      </c>
      <c r="Q112" s="76">
        <f t="shared" si="15"/>
        <v>2307245</v>
      </c>
      <c r="R112" s="76">
        <f t="shared" si="15"/>
        <v>8148335</v>
      </c>
      <c r="S112" s="80">
        <f>M112/'[21]2014'!M112-1</f>
        <v>-3.2142305214418743E-3</v>
      </c>
      <c r="T112" s="80">
        <f>N112/'[21]2014'!N112-1</f>
        <v>0.14780491532435502</v>
      </c>
      <c r="U112" s="80">
        <f>O112/'[21]2014'!O112-1</f>
        <v>3.5084183093866628E-2</v>
      </c>
      <c r="V112" s="81">
        <f>P112/'[21]2014'!P112-1</f>
        <v>6.2268074228646331E-3</v>
      </c>
      <c r="W112" s="81">
        <f>Q112/'[21]2014'!Q112-1</f>
        <v>8.4041099729601054E-2</v>
      </c>
      <c r="X112" s="81">
        <f>R112/'[21]2014'!R112-1</f>
        <v>2.5618235707176362E-2</v>
      </c>
      <c r="Y112" s="37"/>
      <c r="Z112" s="37"/>
      <c r="AA112" s="37"/>
      <c r="AB112" s="37"/>
    </row>
    <row r="113" spans="1:32" ht="15" customHeight="1" x14ac:dyDescent="0.15">
      <c r="A113" s="20">
        <v>42112</v>
      </c>
      <c r="B113" s="20" t="s">
        <v>39</v>
      </c>
      <c r="C113" s="21">
        <v>58670</v>
      </c>
      <c r="D113" s="7">
        <f>16548+10888</f>
        <v>27436</v>
      </c>
      <c r="E113" s="7">
        <v>87031</v>
      </c>
      <c r="F113" s="22">
        <v>4439</v>
      </c>
      <c r="G113" s="23">
        <v>2929</v>
      </c>
      <c r="H113" s="24">
        <v>1356</v>
      </c>
      <c r="I113" s="36">
        <v>875</v>
      </c>
      <c r="J113" s="8">
        <f t="shared" si="8"/>
        <v>59595</v>
      </c>
      <c r="K113" s="37">
        <f t="shared" si="9"/>
        <v>132</v>
      </c>
      <c r="L113" s="37">
        <v>793</v>
      </c>
      <c r="M113" s="74">
        <f t="shared" ref="M113:O125" si="16">M112+C113</f>
        <v>1051973</v>
      </c>
      <c r="N113" s="75">
        <f t="shared" si="16"/>
        <v>463036</v>
      </c>
      <c r="O113" s="75">
        <f t="shared" si="16"/>
        <v>1540313</v>
      </c>
      <c r="P113" s="76">
        <f t="shared" si="15"/>
        <v>5759004</v>
      </c>
      <c r="Q113" s="76">
        <f t="shared" si="15"/>
        <v>2334681</v>
      </c>
      <c r="R113" s="76">
        <f t="shared" si="15"/>
        <v>8235366</v>
      </c>
      <c r="S113" s="80">
        <f>M113/'[21]2014'!M113-1</f>
        <v>-6.4675710058640368E-3</v>
      </c>
      <c r="T113" s="80">
        <f>N113/'[21]2014'!N113-1</f>
        <v>0.15037427734535136</v>
      </c>
      <c r="U113" s="80">
        <f>O113/'[21]2014'!O113-1</f>
        <v>3.3093869699678979E-2</v>
      </c>
      <c r="V113" s="81">
        <f>P113/'[21]2014'!P113-1</f>
        <v>5.5226411388897834E-3</v>
      </c>
      <c r="W113" s="81">
        <f>Q113/'[21]2014'!Q113-1</f>
        <v>8.5203558782678712E-2</v>
      </c>
      <c r="X113" s="81">
        <f>R113/'[21]2014'!R113-1</f>
        <v>2.5351238595892944E-2</v>
      </c>
      <c r="Y113" s="37"/>
      <c r="Z113" s="37"/>
      <c r="AA113" s="37"/>
      <c r="AB113" s="37"/>
    </row>
    <row r="114" spans="1:32" ht="15" customHeight="1" x14ac:dyDescent="0.15">
      <c r="A114" s="20">
        <v>42113</v>
      </c>
      <c r="B114" s="20" t="s">
        <v>1</v>
      </c>
      <c r="C114" s="21">
        <v>54282</v>
      </c>
      <c r="D114" s="7">
        <f>17050+10882</f>
        <v>27932</v>
      </c>
      <c r="E114" s="7">
        <v>83093</v>
      </c>
      <c r="F114" s="22">
        <v>4115</v>
      </c>
      <c r="G114" s="23">
        <v>2906</v>
      </c>
      <c r="H114" s="24">
        <v>1380</v>
      </c>
      <c r="I114" s="36">
        <v>938</v>
      </c>
      <c r="J114" s="8">
        <f t="shared" si="8"/>
        <v>55161</v>
      </c>
      <c r="K114" s="37">
        <f t="shared" si="9"/>
        <v>86</v>
      </c>
      <c r="L114" s="37">
        <v>793</v>
      </c>
      <c r="M114" s="74">
        <f t="shared" si="16"/>
        <v>1106255</v>
      </c>
      <c r="N114" s="75">
        <f t="shared" si="16"/>
        <v>490968</v>
      </c>
      <c r="O114" s="75">
        <f t="shared" si="16"/>
        <v>1623406</v>
      </c>
      <c r="P114" s="76">
        <f t="shared" si="15"/>
        <v>5813286</v>
      </c>
      <c r="Q114" s="76">
        <f t="shared" si="15"/>
        <v>2362613</v>
      </c>
      <c r="R114" s="76">
        <f t="shared" si="15"/>
        <v>8318459</v>
      </c>
      <c r="S114" s="80">
        <f>M114/'[21]2014'!M114-1</f>
        <v>-1.3186885725550823E-2</v>
      </c>
      <c r="T114" s="80">
        <f>N114/'[21]2014'!N114-1</f>
        <v>0.15563213196249004</v>
      </c>
      <c r="U114" s="80">
        <f>O114/'[21]2014'!O114-1</f>
        <v>2.9409787790436015E-2</v>
      </c>
      <c r="V114" s="81">
        <f>P114/'[21]2014'!P114-1</f>
        <v>4.092729683552454E-3</v>
      </c>
      <c r="W114" s="81">
        <f>Q114/'[21]2014'!Q114-1</f>
        <v>8.6900946678798885E-2</v>
      </c>
      <c r="X114" s="81">
        <f>R114/'[21]2014'!R114-1</f>
        <v>2.4717619027256887E-2</v>
      </c>
      <c r="Y114" s="37"/>
      <c r="Z114" s="37"/>
      <c r="AA114" s="37"/>
      <c r="AB114" s="37"/>
    </row>
    <row r="115" spans="1:32" ht="15" customHeight="1" x14ac:dyDescent="0.15">
      <c r="A115" s="20">
        <v>42114</v>
      </c>
      <c r="B115" s="20" t="s">
        <v>34</v>
      </c>
      <c r="C115" s="21">
        <v>58846</v>
      </c>
      <c r="D115" s="7">
        <f>16244+10198</f>
        <v>26442</v>
      </c>
      <c r="E115" s="7">
        <v>86293</v>
      </c>
      <c r="F115" s="22">
        <v>4474</v>
      </c>
      <c r="G115" s="23">
        <v>2761</v>
      </c>
      <c r="H115" s="24">
        <v>1336</v>
      </c>
      <c r="I115" s="36">
        <v>842</v>
      </c>
      <c r="J115" s="8">
        <f t="shared" si="8"/>
        <v>59851</v>
      </c>
      <c r="K115" s="37">
        <f t="shared" si="9"/>
        <v>212</v>
      </c>
      <c r="L115" s="37">
        <v>793</v>
      </c>
      <c r="M115" s="74">
        <f t="shared" si="16"/>
        <v>1165101</v>
      </c>
      <c r="N115" s="75">
        <f t="shared" si="16"/>
        <v>517410</v>
      </c>
      <c r="O115" s="75">
        <f t="shared" si="16"/>
        <v>1709699</v>
      </c>
      <c r="P115" s="76">
        <f t="shared" si="15"/>
        <v>5872132</v>
      </c>
      <c r="Q115" s="76">
        <f t="shared" si="15"/>
        <v>2389055</v>
      </c>
      <c r="R115" s="76">
        <f t="shared" si="15"/>
        <v>8404752</v>
      </c>
      <c r="S115" s="80">
        <f>M115/'[21]2014'!M115-1</f>
        <v>-1.3528307589924182E-2</v>
      </c>
      <c r="T115" s="80">
        <f>N115/'[21]2014'!N115-1</f>
        <v>0.16281317140263041</v>
      </c>
      <c r="U115" s="80">
        <f>O115/'[21]2014'!O115-1</f>
        <v>3.1017377208936603E-2</v>
      </c>
      <c r="V115" s="81">
        <f>P115/'[21]2014'!P115-1</f>
        <v>3.8464352774123522E-3</v>
      </c>
      <c r="W115" s="81">
        <f>Q115/'[21]2014'!Q115-1</f>
        <v>8.8987661812251595E-2</v>
      </c>
      <c r="X115" s="81">
        <f>R115/'[21]2014'!R115-1</f>
        <v>2.5089246500655582E-2</v>
      </c>
      <c r="Y115" s="37">
        <v>34.876399999999997</v>
      </c>
      <c r="Z115" s="37">
        <f>P115/10000-Y115</f>
        <v>552.33680000000004</v>
      </c>
      <c r="AA115" s="37">
        <v>3890.0920000000001</v>
      </c>
      <c r="AB115" s="37">
        <f>Z115*10000/AA115</f>
        <v>1419.8553658885187</v>
      </c>
    </row>
    <row r="116" spans="1:32" ht="15" customHeight="1" x14ac:dyDescent="0.15">
      <c r="A116" s="20">
        <v>42115</v>
      </c>
      <c r="B116" s="14" t="s">
        <v>35</v>
      </c>
      <c r="C116" s="15">
        <v>61547</v>
      </c>
      <c r="D116" s="16">
        <f>14896+9995</f>
        <v>24891</v>
      </c>
      <c r="E116" s="16">
        <v>87292</v>
      </c>
      <c r="F116" s="17">
        <v>4385</v>
      </c>
      <c r="G116" s="18">
        <v>2911</v>
      </c>
      <c r="H116" s="19">
        <v>1208</v>
      </c>
      <c r="I116" s="19">
        <v>808</v>
      </c>
      <c r="J116" s="32">
        <f t="shared" si="8"/>
        <v>62401</v>
      </c>
      <c r="K116" s="33">
        <f t="shared" si="9"/>
        <v>61</v>
      </c>
      <c r="L116" s="33">
        <v>793</v>
      </c>
      <c r="M116" s="77">
        <f t="shared" si="16"/>
        <v>1226648</v>
      </c>
      <c r="N116" s="78">
        <f t="shared" si="16"/>
        <v>542301</v>
      </c>
      <c r="O116" s="78">
        <f t="shared" si="16"/>
        <v>1796991</v>
      </c>
      <c r="P116" s="77">
        <f t="shared" si="15"/>
        <v>5933679</v>
      </c>
      <c r="Q116" s="77">
        <f t="shared" si="15"/>
        <v>2413946</v>
      </c>
      <c r="R116" s="77">
        <f t="shared" si="15"/>
        <v>8492044</v>
      </c>
      <c r="S116" s="82">
        <f>M116/'[21]2014'!M116-1</f>
        <v>-1.2359118130624958E-2</v>
      </c>
      <c r="T116" s="82">
        <f>N116/'[21]2014'!N116-1</f>
        <v>0.16045142611363983</v>
      </c>
      <c r="U116" s="82">
        <f>O116/'[21]2014'!O116-1</f>
        <v>3.0408971770552018E-2</v>
      </c>
      <c r="V116" s="82">
        <f>P116/'[21]2014'!P116-1</f>
        <v>3.9130414237182887E-3</v>
      </c>
      <c r="W116" s="82">
        <f>Q116/'[21]2014'!Q116-1</f>
        <v>8.9234338217354603E-2</v>
      </c>
      <c r="X116" s="82">
        <f>R116/'[21]2014'!R116-1</f>
        <v>2.5022494492149994E-2</v>
      </c>
      <c r="Y116" s="33"/>
      <c r="Z116" s="33"/>
      <c r="AA116" s="33"/>
      <c r="AB116" s="33"/>
    </row>
    <row r="117" spans="1:32" ht="15" customHeight="1" x14ac:dyDescent="0.15">
      <c r="A117" s="20">
        <v>42116</v>
      </c>
      <c r="B117" s="20" t="s">
        <v>36</v>
      </c>
      <c r="C117" s="66">
        <v>61082</v>
      </c>
      <c r="D117" s="67">
        <v>25646</v>
      </c>
      <c r="E117" s="67">
        <v>88109</v>
      </c>
      <c r="F117" s="68">
        <v>4437</v>
      </c>
      <c r="G117" s="69">
        <v>2957</v>
      </c>
      <c r="H117" s="24">
        <v>1257</v>
      </c>
      <c r="I117" s="24">
        <v>822</v>
      </c>
      <c r="J117" s="70">
        <f t="shared" si="8"/>
        <v>62463</v>
      </c>
      <c r="K117" s="71">
        <f t="shared" si="9"/>
        <v>588</v>
      </c>
      <c r="L117" s="71">
        <v>793</v>
      </c>
      <c r="M117" s="72">
        <f t="shared" si="16"/>
        <v>1287730</v>
      </c>
      <c r="N117" s="73">
        <f t="shared" si="16"/>
        <v>567947</v>
      </c>
      <c r="O117" s="73">
        <f t="shared" si="16"/>
        <v>1885100</v>
      </c>
      <c r="P117" s="72">
        <f t="shared" si="15"/>
        <v>5994761</v>
      </c>
      <c r="Q117" s="72">
        <f t="shared" si="15"/>
        <v>2439592</v>
      </c>
      <c r="R117" s="72">
        <f t="shared" si="15"/>
        <v>8580153</v>
      </c>
      <c r="S117" s="79">
        <f>M117/'[21]2014'!M117-1</f>
        <v>-1.2124722389502351E-2</v>
      </c>
      <c r="T117" s="79">
        <f>N117/'[21]2014'!N117-1</f>
        <v>0.15957483732791067</v>
      </c>
      <c r="U117" s="79">
        <f>O117/'[21]2014'!O117-1</f>
        <v>3.0538962419850435E-2</v>
      </c>
      <c r="V117" s="79">
        <f>P117/'[21]2014'!P117-1</f>
        <v>3.7965332850424804E-3</v>
      </c>
      <c r="W117" s="79">
        <f>Q117/'[21]2014'!Q117-1</f>
        <v>8.9757377205011535E-2</v>
      </c>
      <c r="X117" s="79">
        <f>R117/'[21]2014'!R117-1</f>
        <v>2.5105783654092217E-2</v>
      </c>
      <c r="Y117" s="71"/>
      <c r="Z117" s="71"/>
      <c r="AA117" s="85"/>
      <c r="AB117" s="71"/>
    </row>
    <row r="118" spans="1:32" ht="15" customHeight="1" x14ac:dyDescent="0.15">
      <c r="A118" s="20">
        <v>42117</v>
      </c>
      <c r="B118" s="20" t="s">
        <v>37</v>
      </c>
      <c r="C118" s="21">
        <v>62639</v>
      </c>
      <c r="D118" s="7">
        <f>13819+9945</f>
        <v>23764</v>
      </c>
      <c r="E118" s="7">
        <v>87965</v>
      </c>
      <c r="F118" s="22">
        <v>4440</v>
      </c>
      <c r="G118" s="23">
        <v>2973</v>
      </c>
      <c r="H118" s="24"/>
      <c r="I118" s="36"/>
      <c r="J118" s="8">
        <f t="shared" si="8"/>
        <v>64201</v>
      </c>
      <c r="K118" s="37">
        <f t="shared" si="9"/>
        <v>769</v>
      </c>
      <c r="L118" s="37">
        <v>793</v>
      </c>
      <c r="M118" s="74">
        <f t="shared" si="16"/>
        <v>1350369</v>
      </c>
      <c r="N118" s="75">
        <f t="shared" si="16"/>
        <v>591711</v>
      </c>
      <c r="O118" s="75">
        <f t="shared" si="16"/>
        <v>1973065</v>
      </c>
      <c r="P118" s="76">
        <f t="shared" si="15"/>
        <v>6057400</v>
      </c>
      <c r="Q118" s="76">
        <f t="shared" si="15"/>
        <v>2463356</v>
      </c>
      <c r="R118" s="76">
        <f t="shared" si="15"/>
        <v>8668118</v>
      </c>
      <c r="S118" s="80">
        <f>M118/'[21]2014'!M118-1</f>
        <v>-1.090707997011553E-2</v>
      </c>
      <c r="T118" s="80">
        <f>N118/'[21]2014'!N118-1</f>
        <v>0.1563405053643665</v>
      </c>
      <c r="U118" s="80">
        <f>O118/'[21]2014'!O118-1</f>
        <v>3.0774366588337987E-2</v>
      </c>
      <c r="V118" s="81">
        <f>P118/'[21]2014'!P118-1</f>
        <v>3.9091749941722043E-3</v>
      </c>
      <c r="W118" s="81">
        <f>Q118/'[21]2014'!Q118-1</f>
        <v>8.9702271158988545E-2</v>
      </c>
      <c r="X118" s="81">
        <f>R118/'[21]2014'!R118-1</f>
        <v>2.5213648635367347E-2</v>
      </c>
      <c r="Y118" s="37">
        <f>Y115+0.33*3</f>
        <v>35.866399999999999</v>
      </c>
      <c r="Z118" s="37">
        <f>P118/10000-Y118</f>
        <v>569.87360000000001</v>
      </c>
      <c r="AA118" s="37">
        <v>3890.0920000000001</v>
      </c>
      <c r="AB118" s="37">
        <f>Z118*10000/AA118</f>
        <v>1464.936047784988</v>
      </c>
    </row>
    <row r="119" spans="1:32" ht="15" customHeight="1" x14ac:dyDescent="0.15">
      <c r="A119" s="20">
        <v>42118</v>
      </c>
      <c r="B119" s="20" t="s">
        <v>38</v>
      </c>
      <c r="C119" s="21">
        <v>62088</v>
      </c>
      <c r="D119" s="7">
        <f>14956+10205</f>
        <v>25161</v>
      </c>
      <c r="E119" s="7">
        <v>88606</v>
      </c>
      <c r="F119" s="22">
        <v>4500</v>
      </c>
      <c r="G119" s="23">
        <v>2945</v>
      </c>
      <c r="H119" s="24">
        <v>1236</v>
      </c>
      <c r="I119" s="36">
        <v>791</v>
      </c>
      <c r="J119" s="8">
        <f t="shared" si="8"/>
        <v>63445</v>
      </c>
      <c r="K119" s="37">
        <f t="shared" si="9"/>
        <v>564</v>
      </c>
      <c r="L119" s="37">
        <v>793</v>
      </c>
      <c r="M119" s="74">
        <f t="shared" si="16"/>
        <v>1412457</v>
      </c>
      <c r="N119" s="75">
        <f t="shared" si="16"/>
        <v>616872</v>
      </c>
      <c r="O119" s="75">
        <f t="shared" si="16"/>
        <v>2061671</v>
      </c>
      <c r="P119" s="76">
        <f t="shared" si="15"/>
        <v>6119488</v>
      </c>
      <c r="Q119" s="76">
        <f t="shared" si="15"/>
        <v>2488517</v>
      </c>
      <c r="R119" s="76">
        <f t="shared" si="15"/>
        <v>8756724</v>
      </c>
      <c r="S119" s="80">
        <f>M119/'[21]2014'!M119-1</f>
        <v>-9.8256328721259001E-3</v>
      </c>
      <c r="T119" s="80">
        <f>N119/'[21]2014'!N119-1</f>
        <v>0.15546364872610385</v>
      </c>
      <c r="U119" s="80">
        <f>O119/'[21]2014'!O119-1</f>
        <v>3.1183524439498234E-2</v>
      </c>
      <c r="V119" s="81">
        <f>P119/'[21]2014'!P119-1</f>
        <v>4.0134744171886894E-3</v>
      </c>
      <c r="W119" s="81">
        <f>Q119/'[21]2014'!Q119-1</f>
        <v>9.0144213025296516E-2</v>
      </c>
      <c r="X119" s="81">
        <f>R119/'[21]2014'!R119-1</f>
        <v>2.5364891408433232E-2</v>
      </c>
      <c r="Y119" s="37"/>
      <c r="Z119" s="37"/>
      <c r="AA119" s="37"/>
      <c r="AB119" s="37"/>
    </row>
    <row r="120" spans="1:32" ht="15" customHeight="1" x14ac:dyDescent="0.15">
      <c r="A120" s="20">
        <v>42119</v>
      </c>
      <c r="B120" s="20" t="s">
        <v>39</v>
      </c>
      <c r="C120" s="21">
        <v>60614</v>
      </c>
      <c r="D120" s="7">
        <f>15709+10008</f>
        <v>25717</v>
      </c>
      <c r="E120" s="7">
        <v>87475</v>
      </c>
      <c r="F120" s="22">
        <v>4419</v>
      </c>
      <c r="G120" s="23">
        <v>2980</v>
      </c>
      <c r="H120" s="24"/>
      <c r="I120" s="36"/>
      <c r="J120" s="8">
        <f t="shared" si="8"/>
        <v>61758</v>
      </c>
      <c r="K120" s="37">
        <f t="shared" si="9"/>
        <v>351</v>
      </c>
      <c r="L120" s="37">
        <v>793</v>
      </c>
      <c r="M120" s="74">
        <f t="shared" si="16"/>
        <v>1473071</v>
      </c>
      <c r="N120" s="75">
        <f t="shared" si="16"/>
        <v>642589</v>
      </c>
      <c r="O120" s="75">
        <f t="shared" si="16"/>
        <v>2149146</v>
      </c>
      <c r="P120" s="76">
        <f t="shared" si="15"/>
        <v>6180102</v>
      </c>
      <c r="Q120" s="76">
        <f t="shared" si="15"/>
        <v>2514234</v>
      </c>
      <c r="R120" s="76">
        <f t="shared" si="15"/>
        <v>8844199</v>
      </c>
      <c r="S120" s="80">
        <f>M120/'[21]2014'!M120-1</f>
        <v>-9.837293121087054E-3</v>
      </c>
      <c r="T120" s="80">
        <f>N120/'[21]2014'!N120-1</f>
        <v>0.15681544463266972</v>
      </c>
      <c r="U120" s="80">
        <f>O120/'[21]2014'!O120-1</f>
        <v>3.129669671571822E-2</v>
      </c>
      <c r="V120" s="81">
        <f>P120/'[21]2014'!P120-1</f>
        <v>3.8730064623324623E-3</v>
      </c>
      <c r="W120" s="81">
        <f>Q120/'[21]2014'!Q120-1</f>
        <v>9.1082549550564718E-2</v>
      </c>
      <c r="X120" s="81">
        <f>R120/'[21]2014'!R120-1</f>
        <v>2.5449312234887778E-2</v>
      </c>
      <c r="Y120" s="37"/>
      <c r="Z120" s="37"/>
      <c r="AA120" s="37"/>
      <c r="AB120" s="37"/>
    </row>
    <row r="121" spans="1:32" ht="15" customHeight="1" x14ac:dyDescent="0.15">
      <c r="A121" s="20">
        <v>42120</v>
      </c>
      <c r="B121" s="20" t="s">
        <v>1</v>
      </c>
      <c r="C121" s="21">
        <v>56379</v>
      </c>
      <c r="D121" s="7">
        <f>15443+10210</f>
        <v>25653</v>
      </c>
      <c r="E121" s="7">
        <v>83551</v>
      </c>
      <c r="F121" s="22">
        <v>4176</v>
      </c>
      <c r="G121" s="23">
        <v>2947</v>
      </c>
      <c r="H121" s="24"/>
      <c r="I121" s="36"/>
      <c r="J121" s="8">
        <f t="shared" si="8"/>
        <v>57898</v>
      </c>
      <c r="K121" s="37">
        <f t="shared" si="9"/>
        <v>726</v>
      </c>
      <c r="L121" s="37">
        <v>793</v>
      </c>
      <c r="M121" s="74">
        <f t="shared" si="16"/>
        <v>1529450</v>
      </c>
      <c r="N121" s="75">
        <f t="shared" si="16"/>
        <v>668242</v>
      </c>
      <c r="O121" s="75">
        <f t="shared" si="16"/>
        <v>2232697</v>
      </c>
      <c r="P121" s="76">
        <f t="shared" si="15"/>
        <v>6236481</v>
      </c>
      <c r="Q121" s="76">
        <f t="shared" si="15"/>
        <v>2539887</v>
      </c>
      <c r="R121" s="76">
        <f t="shared" si="15"/>
        <v>8927750</v>
      </c>
      <c r="S121" s="80">
        <f>M121/'[21]2014'!M121-1</f>
        <v>-1.1995969044327648E-2</v>
      </c>
      <c r="T121" s="80">
        <f>N121/'[21]2014'!N121-1</f>
        <v>0.15824412767963625</v>
      </c>
      <c r="U121" s="80">
        <f>O121/'[21]2014'!O121-1</f>
        <v>3.033129208064711E-2</v>
      </c>
      <c r="V121" s="81">
        <f>P121/'[21]2014'!P121-1</f>
        <v>3.2024446164411469E-3</v>
      </c>
      <c r="W121" s="81">
        <f>Q121/'[21]2014'!Q121-1</f>
        <v>9.2043545582872088E-2</v>
      </c>
      <c r="X121" s="81">
        <f>R121/'[21]2014'!R121-1</f>
        <v>2.5264831438388535E-2</v>
      </c>
      <c r="Y121" s="37"/>
      <c r="Z121" s="37"/>
      <c r="AA121" s="37"/>
      <c r="AB121" s="37"/>
    </row>
    <row r="122" spans="1:32" ht="15" customHeight="1" x14ac:dyDescent="0.15">
      <c r="A122" s="20">
        <v>42121</v>
      </c>
      <c r="B122" s="20" t="s">
        <v>34</v>
      </c>
      <c r="C122" s="21">
        <v>58909</v>
      </c>
      <c r="D122" s="7">
        <f>17016+9947</f>
        <v>26963</v>
      </c>
      <c r="E122" s="7">
        <v>87527</v>
      </c>
      <c r="F122" s="22">
        <v>4460</v>
      </c>
      <c r="G122" s="23">
        <v>2825</v>
      </c>
      <c r="H122" s="24">
        <v>1356</v>
      </c>
      <c r="I122" s="36">
        <v>841</v>
      </c>
      <c r="J122" s="8">
        <f t="shared" si="8"/>
        <v>60564</v>
      </c>
      <c r="K122" s="37">
        <f t="shared" si="9"/>
        <v>862</v>
      </c>
      <c r="L122" s="37">
        <v>793</v>
      </c>
      <c r="M122" s="74">
        <f t="shared" si="16"/>
        <v>1588359</v>
      </c>
      <c r="N122" s="75">
        <f t="shared" si="16"/>
        <v>695205</v>
      </c>
      <c r="O122" s="75">
        <f t="shared" si="16"/>
        <v>2320224</v>
      </c>
      <c r="P122" s="76">
        <f t="shared" si="15"/>
        <v>6295390</v>
      </c>
      <c r="Q122" s="76">
        <f t="shared" si="15"/>
        <v>2566850</v>
      </c>
      <c r="R122" s="76">
        <f t="shared" si="15"/>
        <v>9015277</v>
      </c>
      <c r="S122" s="80">
        <f>M122/'[21]2014'!M122-1</f>
        <v>-1.2359504450839331E-2</v>
      </c>
      <c r="T122" s="80">
        <f>N122/'[21]2014'!N122-1</f>
        <v>0.16675869314567771</v>
      </c>
      <c r="U122" s="80">
        <f>O122/'[21]2014'!O122-1</f>
        <v>3.2546552450748445E-2</v>
      </c>
      <c r="V122" s="81">
        <f>P122/'[21]2014'!P122-1</f>
        <v>2.9634946597063561E-3</v>
      </c>
      <c r="W122" s="81">
        <f>Q122/'[21]2014'!Q122-1</f>
        <v>9.4740880759629942E-2</v>
      </c>
      <c r="X122" s="81">
        <f>R122/'[21]2014'!R122-1</f>
        <v>2.5877472213070574E-2</v>
      </c>
      <c r="Y122" s="37"/>
      <c r="Z122" s="37"/>
      <c r="AA122" s="37"/>
      <c r="AB122" s="37"/>
    </row>
    <row r="123" spans="1:32" ht="15" customHeight="1" x14ac:dyDescent="0.15">
      <c r="A123" s="20">
        <v>42122</v>
      </c>
      <c r="B123" s="14" t="s">
        <v>35</v>
      </c>
      <c r="C123" s="15">
        <v>60189</v>
      </c>
      <c r="D123" s="16">
        <v>27689</v>
      </c>
      <c r="E123" s="16">
        <v>89344</v>
      </c>
      <c r="F123" s="17">
        <v>4506</v>
      </c>
      <c r="G123" s="18">
        <v>2973</v>
      </c>
      <c r="H123" s="19">
        <v>1402</v>
      </c>
      <c r="I123" s="19">
        <v>840</v>
      </c>
      <c r="J123" s="32">
        <f t="shared" si="8"/>
        <v>61655</v>
      </c>
      <c r="K123" s="33">
        <f t="shared" si="9"/>
        <v>673</v>
      </c>
      <c r="L123" s="33">
        <v>793</v>
      </c>
      <c r="M123" s="77">
        <f t="shared" si="16"/>
        <v>1648548</v>
      </c>
      <c r="N123" s="78">
        <f t="shared" si="16"/>
        <v>722894</v>
      </c>
      <c r="O123" s="78">
        <f t="shared" si="16"/>
        <v>2409568</v>
      </c>
      <c r="P123" s="77">
        <f t="shared" si="15"/>
        <v>6355579</v>
      </c>
      <c r="Q123" s="77">
        <f t="shared" si="15"/>
        <v>2594539</v>
      </c>
      <c r="R123" s="77">
        <f t="shared" si="15"/>
        <v>9104621</v>
      </c>
      <c r="S123" s="82">
        <f>M123/'[21]2014'!M123-1</f>
        <v>-1.1491192723923516E-2</v>
      </c>
      <c r="T123" s="82">
        <f>N123/'[21]2014'!N123-1</f>
        <v>0.17164811690321868</v>
      </c>
      <c r="U123" s="82">
        <f>O123/'[21]2014'!O123-1</f>
        <v>3.4356227468669731E-2</v>
      </c>
      <c r="V123" s="82">
        <f>P123/'[21]2014'!P123-1</f>
        <v>3.048204376093322E-3</v>
      </c>
      <c r="W123" s="82">
        <f>Q123/'[21]2014'!Q123-1</f>
        <v>9.6659682725420248E-2</v>
      </c>
      <c r="X123" s="82">
        <f>R123/'[21]2014'!R123-1</f>
        <v>2.6414717198697257E-2</v>
      </c>
      <c r="Y123" s="33"/>
      <c r="Z123" s="33"/>
      <c r="AA123" s="33"/>
      <c r="AB123" s="33"/>
    </row>
    <row r="124" spans="1:32" ht="15" customHeight="1" x14ac:dyDescent="0.15">
      <c r="A124" s="20">
        <v>42123</v>
      </c>
      <c r="B124" s="20" t="s">
        <v>36</v>
      </c>
      <c r="C124" s="66">
        <v>59723</v>
      </c>
      <c r="D124" s="67">
        <f>17514+9835</f>
        <v>27349</v>
      </c>
      <c r="E124" s="67">
        <v>88722</v>
      </c>
      <c r="F124" s="68">
        <v>4494</v>
      </c>
      <c r="G124" s="69">
        <v>2991</v>
      </c>
      <c r="H124" s="24">
        <v>1370</v>
      </c>
      <c r="I124" s="24">
        <v>849</v>
      </c>
      <c r="J124" s="70">
        <f t="shared" si="8"/>
        <v>61373</v>
      </c>
      <c r="K124" s="71">
        <f t="shared" si="9"/>
        <v>857</v>
      </c>
      <c r="L124" s="71">
        <v>793</v>
      </c>
      <c r="M124" s="72">
        <f t="shared" si="16"/>
        <v>1708271</v>
      </c>
      <c r="N124" s="73">
        <f t="shared" si="16"/>
        <v>750243</v>
      </c>
      <c r="O124" s="73">
        <f t="shared" si="16"/>
        <v>2498290</v>
      </c>
      <c r="P124" s="72">
        <f t="shared" si="15"/>
        <v>6415302</v>
      </c>
      <c r="Q124" s="72">
        <f t="shared" si="15"/>
        <v>2621888</v>
      </c>
      <c r="R124" s="72">
        <f t="shared" si="15"/>
        <v>9193343</v>
      </c>
      <c r="S124" s="79">
        <f>M124/'[21]2014'!M124-1</f>
        <v>-1.0967945507652455E-2</v>
      </c>
      <c r="T124" s="79">
        <f>N124/'[21]2014'!N124-1</f>
        <v>0.1734703294193829</v>
      </c>
      <c r="U124" s="79">
        <f>O124/'[21]2014'!O124-1</f>
        <v>3.5403540851419057E-2</v>
      </c>
      <c r="V124" s="79">
        <f>P124/'[21]2014'!P124-1</f>
        <v>3.0542431655551372E-3</v>
      </c>
      <c r="W124" s="79">
        <f>Q124/'[21]2014'!Q124-1</f>
        <v>9.7849216488657742E-2</v>
      </c>
      <c r="X124" s="79">
        <f>R124/'[21]2014'!R124-1</f>
        <v>2.6770863591955907E-2</v>
      </c>
      <c r="Y124" s="71">
        <f>Y118+0.33*6</f>
        <v>37.846399999999996</v>
      </c>
      <c r="Z124" s="71">
        <f>P124/10000-Y124</f>
        <v>603.68380000000002</v>
      </c>
      <c r="AA124" s="85">
        <v>3890.0920000000001</v>
      </c>
      <c r="AB124" s="71">
        <f>Z124*10000/AA124</f>
        <v>1551.8496734781593</v>
      </c>
    </row>
    <row r="125" spans="1:32" ht="15" customHeight="1" x14ac:dyDescent="0.15">
      <c r="A125" s="25">
        <v>42124</v>
      </c>
      <c r="B125" s="25" t="s">
        <v>37</v>
      </c>
      <c r="C125" s="26">
        <v>58098</v>
      </c>
      <c r="D125" s="27">
        <v>26363</v>
      </c>
      <c r="E125" s="27">
        <v>85715</v>
      </c>
      <c r="F125" s="28">
        <v>4399</v>
      </c>
      <c r="G125" s="29">
        <v>2960</v>
      </c>
      <c r="H125" s="30">
        <v>1324</v>
      </c>
      <c r="I125" s="30">
        <v>872</v>
      </c>
      <c r="J125" s="42">
        <f t="shared" si="8"/>
        <v>59352</v>
      </c>
      <c r="K125" s="43">
        <f t="shared" si="9"/>
        <v>463</v>
      </c>
      <c r="L125" s="43">
        <v>791</v>
      </c>
      <c r="M125" s="87">
        <f t="shared" si="16"/>
        <v>1766369</v>
      </c>
      <c r="N125" s="88">
        <f t="shared" si="16"/>
        <v>776606</v>
      </c>
      <c r="O125" s="88">
        <f t="shared" si="16"/>
        <v>2584005</v>
      </c>
      <c r="P125" s="87">
        <f t="shared" si="15"/>
        <v>6473400</v>
      </c>
      <c r="Q125" s="87">
        <f t="shared" si="15"/>
        <v>2648251</v>
      </c>
      <c r="R125" s="87">
        <f t="shared" si="15"/>
        <v>9279058</v>
      </c>
      <c r="S125" s="89">
        <f>M125/'[21]2014'!M125-1</f>
        <v>-1.0555603168921568E-2</v>
      </c>
      <c r="T125" s="89">
        <f>N125/'[21]2014'!N125-1</f>
        <v>0.17773571972350877</v>
      </c>
      <c r="U125" s="89">
        <f>O125/'[21]2014'!O125-1</f>
        <v>3.6343751027718918E-2</v>
      </c>
      <c r="V125" s="89">
        <f>P125/'[21]2014'!P125-1</f>
        <v>3.0422904548641494E-3</v>
      </c>
      <c r="W125" s="89">
        <f>Q125/'[21]2014'!Q125-1</f>
        <v>9.9647294984941626E-2</v>
      </c>
      <c r="X125" s="89">
        <f>R125/'[21]2014'!R125-1</f>
        <v>2.7107298633081589E-2</v>
      </c>
      <c r="Y125" s="43">
        <v>38.752000000000002</v>
      </c>
      <c r="Z125" s="43">
        <f>P125/10000-Y125</f>
        <v>608.58800000000008</v>
      </c>
      <c r="AA125" s="43">
        <v>3891.0920000000001</v>
      </c>
      <c r="AB125" s="43">
        <f>Z125*10000/AA125</f>
        <v>1564.0545122037722</v>
      </c>
      <c r="AC125" s="63">
        <v>6.54</v>
      </c>
      <c r="AD125" s="2">
        <v>9.1999999999999993</v>
      </c>
      <c r="AF125" s="2">
        <v>663.08</v>
      </c>
    </row>
    <row r="126" spans="1:32" ht="15" customHeight="1" x14ac:dyDescent="0.15">
      <c r="A126" s="20">
        <v>42125</v>
      </c>
      <c r="B126" s="20" t="s">
        <v>38</v>
      </c>
      <c r="C126" s="21">
        <v>41720</v>
      </c>
      <c r="D126" s="7">
        <f>9748+9046</f>
        <v>18794</v>
      </c>
      <c r="E126" s="7">
        <v>61565</v>
      </c>
      <c r="F126" s="22">
        <v>3033</v>
      </c>
      <c r="G126" s="23">
        <v>2280</v>
      </c>
      <c r="H126" s="24">
        <v>948</v>
      </c>
      <c r="I126" s="36">
        <v>640</v>
      </c>
      <c r="J126" s="8">
        <f t="shared" si="8"/>
        <v>42771</v>
      </c>
      <c r="K126" s="37">
        <f t="shared" si="9"/>
        <v>258</v>
      </c>
      <c r="L126" s="37">
        <v>793</v>
      </c>
      <c r="M126" s="74">
        <f>C126</f>
        <v>41720</v>
      </c>
      <c r="N126" s="75">
        <f>D126</f>
        <v>18794</v>
      </c>
      <c r="O126" s="75">
        <f>E126</f>
        <v>61565</v>
      </c>
      <c r="P126" s="76">
        <f>M126+P$125</f>
        <v>6515120</v>
      </c>
      <c r="Q126" s="76">
        <f>N126+Q$125</f>
        <v>2667045</v>
      </c>
      <c r="R126" s="76">
        <f>O126+R$125</f>
        <v>9340623</v>
      </c>
      <c r="S126" s="80">
        <f>M126/'[21]2014'!M126-1</f>
        <v>2.6398012153418415E-2</v>
      </c>
      <c r="T126" s="80">
        <f>N126/'[21]2014'!N126-1</f>
        <v>0.24513051543659725</v>
      </c>
      <c r="U126" s="80">
        <f>O126/'[21]2014'!O126-1</f>
        <v>8.5917381027974749E-2</v>
      </c>
      <c r="V126" s="81">
        <f>P126/'[21]2014'!P126-1</f>
        <v>3.1884684163676624E-3</v>
      </c>
      <c r="W126" s="81">
        <f>Q126/'[21]2014'!Q126-1</f>
        <v>0.10055344070652761</v>
      </c>
      <c r="X126" s="81">
        <f>R126/'[21]2014'!R126-1</f>
        <v>2.7474060276382106E-2</v>
      </c>
      <c r="Y126" s="37"/>
      <c r="Z126" s="37"/>
      <c r="AA126" s="37"/>
      <c r="AB126" s="37"/>
    </row>
    <row r="127" spans="1:32" ht="15" customHeight="1" x14ac:dyDescent="0.15">
      <c r="A127" s="20">
        <v>42126</v>
      </c>
      <c r="B127" s="20" t="s">
        <v>39</v>
      </c>
      <c r="C127" s="21">
        <v>43229</v>
      </c>
      <c r="D127" s="7">
        <f>12166+9152</f>
        <v>21318</v>
      </c>
      <c r="E127" s="7">
        <v>65685</v>
      </c>
      <c r="F127" s="22">
        <v>3236</v>
      </c>
      <c r="G127" s="23">
        <v>2072</v>
      </c>
      <c r="H127" s="24">
        <v>1128</v>
      </c>
      <c r="I127" s="36">
        <v>602</v>
      </c>
      <c r="J127" s="8">
        <f t="shared" si="8"/>
        <v>44367</v>
      </c>
      <c r="K127" s="37">
        <f t="shared" si="9"/>
        <v>345</v>
      </c>
      <c r="L127" s="37">
        <v>793</v>
      </c>
      <c r="M127" s="74">
        <f>M126+C127</f>
        <v>84949</v>
      </c>
      <c r="N127" s="75">
        <f>N126+D127</f>
        <v>40112</v>
      </c>
      <c r="O127" s="75">
        <f>O126+E127</f>
        <v>127250</v>
      </c>
      <c r="P127" s="76">
        <f t="shared" ref="P127:R156" si="17">M127+P$125</f>
        <v>6558349</v>
      </c>
      <c r="Q127" s="76">
        <f t="shared" si="17"/>
        <v>2688363</v>
      </c>
      <c r="R127" s="76">
        <f t="shared" si="17"/>
        <v>9406308</v>
      </c>
      <c r="S127" s="80">
        <f>M127/'[21]2014'!M127-1</f>
        <v>-2.1730618637431531E-2</v>
      </c>
      <c r="T127" s="80">
        <f>N127/'[21]2014'!N127-1</f>
        <v>0.31437184612359914</v>
      </c>
      <c r="U127" s="80">
        <f>O127/'[21]2014'!O127-1</f>
        <v>6.4167858367411901E-2</v>
      </c>
      <c r="V127" s="81">
        <f>P127/'[21]2014'!P127-1</f>
        <v>2.7133940612928953E-3</v>
      </c>
      <c r="W127" s="81">
        <f>Q127/'[21]2014'!Q127-1</f>
        <v>0.10233426717032046</v>
      </c>
      <c r="X127" s="81">
        <f>R127/'[21]2014'!R127-1</f>
        <v>2.7591427417764658E-2</v>
      </c>
      <c r="Y127" s="37"/>
      <c r="Z127" s="37"/>
      <c r="AA127" s="37"/>
      <c r="AB127" s="37"/>
    </row>
    <row r="128" spans="1:32" ht="15" customHeight="1" x14ac:dyDescent="0.15">
      <c r="A128" s="20">
        <v>42127</v>
      </c>
      <c r="B128" s="20" t="s">
        <v>1</v>
      </c>
      <c r="C128" s="21">
        <v>53923</v>
      </c>
      <c r="D128" s="7">
        <f>12494+9659</f>
        <v>22153</v>
      </c>
      <c r="E128" s="7">
        <v>77120</v>
      </c>
      <c r="F128" s="22">
        <v>3927</v>
      </c>
      <c r="G128" s="23">
        <v>2394</v>
      </c>
      <c r="H128" s="24">
        <v>1160</v>
      </c>
      <c r="I128" s="36">
        <v>617</v>
      </c>
      <c r="J128" s="8">
        <f t="shared" si="8"/>
        <v>54967</v>
      </c>
      <c r="K128" s="37">
        <f t="shared" si="9"/>
        <v>251</v>
      </c>
      <c r="L128" s="37">
        <v>793</v>
      </c>
      <c r="M128" s="74">
        <f t="shared" ref="M128:O143" si="18">M127+C128</f>
        <v>138872</v>
      </c>
      <c r="N128" s="75">
        <f t="shared" si="18"/>
        <v>62265</v>
      </c>
      <c r="O128" s="75">
        <f t="shared" si="18"/>
        <v>204370</v>
      </c>
      <c r="P128" s="76">
        <f t="shared" si="17"/>
        <v>6612272</v>
      </c>
      <c r="Q128" s="76">
        <f t="shared" si="17"/>
        <v>2710516</v>
      </c>
      <c r="R128" s="76">
        <f t="shared" si="17"/>
        <v>9483428</v>
      </c>
      <c r="S128" s="80">
        <f>M128/'[21]2014'!M128-1</f>
        <v>-2.65662895515274E-2</v>
      </c>
      <c r="T128" s="80">
        <f>N128/'[21]2014'!N128-1</f>
        <v>0.31438402431816259</v>
      </c>
      <c r="U128" s="80">
        <f>O128/'[21]2014'!O128-1</f>
        <v>5.1632224600691501E-2</v>
      </c>
      <c r="V128" s="81">
        <f>P128/'[21]2014'!P128-1</f>
        <v>2.401940952352799E-3</v>
      </c>
      <c r="W128" s="81">
        <f>Q128/'[21]2014'!Q128-1</f>
        <v>0.10378979438030345</v>
      </c>
      <c r="X128" s="81">
        <f>R128/'[21]2014'!R128-1</f>
        <v>2.7623750374676126E-2</v>
      </c>
      <c r="Y128" s="37"/>
      <c r="Z128" s="37"/>
      <c r="AA128" s="37"/>
      <c r="AB128" s="37"/>
    </row>
    <row r="129" spans="1:32" ht="15" customHeight="1" x14ac:dyDescent="0.15">
      <c r="A129" s="20">
        <v>42128</v>
      </c>
      <c r="B129" s="20" t="s">
        <v>34</v>
      </c>
      <c r="C129" s="21">
        <v>61148</v>
      </c>
      <c r="D129" s="7">
        <f>13747+9740</f>
        <v>23487</v>
      </c>
      <c r="E129" s="7">
        <v>85693</v>
      </c>
      <c r="F129" s="22">
        <v>4385</v>
      </c>
      <c r="G129" s="23">
        <v>2786</v>
      </c>
      <c r="H129" s="24">
        <v>1227</v>
      </c>
      <c r="I129" s="36">
        <v>659</v>
      </c>
      <c r="J129" s="8">
        <f t="shared" ref="J129:J192" si="19">E129-D129</f>
        <v>62206</v>
      </c>
      <c r="K129" s="37">
        <f t="shared" ref="K129:K188" si="20">J129-C129-L129</f>
        <v>265</v>
      </c>
      <c r="L129" s="37">
        <v>793</v>
      </c>
      <c r="M129" s="74">
        <f t="shared" si="18"/>
        <v>200020</v>
      </c>
      <c r="N129" s="75">
        <f t="shared" si="18"/>
        <v>85752</v>
      </c>
      <c r="O129" s="75">
        <f t="shared" si="18"/>
        <v>290063</v>
      </c>
      <c r="P129" s="76">
        <f t="shared" si="17"/>
        <v>6673420</v>
      </c>
      <c r="Q129" s="76">
        <f t="shared" si="17"/>
        <v>2734003</v>
      </c>
      <c r="R129" s="76">
        <f t="shared" si="17"/>
        <v>9569121</v>
      </c>
      <c r="S129" s="80">
        <f>M129/'[21]2014'!M129-1</f>
        <v>-1.7834344862805218E-2</v>
      </c>
      <c r="T129" s="80">
        <f>N129/'[21]2014'!N129-1</f>
        <v>0.32198686522985853</v>
      </c>
      <c r="U129" s="80">
        <f>O129/'[21]2014'!O129-1</f>
        <v>5.5480758034466726E-2</v>
      </c>
      <c r="V129" s="81">
        <f>P129/'[21]2014'!P129-1</f>
        <v>2.4036691931983434E-3</v>
      </c>
      <c r="W129" s="81">
        <f>Q129/'[21]2014'!Q129-1</f>
        <v>0.10547886287512087</v>
      </c>
      <c r="X129" s="81">
        <f>R129/'[21]2014'!R129-1</f>
        <v>2.794492840665197E-2</v>
      </c>
      <c r="Y129" s="37"/>
      <c r="Z129" s="37"/>
      <c r="AA129" s="37"/>
      <c r="AB129" s="37"/>
    </row>
    <row r="130" spans="1:32" ht="15" customHeight="1" x14ac:dyDescent="0.15">
      <c r="A130" s="20">
        <v>42129</v>
      </c>
      <c r="B130" s="14" t="s">
        <v>35</v>
      </c>
      <c r="C130" s="15">
        <v>61422</v>
      </c>
      <c r="D130" s="16">
        <f>13978+10174</f>
        <v>24152</v>
      </c>
      <c r="E130" s="16">
        <v>87229</v>
      </c>
      <c r="F130" s="17">
        <v>4415</v>
      </c>
      <c r="G130" s="18">
        <v>2931</v>
      </c>
      <c r="H130" s="19">
        <v>1262</v>
      </c>
      <c r="I130" s="19">
        <v>729</v>
      </c>
      <c r="J130" s="32">
        <f t="shared" si="19"/>
        <v>63077</v>
      </c>
      <c r="K130" s="33">
        <f t="shared" si="20"/>
        <v>862</v>
      </c>
      <c r="L130" s="33">
        <v>793</v>
      </c>
      <c r="M130" s="77">
        <f t="shared" si="18"/>
        <v>261442</v>
      </c>
      <c r="N130" s="78">
        <f t="shared" si="18"/>
        <v>109904</v>
      </c>
      <c r="O130" s="78">
        <f t="shared" si="18"/>
        <v>377292</v>
      </c>
      <c r="P130" s="77">
        <f t="shared" si="17"/>
        <v>6734842</v>
      </c>
      <c r="Q130" s="77">
        <f t="shared" si="17"/>
        <v>2758155</v>
      </c>
      <c r="R130" s="77">
        <f t="shared" si="17"/>
        <v>9656350</v>
      </c>
      <c r="S130" s="82">
        <f>M130/'[21]2014'!M130-1</f>
        <v>-1.3471088101670858E-2</v>
      </c>
      <c r="T130" s="82">
        <f>N130/'[21]2014'!N130-1</f>
        <v>0.31456252616470315</v>
      </c>
      <c r="U130" s="82">
        <f>O130/'[21]2014'!O130-1</f>
        <v>5.7142376813543283E-2</v>
      </c>
      <c r="V130" s="82">
        <f>P130/'[21]2014'!P130-1</f>
        <v>2.3909452805135345E-3</v>
      </c>
      <c r="W130" s="82">
        <f>Q130/'[21]2014'!Q130-1</f>
        <v>0.10685791572228198</v>
      </c>
      <c r="X130" s="82">
        <f>R130/'[21]2014'!R130-1</f>
        <v>2.8248751736778654E-2</v>
      </c>
      <c r="Y130" s="33"/>
      <c r="Z130" s="33"/>
      <c r="AA130" s="33"/>
      <c r="AB130" s="33"/>
    </row>
    <row r="131" spans="1:32" ht="15" customHeight="1" x14ac:dyDescent="0.15">
      <c r="A131" s="20">
        <v>42130</v>
      </c>
      <c r="B131" s="20" t="s">
        <v>36</v>
      </c>
      <c r="C131" s="66">
        <v>61450</v>
      </c>
      <c r="D131" s="67">
        <f>15513+10295</f>
        <v>25808</v>
      </c>
      <c r="E131" s="67">
        <v>88139</v>
      </c>
      <c r="F131" s="68">
        <v>4443</v>
      </c>
      <c r="G131" s="69">
        <v>2964</v>
      </c>
      <c r="H131" s="24">
        <v>1344</v>
      </c>
      <c r="I131" s="24">
        <v>733</v>
      </c>
      <c r="J131" s="70">
        <f t="shared" si="19"/>
        <v>62331</v>
      </c>
      <c r="K131" s="71">
        <f t="shared" si="20"/>
        <v>88</v>
      </c>
      <c r="L131" s="71">
        <v>793</v>
      </c>
      <c r="M131" s="72">
        <f t="shared" si="18"/>
        <v>322892</v>
      </c>
      <c r="N131" s="73">
        <f t="shared" si="18"/>
        <v>135712</v>
      </c>
      <c r="O131" s="73">
        <f t="shared" si="18"/>
        <v>465431</v>
      </c>
      <c r="P131" s="72">
        <f t="shared" si="17"/>
        <v>6796292</v>
      </c>
      <c r="Q131" s="72">
        <f t="shared" si="17"/>
        <v>2783963</v>
      </c>
      <c r="R131" s="72">
        <f t="shared" si="17"/>
        <v>9744489</v>
      </c>
      <c r="S131" s="79">
        <f>M131/'[21]2014'!M131-1</f>
        <v>-1.414548507747504E-2</v>
      </c>
      <c r="T131" s="79">
        <f>N131/'[21]2014'!N131-1</f>
        <v>0.3394261801600853</v>
      </c>
      <c r="U131" s="79">
        <f>O131/'[21]2014'!O131-1</f>
        <v>5.8411124629046407E-2</v>
      </c>
      <c r="V131" s="79">
        <f>P131/'[21]2014'!P131-1</f>
        <v>2.2121496494982296E-3</v>
      </c>
      <c r="W131" s="79">
        <f>Q131/'[21]2014'!Q131-1</f>
        <v>0.10932799849983699</v>
      </c>
      <c r="X131" s="79">
        <f>R131/'[21]2014'!R131-1</f>
        <v>2.8560310037781589E-2</v>
      </c>
      <c r="Y131" s="71"/>
      <c r="Z131" s="71"/>
      <c r="AA131" s="85"/>
      <c r="AB131" s="71"/>
    </row>
    <row r="132" spans="1:32" ht="15" customHeight="1" x14ac:dyDescent="0.15">
      <c r="A132" s="20">
        <v>42131</v>
      </c>
      <c r="B132" s="20" t="s">
        <v>37</v>
      </c>
      <c r="C132" s="21">
        <v>60775</v>
      </c>
      <c r="D132" s="7">
        <f>15634+11050</f>
        <v>26684</v>
      </c>
      <c r="E132" s="7">
        <v>89103</v>
      </c>
      <c r="F132" s="22">
        <v>4482</v>
      </c>
      <c r="G132" s="23">
        <v>2986</v>
      </c>
      <c r="H132" s="24">
        <v>1370</v>
      </c>
      <c r="I132" s="36">
        <v>829</v>
      </c>
      <c r="J132" s="8">
        <f t="shared" si="19"/>
        <v>62419</v>
      </c>
      <c r="K132" s="37">
        <f t="shared" si="20"/>
        <v>851</v>
      </c>
      <c r="L132" s="37">
        <v>793</v>
      </c>
      <c r="M132" s="74">
        <f t="shared" si="18"/>
        <v>383667</v>
      </c>
      <c r="N132" s="75">
        <f t="shared" si="18"/>
        <v>162396</v>
      </c>
      <c r="O132" s="75">
        <f t="shared" si="18"/>
        <v>554534</v>
      </c>
      <c r="P132" s="76">
        <f t="shared" si="17"/>
        <v>6857067</v>
      </c>
      <c r="Q132" s="76">
        <f t="shared" si="17"/>
        <v>2810647</v>
      </c>
      <c r="R132" s="76">
        <f t="shared" si="17"/>
        <v>9833592</v>
      </c>
      <c r="S132" s="80">
        <f>M132/'[21]2014'!M132-1</f>
        <v>-1.5433136334591646E-2</v>
      </c>
      <c r="T132" s="80">
        <f>N132/'[21]2014'!N132-1</f>
        <v>0.3506549673555952</v>
      </c>
      <c r="U132" s="80">
        <f>O132/'[21]2014'!O132-1</f>
        <v>6.0633127595235869E-2</v>
      </c>
      <c r="V132" s="81">
        <f>P132/'[21]2014'!P132-1</f>
        <v>1.9902587771571945E-3</v>
      </c>
      <c r="W132" s="81">
        <f>Q132/'[21]2014'!Q132-1</f>
        <v>0.11158315055427348</v>
      </c>
      <c r="X132" s="81">
        <f>R132/'[21]2014'!R132-1</f>
        <v>2.8941390008451195E-2</v>
      </c>
      <c r="Y132" s="37">
        <f>Y125+0.4*7</f>
        <v>41.552</v>
      </c>
      <c r="Z132" s="37">
        <f>P132/10000-Y132</f>
        <v>644.15469999999993</v>
      </c>
      <c r="AA132" s="37">
        <v>3890.0920000000001</v>
      </c>
      <c r="AB132" s="37">
        <f>Z132*10000/AA132</f>
        <v>1655.8855163322612</v>
      </c>
    </row>
    <row r="133" spans="1:32" ht="15" customHeight="1" x14ac:dyDescent="0.15">
      <c r="A133" s="20">
        <v>42132</v>
      </c>
      <c r="B133" s="20" t="s">
        <v>38</v>
      </c>
      <c r="C133" s="21">
        <v>60501</v>
      </c>
      <c r="D133" s="7">
        <f>15620+10879</f>
        <v>26499</v>
      </c>
      <c r="E133" s="7">
        <v>88360</v>
      </c>
      <c r="F133" s="22">
        <v>4494</v>
      </c>
      <c r="G133" s="23">
        <v>3008</v>
      </c>
      <c r="H133" s="24">
        <v>1371</v>
      </c>
      <c r="I133" s="36">
        <v>782</v>
      </c>
      <c r="J133" s="8">
        <f t="shared" si="19"/>
        <v>61861</v>
      </c>
      <c r="K133" s="37">
        <f t="shared" si="20"/>
        <v>567</v>
      </c>
      <c r="L133" s="37">
        <v>793</v>
      </c>
      <c r="M133" s="74">
        <f t="shared" si="18"/>
        <v>444168</v>
      </c>
      <c r="N133" s="75">
        <f t="shared" si="18"/>
        <v>188895</v>
      </c>
      <c r="O133" s="75">
        <f t="shared" si="18"/>
        <v>642894</v>
      </c>
      <c r="P133" s="76">
        <f t="shared" si="17"/>
        <v>6917568</v>
      </c>
      <c r="Q133" s="76">
        <f t="shared" si="17"/>
        <v>2837146</v>
      </c>
      <c r="R133" s="76">
        <f t="shared" si="17"/>
        <v>9921952</v>
      </c>
      <c r="S133" s="80">
        <f>M133/'[21]2014'!M133-1</f>
        <v>-1.9498853203414601E-2</v>
      </c>
      <c r="T133" s="80">
        <f>N133/'[21]2014'!N133-1</f>
        <v>0.35893728147796433</v>
      </c>
      <c r="U133" s="80">
        <f>O133/'[21]2014'!O133-1</f>
        <v>5.9419678463374037E-2</v>
      </c>
      <c r="V133" s="81">
        <f>P133/'[21]2014'!P133-1</f>
        <v>1.5638619863227454E-3</v>
      </c>
      <c r="W133" s="81">
        <f>Q133/'[21]2014'!Q133-1</f>
        <v>0.11379646430807577</v>
      </c>
      <c r="X133" s="81">
        <f>R133/'[21]2014'!R133-1</f>
        <v>2.9141144803975338E-2</v>
      </c>
      <c r="Y133" s="37"/>
      <c r="Z133" s="37"/>
      <c r="AA133" s="37"/>
      <c r="AB133" s="37"/>
    </row>
    <row r="134" spans="1:32" ht="15" customHeight="1" x14ac:dyDescent="0.15">
      <c r="A134" s="20">
        <v>42133</v>
      </c>
      <c r="B134" s="20" t="s">
        <v>39</v>
      </c>
      <c r="C134" s="21">
        <v>60553</v>
      </c>
      <c r="D134" s="7">
        <f>14735+10873</f>
        <v>25608</v>
      </c>
      <c r="E134" s="7">
        <v>87069</v>
      </c>
      <c r="F134" s="22">
        <v>4387</v>
      </c>
      <c r="G134" s="23">
        <v>2950</v>
      </c>
      <c r="H134" s="24">
        <v>1277</v>
      </c>
      <c r="I134" s="36">
        <v>810</v>
      </c>
      <c r="J134" s="8">
        <f t="shared" si="19"/>
        <v>61461</v>
      </c>
      <c r="K134" s="37">
        <f t="shared" si="20"/>
        <v>115</v>
      </c>
      <c r="L134" s="37">
        <v>793</v>
      </c>
      <c r="M134" s="74">
        <f t="shared" si="18"/>
        <v>504721</v>
      </c>
      <c r="N134" s="75">
        <f t="shared" si="18"/>
        <v>214503</v>
      </c>
      <c r="O134" s="75">
        <f t="shared" si="18"/>
        <v>729963</v>
      </c>
      <c r="P134" s="76">
        <f t="shared" si="17"/>
        <v>6978121</v>
      </c>
      <c r="Q134" s="76">
        <f t="shared" si="17"/>
        <v>2862754</v>
      </c>
      <c r="R134" s="76">
        <f t="shared" si="17"/>
        <v>10009021</v>
      </c>
      <c r="S134" s="80">
        <f>M134/'[21]2014'!M134-1</f>
        <v>-2.3041858214372102E-2</v>
      </c>
      <c r="T134" s="80">
        <f>N134/'[21]2014'!N134-1</f>
        <v>0.35951552487973681</v>
      </c>
      <c r="U134" s="80">
        <f>O134/'[21]2014'!O134-1</f>
        <v>5.6160185662115891E-2</v>
      </c>
      <c r="V134" s="81">
        <f>P134/'[21]2014'!P134-1</f>
        <v>1.1090095598758065E-3</v>
      </c>
      <c r="W134" s="81">
        <f>Q134/'[21]2014'!Q134-1</f>
        <v>0.11562582848571146</v>
      </c>
      <c r="X134" s="81">
        <f>R134/'[21]2014'!R134-1</f>
        <v>2.9171997462753341E-2</v>
      </c>
      <c r="Y134" s="37"/>
      <c r="Z134" s="37"/>
      <c r="AA134" s="37"/>
      <c r="AB134" s="37"/>
    </row>
    <row r="135" spans="1:32" ht="15" customHeight="1" x14ac:dyDescent="0.15">
      <c r="A135" s="20">
        <v>42134</v>
      </c>
      <c r="B135" s="20" t="s">
        <v>1</v>
      </c>
      <c r="C135" s="21">
        <v>57047</v>
      </c>
      <c r="D135" s="7">
        <f>13896+10941</f>
        <v>24837</v>
      </c>
      <c r="E135" s="7">
        <v>82868</v>
      </c>
      <c r="F135" s="22">
        <v>4094</v>
      </c>
      <c r="G135" s="23">
        <v>2947</v>
      </c>
      <c r="H135" s="24">
        <v>1242</v>
      </c>
      <c r="I135" s="36">
        <v>789</v>
      </c>
      <c r="J135" s="8">
        <f t="shared" si="19"/>
        <v>58031</v>
      </c>
      <c r="K135" s="37">
        <f t="shared" si="20"/>
        <v>191</v>
      </c>
      <c r="L135" s="37">
        <v>793</v>
      </c>
      <c r="M135" s="74">
        <f t="shared" si="18"/>
        <v>561768</v>
      </c>
      <c r="N135" s="75">
        <f t="shared" si="18"/>
        <v>239340</v>
      </c>
      <c r="O135" s="75">
        <f t="shared" si="18"/>
        <v>812831</v>
      </c>
      <c r="P135" s="76">
        <f t="shared" si="17"/>
        <v>7035168</v>
      </c>
      <c r="Q135" s="76">
        <f t="shared" si="17"/>
        <v>2887591</v>
      </c>
      <c r="R135" s="76">
        <f t="shared" si="17"/>
        <v>10091889</v>
      </c>
      <c r="S135" s="80">
        <f>M135/'[21]2014'!M135-1</f>
        <v>-2.8528442841949664E-2</v>
      </c>
      <c r="T135" s="80">
        <f>N135/'[21]2014'!N135-1</f>
        <v>0.34589971264529407</v>
      </c>
      <c r="U135" s="80">
        <f>O135/'[21]2014'!O135-1</f>
        <v>4.9439795077840021E-2</v>
      </c>
      <c r="V135" s="81">
        <f>P135/'[21]2014'!P135-1</f>
        <v>4.4613428220263707E-4</v>
      </c>
      <c r="W135" s="81">
        <f>Q135/'[21]2014'!Q135-1</f>
        <v>0.11658043199454493</v>
      </c>
      <c r="X135" s="81">
        <f>R135/'[21]2014'!R135-1</f>
        <v>2.8870769816346398E-2</v>
      </c>
      <c r="Y135" s="50">
        <v>41.1494</v>
      </c>
      <c r="Z135" s="37">
        <f>P135/10000-Y135</f>
        <v>662.36739999999998</v>
      </c>
      <c r="AA135" s="37">
        <v>3890.0920000000001</v>
      </c>
      <c r="AB135" s="37">
        <f>Z135*10000/AA135</f>
        <v>1702.7036892700737</v>
      </c>
      <c r="AC135" s="90">
        <v>6.8927360000000002</v>
      </c>
      <c r="AD135" s="91">
        <v>9.9899000000000004</v>
      </c>
      <c r="AE135" s="91"/>
      <c r="AF135" s="91">
        <v>720.3999</v>
      </c>
    </row>
    <row r="136" spans="1:32" ht="15" customHeight="1" x14ac:dyDescent="0.15">
      <c r="A136" s="20">
        <v>42135</v>
      </c>
      <c r="B136" s="20" t="s">
        <v>34</v>
      </c>
      <c r="C136" s="21">
        <v>59281</v>
      </c>
      <c r="D136" s="7">
        <f>14481+10833</f>
        <v>25314</v>
      </c>
      <c r="E136" s="7">
        <v>85512</v>
      </c>
      <c r="F136" s="22">
        <v>4383</v>
      </c>
      <c r="G136" s="23">
        <v>4383</v>
      </c>
      <c r="H136" s="24">
        <v>1328</v>
      </c>
      <c r="I136" s="36">
        <v>721</v>
      </c>
      <c r="J136" s="8">
        <f t="shared" si="19"/>
        <v>60198</v>
      </c>
      <c r="K136" s="37">
        <f t="shared" si="20"/>
        <v>124</v>
      </c>
      <c r="L136" s="37">
        <v>793</v>
      </c>
      <c r="M136" s="74">
        <f t="shared" si="18"/>
        <v>621049</v>
      </c>
      <c r="N136" s="75">
        <f t="shared" si="18"/>
        <v>264654</v>
      </c>
      <c r="O136" s="75">
        <f t="shared" si="18"/>
        <v>898343</v>
      </c>
      <c r="P136" s="76">
        <f t="shared" si="17"/>
        <v>7094449</v>
      </c>
      <c r="Q136" s="76">
        <f t="shared" si="17"/>
        <v>2912905</v>
      </c>
      <c r="R136" s="76">
        <f t="shared" si="17"/>
        <v>10177401</v>
      </c>
      <c r="S136" s="80">
        <f>M136/'[21]2014'!M136-1</f>
        <v>-2.6474359577262963E-2</v>
      </c>
      <c r="T136" s="80">
        <f>N136/'[21]2014'!N136-1</f>
        <v>0.34788919616800862</v>
      </c>
      <c r="U136" s="80">
        <f>O136/'[21]2014'!O136-1</f>
        <v>5.187585110281856E-2</v>
      </c>
      <c r="V136" s="81">
        <f>P136/'[21]2014'!P136-1</f>
        <v>3.8710443766887259E-4</v>
      </c>
      <c r="W136" s="81">
        <f>Q136/'[21]2014'!Q136-1</f>
        <v>0.11836079280813339</v>
      </c>
      <c r="X136" s="81">
        <f>R136/'[21]2014'!R136-1</f>
        <v>2.9246545285069647E-2</v>
      </c>
      <c r="Y136" s="37"/>
      <c r="Z136" s="37"/>
      <c r="AA136" s="37"/>
      <c r="AB136" s="37"/>
    </row>
    <row r="137" spans="1:32" ht="15" customHeight="1" x14ac:dyDescent="0.15">
      <c r="A137" s="20">
        <v>42136</v>
      </c>
      <c r="B137" s="14" t="s">
        <v>35</v>
      </c>
      <c r="C137" s="15">
        <v>59853</v>
      </c>
      <c r="D137" s="16">
        <f>13272+11022</f>
        <v>24294</v>
      </c>
      <c r="E137" s="16">
        <v>85305</v>
      </c>
      <c r="F137" s="17">
        <v>4302</v>
      </c>
      <c r="G137" s="18">
        <v>2868</v>
      </c>
      <c r="H137" s="19">
        <v>1266</v>
      </c>
      <c r="I137" s="19">
        <v>781</v>
      </c>
      <c r="J137" s="32">
        <f t="shared" si="19"/>
        <v>61011</v>
      </c>
      <c r="K137" s="33">
        <f t="shared" si="20"/>
        <v>365</v>
      </c>
      <c r="L137" s="33">
        <v>793</v>
      </c>
      <c r="M137" s="77">
        <f t="shared" si="18"/>
        <v>680902</v>
      </c>
      <c r="N137" s="78">
        <f t="shared" si="18"/>
        <v>288948</v>
      </c>
      <c r="O137" s="78">
        <f t="shared" si="18"/>
        <v>983648</v>
      </c>
      <c r="P137" s="77">
        <f t="shared" si="17"/>
        <v>7154302</v>
      </c>
      <c r="Q137" s="77">
        <f t="shared" si="17"/>
        <v>2937199</v>
      </c>
      <c r="R137" s="77">
        <f t="shared" si="17"/>
        <v>10262706</v>
      </c>
      <c r="S137" s="82">
        <f>M137/'[21]2014'!M137-1</f>
        <v>-2.3835602298402314E-2</v>
      </c>
      <c r="T137" s="82">
        <f>N137/'[21]2014'!N137-1</f>
        <v>0.33599038283706317</v>
      </c>
      <c r="U137" s="82">
        <f>O137/'[21]2014'!O137-1</f>
        <v>5.1894943964410967E-2</v>
      </c>
      <c r="V137" s="82">
        <f>P137/'[21]2014'!P137-1</f>
        <v>4.2065535226920581E-4</v>
      </c>
      <c r="W137" s="82">
        <f>Q137/'[21]2014'!Q137-1</f>
        <v>0.11912348048892585</v>
      </c>
      <c r="X137" s="82">
        <f>R137/'[21]2014'!R137-1</f>
        <v>2.9432382147610126E-2</v>
      </c>
      <c r="Y137" s="33"/>
      <c r="Z137" s="33"/>
      <c r="AA137" s="33"/>
      <c r="AB137" s="33"/>
      <c r="AC137" s="63">
        <f>AC135+SUM(K136:K137)/10000</f>
        <v>6.9416359999999999</v>
      </c>
      <c r="AD137" s="92">
        <f>AD135+SUM(L136:L137)/10000</f>
        <v>10.1485</v>
      </c>
      <c r="AF137" s="92">
        <f>AF135+SUM(J136:J137)/10000</f>
        <v>732.52080000000001</v>
      </c>
    </row>
    <row r="138" spans="1:32" ht="15" customHeight="1" x14ac:dyDescent="0.15">
      <c r="A138" s="20">
        <v>42137</v>
      </c>
      <c r="B138" s="20" t="s">
        <v>36</v>
      </c>
      <c r="C138" s="66">
        <v>60255</v>
      </c>
      <c r="D138" s="67">
        <f>13169+10907</f>
        <v>24076</v>
      </c>
      <c r="E138" s="67">
        <v>86416</v>
      </c>
      <c r="F138" s="68">
        <v>4339</v>
      </c>
      <c r="G138" s="69">
        <v>2925</v>
      </c>
      <c r="H138" s="24">
        <v>1306</v>
      </c>
      <c r="I138" s="24">
        <v>748</v>
      </c>
      <c r="J138" s="70">
        <f t="shared" si="19"/>
        <v>62340</v>
      </c>
      <c r="K138" s="71">
        <f t="shared" si="20"/>
        <v>1292</v>
      </c>
      <c r="L138" s="71">
        <v>793</v>
      </c>
      <c r="M138" s="72">
        <f t="shared" si="18"/>
        <v>741157</v>
      </c>
      <c r="N138" s="73">
        <f t="shared" si="18"/>
        <v>313024</v>
      </c>
      <c r="O138" s="73">
        <f t="shared" si="18"/>
        <v>1070064</v>
      </c>
      <c r="P138" s="72">
        <f t="shared" si="17"/>
        <v>7214557</v>
      </c>
      <c r="Q138" s="72">
        <f t="shared" si="17"/>
        <v>2961275</v>
      </c>
      <c r="R138" s="72">
        <f t="shared" si="17"/>
        <v>10349122</v>
      </c>
      <c r="S138" s="79">
        <f>M138/'[21]2014'!M138-1</f>
        <v>-2.0963585182562805E-2</v>
      </c>
      <c r="T138" s="79">
        <f>N138/'[21]2014'!N138-1</f>
        <v>0.32412299440357706</v>
      </c>
      <c r="U138" s="79">
        <f>O138/'[21]2014'!O138-1</f>
        <v>5.1676488278931121E-2</v>
      </c>
      <c r="V138" s="79">
        <f>P138/'[21]2014'!P138-1</f>
        <v>5.2202720561611571E-4</v>
      </c>
      <c r="W138" s="79">
        <f>Q138/'[21]2014'!Q138-1</f>
        <v>0.11971263302347901</v>
      </c>
      <c r="X138" s="79">
        <f>R138/'[21]2014'!R138-1</f>
        <v>2.9594328818145055E-2</v>
      </c>
      <c r="Y138" s="71"/>
      <c r="Z138" s="71"/>
      <c r="AA138" s="85"/>
      <c r="AB138" s="71"/>
    </row>
    <row r="139" spans="1:32" ht="15" customHeight="1" x14ac:dyDescent="0.15">
      <c r="A139" s="20">
        <v>42138</v>
      </c>
      <c r="B139" s="20" t="s">
        <v>37</v>
      </c>
      <c r="C139" s="21">
        <v>57177</v>
      </c>
      <c r="D139" s="7">
        <f>15508+11245</f>
        <v>26753</v>
      </c>
      <c r="E139" s="7">
        <v>86334</v>
      </c>
      <c r="F139" s="22">
        <v>4374</v>
      </c>
      <c r="G139" s="23">
        <v>2941</v>
      </c>
      <c r="H139" s="24">
        <v>1448</v>
      </c>
      <c r="I139" s="36">
        <v>851</v>
      </c>
      <c r="J139" s="8">
        <f t="shared" si="19"/>
        <v>59581</v>
      </c>
      <c r="K139" s="37">
        <f t="shared" si="20"/>
        <v>1611</v>
      </c>
      <c r="L139" s="37">
        <v>793</v>
      </c>
      <c r="M139" s="74">
        <f t="shared" si="18"/>
        <v>798334</v>
      </c>
      <c r="N139" s="75">
        <f t="shared" si="18"/>
        <v>339777</v>
      </c>
      <c r="O139" s="75">
        <f t="shared" si="18"/>
        <v>1156398</v>
      </c>
      <c r="P139" s="76">
        <f t="shared" si="17"/>
        <v>7271734</v>
      </c>
      <c r="Q139" s="76">
        <f t="shared" si="17"/>
        <v>2988028</v>
      </c>
      <c r="R139" s="76">
        <f t="shared" si="17"/>
        <v>10435456</v>
      </c>
      <c r="S139" s="80">
        <f>M139/'[21]2014'!M139-1</f>
        <v>-2.1627928067040725E-2</v>
      </c>
      <c r="T139" s="80">
        <f>N139/'[21]2014'!N139-1</f>
        <v>0.32670974795494034</v>
      </c>
      <c r="U139" s="80">
        <f>O139/'[21]2014'!O139-1</f>
        <v>5.2298334919730793E-2</v>
      </c>
      <c r="V139" s="81">
        <f>P139/'[21]2014'!P139-1</f>
        <v>2.7321855762263425E-4</v>
      </c>
      <c r="W139" s="81">
        <f>Q139/'[21]2014'!Q139-1</f>
        <v>0.12147296211449854</v>
      </c>
      <c r="X139" s="81">
        <f>R139/'[21]2014'!R139-1</f>
        <v>2.9839247016184123E-2</v>
      </c>
      <c r="Y139" s="93">
        <v>42.35</v>
      </c>
      <c r="Z139" s="37">
        <f>P139/10000-Y139</f>
        <v>684.82339999999999</v>
      </c>
      <c r="AA139" s="37">
        <v>3890.0920000000001</v>
      </c>
      <c r="AB139" s="37">
        <f>Z139*10000/AA139</f>
        <v>1760.4298304513106</v>
      </c>
    </row>
    <row r="140" spans="1:32" ht="15" customHeight="1" x14ac:dyDescent="0.15">
      <c r="A140" s="20">
        <v>42139</v>
      </c>
      <c r="B140" s="20" t="s">
        <v>38</v>
      </c>
      <c r="C140" s="21">
        <v>57895</v>
      </c>
      <c r="D140" s="7">
        <v>25867</v>
      </c>
      <c r="E140" s="7">
        <v>86184</v>
      </c>
      <c r="F140" s="22">
        <v>4354</v>
      </c>
      <c r="G140" s="23">
        <v>2880</v>
      </c>
      <c r="H140" s="24">
        <v>1377</v>
      </c>
      <c r="I140" s="36">
        <v>807</v>
      </c>
      <c r="J140" s="8">
        <f t="shared" si="19"/>
        <v>60317</v>
      </c>
      <c r="K140" s="37">
        <f t="shared" si="20"/>
        <v>1629</v>
      </c>
      <c r="L140" s="37">
        <v>793</v>
      </c>
      <c r="M140" s="74">
        <f t="shared" si="18"/>
        <v>856229</v>
      </c>
      <c r="N140" s="75">
        <f t="shared" si="18"/>
        <v>365644</v>
      </c>
      <c r="O140" s="75">
        <f t="shared" si="18"/>
        <v>1242582</v>
      </c>
      <c r="P140" s="76">
        <f t="shared" si="17"/>
        <v>7329629</v>
      </c>
      <c r="Q140" s="76">
        <f t="shared" si="17"/>
        <v>3013895</v>
      </c>
      <c r="R140" s="76">
        <f t="shared" si="17"/>
        <v>10521640</v>
      </c>
      <c r="S140" s="80">
        <f>M140/'[21]2014'!M140-1</f>
        <v>-2.1432440895926996E-2</v>
      </c>
      <c r="T140" s="80">
        <f>N140/'[21]2014'!N140-1</f>
        <v>0.32429329421777942</v>
      </c>
      <c r="U140" s="80">
        <f>O140/'[21]2014'!O140-1</f>
        <v>5.2655566719133517E-2</v>
      </c>
      <c r="V140" s="81">
        <f>P140/'[21]2014'!P140-1</f>
        <v>1.2024291565992939E-4</v>
      </c>
      <c r="W140" s="81">
        <f>Q140/'[21]2014'!Q140-1</f>
        <v>0.122753534608258</v>
      </c>
      <c r="X140" s="81">
        <f>R140/'[21]2014'!R140-1</f>
        <v>3.0059725850082319E-2</v>
      </c>
      <c r="Y140" s="93"/>
      <c r="Z140" s="37"/>
      <c r="AA140" s="37"/>
      <c r="AB140" s="37"/>
    </row>
    <row r="141" spans="1:32" ht="15" customHeight="1" x14ac:dyDescent="0.15">
      <c r="A141" s="20">
        <v>42140</v>
      </c>
      <c r="B141" s="20" t="s">
        <v>39</v>
      </c>
      <c r="C141" s="21">
        <v>52688</v>
      </c>
      <c r="D141" s="7">
        <v>26506</v>
      </c>
      <c r="E141" s="7">
        <v>81826</v>
      </c>
      <c r="F141" s="22">
        <v>4167</v>
      </c>
      <c r="G141" s="23">
        <v>2822</v>
      </c>
      <c r="H141" s="24"/>
      <c r="I141" s="36"/>
      <c r="J141" s="8">
        <f t="shared" si="19"/>
        <v>55320</v>
      </c>
      <c r="K141" s="37">
        <f t="shared" si="20"/>
        <v>1839</v>
      </c>
      <c r="L141" s="37">
        <v>793</v>
      </c>
      <c r="M141" s="74">
        <f t="shared" si="18"/>
        <v>908917</v>
      </c>
      <c r="N141" s="75">
        <f t="shared" si="18"/>
        <v>392150</v>
      </c>
      <c r="O141" s="75">
        <f t="shared" si="18"/>
        <v>1324408</v>
      </c>
      <c r="P141" s="76">
        <f t="shared" si="17"/>
        <v>7382317</v>
      </c>
      <c r="Q141" s="76">
        <f t="shared" si="17"/>
        <v>3040401</v>
      </c>
      <c r="R141" s="76">
        <f t="shared" si="17"/>
        <v>10603466</v>
      </c>
      <c r="S141" s="80">
        <f>M141/'[21]2014'!M141-1</f>
        <v>-2.5797814758206417E-2</v>
      </c>
      <c r="T141" s="80">
        <f>N141/'[21]2014'!N141-1</f>
        <v>0.32401698955372038</v>
      </c>
      <c r="U141" s="80">
        <f>O141/'[21]2014'!O141-1</f>
        <v>5.0278904303389549E-2</v>
      </c>
      <c r="V141" s="81">
        <f>P141/'[21]2014'!P141-1</f>
        <v>-6.0036808303354228E-4</v>
      </c>
      <c r="W141" s="81">
        <f>Q141/'[21]2014'!Q141-1</f>
        <v>0.12421944072948365</v>
      </c>
      <c r="X141" s="81">
        <f>R141/'[21]2014'!R141-1</f>
        <v>2.9945476890403055E-2</v>
      </c>
      <c r="Y141" s="93"/>
      <c r="Z141" s="37"/>
      <c r="AA141" s="37"/>
      <c r="AB141" s="37"/>
    </row>
    <row r="142" spans="1:32" ht="15" customHeight="1" x14ac:dyDescent="0.15">
      <c r="A142" s="20">
        <v>42141</v>
      </c>
      <c r="B142" s="20" t="s">
        <v>1</v>
      </c>
      <c r="C142" s="21">
        <v>48055</v>
      </c>
      <c r="D142" s="7">
        <v>25497</v>
      </c>
      <c r="E142" s="7">
        <v>76758</v>
      </c>
      <c r="F142" s="22">
        <v>3785</v>
      </c>
      <c r="G142" s="23">
        <v>2715</v>
      </c>
      <c r="H142" s="24"/>
      <c r="I142" s="36"/>
      <c r="J142" s="8">
        <f t="shared" si="19"/>
        <v>51261</v>
      </c>
      <c r="K142" s="37">
        <f t="shared" si="20"/>
        <v>2413</v>
      </c>
      <c r="L142" s="37">
        <v>793</v>
      </c>
      <c r="M142" s="74">
        <f t="shared" si="18"/>
        <v>956972</v>
      </c>
      <c r="N142" s="75">
        <f t="shared" si="18"/>
        <v>417647</v>
      </c>
      <c r="O142" s="75">
        <f t="shared" si="18"/>
        <v>1401166</v>
      </c>
      <c r="P142" s="76">
        <f t="shared" si="17"/>
        <v>7430372</v>
      </c>
      <c r="Q142" s="76">
        <f t="shared" si="17"/>
        <v>3065898</v>
      </c>
      <c r="R142" s="76">
        <f t="shared" si="17"/>
        <v>10680224</v>
      </c>
      <c r="S142" s="80">
        <f>M142/'[21]2014'!M142-1</f>
        <v>-3.2349982051943171E-2</v>
      </c>
      <c r="T142" s="80">
        <f>N142/'[21]2014'!N142-1</f>
        <v>0.32145444880731278</v>
      </c>
      <c r="U142" s="80">
        <f>O142/'[21]2014'!O142-1</f>
        <v>4.6063913577435667E-2</v>
      </c>
      <c r="V142" s="81">
        <f>P142/'[21]2014'!P142-1</f>
        <v>-1.6605155260774884E-3</v>
      </c>
      <c r="W142" s="81">
        <f>Q142/'[21]2014'!Q142-1</f>
        <v>0.12537931885563824</v>
      </c>
      <c r="X142" s="81">
        <f>R142/'[21]2014'!R142-1</f>
        <v>2.9555016490484087E-2</v>
      </c>
      <c r="Y142" s="93"/>
      <c r="Z142" s="37"/>
      <c r="AA142" s="37"/>
      <c r="AB142" s="37"/>
    </row>
    <row r="143" spans="1:32" ht="15" customHeight="1" x14ac:dyDescent="0.15">
      <c r="A143" s="20">
        <v>42142</v>
      </c>
      <c r="B143" s="20" t="s">
        <v>34</v>
      </c>
      <c r="C143" s="21">
        <v>53500</v>
      </c>
      <c r="D143" s="7">
        <v>26225</v>
      </c>
      <c r="E143" s="7">
        <v>82663</v>
      </c>
      <c r="F143" s="22">
        <v>4246</v>
      </c>
      <c r="G143" s="23">
        <v>2642</v>
      </c>
      <c r="H143" s="24"/>
      <c r="I143" s="36"/>
      <c r="J143" s="8">
        <f t="shared" si="19"/>
        <v>56438</v>
      </c>
      <c r="K143" s="37">
        <f t="shared" si="20"/>
        <v>2145</v>
      </c>
      <c r="L143" s="37">
        <v>793</v>
      </c>
      <c r="M143" s="74">
        <f t="shared" si="18"/>
        <v>1010472</v>
      </c>
      <c r="N143" s="75">
        <f t="shared" si="18"/>
        <v>443872</v>
      </c>
      <c r="O143" s="75">
        <f t="shared" si="18"/>
        <v>1483829</v>
      </c>
      <c r="P143" s="76">
        <f t="shared" si="17"/>
        <v>7483872</v>
      </c>
      <c r="Q143" s="76">
        <f t="shared" si="17"/>
        <v>3092123</v>
      </c>
      <c r="R143" s="76">
        <f t="shared" si="17"/>
        <v>10762887</v>
      </c>
      <c r="S143" s="80">
        <f>M143/'[21]2014'!M143-1</f>
        <v>-2.8938529769312438E-2</v>
      </c>
      <c r="T143" s="80">
        <f>N143/'[21]2014'!N143-1</f>
        <v>0.32256305588248435</v>
      </c>
      <c r="U143" s="80">
        <f>O143/'[21]2014'!O143-1</f>
        <v>5.0206951415961099E-2</v>
      </c>
      <c r="V143" s="81">
        <f>P143/'[21]2014'!P143-1</f>
        <v>-1.3982225174121732E-3</v>
      </c>
      <c r="W143" s="81">
        <f>Q143/'[21]2014'!Q143-1</f>
        <v>0.1269129378854772</v>
      </c>
      <c r="X143" s="81">
        <f>R143/'[21]2014'!R143-1</f>
        <v>3.0231366109289448E-2</v>
      </c>
      <c r="Y143" s="93">
        <v>43.98</v>
      </c>
      <c r="Z143" s="50">
        <f>P143/10000-Y143</f>
        <v>704.40719999999999</v>
      </c>
      <c r="AA143" s="37">
        <v>3890.0920000000001</v>
      </c>
      <c r="AB143" s="37">
        <f>Z143*10000/AA143</f>
        <v>1810.772598694324</v>
      </c>
    </row>
    <row r="144" spans="1:32" ht="15" customHeight="1" x14ac:dyDescent="0.15">
      <c r="A144" s="20">
        <v>42143</v>
      </c>
      <c r="B144" s="14" t="s">
        <v>35</v>
      </c>
      <c r="C144" s="15">
        <v>57073</v>
      </c>
      <c r="D144" s="16">
        <f>13107+11374</f>
        <v>24481</v>
      </c>
      <c r="E144" s="16">
        <v>83995</v>
      </c>
      <c r="F144" s="17">
        <v>4247</v>
      </c>
      <c r="G144" s="18">
        <v>2781</v>
      </c>
      <c r="H144" s="19"/>
      <c r="I144" s="19"/>
      <c r="J144" s="32">
        <f t="shared" si="19"/>
        <v>59514</v>
      </c>
      <c r="K144" s="33">
        <f t="shared" si="20"/>
        <v>1648</v>
      </c>
      <c r="L144" s="33">
        <v>793</v>
      </c>
      <c r="M144" s="77">
        <f t="shared" ref="M144:O156" si="21">M143+C144</f>
        <v>1067545</v>
      </c>
      <c r="N144" s="78">
        <f t="shared" si="21"/>
        <v>468353</v>
      </c>
      <c r="O144" s="78">
        <f t="shared" si="21"/>
        <v>1567824</v>
      </c>
      <c r="P144" s="77">
        <f t="shared" si="17"/>
        <v>7540945</v>
      </c>
      <c r="Q144" s="77">
        <f t="shared" si="17"/>
        <v>3116604</v>
      </c>
      <c r="R144" s="77">
        <f t="shared" si="17"/>
        <v>10846882</v>
      </c>
      <c r="S144" s="82">
        <f>M144/'[21]2014'!M144-1</f>
        <v>-2.4957300866769616E-2</v>
      </c>
      <c r="T144" s="82">
        <f>N144/'[21]2014'!N144-1</f>
        <v>0.31549854364977947</v>
      </c>
      <c r="U144" s="82">
        <f>O144/'[21]2014'!O144-1</f>
        <v>5.2062118895022769E-2</v>
      </c>
      <c r="V144" s="82">
        <f>P144/'[21]2014'!P144-1</f>
        <v>-1.0188291281140183E-3</v>
      </c>
      <c r="W144" s="82">
        <f>Q144/'[21]2014'!Q144-1</f>
        <v>0.12744777602113455</v>
      </c>
      <c r="X144" s="82">
        <f>R144/'[21]2014'!R144-1</f>
        <v>3.0640861416627585E-2</v>
      </c>
      <c r="Y144" s="93">
        <f>Y143+0.3</f>
        <v>44.279999999999994</v>
      </c>
      <c r="Z144" s="50">
        <f>P144/10000-Y144</f>
        <v>709.81450000000007</v>
      </c>
      <c r="AA144" s="37">
        <v>3890.0920000000001</v>
      </c>
      <c r="AB144" s="37">
        <f>Z144*10000/AA144</f>
        <v>1824.6727840883971</v>
      </c>
      <c r="AC144" s="63">
        <f>AC135+SUM(K136:K144)/10000</f>
        <v>8.1993360000000006</v>
      </c>
      <c r="AD144" s="92">
        <f>AD135+SUM(L136:L144)/10000</f>
        <v>10.7036</v>
      </c>
      <c r="AF144" s="92">
        <f>AF135+SUM(J136:J144)/10000</f>
        <v>772.99789999999996</v>
      </c>
    </row>
    <row r="145" spans="1:32" ht="15" customHeight="1" x14ac:dyDescent="0.15">
      <c r="A145" s="20">
        <v>42144</v>
      </c>
      <c r="B145" s="20" t="s">
        <v>36</v>
      </c>
      <c r="C145" s="66">
        <v>56935</v>
      </c>
      <c r="D145" s="67">
        <v>23715</v>
      </c>
      <c r="E145" s="67">
        <v>83684</v>
      </c>
      <c r="F145" s="68">
        <v>4261</v>
      </c>
      <c r="G145" s="69">
        <v>2825</v>
      </c>
      <c r="H145" s="24">
        <v>1290</v>
      </c>
      <c r="I145" s="24">
        <v>758</v>
      </c>
      <c r="J145" s="70">
        <f t="shared" si="19"/>
        <v>59969</v>
      </c>
      <c r="K145" s="71">
        <f t="shared" si="20"/>
        <v>2241</v>
      </c>
      <c r="L145" s="71">
        <v>793</v>
      </c>
      <c r="M145" s="72">
        <v>1124483</v>
      </c>
      <c r="N145" s="73">
        <v>493139</v>
      </c>
      <c r="O145" s="73">
        <v>1651447</v>
      </c>
      <c r="P145" s="72">
        <f t="shared" si="17"/>
        <v>7597883</v>
      </c>
      <c r="Q145" s="72">
        <f t="shared" si="17"/>
        <v>3141390</v>
      </c>
      <c r="R145" s="72">
        <f t="shared" si="17"/>
        <v>10930505</v>
      </c>
      <c r="S145" s="79">
        <f>M145/'[21]2014'!M145-1</f>
        <v>-2.2836172901086416E-2</v>
      </c>
      <c r="T145" s="79">
        <f>N145/'[21]2014'!N145-1</f>
        <v>0.31246490212516798</v>
      </c>
      <c r="U145" s="79">
        <f>O145/'[21]2014'!O145-1</f>
        <v>5.2560228581480573E-2</v>
      </c>
      <c r="V145" s="79">
        <f>P145/'[21]2014'!P145-1</f>
        <v>-8.737912729063213E-4</v>
      </c>
      <c r="W145" s="79">
        <f>Q145/'[21]2014'!Q145-1</f>
        <v>0.12836956185580051</v>
      </c>
      <c r="X145" s="79">
        <f>R145/'[21]2014'!R145-1</f>
        <v>3.0873648649803354E-2</v>
      </c>
      <c r="Y145" s="94">
        <v>44.628</v>
      </c>
      <c r="Z145" s="94">
        <f>P145/10000-Y145</f>
        <v>715.16030000000001</v>
      </c>
      <c r="AA145" s="95">
        <v>3890.0920000000001</v>
      </c>
      <c r="AB145" s="51">
        <f>Z145*10000/AA145</f>
        <v>1838.4148755350773</v>
      </c>
    </row>
    <row r="146" spans="1:32" ht="15" customHeight="1" x14ac:dyDescent="0.15">
      <c r="A146" s="20">
        <v>42145</v>
      </c>
      <c r="B146" s="20" t="s">
        <v>37</v>
      </c>
      <c r="C146" s="21">
        <v>56332</v>
      </c>
      <c r="D146" s="7">
        <f>12728+11220</f>
        <v>23948</v>
      </c>
      <c r="E146" s="7">
        <v>82757</v>
      </c>
      <c r="F146" s="22">
        <v>4168</v>
      </c>
      <c r="G146" s="23">
        <v>2809</v>
      </c>
      <c r="H146" s="24">
        <v>1254</v>
      </c>
      <c r="I146" s="36">
        <v>720</v>
      </c>
      <c r="J146" s="8">
        <f t="shared" si="19"/>
        <v>58809</v>
      </c>
      <c r="K146" s="37">
        <f t="shared" si="20"/>
        <v>1684</v>
      </c>
      <c r="L146" s="37">
        <v>793</v>
      </c>
      <c r="M146" s="74">
        <f t="shared" si="21"/>
        <v>1180815</v>
      </c>
      <c r="N146" s="75">
        <f t="shared" si="21"/>
        <v>517087</v>
      </c>
      <c r="O146" s="75">
        <f t="shared" si="21"/>
        <v>1734204</v>
      </c>
      <c r="P146" s="76">
        <f t="shared" si="17"/>
        <v>7654215</v>
      </c>
      <c r="Q146" s="76">
        <f t="shared" si="17"/>
        <v>3165338</v>
      </c>
      <c r="R146" s="76">
        <f t="shared" si="17"/>
        <v>11013262</v>
      </c>
      <c r="S146" s="80">
        <f>M146/'[21]2014'!M146-1</f>
        <v>-2.2058074502525615E-2</v>
      </c>
      <c r="T146" s="80">
        <f>N146/'[21]2014'!N146-1</f>
        <v>0.30496459270251308</v>
      </c>
      <c r="U146" s="80">
        <f>O146/'[21]2014'!O146-1</f>
        <v>5.1238515176001087E-2</v>
      </c>
      <c r="V146" s="81">
        <f>P146/'[21]2014'!P146-1</f>
        <v>-9.1366319965469067E-4</v>
      </c>
      <c r="W146" s="81">
        <f>Q146/'[21]2014'!Q146-1</f>
        <v>0.12865624627052807</v>
      </c>
      <c r="X146" s="81">
        <f>R146/'[21]2014'!R146-1</f>
        <v>3.083336539732584E-2</v>
      </c>
      <c r="Y146" s="93">
        <f>Y145+0.3</f>
        <v>44.927999999999997</v>
      </c>
      <c r="Z146" s="50">
        <f>P146/10000-Y146</f>
        <v>720.49350000000004</v>
      </c>
      <c r="AA146" s="37">
        <v>3890.0920000000001</v>
      </c>
      <c r="AB146" s="37">
        <f>Z146*10000/AA146</f>
        <v>1852.124577002292</v>
      </c>
    </row>
    <row r="147" spans="1:32" ht="15" customHeight="1" x14ac:dyDescent="0.15">
      <c r="A147" s="20">
        <v>42146</v>
      </c>
      <c r="B147" s="20" t="s">
        <v>38</v>
      </c>
      <c r="C147" s="21">
        <v>56784</v>
      </c>
      <c r="D147" s="7">
        <f>13704+11373</f>
        <v>25077</v>
      </c>
      <c r="E147" s="7">
        <v>84296</v>
      </c>
      <c r="F147" s="22">
        <v>4224</v>
      </c>
      <c r="G147" s="23">
        <v>2841</v>
      </c>
      <c r="H147" s="24">
        <v>1340</v>
      </c>
      <c r="I147" s="36">
        <v>829</v>
      </c>
      <c r="J147" s="8">
        <f t="shared" si="19"/>
        <v>59219</v>
      </c>
      <c r="K147" s="37">
        <f t="shared" si="20"/>
        <v>1642</v>
      </c>
      <c r="L147" s="37">
        <v>793</v>
      </c>
      <c r="M147" s="74">
        <f t="shared" si="21"/>
        <v>1237599</v>
      </c>
      <c r="N147" s="75">
        <f t="shared" si="21"/>
        <v>542164</v>
      </c>
      <c r="O147" s="75">
        <f t="shared" si="21"/>
        <v>1818500</v>
      </c>
      <c r="P147" s="76">
        <f t="shared" si="17"/>
        <v>7710999</v>
      </c>
      <c r="Q147" s="76">
        <f t="shared" si="17"/>
        <v>3190415</v>
      </c>
      <c r="R147" s="76">
        <f t="shared" si="17"/>
        <v>11097558</v>
      </c>
      <c r="S147" s="80">
        <f>M147/'[21]2014'!M147-1</f>
        <v>-1.9789558722779099E-2</v>
      </c>
      <c r="T147" s="80">
        <f>N147/'[21]2014'!N147-1</f>
        <v>0.29731928568522958</v>
      </c>
      <c r="U147" s="80">
        <f>O147/'[21]2014'!O147-1</f>
        <v>5.1369989732014787E-2</v>
      </c>
      <c r="V147" s="81">
        <f>P147/'[21]2014'!P147-1</f>
        <v>-6.9356230160066978E-4</v>
      </c>
      <c r="W147" s="81">
        <f>Q147/'[21]2014'!Q147-1</f>
        <v>0.12887727306936592</v>
      </c>
      <c r="X147" s="81">
        <f>R147/'[21]2014'!R147-1</f>
        <v>3.1006094590544375E-2</v>
      </c>
      <c r="Y147" s="93"/>
      <c r="Z147" s="50"/>
      <c r="AA147" s="37"/>
      <c r="AB147" s="37"/>
    </row>
    <row r="148" spans="1:32" ht="15" customHeight="1" x14ac:dyDescent="0.15">
      <c r="A148" s="20">
        <v>42147</v>
      </c>
      <c r="B148" s="20" t="s">
        <v>39</v>
      </c>
      <c r="C148" s="21">
        <v>57233</v>
      </c>
      <c r="D148" s="7">
        <f>13690+11176</f>
        <v>24866</v>
      </c>
      <c r="E148" s="7">
        <v>84369</v>
      </c>
      <c r="F148" s="22">
        <v>4236</v>
      </c>
      <c r="G148" s="23">
        <v>2932</v>
      </c>
      <c r="H148" s="24">
        <v>1340</v>
      </c>
      <c r="I148" s="36">
        <v>836</v>
      </c>
      <c r="J148" s="8">
        <f t="shared" si="19"/>
        <v>59503</v>
      </c>
      <c r="K148" s="37">
        <f t="shared" si="20"/>
        <v>1477</v>
      </c>
      <c r="L148" s="37">
        <v>793</v>
      </c>
      <c r="M148" s="74">
        <f t="shared" si="21"/>
        <v>1294832</v>
      </c>
      <c r="N148" s="75">
        <f t="shared" si="21"/>
        <v>567030</v>
      </c>
      <c r="O148" s="75">
        <f t="shared" si="21"/>
        <v>1902869</v>
      </c>
      <c r="P148" s="76">
        <f t="shared" si="17"/>
        <v>7768232</v>
      </c>
      <c r="Q148" s="76">
        <f t="shared" si="17"/>
        <v>3215281</v>
      </c>
      <c r="R148" s="76">
        <f t="shared" si="17"/>
        <v>11181927</v>
      </c>
      <c r="S148" s="80">
        <f>M148/'[21]2014'!M148-1</f>
        <v>-1.8237374752158031E-2</v>
      </c>
      <c r="T148" s="80">
        <f>N148/'[21]2014'!N148-1</f>
        <v>0.29190200291175206</v>
      </c>
      <c r="U148" s="80">
        <f>O148/'[21]2014'!O148-1</f>
        <v>5.1629557743577026E-2</v>
      </c>
      <c r="V148" s="81">
        <f>P148/'[21]2014'!P148-1</f>
        <v>-5.6850232060534633E-4</v>
      </c>
      <c r="W148" s="81">
        <f>Q148/'[21]2014'!Q148-1</f>
        <v>0.12928454468399142</v>
      </c>
      <c r="X148" s="81">
        <f>R148/'[21]2014'!R148-1</f>
        <v>3.1199269450952194E-2</v>
      </c>
      <c r="Y148" s="93"/>
      <c r="Z148" s="50"/>
      <c r="AA148" s="37"/>
      <c r="AB148" s="37"/>
    </row>
    <row r="149" spans="1:32" ht="15" customHeight="1" x14ac:dyDescent="0.15">
      <c r="A149" s="20">
        <v>42148</v>
      </c>
      <c r="B149" s="20" t="s">
        <v>1</v>
      </c>
      <c r="C149" s="21">
        <v>53246</v>
      </c>
      <c r="D149" s="7">
        <f>13679+11232</f>
        <v>24911</v>
      </c>
      <c r="E149" s="7">
        <v>80190</v>
      </c>
      <c r="F149" s="22">
        <v>3950</v>
      </c>
      <c r="G149" s="23">
        <v>2871</v>
      </c>
      <c r="H149" s="24">
        <v>1322</v>
      </c>
      <c r="I149" s="36">
        <v>837</v>
      </c>
      <c r="J149" s="8">
        <f t="shared" si="19"/>
        <v>55279</v>
      </c>
      <c r="K149" s="37">
        <f t="shared" si="20"/>
        <v>1240</v>
      </c>
      <c r="L149" s="37">
        <v>793</v>
      </c>
      <c r="M149" s="74">
        <f t="shared" si="21"/>
        <v>1348078</v>
      </c>
      <c r="N149" s="75">
        <f t="shared" si="21"/>
        <v>591941</v>
      </c>
      <c r="O149" s="75">
        <f t="shared" si="21"/>
        <v>1983059</v>
      </c>
      <c r="P149" s="76">
        <f t="shared" si="17"/>
        <v>7821478</v>
      </c>
      <c r="Q149" s="76">
        <f t="shared" si="17"/>
        <v>3240192</v>
      </c>
      <c r="R149" s="76">
        <f t="shared" si="17"/>
        <v>11262117</v>
      </c>
      <c r="S149" s="80">
        <f>M149/'[21]2014'!M149-1</f>
        <v>-1.9711529721455623E-2</v>
      </c>
      <c r="T149" s="80">
        <f>N149/'[21]2014'!N149-1</f>
        <v>0.29016305188846814</v>
      </c>
      <c r="U149" s="80">
        <f>O149/'[21]2014'!O149-1</f>
        <v>5.0711898388638543E-2</v>
      </c>
      <c r="V149" s="81">
        <f>P149/'[21]2014'!P149-1</f>
        <v>-9.5450466090996056E-4</v>
      </c>
      <c r="W149" s="81">
        <f>Q149/'[21]2014'!Q149-1</f>
        <v>0.13013496883471265</v>
      </c>
      <c r="X149" s="81">
        <f>R149/'[21]2014'!R149-1</f>
        <v>3.118641197641403E-2</v>
      </c>
      <c r="Y149" s="93">
        <f>Y146+0.3*3</f>
        <v>45.827999999999996</v>
      </c>
      <c r="Z149" s="50">
        <f>P149/10000-Y149</f>
        <v>736.31979999999999</v>
      </c>
      <c r="AA149" s="37">
        <v>3890.0920000000001</v>
      </c>
      <c r="AB149" s="37">
        <f>Z149*10000/AA149</f>
        <v>1892.808190654617</v>
      </c>
    </row>
    <row r="150" spans="1:32" ht="15" customHeight="1" x14ac:dyDescent="0.15">
      <c r="A150" s="20">
        <v>42149</v>
      </c>
      <c r="B150" s="20" t="s">
        <v>34</v>
      </c>
      <c r="C150" s="21">
        <v>57045</v>
      </c>
      <c r="D150" s="7">
        <f>13915+11083</f>
        <v>24998</v>
      </c>
      <c r="E150" s="7">
        <v>84715</v>
      </c>
      <c r="F150" s="22">
        <v>4293</v>
      </c>
      <c r="G150" s="23">
        <v>2812</v>
      </c>
      <c r="H150" s="24">
        <v>1346</v>
      </c>
      <c r="I150" s="36">
        <v>794</v>
      </c>
      <c r="J150" s="8">
        <f t="shared" si="19"/>
        <v>59717</v>
      </c>
      <c r="K150" s="37">
        <f t="shared" si="20"/>
        <v>1879</v>
      </c>
      <c r="L150" s="37">
        <v>793</v>
      </c>
      <c r="M150" s="74">
        <f t="shared" si="21"/>
        <v>1405123</v>
      </c>
      <c r="N150" s="75">
        <f t="shared" si="21"/>
        <v>616939</v>
      </c>
      <c r="O150" s="75">
        <f t="shared" si="21"/>
        <v>2067774</v>
      </c>
      <c r="P150" s="76">
        <f t="shared" si="17"/>
        <v>7878523</v>
      </c>
      <c r="Q150" s="76">
        <f t="shared" si="17"/>
        <v>3265190</v>
      </c>
      <c r="R150" s="76">
        <f t="shared" si="17"/>
        <v>11346832</v>
      </c>
      <c r="S150" s="80">
        <f>M150/'[21]2014'!M150-1</f>
        <v>-1.8415840892499702E-2</v>
      </c>
      <c r="T150" s="80">
        <f>N150/'[21]2014'!N150-1</f>
        <v>0.29253044660609118</v>
      </c>
      <c r="U150" s="80">
        <f>O150/'[21]2014'!O150-1</f>
        <v>5.2169497183052638E-2</v>
      </c>
      <c r="V150" s="81">
        <f>P150/'[21]2014'!P150-1</f>
        <v>-8.532093900672777E-4</v>
      </c>
      <c r="W150" s="81">
        <f>Q150/'[21]2014'!Q150-1</f>
        <v>0.13155253385267818</v>
      </c>
      <c r="X150" s="81">
        <f>R150/'[21]2014'!R150-1</f>
        <v>3.1585122166179147E-2</v>
      </c>
      <c r="Y150" s="93"/>
      <c r="Z150" s="50"/>
      <c r="AA150" s="37"/>
      <c r="AB150" s="37"/>
    </row>
    <row r="151" spans="1:32" ht="15" customHeight="1" x14ac:dyDescent="0.15">
      <c r="A151" s="20">
        <v>42150</v>
      </c>
      <c r="B151" s="14" t="s">
        <v>35</v>
      </c>
      <c r="C151" s="15">
        <v>58073</v>
      </c>
      <c r="D151" s="16">
        <v>25488</v>
      </c>
      <c r="E151" s="16">
        <v>86173</v>
      </c>
      <c r="F151" s="17">
        <v>4363</v>
      </c>
      <c r="G151" s="18">
        <v>2948</v>
      </c>
      <c r="H151" s="19">
        <v>1373</v>
      </c>
      <c r="I151" s="19">
        <v>840</v>
      </c>
      <c r="J151" s="32">
        <f t="shared" si="19"/>
        <v>60685</v>
      </c>
      <c r="K151" s="33">
        <f t="shared" si="20"/>
        <v>1819</v>
      </c>
      <c r="L151" s="33">
        <v>793</v>
      </c>
      <c r="M151" s="77">
        <f t="shared" si="21"/>
        <v>1463196</v>
      </c>
      <c r="N151" s="78">
        <f t="shared" si="21"/>
        <v>642427</v>
      </c>
      <c r="O151" s="78">
        <f t="shared" si="21"/>
        <v>2153947</v>
      </c>
      <c r="P151" s="77">
        <f t="shared" si="17"/>
        <v>7936596</v>
      </c>
      <c r="Q151" s="77">
        <f t="shared" si="17"/>
        <v>3290678</v>
      </c>
      <c r="R151" s="77">
        <f t="shared" si="17"/>
        <v>11433005</v>
      </c>
      <c r="S151" s="82">
        <f>M151/'[21]2014'!M151-1</f>
        <v>-1.6820664024152165E-2</v>
      </c>
      <c r="T151" s="82">
        <f>N151/'[21]2014'!N151-1</f>
        <v>0.28828082699981961</v>
      </c>
      <c r="U151" s="82">
        <f>O151/'[21]2014'!O151-1</f>
        <v>5.2433384555624185E-2</v>
      </c>
      <c r="V151" s="82">
        <f>P151/'[21]2014'!P151-1</f>
        <v>-6.7977506361405204E-4</v>
      </c>
      <c r="W151" s="82">
        <f>Q151/'[21]2014'!Q151-1</f>
        <v>0.13200633338849999</v>
      </c>
      <c r="X151" s="82">
        <f>R151/'[21]2014'!R151-1</f>
        <v>3.1785051903232553E-2</v>
      </c>
      <c r="Y151" s="96">
        <f>Y145+0.35*6</f>
        <v>46.728000000000002</v>
      </c>
      <c r="Z151" s="49">
        <f>P151/10000-Y151</f>
        <v>746.9316</v>
      </c>
      <c r="AA151" s="33">
        <v>3890.0920000000001</v>
      </c>
      <c r="AB151" s="33">
        <f>Z151*10000/AA151</f>
        <v>1920.0872370113611</v>
      </c>
      <c r="AC151" s="63">
        <f>AC144+SUM(K145:K151)/10000</f>
        <v>9.3975360000000006</v>
      </c>
      <c r="AD151" s="92">
        <f>AD144+SUM(L145:L151)/10000</f>
        <v>11.258699999999999</v>
      </c>
      <c r="AF151" s="92">
        <f>AF144+SUM(J145:J151)/10000</f>
        <v>814.31599999999992</v>
      </c>
    </row>
    <row r="152" spans="1:32" ht="15" customHeight="1" x14ac:dyDescent="0.15">
      <c r="A152" s="20">
        <v>42151</v>
      </c>
      <c r="B152" s="20" t="s">
        <v>36</v>
      </c>
      <c r="C152" s="66">
        <v>58644</v>
      </c>
      <c r="D152" s="67">
        <f>14800+11307</f>
        <v>26107</v>
      </c>
      <c r="E152" s="67">
        <v>86616</v>
      </c>
      <c r="F152" s="68">
        <v>4346</v>
      </c>
      <c r="G152" s="69">
        <v>2947</v>
      </c>
      <c r="H152" s="24">
        <v>1388</v>
      </c>
      <c r="I152" s="24">
        <v>855</v>
      </c>
      <c r="J152" s="70">
        <f t="shared" si="19"/>
        <v>60509</v>
      </c>
      <c r="K152" s="71">
        <f t="shared" si="20"/>
        <v>1072</v>
      </c>
      <c r="L152" s="71">
        <v>793</v>
      </c>
      <c r="M152" s="72">
        <f t="shared" si="21"/>
        <v>1521840</v>
      </c>
      <c r="N152" s="73">
        <f t="shared" si="21"/>
        <v>668534</v>
      </c>
      <c r="O152" s="73">
        <f t="shared" si="21"/>
        <v>2240563</v>
      </c>
      <c r="P152" s="72">
        <f t="shared" si="17"/>
        <v>7995240</v>
      </c>
      <c r="Q152" s="72">
        <f t="shared" si="17"/>
        <v>3316785</v>
      </c>
      <c r="R152" s="72">
        <f t="shared" si="17"/>
        <v>11519621</v>
      </c>
      <c r="S152" s="79">
        <f>M152/'[21]2014'!M152-1</f>
        <v>-1.5707009459131727E-2</v>
      </c>
      <c r="T152" s="79">
        <f>N152/'[21]2014'!N152-1</f>
        <v>0.28057664201418619</v>
      </c>
      <c r="U152" s="79">
        <f>O152/'[21]2014'!O152-1</f>
        <v>5.1437573441353912E-2</v>
      </c>
      <c r="V152" s="79">
        <f>P152/'[21]2014'!P152-1</f>
        <v>-5.8135418766469549E-4</v>
      </c>
      <c r="W152" s="79">
        <f>Q152/'[21]2014'!Q152-1</f>
        <v>0.13188101231325433</v>
      </c>
      <c r="X152" s="79">
        <f>R152/'[21]2014'!R152-1</f>
        <v>3.1750925957061193E-2</v>
      </c>
      <c r="Y152" s="85"/>
      <c r="Z152" s="97"/>
      <c r="AA152" s="85"/>
      <c r="AB152" s="71"/>
    </row>
    <row r="153" spans="1:32" ht="15" customHeight="1" x14ac:dyDescent="0.15">
      <c r="A153" s="20">
        <v>42152</v>
      </c>
      <c r="B153" s="20" t="s">
        <v>37</v>
      </c>
      <c r="C153" s="21">
        <v>59800</v>
      </c>
      <c r="D153" s="7">
        <v>25235</v>
      </c>
      <c r="E153" s="7">
        <v>87247</v>
      </c>
      <c r="F153" s="22">
        <v>4426</v>
      </c>
      <c r="G153" s="23">
        <v>2980</v>
      </c>
      <c r="H153" s="24">
        <v>1363</v>
      </c>
      <c r="I153" s="36">
        <v>788</v>
      </c>
      <c r="J153" s="8">
        <f t="shared" si="19"/>
        <v>62012</v>
      </c>
      <c r="K153" s="37">
        <f t="shared" si="20"/>
        <v>1419</v>
      </c>
      <c r="L153" s="37">
        <v>793</v>
      </c>
      <c r="M153" s="74">
        <f t="shared" si="21"/>
        <v>1581640</v>
      </c>
      <c r="N153" s="75">
        <f t="shared" si="21"/>
        <v>693769</v>
      </c>
      <c r="O153" s="75">
        <f t="shared" si="21"/>
        <v>2327810</v>
      </c>
      <c r="P153" s="76">
        <f t="shared" si="17"/>
        <v>8055040</v>
      </c>
      <c r="Q153" s="76">
        <f t="shared" si="17"/>
        <v>3342020</v>
      </c>
      <c r="R153" s="76">
        <f t="shared" si="17"/>
        <v>11606868</v>
      </c>
      <c r="S153" s="80">
        <f>M153/'[21]2014'!M153-1</f>
        <v>-1.5215948415954861E-2</v>
      </c>
      <c r="T153" s="80">
        <f>N153/'[21]2014'!N153-1</f>
        <v>0.27080444526669223</v>
      </c>
      <c r="U153" s="80">
        <f>O153/'[21]2014'!O153-1</f>
        <v>4.9758463691987886E-2</v>
      </c>
      <c r="V153" s="81">
        <f>P153/'[21]2014'!P153-1</f>
        <v>-5.9601279343401981E-4</v>
      </c>
      <c r="W153" s="81">
        <f>Q153/'[21]2014'!Q153-1</f>
        <v>0.13127669904506534</v>
      </c>
      <c r="X153" s="81">
        <f>R153/'[21]2014'!R153-1</f>
        <v>3.1571388534591849E-2</v>
      </c>
      <c r="Y153" s="93">
        <f>Y146+0.3*7</f>
        <v>47.027999999999999</v>
      </c>
      <c r="Z153" s="50">
        <f>P153/10000-Y153</f>
        <v>758.476</v>
      </c>
      <c r="AA153" s="37">
        <v>3890.0920000000001</v>
      </c>
      <c r="AB153" s="37">
        <f>Z153*10000/AA153</f>
        <v>1949.7636559752314</v>
      </c>
    </row>
    <row r="154" spans="1:32" ht="15" customHeight="1" x14ac:dyDescent="0.15">
      <c r="A154" s="20">
        <v>42153</v>
      </c>
      <c r="B154" s="20" t="s">
        <v>38</v>
      </c>
      <c r="C154" s="21">
        <v>60690</v>
      </c>
      <c r="D154" s="7">
        <v>24834</v>
      </c>
      <c r="E154" s="7">
        <v>87973</v>
      </c>
      <c r="F154" s="22">
        <v>4431</v>
      </c>
      <c r="G154" s="23">
        <v>2944</v>
      </c>
      <c r="H154" s="24"/>
      <c r="I154" s="36"/>
      <c r="J154" s="8">
        <f t="shared" si="19"/>
        <v>63139</v>
      </c>
      <c r="K154" s="37">
        <f t="shared" si="20"/>
        <v>1656</v>
      </c>
      <c r="L154" s="37">
        <v>793</v>
      </c>
      <c r="M154" s="74">
        <f t="shared" si="21"/>
        <v>1642330</v>
      </c>
      <c r="N154" s="75">
        <f t="shared" si="21"/>
        <v>718603</v>
      </c>
      <c r="O154" s="75">
        <f t="shared" si="21"/>
        <v>2415783</v>
      </c>
      <c r="P154" s="76">
        <f t="shared" si="17"/>
        <v>8115730</v>
      </c>
      <c r="Q154" s="76">
        <f t="shared" si="17"/>
        <v>3366854</v>
      </c>
      <c r="R154" s="76">
        <f t="shared" si="17"/>
        <v>11694841</v>
      </c>
      <c r="S154" s="80">
        <f>M154/'[21]2014'!M154-1</f>
        <v>-1.4511137926916828E-2</v>
      </c>
      <c r="T154" s="80">
        <f>N154/'[21]2014'!N154-1</f>
        <v>0.26012338145139791</v>
      </c>
      <c r="U154" s="80">
        <f>O154/'[21]2014'!O154-1</f>
        <v>4.8009752224943192E-2</v>
      </c>
      <c r="V154" s="81">
        <f>P154/'[21]2014'!P154-1</f>
        <v>-5.60174118258705E-4</v>
      </c>
      <c r="W154" s="81">
        <f>Q154/'[21]2014'!Q154-1</f>
        <v>0.13037168481131212</v>
      </c>
      <c r="X154" s="81">
        <f>R154/'[21]2014'!R154-1</f>
        <v>3.1356470924652546E-2</v>
      </c>
      <c r="Y154" s="93"/>
      <c r="Z154" s="50"/>
      <c r="AA154" s="37"/>
      <c r="AB154" s="37"/>
    </row>
    <row r="155" spans="1:32" ht="15" customHeight="1" x14ac:dyDescent="0.15">
      <c r="A155" s="20">
        <v>42154</v>
      </c>
      <c r="B155" s="20" t="s">
        <v>39</v>
      </c>
      <c r="C155" s="21">
        <v>58477</v>
      </c>
      <c r="D155" s="7">
        <v>23867</v>
      </c>
      <c r="E155" s="7">
        <v>84443</v>
      </c>
      <c r="F155" s="22">
        <v>4259</v>
      </c>
      <c r="G155" s="23">
        <v>2949</v>
      </c>
      <c r="H155" s="24"/>
      <c r="I155" s="36"/>
      <c r="J155" s="8">
        <f t="shared" si="19"/>
        <v>60576</v>
      </c>
      <c r="K155" s="37">
        <f t="shared" si="20"/>
        <v>1306</v>
      </c>
      <c r="L155" s="37">
        <v>793</v>
      </c>
      <c r="M155" s="74">
        <f t="shared" si="21"/>
        <v>1700807</v>
      </c>
      <c r="N155" s="75">
        <f t="shared" si="21"/>
        <v>742470</v>
      </c>
      <c r="O155" s="75">
        <f t="shared" si="21"/>
        <v>2500226</v>
      </c>
      <c r="P155" s="76">
        <f t="shared" si="17"/>
        <v>8174207</v>
      </c>
      <c r="Q155" s="76">
        <f t="shared" si="17"/>
        <v>3390721</v>
      </c>
      <c r="R155" s="76">
        <f t="shared" si="17"/>
        <v>11779284</v>
      </c>
      <c r="S155" s="80">
        <f>M155/'[21]2014'!M155-1</f>
        <v>-1.3326534317914307E-2</v>
      </c>
      <c r="T155" s="80">
        <f>N155/'[21]2014'!N155-1</f>
        <v>0.24786761480425756</v>
      </c>
      <c r="U155" s="80">
        <f>O155/'[21]2014'!O155-1</f>
        <v>4.5161527653937439E-2</v>
      </c>
      <c r="V155" s="81">
        <f>P155/'[21]2014'!P155-1</f>
        <v>-4.0816285252809337E-4</v>
      </c>
      <c r="W155" s="81">
        <f>Q155/'[21]2014'!Q155-1</f>
        <v>0.12901193071898009</v>
      </c>
      <c r="X155" s="81">
        <f>R155/'[21]2014'!R155-1</f>
        <v>3.0887082825966861E-2</v>
      </c>
      <c r="Y155" s="93"/>
      <c r="Z155" s="50"/>
      <c r="AA155" s="37"/>
      <c r="AB155" s="37"/>
    </row>
    <row r="156" spans="1:32" s="1" customFormat="1" ht="15" customHeight="1" x14ac:dyDescent="0.15">
      <c r="A156" s="25">
        <v>42155</v>
      </c>
      <c r="B156" s="25" t="s">
        <v>1</v>
      </c>
      <c r="C156" s="26">
        <v>51901</v>
      </c>
      <c r="D156" s="27">
        <v>24236</v>
      </c>
      <c r="E156" s="27">
        <v>77394</v>
      </c>
      <c r="F156" s="28">
        <v>3769</v>
      </c>
      <c r="G156" s="29">
        <v>2799</v>
      </c>
      <c r="H156" s="30"/>
      <c r="I156" s="30"/>
      <c r="J156" s="42">
        <f t="shared" si="19"/>
        <v>53158</v>
      </c>
      <c r="K156" s="43">
        <f t="shared" si="20"/>
        <v>464</v>
      </c>
      <c r="L156" s="43">
        <v>793</v>
      </c>
      <c r="M156" s="87">
        <f t="shared" si="21"/>
        <v>1752708</v>
      </c>
      <c r="N156" s="88">
        <f t="shared" si="21"/>
        <v>766706</v>
      </c>
      <c r="O156" s="88">
        <f t="shared" si="21"/>
        <v>2577620</v>
      </c>
      <c r="P156" s="87">
        <f t="shared" si="17"/>
        <v>8226108</v>
      </c>
      <c r="Q156" s="87">
        <f t="shared" si="17"/>
        <v>3414957</v>
      </c>
      <c r="R156" s="87">
        <f t="shared" si="17"/>
        <v>11856678</v>
      </c>
      <c r="S156" s="89">
        <f>M156/'[21]2014'!M156-1</f>
        <v>-1.6105328511652139E-2</v>
      </c>
      <c r="T156" s="89">
        <f>N156/'[21]2014'!N156-1</f>
        <v>0.24583978563988729</v>
      </c>
      <c r="U156" s="89">
        <f>O156/'[21]2014'!O156-1</f>
        <v>4.21316958645368E-2</v>
      </c>
      <c r="V156" s="89">
        <f>P156/'[21]2014'!P156-1</f>
        <v>-1.0996466194137522E-3</v>
      </c>
      <c r="W156" s="89">
        <f>Q156/'[21]2014'!Q156-1</f>
        <v>0.1294019574320231</v>
      </c>
      <c r="X156" s="89">
        <f>R156/'[21]2014'!R156-1</f>
        <v>3.033660649380332E-2</v>
      </c>
      <c r="Y156" s="98">
        <v>47.572400000000002</v>
      </c>
      <c r="Z156" s="52">
        <f>P156/10000-Y156</f>
        <v>775.03840000000002</v>
      </c>
      <c r="AA156" s="43">
        <v>3890.0920000000001</v>
      </c>
      <c r="AB156" s="43">
        <f>Z156*10000/AA156</f>
        <v>1992.3395127930137</v>
      </c>
      <c r="AC156" s="86">
        <v>9.91</v>
      </c>
      <c r="AD156" s="1">
        <v>11.65</v>
      </c>
      <c r="AF156" s="1">
        <v>844.1721</v>
      </c>
    </row>
    <row r="157" spans="1:32" ht="15" customHeight="1" x14ac:dyDescent="0.15">
      <c r="A157" s="20">
        <v>42156</v>
      </c>
      <c r="B157" s="20" t="s">
        <v>34</v>
      </c>
      <c r="C157" s="21">
        <v>50779</v>
      </c>
      <c r="D157" s="7">
        <v>28315</v>
      </c>
      <c r="E157" s="7">
        <v>81277</v>
      </c>
      <c r="F157" s="22">
        <v>4038</v>
      </c>
      <c r="G157" s="23">
        <v>2637</v>
      </c>
      <c r="H157" s="24"/>
      <c r="I157" s="36"/>
      <c r="J157" s="8">
        <f t="shared" si="19"/>
        <v>52962</v>
      </c>
      <c r="K157" s="37">
        <f t="shared" si="20"/>
        <v>1390</v>
      </c>
      <c r="L157" s="37">
        <v>793</v>
      </c>
      <c r="M157" s="74">
        <f>C157</f>
        <v>50779</v>
      </c>
      <c r="N157" s="75">
        <f>D157</f>
        <v>28315</v>
      </c>
      <c r="O157" s="75">
        <f>E157</f>
        <v>81277</v>
      </c>
      <c r="P157" s="76">
        <f>P$156+M157</f>
        <v>8276887</v>
      </c>
      <c r="Q157" s="76">
        <f>Q$156+N157</f>
        <v>3443272</v>
      </c>
      <c r="R157" s="76">
        <f>R$156+O157</f>
        <v>11937955</v>
      </c>
      <c r="S157" s="80">
        <f>M157/'[21]2014'!M157-1</f>
        <v>5.5247524752475297E-3</v>
      </c>
      <c r="T157" s="80">
        <f>N157/'[21]2014'!N157-1</f>
        <v>0.6180000000000001</v>
      </c>
      <c r="U157" s="80">
        <f>O157/'[21]2014'!O157-1</f>
        <v>0.15886504598274764</v>
      </c>
      <c r="V157" s="81">
        <f>P157/'[21]2014'!P157-1</f>
        <v>-1.0592718029155401E-3</v>
      </c>
      <c r="W157" s="81">
        <f>Q157/'[21]2014'!Q157-1</f>
        <v>0.13221351366823608</v>
      </c>
      <c r="X157" s="81">
        <f>R157/'[21]2014'!R157-1</f>
        <v>3.1115200915480257E-2</v>
      </c>
      <c r="Y157" s="93"/>
      <c r="Z157" s="50"/>
      <c r="AA157" s="37"/>
      <c r="AB157" s="37"/>
    </row>
    <row r="158" spans="1:32" ht="15" customHeight="1" x14ac:dyDescent="0.15">
      <c r="A158" s="20">
        <v>42157</v>
      </c>
      <c r="B158" s="14" t="s">
        <v>35</v>
      </c>
      <c r="C158" s="15">
        <v>55642</v>
      </c>
      <c r="D158" s="16">
        <v>29374</v>
      </c>
      <c r="E158" s="16">
        <v>86821</v>
      </c>
      <c r="F158" s="17">
        <v>4460</v>
      </c>
      <c r="G158" s="18">
        <v>2833</v>
      </c>
      <c r="H158" s="19"/>
      <c r="I158" s="19"/>
      <c r="J158" s="32">
        <f t="shared" si="19"/>
        <v>57447</v>
      </c>
      <c r="K158" s="33">
        <f t="shared" si="20"/>
        <v>1012</v>
      </c>
      <c r="L158" s="33">
        <v>793</v>
      </c>
      <c r="M158" s="77">
        <f t="shared" ref="M158:O173" si="22">M157+C158</f>
        <v>106421</v>
      </c>
      <c r="N158" s="78">
        <f t="shared" si="22"/>
        <v>57689</v>
      </c>
      <c r="O158" s="78">
        <f t="shared" si="22"/>
        <v>168098</v>
      </c>
      <c r="P158" s="77">
        <f t="shared" ref="P158:R186" si="23">P$156+M158</f>
        <v>8332529</v>
      </c>
      <c r="Q158" s="77">
        <f t="shared" si="23"/>
        <v>3472646</v>
      </c>
      <c r="R158" s="77">
        <f t="shared" si="23"/>
        <v>12024776</v>
      </c>
      <c r="S158" s="82">
        <f>M158/'[21]2014'!M158-1</f>
        <v>0.18508908685968817</v>
      </c>
      <c r="T158" s="82">
        <f>N158/'[21]2014'!N158-1</f>
        <v>0.68189504373177834</v>
      </c>
      <c r="U158" s="82">
        <f>O158/'[21]2014'!O158-1</f>
        <v>0.30983753457747309</v>
      </c>
      <c r="V158" s="82">
        <f>P158/'[21]2014'!P158-1</f>
        <v>9.0874029113052757E-4</v>
      </c>
      <c r="W158" s="82">
        <f>Q158/'[21]2014'!Q158-1</f>
        <v>0.13559901400467456</v>
      </c>
      <c r="X158" s="82">
        <f>R158/'[21]2014'!R158-1</f>
        <v>3.3419282876401502E-2</v>
      </c>
      <c r="Y158" s="96">
        <v>48.14</v>
      </c>
      <c r="Z158" s="49">
        <f>P158/10000-Y158</f>
        <v>785.11289999999997</v>
      </c>
      <c r="AA158" s="33">
        <v>3890.0920000000001</v>
      </c>
      <c r="AB158" s="33">
        <f>Z158*10000/AA158</f>
        <v>2018.2373578825384</v>
      </c>
      <c r="AC158" s="63">
        <f>AC156+SUM(K157:K158)/10000</f>
        <v>10.1502</v>
      </c>
      <c r="AD158" s="92">
        <f>AD156+SUM(L157:L158)/10000</f>
        <v>11.8086</v>
      </c>
      <c r="AF158" s="92">
        <f>AF156+SUM(J157:J158)/10000</f>
        <v>855.21299999999997</v>
      </c>
    </row>
    <row r="159" spans="1:32" ht="15" customHeight="1" x14ac:dyDescent="0.15">
      <c r="A159" s="20">
        <v>42158</v>
      </c>
      <c r="B159" s="20" t="s">
        <v>36</v>
      </c>
      <c r="C159" s="66">
        <v>53007</v>
      </c>
      <c r="D159" s="67">
        <v>29042</v>
      </c>
      <c r="E159" s="67">
        <v>84138</v>
      </c>
      <c r="F159" s="68">
        <v>4165</v>
      </c>
      <c r="G159" s="69">
        <v>2790</v>
      </c>
      <c r="H159" s="24"/>
      <c r="I159" s="24"/>
      <c r="J159" s="70">
        <f t="shared" si="19"/>
        <v>55096</v>
      </c>
      <c r="K159" s="71">
        <f t="shared" si="20"/>
        <v>1296</v>
      </c>
      <c r="L159" s="71">
        <v>793</v>
      </c>
      <c r="M159" s="72">
        <f t="shared" si="22"/>
        <v>159428</v>
      </c>
      <c r="N159" s="73">
        <f t="shared" si="22"/>
        <v>86731</v>
      </c>
      <c r="O159" s="73">
        <f t="shared" si="22"/>
        <v>252236</v>
      </c>
      <c r="P159" s="72">
        <f t="shared" si="23"/>
        <v>8385536</v>
      </c>
      <c r="Q159" s="72">
        <f t="shared" si="23"/>
        <v>3501688</v>
      </c>
      <c r="R159" s="72">
        <f t="shared" si="23"/>
        <v>12108914</v>
      </c>
      <c r="S159" s="79">
        <f>M159/'[21]2014'!M159-1</f>
        <v>0.13101589103291711</v>
      </c>
      <c r="T159" s="79">
        <f>N159/'[21]2014'!N159-1</f>
        <v>0.57121376811594193</v>
      </c>
      <c r="U159" s="79">
        <f>O159/'[21]2014'!O159-1</f>
        <v>0.24232767749402817</v>
      </c>
      <c r="V159" s="79">
        <f>P159/'[21]2014'!P159-1</f>
        <v>1.1236975787907166E-3</v>
      </c>
      <c r="W159" s="79">
        <f>Q159/'[21]2014'!Q159-1</f>
        <v>0.13732300782416074</v>
      </c>
      <c r="X159" s="79">
        <f>R159/'[21]2014'!R159-1</f>
        <v>3.4012042629204542E-2</v>
      </c>
      <c r="Y159" s="85"/>
      <c r="Z159" s="97"/>
      <c r="AA159" s="85"/>
      <c r="AB159" s="71"/>
    </row>
    <row r="160" spans="1:32" ht="15" customHeight="1" x14ac:dyDescent="0.15">
      <c r="A160" s="20">
        <v>42159</v>
      </c>
      <c r="B160" s="20" t="s">
        <v>37</v>
      </c>
      <c r="C160" s="21">
        <v>50105</v>
      </c>
      <c r="D160" s="7">
        <f>18316+10796</f>
        <v>29112</v>
      </c>
      <c r="E160" s="7">
        <v>81914</v>
      </c>
      <c r="F160" s="22">
        <v>4165</v>
      </c>
      <c r="G160" s="23">
        <v>2790</v>
      </c>
      <c r="H160" s="24"/>
      <c r="I160" s="36"/>
      <c r="J160" s="8">
        <f t="shared" si="19"/>
        <v>52802</v>
      </c>
      <c r="K160" s="37">
        <f t="shared" si="20"/>
        <v>1904</v>
      </c>
      <c r="L160" s="37">
        <v>793</v>
      </c>
      <c r="M160" s="74">
        <f t="shared" si="22"/>
        <v>209533</v>
      </c>
      <c r="N160" s="75">
        <f t="shared" si="22"/>
        <v>115843</v>
      </c>
      <c r="O160" s="75">
        <f t="shared" si="22"/>
        <v>334150</v>
      </c>
      <c r="P160" s="76">
        <f t="shared" si="23"/>
        <v>8435641</v>
      </c>
      <c r="Q160" s="76">
        <f t="shared" si="23"/>
        <v>3530800</v>
      </c>
      <c r="R160" s="76">
        <f t="shared" si="23"/>
        <v>12190828</v>
      </c>
      <c r="S160" s="80">
        <f>M160/'[21]2014'!M160-1</f>
        <v>6.4916649725553999E-2</v>
      </c>
      <c r="T160" s="80">
        <f>N160/'[21]2014'!N160-1</f>
        <v>0.46822560202788344</v>
      </c>
      <c r="U160" s="80">
        <f>O160/'[21]2014'!O160-1</f>
        <v>0.17107960817985868</v>
      </c>
      <c r="V160" s="81">
        <f>P160/'[21]2014'!P160-1</f>
        <v>4.4085194570020469E-4</v>
      </c>
      <c r="W160" s="81">
        <f>Q160/'[21]2014'!Q160-1</f>
        <v>0.13801837763664304</v>
      </c>
      <c r="X160" s="81">
        <f>R160/'[21]2014'!R160-1</f>
        <v>3.3741948943678102E-2</v>
      </c>
      <c r="Y160" s="93">
        <f>Y156+0.28*4</f>
        <v>48.692399999999999</v>
      </c>
      <c r="Z160" s="50">
        <f>P160/10000-Y160</f>
        <v>794.87170000000003</v>
      </c>
      <c r="AA160" s="37">
        <v>3890.0920000000001</v>
      </c>
      <c r="AB160" s="37">
        <f>Z160*10000/AA160</f>
        <v>2043.3236540421151</v>
      </c>
    </row>
    <row r="161" spans="1:32" ht="15" customHeight="1" x14ac:dyDescent="0.15">
      <c r="A161" s="20">
        <v>42160</v>
      </c>
      <c r="B161" s="20" t="s">
        <v>38</v>
      </c>
      <c r="C161" s="21">
        <v>50712</v>
      </c>
      <c r="D161" s="7">
        <f>18149+11022</f>
        <v>29171</v>
      </c>
      <c r="E161" s="7">
        <v>82030</v>
      </c>
      <c r="F161" s="22">
        <v>4142</v>
      </c>
      <c r="G161" s="23">
        <v>2712</v>
      </c>
      <c r="H161" s="24">
        <v>1426</v>
      </c>
      <c r="I161" s="36">
        <v>921</v>
      </c>
      <c r="J161" s="8">
        <f t="shared" si="19"/>
        <v>52859</v>
      </c>
      <c r="K161" s="37">
        <f t="shared" si="20"/>
        <v>1354</v>
      </c>
      <c r="L161" s="37">
        <v>793</v>
      </c>
      <c r="M161" s="74">
        <f t="shared" si="22"/>
        <v>260245</v>
      </c>
      <c r="N161" s="75">
        <f t="shared" si="22"/>
        <v>145014</v>
      </c>
      <c r="O161" s="75">
        <f t="shared" si="22"/>
        <v>416180</v>
      </c>
      <c r="P161" s="76">
        <f t="shared" si="23"/>
        <v>8486353</v>
      </c>
      <c r="Q161" s="76">
        <f t="shared" si="23"/>
        <v>3559971</v>
      </c>
      <c r="R161" s="76">
        <f t="shared" si="23"/>
        <v>12272858</v>
      </c>
      <c r="S161" s="80">
        <f>M161/'[21]2014'!M161-1</f>
        <v>2.3538897191850872E-2</v>
      </c>
      <c r="T161" s="80">
        <f>N161/'[21]2014'!N161-1</f>
        <v>0.42170588235294115</v>
      </c>
      <c r="U161" s="80">
        <f>O161/'[21]2014'!O161-1</f>
        <v>0.13389731224542611</v>
      </c>
      <c r="V161" s="81">
        <f>P161/'[21]2014'!P161-1</f>
        <v>-3.6171712983057436E-4</v>
      </c>
      <c r="W161" s="81">
        <f>Q161/'[21]2014'!Q161-1</f>
        <v>0.13894066329949117</v>
      </c>
      <c r="X161" s="81">
        <f>R161/'[21]2014'!R161-1</f>
        <v>3.3537587134129909E-2</v>
      </c>
      <c r="Y161" s="93"/>
      <c r="Z161" s="50"/>
      <c r="AA161" s="37"/>
      <c r="AB161" s="37"/>
    </row>
    <row r="162" spans="1:32" ht="15" customHeight="1" x14ac:dyDescent="0.15">
      <c r="A162" s="20">
        <v>42161</v>
      </c>
      <c r="B162" s="20" t="s">
        <v>39</v>
      </c>
      <c r="C162" s="21">
        <v>50793</v>
      </c>
      <c r="D162" s="7">
        <f>17678+11081</f>
        <v>28759</v>
      </c>
      <c r="E162" s="7">
        <v>82187</v>
      </c>
      <c r="F162" s="22">
        <v>4178</v>
      </c>
      <c r="G162" s="23">
        <v>2775</v>
      </c>
      <c r="H162" s="24">
        <v>1429</v>
      </c>
      <c r="I162" s="36">
        <v>975</v>
      </c>
      <c r="J162" s="8">
        <f t="shared" si="19"/>
        <v>53428</v>
      </c>
      <c r="K162" s="37">
        <f t="shared" si="20"/>
        <v>1842</v>
      </c>
      <c r="L162" s="37">
        <v>793</v>
      </c>
      <c r="M162" s="74">
        <f t="shared" si="22"/>
        <v>311038</v>
      </c>
      <c r="N162" s="75">
        <f t="shared" si="22"/>
        <v>173773</v>
      </c>
      <c r="O162" s="75">
        <f t="shared" si="22"/>
        <v>498367</v>
      </c>
      <c r="P162" s="76">
        <f t="shared" si="23"/>
        <v>8537146</v>
      </c>
      <c r="Q162" s="76">
        <f t="shared" si="23"/>
        <v>3588730</v>
      </c>
      <c r="R162" s="76">
        <f t="shared" si="23"/>
        <v>12355045</v>
      </c>
      <c r="S162" s="80">
        <f>M162/'[21]2014'!M162-1</f>
        <v>-1.6511730854360307E-2</v>
      </c>
      <c r="T162" s="80">
        <f>N162/'[21]2014'!N162-1</f>
        <v>0.39352846832397748</v>
      </c>
      <c r="U162" s="80">
        <f>O162/'[21]2014'!O162-1</f>
        <v>9.5227839616732757E-2</v>
      </c>
      <c r="V162" s="81">
        <f>P162/'[21]2014'!P162-1</f>
        <v>-1.6696365873117847E-3</v>
      </c>
      <c r="W162" s="81">
        <f>Q162/'[21]2014'!Q162-1</f>
        <v>0.13986337317395736</v>
      </c>
      <c r="X162" s="81">
        <f>R162/'[21]2014'!R162-1</f>
        <v>3.2804945504477434E-2</v>
      </c>
      <c r="Y162" s="93"/>
      <c r="Z162" s="50"/>
      <c r="AA162" s="37"/>
      <c r="AB162" s="37"/>
    </row>
    <row r="163" spans="1:32" ht="15" customHeight="1" x14ac:dyDescent="0.15">
      <c r="A163" s="20">
        <v>42162</v>
      </c>
      <c r="B163" s="20" t="s">
        <v>1</v>
      </c>
      <c r="C163" s="21">
        <v>45497</v>
      </c>
      <c r="D163" s="7">
        <f>18028+11023</f>
        <v>29051</v>
      </c>
      <c r="E163" s="7">
        <v>78043</v>
      </c>
      <c r="F163" s="22">
        <v>3865</v>
      </c>
      <c r="G163" s="23">
        <v>2762</v>
      </c>
      <c r="H163" s="24">
        <v>1404</v>
      </c>
      <c r="I163" s="36">
        <v>973</v>
      </c>
      <c r="J163" s="8">
        <f t="shared" si="19"/>
        <v>48992</v>
      </c>
      <c r="K163" s="37">
        <f t="shared" si="20"/>
        <v>2702</v>
      </c>
      <c r="L163" s="37">
        <v>793</v>
      </c>
      <c r="M163" s="74">
        <f t="shared" si="22"/>
        <v>356535</v>
      </c>
      <c r="N163" s="75">
        <f t="shared" si="22"/>
        <v>202824</v>
      </c>
      <c r="O163" s="75">
        <f t="shared" si="22"/>
        <v>576410</v>
      </c>
      <c r="P163" s="76">
        <f t="shared" si="23"/>
        <v>8582643</v>
      </c>
      <c r="Q163" s="76">
        <f t="shared" si="23"/>
        <v>3617781</v>
      </c>
      <c r="R163" s="76">
        <f t="shared" si="23"/>
        <v>12433088</v>
      </c>
      <c r="S163" s="80">
        <f>M163/'[21]2014'!M163-1</f>
        <v>-5.7434040078253035E-2</v>
      </c>
      <c r="T163" s="80">
        <f>N163/'[21]2014'!N163-1</f>
        <v>0.37321597833446174</v>
      </c>
      <c r="U163" s="80">
        <f>O163/'[21]2014'!O163-1</f>
        <v>6.146012687948299E-2</v>
      </c>
      <c r="V163" s="81">
        <f>P163/'[21]2014'!P163-1</f>
        <v>-3.5735812868289418E-3</v>
      </c>
      <c r="W163" s="81">
        <f>Q163/'[21]2014'!Q163-1</f>
        <v>0.1407570336516264</v>
      </c>
      <c r="X163" s="81">
        <f>R163/'[21]2014'!R163-1</f>
        <v>3.1739121209922061E-2</v>
      </c>
      <c r="Y163" s="93"/>
      <c r="Z163" s="50"/>
      <c r="AA163" s="37"/>
      <c r="AB163" s="37"/>
    </row>
    <row r="164" spans="1:32" ht="15" customHeight="1" x14ac:dyDescent="0.15">
      <c r="A164" s="20">
        <v>42163</v>
      </c>
      <c r="B164" s="20" t="s">
        <v>34</v>
      </c>
      <c r="C164" s="21">
        <v>48970</v>
      </c>
      <c r="D164" s="7">
        <f>19302+10913</f>
        <v>30215</v>
      </c>
      <c r="E164" s="7">
        <v>82358</v>
      </c>
      <c r="F164" s="22">
        <v>4260</v>
      </c>
      <c r="G164" s="23">
        <v>2637</v>
      </c>
      <c r="H164" s="24">
        <v>1493</v>
      </c>
      <c r="I164" s="36">
        <v>971</v>
      </c>
      <c r="J164" s="8">
        <f t="shared" si="19"/>
        <v>52143</v>
      </c>
      <c r="K164" s="37">
        <f t="shared" si="20"/>
        <v>2380</v>
      </c>
      <c r="L164" s="37">
        <v>793</v>
      </c>
      <c r="M164" s="74">
        <f t="shared" si="22"/>
        <v>405505</v>
      </c>
      <c r="N164" s="75">
        <f t="shared" si="22"/>
        <v>233039</v>
      </c>
      <c r="O164" s="75">
        <f t="shared" si="22"/>
        <v>658768</v>
      </c>
      <c r="P164" s="76">
        <f t="shared" si="23"/>
        <v>8631613</v>
      </c>
      <c r="Q164" s="76">
        <f t="shared" si="23"/>
        <v>3647996</v>
      </c>
      <c r="R164" s="76">
        <f t="shared" si="23"/>
        <v>12515446</v>
      </c>
      <c r="S164" s="80">
        <f>M164/'[21]2014'!M164-1</f>
        <v>-8.0013975447679409E-2</v>
      </c>
      <c r="T164" s="80">
        <f>N164/'[21]2014'!N164-1</f>
        <v>0.37235145162240157</v>
      </c>
      <c r="U164" s="80">
        <f>O164/'[21]2014'!O164-1</f>
        <v>4.5402971005638282E-2</v>
      </c>
      <c r="V164" s="81">
        <f>P164/'[21]2014'!P164-1</f>
        <v>-5.1088166240750299E-3</v>
      </c>
      <c r="W164" s="81">
        <f>Q164/'[21]2014'!Q164-1</f>
        <v>0.14232048067946601</v>
      </c>
      <c r="X164" s="81">
        <f>R164/'[21]2014'!R164-1</f>
        <v>3.1118809740021458E-2</v>
      </c>
      <c r="Y164" s="93"/>
      <c r="Z164" s="50"/>
      <c r="AA164" s="37"/>
      <c r="AB164" s="37"/>
    </row>
    <row r="165" spans="1:32" ht="15" customHeight="1" x14ac:dyDescent="0.15">
      <c r="A165" s="20">
        <v>42164</v>
      </c>
      <c r="B165" s="14" t="s">
        <v>35</v>
      </c>
      <c r="C165" s="15">
        <v>48743</v>
      </c>
      <c r="D165" s="16">
        <f>19379+11138</f>
        <v>30517</v>
      </c>
      <c r="E165" s="16">
        <v>82040</v>
      </c>
      <c r="F165" s="17">
        <v>4152</v>
      </c>
      <c r="G165" s="18">
        <v>2778</v>
      </c>
      <c r="H165" s="19">
        <v>1508</v>
      </c>
      <c r="I165" s="19">
        <v>1033</v>
      </c>
      <c r="J165" s="32">
        <f t="shared" si="19"/>
        <v>51523</v>
      </c>
      <c r="K165" s="33">
        <f t="shared" si="20"/>
        <v>1987</v>
      </c>
      <c r="L165" s="33">
        <v>793</v>
      </c>
      <c r="M165" s="77">
        <f t="shared" si="22"/>
        <v>454248</v>
      </c>
      <c r="N165" s="78">
        <f t="shared" si="22"/>
        <v>263556</v>
      </c>
      <c r="O165" s="78">
        <f t="shared" si="22"/>
        <v>740808</v>
      </c>
      <c r="P165" s="77">
        <f t="shared" si="23"/>
        <v>8680356</v>
      </c>
      <c r="Q165" s="77">
        <f t="shared" si="23"/>
        <v>3678513</v>
      </c>
      <c r="R165" s="77">
        <f t="shared" si="23"/>
        <v>12597486</v>
      </c>
      <c r="S165" s="82">
        <f>M165/'[21]2014'!M165-1</f>
        <v>-0.10080705025803038</v>
      </c>
      <c r="T165" s="82">
        <f>N165/'[21]2014'!N165-1</f>
        <v>0.37190151475717048</v>
      </c>
      <c r="U165" s="82">
        <f>O165/'[21]2014'!O165-1</f>
        <v>3.0822770807213962E-2</v>
      </c>
      <c r="V165" s="82">
        <f>P165/'[21]2014'!P165-1</f>
        <v>-6.8625239024970863E-3</v>
      </c>
      <c r="W165" s="82">
        <f>Q165/'[21]2014'!Q165-1</f>
        <v>0.14388875588225258</v>
      </c>
      <c r="X165" s="82">
        <f>R165/'[21]2014'!R165-1</f>
        <v>3.0365183190635081E-2</v>
      </c>
      <c r="Y165" s="96">
        <v>49.9</v>
      </c>
      <c r="Z165" s="49">
        <f>P165/10000-Y165</f>
        <v>818.13560000000007</v>
      </c>
      <c r="AA165" s="33">
        <v>3890.0920000000001</v>
      </c>
      <c r="AB165" s="33">
        <f>Z165*10000/AA165</f>
        <v>2103.1266098590986</v>
      </c>
      <c r="AC165" s="63">
        <f>AC158+SUM(K159:K165)/10000</f>
        <v>11.496700000000001</v>
      </c>
      <c r="AD165" s="92">
        <f>AD158+SUM(L159:L165)/10000</f>
        <v>12.3637</v>
      </c>
      <c r="AF165" s="92">
        <f>AF158+SUM(J159:J165)/10000</f>
        <v>891.89729999999997</v>
      </c>
    </row>
    <row r="166" spans="1:32" ht="15" customHeight="1" x14ac:dyDescent="0.15">
      <c r="A166" s="20">
        <v>42165</v>
      </c>
      <c r="B166" s="20" t="s">
        <v>36</v>
      </c>
      <c r="C166" s="66">
        <v>49060</v>
      </c>
      <c r="D166" s="67">
        <f>19465+11278</f>
        <v>30743</v>
      </c>
      <c r="E166" s="67">
        <v>82375</v>
      </c>
      <c r="F166" s="68">
        <v>4181</v>
      </c>
      <c r="G166" s="69">
        <v>2713</v>
      </c>
      <c r="H166" s="24">
        <v>1540</v>
      </c>
      <c r="I166" s="24">
        <v>995</v>
      </c>
      <c r="J166" s="70">
        <f t="shared" si="19"/>
        <v>51632</v>
      </c>
      <c r="K166" s="71">
        <f t="shared" si="20"/>
        <v>1779</v>
      </c>
      <c r="L166" s="71">
        <v>793</v>
      </c>
      <c r="M166" s="72">
        <f t="shared" si="22"/>
        <v>503308</v>
      </c>
      <c r="N166" s="73">
        <f t="shared" si="22"/>
        <v>294299</v>
      </c>
      <c r="O166" s="73">
        <f t="shared" si="22"/>
        <v>823183</v>
      </c>
      <c r="P166" s="72">
        <f t="shared" si="23"/>
        <v>8729416</v>
      </c>
      <c r="Q166" s="72">
        <f t="shared" si="23"/>
        <v>3709256</v>
      </c>
      <c r="R166" s="72">
        <f t="shared" si="23"/>
        <v>12679861</v>
      </c>
      <c r="S166" s="79">
        <f>M166/'[21]2014'!M166-1</f>
        <v>-0.1147500039574425</v>
      </c>
      <c r="T166" s="79">
        <f>N166/'[21]2014'!N166-1</f>
        <v>0.35987006566027624</v>
      </c>
      <c r="U166" s="79">
        <f>O166/'[21]2014'!O166-1</f>
        <v>1.9238650644775923E-2</v>
      </c>
      <c r="V166" s="79">
        <f>P166/'[21]2014'!P166-1</f>
        <v>-8.4392542034285034E-3</v>
      </c>
      <c r="W166" s="79">
        <f>Q166/'[21]2014'!Q166-1</f>
        <v>0.14479567023654272</v>
      </c>
      <c r="X166" s="79">
        <f>R166/'[21]2014'!R166-1</f>
        <v>2.96087910768148E-2</v>
      </c>
      <c r="Y166" s="85">
        <v>50.141399999999997</v>
      </c>
      <c r="Z166" s="97">
        <f>P166/10000-Y166</f>
        <v>822.80020000000002</v>
      </c>
      <c r="AA166" s="85">
        <v>3890.0920000000001</v>
      </c>
      <c r="AB166" s="71">
        <f>Z166*10000/AA166</f>
        <v>2115.117585907994</v>
      </c>
      <c r="AC166" s="63">
        <v>11.7234</v>
      </c>
      <c r="AD166" s="92">
        <v>12.4407</v>
      </c>
      <c r="AE166" s="92"/>
      <c r="AF166" s="92">
        <v>897.10599999999999</v>
      </c>
    </row>
    <row r="167" spans="1:32" ht="15" customHeight="1" x14ac:dyDescent="0.15">
      <c r="A167" s="20">
        <v>42166</v>
      </c>
      <c r="B167" s="20" t="s">
        <v>37</v>
      </c>
      <c r="C167" s="21">
        <v>49917</v>
      </c>
      <c r="D167" s="7">
        <f>20300+10914</f>
        <v>31214</v>
      </c>
      <c r="E167" s="7">
        <v>84231</v>
      </c>
      <c r="F167" s="22">
        <v>4305</v>
      </c>
      <c r="G167" s="23">
        <v>2770</v>
      </c>
      <c r="H167" s="24"/>
      <c r="I167" s="36"/>
      <c r="J167" s="8">
        <f t="shared" si="19"/>
        <v>53017</v>
      </c>
      <c r="K167" s="37">
        <f t="shared" si="20"/>
        <v>2307</v>
      </c>
      <c r="L167" s="37">
        <v>793</v>
      </c>
      <c r="M167" s="74">
        <f t="shared" si="22"/>
        <v>553225</v>
      </c>
      <c r="N167" s="75">
        <f t="shared" si="22"/>
        <v>325513</v>
      </c>
      <c r="O167" s="75">
        <f t="shared" si="22"/>
        <v>907414</v>
      </c>
      <c r="P167" s="76">
        <f t="shared" si="23"/>
        <v>8779333</v>
      </c>
      <c r="Q167" s="76">
        <f t="shared" si="23"/>
        <v>3740470</v>
      </c>
      <c r="R167" s="76">
        <f t="shared" si="23"/>
        <v>12764092</v>
      </c>
      <c r="S167" s="80">
        <f>M167/'[21]2014'!M167-1</f>
        <v>-0.12276876677835058</v>
      </c>
      <c r="T167" s="80">
        <f>N167/'[21]2014'!N167-1</f>
        <v>0.34611296972504002</v>
      </c>
      <c r="U167" s="80">
        <f>O167/'[21]2014'!O167-1</f>
        <v>1.2236110413912815E-2</v>
      </c>
      <c r="V167" s="81">
        <f>P167/'[21]2014'!P167-1</f>
        <v>-9.7542968979255074E-3</v>
      </c>
      <c r="W167" s="81">
        <f>Q167/'[21]2014'!Q167-1</f>
        <v>0.14544983895437125</v>
      </c>
      <c r="X167" s="81">
        <f>R167/'[21]2014'!R167-1</f>
        <v>2.9028474421880501E-2</v>
      </c>
      <c r="Y167" s="93">
        <f>Y166+0.26</f>
        <v>50.401399999999995</v>
      </c>
      <c r="Z167" s="50">
        <f>P167/10000-Y167</f>
        <v>827.53190000000006</v>
      </c>
      <c r="AA167" s="37">
        <v>3890.0920000000001</v>
      </c>
      <c r="AB167" s="37">
        <f>Z167*10000/AA167</f>
        <v>2127.2810514507114</v>
      </c>
    </row>
    <row r="168" spans="1:32" ht="15" customHeight="1" x14ac:dyDescent="0.15">
      <c r="A168" s="20">
        <v>42167</v>
      </c>
      <c r="B168" s="20" t="s">
        <v>38</v>
      </c>
      <c r="C168" s="21">
        <v>49092</v>
      </c>
      <c r="D168" s="7">
        <f>22638+11071</f>
        <v>33709</v>
      </c>
      <c r="E168" s="7">
        <v>86168</v>
      </c>
      <c r="F168" s="22">
        <v>4381</v>
      </c>
      <c r="G168" s="23">
        <v>2792</v>
      </c>
      <c r="H168" s="24"/>
      <c r="I168" s="36">
        <v>1147</v>
      </c>
      <c r="J168" s="8">
        <f t="shared" si="19"/>
        <v>52459</v>
      </c>
      <c r="K168" s="37">
        <f t="shared" si="20"/>
        <v>2574</v>
      </c>
      <c r="L168" s="37">
        <v>793</v>
      </c>
      <c r="M168" s="74">
        <f t="shared" si="22"/>
        <v>602317</v>
      </c>
      <c r="N168" s="75">
        <f t="shared" si="22"/>
        <v>359222</v>
      </c>
      <c r="O168" s="75">
        <f t="shared" si="22"/>
        <v>993582</v>
      </c>
      <c r="P168" s="76">
        <f t="shared" si="23"/>
        <v>8828425</v>
      </c>
      <c r="Q168" s="76">
        <f t="shared" si="23"/>
        <v>3774179</v>
      </c>
      <c r="R168" s="76">
        <f t="shared" si="23"/>
        <v>12850260</v>
      </c>
      <c r="S168" s="80">
        <f>M168/'[21]2014'!M168-1</f>
        <v>-0.13441421917686169</v>
      </c>
      <c r="T168" s="80">
        <f>N168/'[21]2014'!N168-1</f>
        <v>0.35291525589698591</v>
      </c>
      <c r="U168" s="80">
        <f>O168/'[21]2014'!O168-1</f>
        <v>7.439327956035191E-3</v>
      </c>
      <c r="V168" s="81">
        <f>P168/'[21]2014'!P168-1</f>
        <v>-1.1486689431751795E-2</v>
      </c>
      <c r="W168" s="81">
        <f>Q168/'[21]2014'!Q168-1</f>
        <v>0.14744480205554944</v>
      </c>
      <c r="X168" s="81">
        <f>R168/'[21]2014'!R168-1</f>
        <v>2.8529127070590521E-2</v>
      </c>
      <c r="Y168" s="93"/>
      <c r="Z168" s="50"/>
      <c r="AA168" s="37"/>
      <c r="AB168" s="37"/>
    </row>
    <row r="169" spans="1:32" ht="15" customHeight="1" x14ac:dyDescent="0.15">
      <c r="A169" s="20">
        <v>42168</v>
      </c>
      <c r="B169" s="20" t="s">
        <v>39</v>
      </c>
      <c r="C169" s="21">
        <v>47559</v>
      </c>
      <c r="D169" s="7">
        <f>21462+11452</f>
        <v>32914</v>
      </c>
      <c r="E169" s="7">
        <v>84223</v>
      </c>
      <c r="F169" s="22">
        <v>4286</v>
      </c>
      <c r="G169" s="23">
        <v>2873</v>
      </c>
      <c r="H169" s="24">
        <v>1601</v>
      </c>
      <c r="I169" s="36">
        <v>1147</v>
      </c>
      <c r="J169" s="8">
        <f t="shared" si="19"/>
        <v>51309</v>
      </c>
      <c r="K169" s="37">
        <f t="shared" si="20"/>
        <v>2957</v>
      </c>
      <c r="L169" s="37">
        <v>793</v>
      </c>
      <c r="M169" s="74">
        <f t="shared" si="22"/>
        <v>649876</v>
      </c>
      <c r="N169" s="75">
        <f t="shared" si="22"/>
        <v>392136</v>
      </c>
      <c r="O169" s="75">
        <f t="shared" si="22"/>
        <v>1077805</v>
      </c>
      <c r="P169" s="76">
        <f t="shared" si="23"/>
        <v>8875984</v>
      </c>
      <c r="Q169" s="76">
        <f t="shared" si="23"/>
        <v>3807093</v>
      </c>
      <c r="R169" s="76">
        <f t="shared" si="23"/>
        <v>12934483</v>
      </c>
      <c r="S169" s="80">
        <f>M169/'[21]2014'!M169-1</f>
        <v>-0.14675132508543964</v>
      </c>
      <c r="T169" s="80">
        <f>N169/'[21]2014'!N169-1</f>
        <v>0.35444896154629957</v>
      </c>
      <c r="U169" s="80">
        <f>O169/'[21]2014'!O169-1</f>
        <v>7.9855517226978812E-4</v>
      </c>
      <c r="V169" s="81">
        <f>P169/'[21]2014'!P169-1</f>
        <v>-1.3430175006298284E-2</v>
      </c>
      <c r="W169" s="81">
        <f>Q169/'[21]2014'!Q169-1</f>
        <v>0.14906719723882911</v>
      </c>
      <c r="X169" s="81">
        <f>R169/'[21]2014'!R169-1</f>
        <v>2.7808830208297719E-2</v>
      </c>
      <c r="Y169" s="93"/>
      <c r="Z169" s="50"/>
      <c r="AA169" s="37"/>
      <c r="AB169" s="37"/>
    </row>
    <row r="170" spans="1:32" ht="15" customHeight="1" x14ac:dyDescent="0.15">
      <c r="A170" s="20">
        <v>42169</v>
      </c>
      <c r="B170" s="20" t="s">
        <v>1</v>
      </c>
      <c r="C170" s="21">
        <v>42633</v>
      </c>
      <c r="D170" s="7">
        <f>21148+11024</f>
        <v>32172</v>
      </c>
      <c r="E170" s="7">
        <v>78159</v>
      </c>
      <c r="F170" s="22">
        <v>3879</v>
      </c>
      <c r="G170" s="23">
        <v>2786</v>
      </c>
      <c r="H170" s="24">
        <v>1571</v>
      </c>
      <c r="I170" s="36">
        <v>977</v>
      </c>
      <c r="J170" s="8">
        <f t="shared" si="19"/>
        <v>45987</v>
      </c>
      <c r="K170" s="37">
        <f t="shared" si="20"/>
        <v>2561</v>
      </c>
      <c r="L170" s="37">
        <v>793</v>
      </c>
      <c r="M170" s="74">
        <f t="shared" si="22"/>
        <v>692509</v>
      </c>
      <c r="N170" s="75">
        <f t="shared" si="22"/>
        <v>424308</v>
      </c>
      <c r="O170" s="75">
        <f t="shared" si="22"/>
        <v>1155964</v>
      </c>
      <c r="P170" s="76">
        <f t="shared" si="23"/>
        <v>8918617</v>
      </c>
      <c r="Q170" s="76">
        <f t="shared" si="23"/>
        <v>3839265</v>
      </c>
      <c r="R170" s="76">
        <f t="shared" si="23"/>
        <v>13012642</v>
      </c>
      <c r="S170" s="80">
        <f>M170/'[21]2014'!M170-1</f>
        <v>-0.16307953722827628</v>
      </c>
      <c r="T170" s="80">
        <f>N170/'[21]2014'!N170-1</f>
        <v>0.34993652904551764</v>
      </c>
      <c r="U170" s="80">
        <f>O170/'[21]2014'!O170-1</f>
        <v>-1.0088675181653572E-2</v>
      </c>
      <c r="V170" s="81">
        <f>P170/'[21]2014'!P170-1</f>
        <v>-1.5888990697767613E-2</v>
      </c>
      <c r="W170" s="81">
        <f>Q170/'[21]2014'!Q170-1</f>
        <v>0.15016819487075961</v>
      </c>
      <c r="X170" s="81">
        <f>R170/'[21]2014'!R170-1</f>
        <v>2.6612328723643275E-2</v>
      </c>
      <c r="Y170" s="93"/>
      <c r="Z170" s="50"/>
      <c r="AA170" s="37"/>
      <c r="AB170" s="37"/>
    </row>
    <row r="171" spans="1:32" ht="15" customHeight="1" x14ac:dyDescent="0.15">
      <c r="A171" s="20">
        <v>42170</v>
      </c>
      <c r="B171" s="20" t="s">
        <v>34</v>
      </c>
      <c r="C171" s="21">
        <v>52315</v>
      </c>
      <c r="D171" s="7">
        <v>29413</v>
      </c>
      <c r="E171" s="7">
        <v>85221</v>
      </c>
      <c r="F171" s="22">
        <v>4357</v>
      </c>
      <c r="G171" s="23">
        <v>2660</v>
      </c>
      <c r="H171" s="24">
        <v>1528</v>
      </c>
      <c r="I171" s="36">
        <v>907</v>
      </c>
      <c r="J171" s="8">
        <f t="shared" si="19"/>
        <v>55808</v>
      </c>
      <c r="K171" s="37">
        <f t="shared" si="20"/>
        <v>2700</v>
      </c>
      <c r="L171" s="37">
        <v>793</v>
      </c>
      <c r="M171" s="74">
        <f t="shared" si="22"/>
        <v>744824</v>
      </c>
      <c r="N171" s="75">
        <f t="shared" si="22"/>
        <v>453721</v>
      </c>
      <c r="O171" s="75">
        <f t="shared" si="22"/>
        <v>1241185</v>
      </c>
      <c r="P171" s="76">
        <f t="shared" si="23"/>
        <v>8970932</v>
      </c>
      <c r="Q171" s="76">
        <f t="shared" si="23"/>
        <v>3868678</v>
      </c>
      <c r="R171" s="76">
        <f t="shared" si="23"/>
        <v>13097863</v>
      </c>
      <c r="S171" s="80">
        <f>M171/'[21]2014'!M171-1</f>
        <v>-0.16438566711804248</v>
      </c>
      <c r="T171" s="80">
        <f>N171/'[21]2014'!N171-1</f>
        <v>0.34868630301084669</v>
      </c>
      <c r="U171" s="80">
        <f>O171/'[21]2014'!O171-1</f>
        <v>-1.0333733340243789E-2</v>
      </c>
      <c r="V171" s="81">
        <f>P171/'[21]2014'!P171-1</f>
        <v>-1.7047121274120558E-2</v>
      </c>
      <c r="W171" s="81">
        <f>Q171/'[21]2014'!Q171-1</f>
        <v>0.15135693306553599</v>
      </c>
      <c r="X171" s="81">
        <f>R171/'[21]2014'!R171-1</f>
        <v>2.6339771057983796E-2</v>
      </c>
      <c r="Y171" s="93"/>
      <c r="Z171" s="50"/>
      <c r="AA171" s="37"/>
      <c r="AB171" s="37"/>
    </row>
    <row r="172" spans="1:32" ht="15" customHeight="1" x14ac:dyDescent="0.15">
      <c r="A172" s="20">
        <v>42171</v>
      </c>
      <c r="B172" s="14" t="s">
        <v>35</v>
      </c>
      <c r="C172" s="15">
        <v>56575</v>
      </c>
      <c r="D172" s="16">
        <v>29072</v>
      </c>
      <c r="E172" s="16">
        <v>88797</v>
      </c>
      <c r="F172" s="17">
        <v>4554</v>
      </c>
      <c r="G172" s="18">
        <v>2863</v>
      </c>
      <c r="H172" s="19"/>
      <c r="I172" s="19"/>
      <c r="J172" s="32">
        <f t="shared" si="19"/>
        <v>59725</v>
      </c>
      <c r="K172" s="33">
        <f t="shared" si="20"/>
        <v>2357</v>
      </c>
      <c r="L172" s="33">
        <v>793</v>
      </c>
      <c r="M172" s="77">
        <f t="shared" si="22"/>
        <v>801399</v>
      </c>
      <c r="N172" s="78">
        <f t="shared" si="22"/>
        <v>482793</v>
      </c>
      <c r="O172" s="78">
        <f t="shared" si="22"/>
        <v>1329982</v>
      </c>
      <c r="P172" s="77">
        <f t="shared" si="23"/>
        <v>9027507</v>
      </c>
      <c r="Q172" s="77">
        <f t="shared" si="23"/>
        <v>3897750</v>
      </c>
      <c r="R172" s="77">
        <f t="shared" si="23"/>
        <v>13186660</v>
      </c>
      <c r="S172" s="82">
        <f>M172/'[21]2014'!M172-1</f>
        <v>-0.16594699063016149</v>
      </c>
      <c r="T172" s="82">
        <f>N172/'[21]2014'!N172-1</f>
        <v>0.34739071827460033</v>
      </c>
      <c r="U172" s="82">
        <f>O172/'[21]2014'!O172-1</f>
        <v>-1.178664705073762E-2</v>
      </c>
      <c r="V172" s="82">
        <f>P172/'[21]2014'!P172-1</f>
        <v>-1.832378599448159E-2</v>
      </c>
      <c r="W172" s="82">
        <f>Q172/'[21]2014'!Q172-1</f>
        <v>0.152497465185647</v>
      </c>
      <c r="X172" s="82">
        <f>R172/'[21]2014'!R172-1</f>
        <v>2.5926001328816506E-2</v>
      </c>
      <c r="Y172" s="96">
        <v>51.6</v>
      </c>
      <c r="Z172" s="49">
        <f>P172/10000-Y172</f>
        <v>851.15070000000003</v>
      </c>
      <c r="AA172" s="33">
        <v>3890.0920000000001</v>
      </c>
      <c r="AB172" s="33">
        <f>Z172*10000/AA172</f>
        <v>2187.9963250226474</v>
      </c>
      <c r="AC172" s="63">
        <f>AC166+SUM(K167:K172)/10000</f>
        <v>13.269</v>
      </c>
      <c r="AD172" s="92">
        <f>AD166+SUM(L167:L172)/10000</f>
        <v>12.916499999999999</v>
      </c>
      <c r="AF172" s="92">
        <f>AF166+SUM(J167:J172)/10000</f>
        <v>928.93650000000002</v>
      </c>
    </row>
    <row r="173" spans="1:32" ht="15" customHeight="1" x14ac:dyDescent="0.15">
      <c r="A173" s="20">
        <v>42172</v>
      </c>
      <c r="B173" s="20" t="s">
        <v>36</v>
      </c>
      <c r="C173" s="66">
        <v>56249</v>
      </c>
      <c r="D173" s="67">
        <v>32072</v>
      </c>
      <c r="E173" s="67">
        <v>91378</v>
      </c>
      <c r="F173" s="68">
        <v>4625.8999999999996</v>
      </c>
      <c r="G173" s="69">
        <v>2953.5</v>
      </c>
      <c r="H173" s="24"/>
      <c r="I173" s="24"/>
      <c r="J173" s="70">
        <f t="shared" si="19"/>
        <v>59306</v>
      </c>
      <c r="K173" s="71">
        <f t="shared" si="20"/>
        <v>2264</v>
      </c>
      <c r="L173" s="71">
        <v>793</v>
      </c>
      <c r="M173" s="72">
        <f t="shared" si="22"/>
        <v>857648</v>
      </c>
      <c r="N173" s="73">
        <f t="shared" si="22"/>
        <v>514865</v>
      </c>
      <c r="O173" s="73">
        <f t="shared" si="22"/>
        <v>1421360</v>
      </c>
      <c r="P173" s="72">
        <f t="shared" si="23"/>
        <v>9083756</v>
      </c>
      <c r="Q173" s="72">
        <f t="shared" si="23"/>
        <v>3929822</v>
      </c>
      <c r="R173" s="72">
        <f t="shared" si="23"/>
        <v>13278038</v>
      </c>
      <c r="S173" s="79">
        <f>M173/'[21]2014'!M173-1</f>
        <v>-0.16528739816073745</v>
      </c>
      <c r="T173" s="79">
        <f>N173/'[21]2014'!N173-1</f>
        <v>0.3488133879287536</v>
      </c>
      <c r="U173" s="79">
        <f>O173/'[21]2014'!O173-1</f>
        <v>-1.0442375478553756E-2</v>
      </c>
      <c r="V173" s="79">
        <f>P173/'[21]2014'!P173-1</f>
        <v>-1.9312502173178814E-2</v>
      </c>
      <c r="W173" s="79">
        <f>Q173/'[21]2014'!Q173-1</f>
        <v>0.15399613044341209</v>
      </c>
      <c r="X173" s="79">
        <f>R173/'[21]2014'!R173-1</f>
        <v>2.581145610347324E-2</v>
      </c>
      <c r="Y173" s="85"/>
      <c r="Z173" s="97"/>
      <c r="AA173" s="85"/>
      <c r="AB173" s="71"/>
    </row>
    <row r="174" spans="1:32" ht="15" customHeight="1" x14ac:dyDescent="0.15">
      <c r="A174" s="20">
        <v>42173</v>
      </c>
      <c r="B174" s="20" t="s">
        <v>37</v>
      </c>
      <c r="C174" s="21">
        <v>50300</v>
      </c>
      <c r="D174" s="7">
        <v>31821</v>
      </c>
      <c r="E174" s="7">
        <v>85256</v>
      </c>
      <c r="F174" s="22">
        <v>4322.2</v>
      </c>
      <c r="G174" s="23">
        <v>2970.9</v>
      </c>
      <c r="H174" s="24">
        <v>1607.1</v>
      </c>
      <c r="I174" s="36">
        <v>915.5</v>
      </c>
      <c r="J174" s="8">
        <f t="shared" si="19"/>
        <v>53435</v>
      </c>
      <c r="K174" s="37">
        <f t="shared" si="20"/>
        <v>2342</v>
      </c>
      <c r="L174" s="37">
        <v>793</v>
      </c>
      <c r="M174" s="74">
        <f t="shared" ref="M174:O186" si="24">M173+C174</f>
        <v>907948</v>
      </c>
      <c r="N174" s="75">
        <f t="shared" si="24"/>
        <v>546686</v>
      </c>
      <c r="O174" s="75">
        <f t="shared" si="24"/>
        <v>1506616</v>
      </c>
      <c r="P174" s="76">
        <f t="shared" si="23"/>
        <v>9134056</v>
      </c>
      <c r="Q174" s="76">
        <f t="shared" si="23"/>
        <v>3961643</v>
      </c>
      <c r="R174" s="76">
        <f t="shared" si="23"/>
        <v>13363294</v>
      </c>
      <c r="S174" s="80">
        <f>M174/'[21]2014'!M174-1</f>
        <v>-0.16822358844131013</v>
      </c>
      <c r="T174" s="80">
        <f>N174/'[21]2014'!N174-1</f>
        <v>0.34679257089503523</v>
      </c>
      <c r="U174" s="80">
        <f>O174/'[21]2014'!O174-1</f>
        <v>-1.1898929601333763E-2</v>
      </c>
      <c r="V174" s="81">
        <f>P174/'[21]2014'!P174-1</f>
        <v>-2.0659389464300459E-2</v>
      </c>
      <c r="W174" s="81">
        <f>Q174/'[21]2014'!Q174-1</f>
        <v>0.15513162441449846</v>
      </c>
      <c r="X174" s="81">
        <f>R174/'[21]2014'!R174-1</f>
        <v>2.5395127622306557E-2</v>
      </c>
      <c r="Y174" s="93">
        <f>Y167+0.26*7</f>
        <v>52.221399999999996</v>
      </c>
      <c r="Z174" s="50">
        <f>P174/10000-Y174</f>
        <v>861.18420000000003</v>
      </c>
      <c r="AA174" s="37">
        <v>3890.0920000000001</v>
      </c>
      <c r="AB174" s="37">
        <f>Z174*10000/AA174</f>
        <v>2213.7887741472437</v>
      </c>
    </row>
    <row r="175" spans="1:32" ht="15" customHeight="1" x14ac:dyDescent="0.15">
      <c r="A175" s="20">
        <v>42174</v>
      </c>
      <c r="B175" s="20" t="s">
        <v>38</v>
      </c>
      <c r="C175" s="21">
        <v>46507</v>
      </c>
      <c r="D175" s="7">
        <v>31901</v>
      </c>
      <c r="E175" s="7">
        <v>82078</v>
      </c>
      <c r="F175" s="22">
        <v>4226</v>
      </c>
      <c r="G175" s="23">
        <v>2809</v>
      </c>
      <c r="H175" s="24"/>
      <c r="I175" s="36"/>
      <c r="J175" s="8">
        <f t="shared" si="19"/>
        <v>50177</v>
      </c>
      <c r="K175" s="37">
        <v>1864</v>
      </c>
      <c r="L175" s="37">
        <v>787</v>
      </c>
      <c r="M175" s="74">
        <f t="shared" si="24"/>
        <v>954455</v>
      </c>
      <c r="N175" s="75">
        <f t="shared" si="24"/>
        <v>578587</v>
      </c>
      <c r="O175" s="75">
        <f t="shared" si="24"/>
        <v>1588694</v>
      </c>
      <c r="P175" s="76">
        <f t="shared" si="23"/>
        <v>9180563</v>
      </c>
      <c r="Q175" s="76">
        <f t="shared" si="23"/>
        <v>3993544</v>
      </c>
      <c r="R175" s="76">
        <f t="shared" si="23"/>
        <v>13445372</v>
      </c>
      <c r="S175" s="80">
        <f>M175/'[21]2014'!M175-1</f>
        <v>-0.1739738878628585</v>
      </c>
      <c r="T175" s="80">
        <f>N175/'[21]2014'!N175-1</f>
        <v>0.34707994188753744</v>
      </c>
      <c r="U175" s="80">
        <f>O175/'[21]2014'!O175-1</f>
        <v>-1.4909418076948566E-2</v>
      </c>
      <c r="V175" s="81">
        <f>P175/'[21]2014'!P175-1</f>
        <v>-2.2371076987638072E-2</v>
      </c>
      <c r="W175" s="81">
        <f>Q175/'[21]2014'!Q175-1</f>
        <v>0.15647694813685886</v>
      </c>
      <c r="X175" s="81">
        <f>R175/'[21]2014'!R175-1</f>
        <v>2.4775000543889369E-2</v>
      </c>
      <c r="Y175" s="93"/>
      <c r="Z175" s="50"/>
      <c r="AA175" s="37"/>
      <c r="AB175" s="37"/>
    </row>
    <row r="176" spans="1:32" ht="15" customHeight="1" x14ac:dyDescent="0.15">
      <c r="A176" s="20">
        <v>42175</v>
      </c>
      <c r="B176" s="20" t="s">
        <v>39</v>
      </c>
      <c r="C176" s="21">
        <v>33847</v>
      </c>
      <c r="D176" s="7">
        <v>23935</v>
      </c>
      <c r="E176" s="7">
        <v>61026</v>
      </c>
      <c r="F176" s="22">
        <v>2942.3</v>
      </c>
      <c r="G176" s="23">
        <v>2356.6</v>
      </c>
      <c r="H176" s="24"/>
      <c r="I176" s="36"/>
      <c r="J176" s="8">
        <f t="shared" si="19"/>
        <v>37091</v>
      </c>
      <c r="K176" s="37">
        <v>1355</v>
      </c>
      <c r="L176" s="37">
        <v>786</v>
      </c>
      <c r="M176" s="74">
        <f t="shared" si="24"/>
        <v>988302</v>
      </c>
      <c r="N176" s="75">
        <f t="shared" si="24"/>
        <v>602522</v>
      </c>
      <c r="O176" s="75">
        <f t="shared" si="24"/>
        <v>1649720</v>
      </c>
      <c r="P176" s="76">
        <f t="shared" si="23"/>
        <v>9214410</v>
      </c>
      <c r="Q176" s="76">
        <f t="shared" si="23"/>
        <v>4017479</v>
      </c>
      <c r="R176" s="76">
        <f t="shared" si="23"/>
        <v>13506398</v>
      </c>
      <c r="S176" s="80">
        <f>M176/'[21]2014'!M176-1</f>
        <v>-0.18965867833376515</v>
      </c>
      <c r="T176" s="80">
        <f>N176/'[21]2014'!N176-1</f>
        <v>0.32759129748857552</v>
      </c>
      <c r="U176" s="80">
        <f>O176/'[21]2014'!O176-1</f>
        <v>-3.0382393927870566E-2</v>
      </c>
      <c r="V176" s="81">
        <f>P176/'[21]2014'!P176-1</f>
        <v>-2.5422683292255388E-2</v>
      </c>
      <c r="W176" s="81">
        <f>Q176/'[21]2014'!Q176-1</f>
        <v>0.15526726554156034</v>
      </c>
      <c r="X176" s="81">
        <f>R176/'[21]2014'!R176-1</f>
        <v>2.2515562234320052E-2</v>
      </c>
      <c r="Y176" s="93">
        <v>53.112699999999997</v>
      </c>
      <c r="Z176" s="50">
        <f>P176/10000-Y176</f>
        <v>868.32830000000001</v>
      </c>
      <c r="AA176" s="37">
        <v>3890.0920000000001</v>
      </c>
      <c r="AB176" s="37">
        <f>Z176*10000/AA176</f>
        <v>2232.1536354410127</v>
      </c>
      <c r="AC176" s="63">
        <v>14.2211</v>
      </c>
      <c r="AD176" s="2">
        <v>13.2295</v>
      </c>
      <c r="AF176" s="2">
        <v>948.89189999999996</v>
      </c>
    </row>
    <row r="177" spans="1:32" ht="15" customHeight="1" x14ac:dyDescent="0.15">
      <c r="A177" s="20">
        <v>42176</v>
      </c>
      <c r="B177" s="20" t="s">
        <v>1</v>
      </c>
      <c r="C177" s="21">
        <v>39257</v>
      </c>
      <c r="D177" s="7">
        <f t="shared" ref="D177" si="25">E177-C177-K177-L177</f>
        <v>25364</v>
      </c>
      <c r="E177" s="7">
        <v>66839</v>
      </c>
      <c r="F177" s="22">
        <v>3410.3</v>
      </c>
      <c r="G177" s="23">
        <v>2127</v>
      </c>
      <c r="H177" s="24"/>
      <c r="I177" s="36"/>
      <c r="J177" s="8">
        <f t="shared" si="19"/>
        <v>41475</v>
      </c>
      <c r="K177" s="37">
        <v>1430</v>
      </c>
      <c r="L177" s="37">
        <v>788</v>
      </c>
      <c r="M177" s="74">
        <f t="shared" si="24"/>
        <v>1027559</v>
      </c>
      <c r="N177" s="75">
        <f t="shared" si="24"/>
        <v>627886</v>
      </c>
      <c r="O177" s="75">
        <f t="shared" si="24"/>
        <v>1716559</v>
      </c>
      <c r="P177" s="76">
        <f t="shared" si="23"/>
        <v>9253667</v>
      </c>
      <c r="Q177" s="76">
        <f t="shared" si="23"/>
        <v>4042843</v>
      </c>
      <c r="R177" s="76">
        <f t="shared" si="23"/>
        <v>13573237</v>
      </c>
      <c r="S177" s="80">
        <f>M177/'[21]2014'!M177-1</f>
        <v>-0.1986325674182321</v>
      </c>
      <c r="T177" s="80">
        <f>N177/'[21]2014'!N177-1</f>
        <v>0.31706007345830889</v>
      </c>
      <c r="U177" s="80">
        <f>O177/'[21]2014'!O177-1</f>
        <v>-3.9498127743197498E-2</v>
      </c>
      <c r="V177" s="81">
        <f>P177/'[21]2014'!P177-1</f>
        <v>-2.7712736084063994E-2</v>
      </c>
      <c r="W177" s="81">
        <f>Q177/'[21]2014'!Q177-1</f>
        <v>0.15495970182541852</v>
      </c>
      <c r="X177" s="81">
        <f>R177/'[21]2014'!R177-1</f>
        <v>2.0949048336701415E-2</v>
      </c>
      <c r="Y177" s="93"/>
      <c r="Z177" s="50"/>
      <c r="AA177" s="37"/>
      <c r="AB177" s="37"/>
    </row>
    <row r="178" spans="1:32" ht="15" customHeight="1" x14ac:dyDescent="0.15">
      <c r="A178" s="20">
        <v>42177</v>
      </c>
      <c r="B178" s="20" t="s">
        <v>34</v>
      </c>
      <c r="C178" s="21">
        <v>47980</v>
      </c>
      <c r="D178" s="7">
        <v>27788</v>
      </c>
      <c r="E178" s="7">
        <v>77771</v>
      </c>
      <c r="F178" s="22">
        <v>3989.1</v>
      </c>
      <c r="G178" s="23">
        <v>2400.9</v>
      </c>
      <c r="H178" s="24"/>
      <c r="I178" s="36"/>
      <c r="J178" s="8">
        <f t="shared" si="19"/>
        <v>49983</v>
      </c>
      <c r="K178" s="37">
        <v>1404</v>
      </c>
      <c r="L178" s="37">
        <v>788</v>
      </c>
      <c r="M178" s="74">
        <f t="shared" si="24"/>
        <v>1075539</v>
      </c>
      <c r="N178" s="75">
        <f t="shared" si="24"/>
        <v>655674</v>
      </c>
      <c r="O178" s="75">
        <f t="shared" si="24"/>
        <v>1794330</v>
      </c>
      <c r="P178" s="76">
        <f t="shared" si="23"/>
        <v>9301647</v>
      </c>
      <c r="Q178" s="76">
        <f t="shared" si="23"/>
        <v>4070631</v>
      </c>
      <c r="R178" s="76">
        <f t="shared" si="23"/>
        <v>13651008</v>
      </c>
      <c r="S178" s="80">
        <f>M178/'[21]2014'!M178-1</f>
        <v>-0.19580517881189852</v>
      </c>
      <c r="T178" s="80">
        <f>N178/'[21]2014'!N178-1</f>
        <v>0.3198797023962896</v>
      </c>
      <c r="U178" s="80">
        <f>O178/'[21]2014'!O178-1</f>
        <v>-3.680665114603765E-2</v>
      </c>
      <c r="V178" s="81">
        <f>P178/'[21]2014'!P178-1</f>
        <v>-2.830249713473898E-2</v>
      </c>
      <c r="W178" s="81">
        <f>Q178/'[21]2014'!Q178-1</f>
        <v>0.15628009466165182</v>
      </c>
      <c r="X178" s="81">
        <f>R178/'[21]2014'!R178-1</f>
        <v>2.0981592473306776E-2</v>
      </c>
      <c r="Y178" s="93"/>
      <c r="Z178" s="50"/>
      <c r="AA178" s="37"/>
      <c r="AB178" s="37"/>
    </row>
    <row r="179" spans="1:32" ht="15" customHeight="1" x14ac:dyDescent="0.15">
      <c r="A179" s="20">
        <v>42178</v>
      </c>
      <c r="B179" s="14" t="s">
        <v>35</v>
      </c>
      <c r="C179" s="15">
        <v>53407</v>
      </c>
      <c r="D179" s="16">
        <v>31463</v>
      </c>
      <c r="E179" s="16">
        <v>87656</v>
      </c>
      <c r="F179" s="17">
        <v>4479</v>
      </c>
      <c r="G179" s="18">
        <v>2761</v>
      </c>
      <c r="H179" s="19"/>
      <c r="I179" s="19"/>
      <c r="J179" s="32">
        <f t="shared" si="19"/>
        <v>56193</v>
      </c>
      <c r="K179" s="33">
        <f t="shared" si="20"/>
        <v>2000</v>
      </c>
      <c r="L179" s="33">
        <v>786</v>
      </c>
      <c r="M179" s="77">
        <f t="shared" si="24"/>
        <v>1128946</v>
      </c>
      <c r="N179" s="78">
        <f t="shared" si="24"/>
        <v>687137</v>
      </c>
      <c r="O179" s="78">
        <f t="shared" si="24"/>
        <v>1881986</v>
      </c>
      <c r="P179" s="77">
        <f t="shared" si="23"/>
        <v>9355054</v>
      </c>
      <c r="Q179" s="77">
        <f t="shared" si="23"/>
        <v>4102094</v>
      </c>
      <c r="R179" s="77">
        <f t="shared" si="23"/>
        <v>13738664</v>
      </c>
      <c r="S179" s="82">
        <f>M179/'[21]2014'!M179-1</f>
        <v>-0.19008455376474453</v>
      </c>
      <c r="T179" s="82">
        <f>N179/'[21]2014'!N179-1</f>
        <v>0.32916223378532594</v>
      </c>
      <c r="U179" s="82">
        <f>O179/'[21]2014'!O179-1</f>
        <v>-3.0154583790474754E-2</v>
      </c>
      <c r="V179" s="82">
        <f>P179/'[21]2014'!P179-1</f>
        <v>-2.8457138284916583E-2</v>
      </c>
      <c r="W179" s="82">
        <f>Q179/'[21]2014'!Q179-1</f>
        <v>0.15856888783974243</v>
      </c>
      <c r="X179" s="82">
        <f>R179/'[21]2014'!R179-1</f>
        <v>2.1607982682932292E-2</v>
      </c>
      <c r="Y179" s="96">
        <v>54</v>
      </c>
      <c r="Z179" s="49">
        <f>P179/10000-Y179</f>
        <v>881.50540000000001</v>
      </c>
      <c r="AA179" s="33">
        <v>3890.0920000000001</v>
      </c>
      <c r="AB179" s="33">
        <f>Z179*10000/AA179</f>
        <v>2266.0271273789926</v>
      </c>
      <c r="AC179" s="63">
        <f>AC176+SUM(K177:K179)/10000</f>
        <v>14.704499999999999</v>
      </c>
      <c r="AD179" s="92">
        <f>AD176+SUM(L177:L179)/10000</f>
        <v>13.4657</v>
      </c>
      <c r="AF179" s="92">
        <f>AF176+SUM(J177:J179)/10000</f>
        <v>963.65699999999993</v>
      </c>
    </row>
    <row r="180" spans="1:32" ht="15" customHeight="1" x14ac:dyDescent="0.15">
      <c r="A180" s="20">
        <v>42179</v>
      </c>
      <c r="B180" s="20" t="s">
        <v>36</v>
      </c>
      <c r="C180" s="66">
        <v>58238</v>
      </c>
      <c r="D180" s="67">
        <v>32493</v>
      </c>
      <c r="E180" s="67">
        <v>93574</v>
      </c>
      <c r="F180" s="68">
        <v>4709</v>
      </c>
      <c r="G180" s="69">
        <v>2926</v>
      </c>
      <c r="H180" s="24"/>
      <c r="I180" s="24"/>
      <c r="J180" s="70">
        <f t="shared" si="19"/>
        <v>61081</v>
      </c>
      <c r="K180" s="71">
        <f t="shared" si="20"/>
        <v>2059</v>
      </c>
      <c r="L180" s="71">
        <v>784</v>
      </c>
      <c r="M180" s="72">
        <f t="shared" si="24"/>
        <v>1187184</v>
      </c>
      <c r="N180" s="73">
        <f t="shared" si="24"/>
        <v>719630</v>
      </c>
      <c r="O180" s="73">
        <f t="shared" si="24"/>
        <v>1975560</v>
      </c>
      <c r="P180" s="72">
        <f t="shared" si="23"/>
        <v>9413292</v>
      </c>
      <c r="Q180" s="72">
        <f t="shared" si="23"/>
        <v>4134587</v>
      </c>
      <c r="R180" s="72">
        <f t="shared" si="23"/>
        <v>13832238</v>
      </c>
      <c r="S180" s="79">
        <f>M180/'[21]2014'!M180-1</f>
        <v>-0.18071733746108665</v>
      </c>
      <c r="T180" s="79">
        <f>N180/'[21]2014'!N180-1</f>
        <v>0.33825892259398671</v>
      </c>
      <c r="U180" s="79">
        <f>O180/'[21]2014'!O180-1</f>
        <v>-2.135709944106845E-2</v>
      </c>
      <c r="V180" s="79">
        <f>P180/'[21]2014'!P180-1</f>
        <v>-2.7975909300097079E-2</v>
      </c>
      <c r="W180" s="79">
        <f>Q180/'[21]2014'!Q180-1</f>
        <v>0.16093708746289859</v>
      </c>
      <c r="X180" s="79">
        <f>R180/'[21]2014'!R180-1</f>
        <v>2.2621778865577369E-2</v>
      </c>
      <c r="Y180" s="85"/>
      <c r="Z180" s="97"/>
      <c r="AA180" s="85"/>
      <c r="AB180" s="71"/>
    </row>
    <row r="181" spans="1:32" ht="15" customHeight="1" x14ac:dyDescent="0.15">
      <c r="A181" s="14">
        <v>42180</v>
      </c>
      <c r="B181" s="20" t="s">
        <v>37</v>
      </c>
      <c r="C181" s="21">
        <v>64188</v>
      </c>
      <c r="D181" s="7">
        <v>32605</v>
      </c>
      <c r="E181" s="7">
        <v>99335</v>
      </c>
      <c r="F181" s="22">
        <v>5014</v>
      </c>
      <c r="G181" s="23">
        <v>3156.6</v>
      </c>
      <c r="H181" s="24"/>
      <c r="I181" s="36"/>
      <c r="J181" s="8">
        <f t="shared" si="19"/>
        <v>66730</v>
      </c>
      <c r="K181" s="37">
        <f t="shared" si="20"/>
        <v>1796</v>
      </c>
      <c r="L181" s="37">
        <v>746</v>
      </c>
      <c r="M181" s="74">
        <f t="shared" si="24"/>
        <v>1251372</v>
      </c>
      <c r="N181" s="75">
        <f t="shared" si="24"/>
        <v>752235</v>
      </c>
      <c r="O181" s="75">
        <f t="shared" si="24"/>
        <v>2074895</v>
      </c>
      <c r="P181" s="76">
        <f t="shared" si="23"/>
        <v>9477480</v>
      </c>
      <c r="Q181" s="76">
        <f t="shared" si="23"/>
        <v>4167192</v>
      </c>
      <c r="R181" s="76">
        <f t="shared" si="23"/>
        <v>13931573</v>
      </c>
      <c r="S181" s="80">
        <f>M181/'[21]2014'!M181-1</f>
        <v>-0.16555507099675526</v>
      </c>
      <c r="T181" s="80">
        <f>N181/'[21]2014'!N181-1</f>
        <v>0.33761818307908142</v>
      </c>
      <c r="U181" s="80">
        <f>O181/'[21]2014'!O181-1</f>
        <v>-1.0498781540457136E-2</v>
      </c>
      <c r="V181" s="81">
        <f>P181/'[21]2014'!P181-1</f>
        <v>-2.643398033241684E-2</v>
      </c>
      <c r="W181" s="81">
        <f>Q181/'[21]2014'!Q181-1</f>
        <v>0.16205464885355503</v>
      </c>
      <c r="X181" s="81">
        <f>R181/'[21]2014'!R181-1</f>
        <v>2.4042496872774377E-2</v>
      </c>
      <c r="Y181" s="93">
        <f>Y176+0.3*5</f>
        <v>54.612699999999997</v>
      </c>
      <c r="Z181" s="50">
        <f>P181/10000-Y181</f>
        <v>893.13530000000003</v>
      </c>
      <c r="AA181" s="37">
        <v>3890.0920000000001</v>
      </c>
      <c r="AB181" s="37">
        <f>Z181*10000/AA181</f>
        <v>2295.9233354892376</v>
      </c>
    </row>
    <row r="182" spans="1:32" ht="15" customHeight="1" x14ac:dyDescent="0.15">
      <c r="A182" s="20">
        <v>42181</v>
      </c>
      <c r="B182" s="20" t="s">
        <v>38</v>
      </c>
      <c r="C182" s="21">
        <v>63353</v>
      </c>
      <c r="D182" s="7">
        <f>E182-C182-K182-L182</f>
        <v>34393</v>
      </c>
      <c r="E182" s="7">
        <v>100474</v>
      </c>
      <c r="F182" s="22">
        <v>5064</v>
      </c>
      <c r="G182" s="23">
        <v>3365</v>
      </c>
      <c r="H182" s="24"/>
      <c r="I182" s="36"/>
      <c r="J182" s="8">
        <f t="shared" si="19"/>
        <v>66081</v>
      </c>
      <c r="K182" s="37">
        <v>1951</v>
      </c>
      <c r="L182" s="37">
        <v>777</v>
      </c>
      <c r="M182" s="74">
        <f t="shared" si="24"/>
        <v>1314725</v>
      </c>
      <c r="N182" s="75">
        <f t="shared" si="24"/>
        <v>786628</v>
      </c>
      <c r="O182" s="75">
        <f t="shared" si="24"/>
        <v>2175369</v>
      </c>
      <c r="P182" s="76">
        <f t="shared" si="23"/>
        <v>9540833</v>
      </c>
      <c r="Q182" s="76">
        <f t="shared" si="23"/>
        <v>4201585</v>
      </c>
      <c r="R182" s="76">
        <f t="shared" si="23"/>
        <v>14032047</v>
      </c>
      <c r="S182" s="80">
        <f>M182/'[21]2014'!M182-1</f>
        <v>-0.15193093790255419</v>
      </c>
      <c r="T182" s="80">
        <f>N182/'[21]2014'!N182-1</f>
        <v>0.3336475470981568</v>
      </c>
      <c r="U182" s="80">
        <f>O182/'[21]2014'!O182-1</f>
        <v>-1.3579228462944348E-3</v>
      </c>
      <c r="V182" s="81">
        <f>P182/'[21]2014'!P182-1</f>
        <v>-2.4995120368237367E-2</v>
      </c>
      <c r="W182" s="81">
        <f>Q182/'[21]2014'!Q182-1</f>
        <v>0.16274082036561532</v>
      </c>
      <c r="X182" s="81">
        <f>R182/'[21]2014'!R182-1</f>
        <v>2.52919234237865E-2</v>
      </c>
      <c r="Y182" s="93"/>
      <c r="Z182" s="50"/>
      <c r="AA182" s="37"/>
      <c r="AB182" s="37"/>
    </row>
    <row r="183" spans="1:32" ht="15" customHeight="1" x14ac:dyDescent="0.15">
      <c r="A183" s="20">
        <v>42182</v>
      </c>
      <c r="B183" s="20" t="s">
        <v>39</v>
      </c>
      <c r="C183" s="21">
        <v>62233</v>
      </c>
      <c r="D183" s="7">
        <f t="shared" ref="D183:D202" si="26">E183-C183-K183-L183</f>
        <v>35232</v>
      </c>
      <c r="E183" s="7">
        <v>98645</v>
      </c>
      <c r="F183" s="22">
        <v>4906</v>
      </c>
      <c r="G183" s="23">
        <v>3328.6</v>
      </c>
      <c r="H183" s="24"/>
      <c r="I183" s="36"/>
      <c r="J183" s="8">
        <f t="shared" si="19"/>
        <v>63413</v>
      </c>
      <c r="K183" s="37">
        <v>401</v>
      </c>
      <c r="L183" s="37">
        <v>779</v>
      </c>
      <c r="M183" s="74">
        <f t="shared" si="24"/>
        <v>1376958</v>
      </c>
      <c r="N183" s="75">
        <f t="shared" si="24"/>
        <v>821860</v>
      </c>
      <c r="O183" s="75">
        <f t="shared" si="24"/>
        <v>2274014</v>
      </c>
      <c r="P183" s="76">
        <f t="shared" si="23"/>
        <v>9603066</v>
      </c>
      <c r="Q183" s="76">
        <f t="shared" si="23"/>
        <v>4236817</v>
      </c>
      <c r="R183" s="76">
        <f t="shared" si="23"/>
        <v>14130692</v>
      </c>
      <c r="S183" s="80">
        <f>M183/'[21]2014'!M183-1</f>
        <v>-0.13986733438817844</v>
      </c>
      <c r="T183" s="80">
        <f>N183/'[21]2014'!N183-1</f>
        <v>0.33291598279564316</v>
      </c>
      <c r="U183" s="80">
        <f>O183/'[21]2014'!O183-1</f>
        <v>6.3411493194847068E-3</v>
      </c>
      <c r="V183" s="81">
        <f>P183/'[21]2014'!P183-1</f>
        <v>-2.3684835422693507E-2</v>
      </c>
      <c r="W183" s="81">
        <f>Q183/'[21]2014'!Q183-1</f>
        <v>0.16387307208542334</v>
      </c>
      <c r="X183" s="81">
        <f>R183/'[21]2014'!R183-1</f>
        <v>2.6398120103786837E-2</v>
      </c>
      <c r="Y183" s="93"/>
      <c r="Z183" s="50"/>
      <c r="AA183" s="37"/>
      <c r="AB183" s="37"/>
    </row>
    <row r="184" spans="1:32" ht="15" customHeight="1" x14ac:dyDescent="0.15">
      <c r="A184" s="20">
        <v>42183</v>
      </c>
      <c r="B184" s="20" t="s">
        <v>1</v>
      </c>
      <c r="C184" s="21">
        <v>56200</v>
      </c>
      <c r="D184" s="7">
        <f t="shared" si="26"/>
        <v>33359</v>
      </c>
      <c r="E184" s="7">
        <v>90752</v>
      </c>
      <c r="F184" s="22">
        <v>4388</v>
      </c>
      <c r="G184" s="23">
        <v>3302.9</v>
      </c>
      <c r="H184" s="24"/>
      <c r="I184" s="36"/>
      <c r="J184" s="8">
        <f t="shared" si="19"/>
        <v>57393</v>
      </c>
      <c r="K184" s="37">
        <v>412</v>
      </c>
      <c r="L184" s="37">
        <v>781</v>
      </c>
      <c r="M184" s="74">
        <f t="shared" si="24"/>
        <v>1433158</v>
      </c>
      <c r="N184" s="75">
        <f t="shared" si="24"/>
        <v>855219</v>
      </c>
      <c r="O184" s="75">
        <f t="shared" si="24"/>
        <v>2364766</v>
      </c>
      <c r="P184" s="76">
        <f t="shared" si="23"/>
        <v>9659266</v>
      </c>
      <c r="Q184" s="76">
        <f t="shared" si="23"/>
        <v>4270176</v>
      </c>
      <c r="R184" s="76">
        <f t="shared" si="23"/>
        <v>14221444</v>
      </c>
      <c r="S184" s="80">
        <f>M184/'[21]2014'!M184-1</f>
        <v>-0.13114715338078664</v>
      </c>
      <c r="T184" s="80">
        <f>N184/'[21]2014'!N184-1</f>
        <v>0.3318969142166559</v>
      </c>
      <c r="U184" s="80">
        <f>O184/'[21]2014'!O184-1</f>
        <v>1.1444785475498875E-2</v>
      </c>
      <c r="V184" s="81">
        <f>P184/'[21]2014'!P184-1</f>
        <v>-2.2801094995527071E-2</v>
      </c>
      <c r="W184" s="81">
        <f>Q184/'[21]2014'!Q184-1</f>
        <v>0.16487129752939333</v>
      </c>
      <c r="X184" s="81">
        <f>R184/'[21]2014'!R184-1</f>
        <v>2.7146475620680732E-2</v>
      </c>
      <c r="Y184" s="93">
        <f>Y181+0.25*3</f>
        <v>55.362699999999997</v>
      </c>
      <c r="Z184" s="50">
        <f>P184/10000-Y184</f>
        <v>910.56389999999999</v>
      </c>
      <c r="AA184" s="37">
        <v>3890.0920000000001</v>
      </c>
      <c r="AB184" s="37">
        <f>Z184*10000/AA184</f>
        <v>2340.7258748636277</v>
      </c>
    </row>
    <row r="185" spans="1:32" ht="15" customHeight="1" x14ac:dyDescent="0.15">
      <c r="A185" s="20">
        <v>42184</v>
      </c>
      <c r="B185" s="20" t="s">
        <v>34</v>
      </c>
      <c r="C185" s="21">
        <v>64479</v>
      </c>
      <c r="D185" s="7">
        <f t="shared" si="26"/>
        <v>33276</v>
      </c>
      <c r="E185" s="7">
        <v>98683</v>
      </c>
      <c r="F185" s="22">
        <v>4968.6000000000004</v>
      </c>
      <c r="G185" s="23">
        <v>3092.2</v>
      </c>
      <c r="H185" s="24"/>
      <c r="I185" s="36"/>
      <c r="J185" s="8">
        <f t="shared" si="19"/>
        <v>65407</v>
      </c>
      <c r="K185" s="37">
        <v>149</v>
      </c>
      <c r="L185" s="37">
        <v>779</v>
      </c>
      <c r="M185" s="74">
        <f t="shared" si="24"/>
        <v>1497637</v>
      </c>
      <c r="N185" s="75">
        <f t="shared" si="24"/>
        <v>888495</v>
      </c>
      <c r="O185" s="75">
        <f t="shared" si="24"/>
        <v>2463449</v>
      </c>
      <c r="P185" s="76">
        <f t="shared" si="23"/>
        <v>9723745</v>
      </c>
      <c r="Q185" s="76">
        <f t="shared" si="23"/>
        <v>4303452</v>
      </c>
      <c r="R185" s="76">
        <f t="shared" si="23"/>
        <v>14320127</v>
      </c>
      <c r="S185" s="80">
        <f>M185/'[21]2014'!M185-1</f>
        <v>-0.11600339045878616</v>
      </c>
      <c r="T185" s="80">
        <f>N185/'[21]2014'!N185-1</f>
        <v>0.33037509751397387</v>
      </c>
      <c r="U185" s="80">
        <f>O185/'[21]2014'!O185-1</f>
        <v>2.1496869100147808E-2</v>
      </c>
      <c r="V185" s="81">
        <f>P185/'[21]2014'!P185-1</f>
        <v>-2.070479828569538E-2</v>
      </c>
      <c r="W185" s="81">
        <f>Q185/'[21]2014'!Q185-1</f>
        <v>0.16576091527785786</v>
      </c>
      <c r="X185" s="81">
        <f>R185/'[21]2014'!R185-1</f>
        <v>2.8805053183519336E-2</v>
      </c>
      <c r="Y185" s="93"/>
      <c r="Z185" s="50"/>
      <c r="AA185" s="37"/>
      <c r="AB185" s="37"/>
    </row>
    <row r="186" spans="1:32" s="1" customFormat="1" ht="15" customHeight="1" x14ac:dyDescent="0.15">
      <c r="A186" s="25">
        <v>42185</v>
      </c>
      <c r="B186" s="14" t="s">
        <v>35</v>
      </c>
      <c r="C186" s="15">
        <v>66008</v>
      </c>
      <c r="D186" s="16">
        <v>36934</v>
      </c>
      <c r="E186" s="16">
        <v>104638</v>
      </c>
      <c r="F186" s="17">
        <v>5315.4</v>
      </c>
      <c r="G186" s="18">
        <v>3413.8</v>
      </c>
      <c r="H186" s="19"/>
      <c r="I186" s="19"/>
      <c r="J186" s="32">
        <f t="shared" si="19"/>
        <v>67704</v>
      </c>
      <c r="K186" s="33">
        <f t="shared" si="20"/>
        <v>917</v>
      </c>
      <c r="L186" s="33">
        <v>779</v>
      </c>
      <c r="M186" s="77">
        <f t="shared" si="24"/>
        <v>1563645</v>
      </c>
      <c r="N186" s="78">
        <f t="shared" si="24"/>
        <v>925429</v>
      </c>
      <c r="O186" s="78">
        <f t="shared" si="24"/>
        <v>2568087</v>
      </c>
      <c r="P186" s="77">
        <f t="shared" si="23"/>
        <v>9789753</v>
      </c>
      <c r="Q186" s="77">
        <f t="shared" si="23"/>
        <v>4340386</v>
      </c>
      <c r="R186" s="77">
        <f t="shared" si="23"/>
        <v>14424765</v>
      </c>
      <c r="S186" s="82">
        <f>M186/'[21]2014'!M186-1</f>
        <v>-0.10190830377783844</v>
      </c>
      <c r="T186" s="82">
        <f>N186/'[21]2014'!N186-1</f>
        <v>0.33280861819412544</v>
      </c>
      <c r="U186" s="82">
        <f>O186/'[21]2014'!O186-1</f>
        <v>3.2163587563332374E-2</v>
      </c>
      <c r="V186" s="82">
        <f>P186/'[21]2014'!P186-1</f>
        <v>-1.8709639782174103E-2</v>
      </c>
      <c r="W186" s="82">
        <f>Q186/'[21]2014'!Q186-1</f>
        <v>0.16738829860783033</v>
      </c>
      <c r="X186" s="82">
        <f>R186/'[21]2014'!R186-1</f>
        <v>3.0661396388844908E-2</v>
      </c>
      <c r="Y186" s="96">
        <v>59.086300000000001</v>
      </c>
      <c r="Z186" s="49">
        <f>P186/10000-Y186</f>
        <v>919.8889999999999</v>
      </c>
      <c r="AA186" s="33">
        <v>3890.0920000000001</v>
      </c>
      <c r="AB186" s="33">
        <f>Z186*10000/AA186</f>
        <v>2364.6972873649256</v>
      </c>
      <c r="AC186" s="86">
        <v>15.454000000000001</v>
      </c>
      <c r="AD186" s="1">
        <v>14.0083</v>
      </c>
      <c r="AF186" s="1">
        <v>1008.4379</v>
      </c>
    </row>
    <row r="187" spans="1:32" ht="15" customHeight="1" x14ac:dyDescent="0.15">
      <c r="A187" s="20">
        <v>42186</v>
      </c>
      <c r="B187" s="20" t="s">
        <v>36</v>
      </c>
      <c r="C187" s="66">
        <v>47786</v>
      </c>
      <c r="D187" s="67">
        <f t="shared" si="26"/>
        <v>39059</v>
      </c>
      <c r="E187" s="67">
        <v>88804</v>
      </c>
      <c r="F187" s="68">
        <v>4459.5</v>
      </c>
      <c r="G187" s="69">
        <v>3176</v>
      </c>
      <c r="H187" s="24"/>
      <c r="I187" s="24"/>
      <c r="J187" s="70">
        <f t="shared" si="19"/>
        <v>49745</v>
      </c>
      <c r="K187" s="71">
        <v>1178</v>
      </c>
      <c r="L187" s="71">
        <v>781</v>
      </c>
      <c r="M187" s="72">
        <f>C187</f>
        <v>47786</v>
      </c>
      <c r="N187" s="73">
        <f>D187</f>
        <v>39059</v>
      </c>
      <c r="O187" s="73">
        <f>E187</f>
        <v>88804</v>
      </c>
      <c r="P187" s="72">
        <f t="shared" ref="P187:R202" si="27">P$186+M187</f>
        <v>9837539</v>
      </c>
      <c r="Q187" s="72">
        <f t="shared" si="27"/>
        <v>4379445</v>
      </c>
      <c r="R187" s="72">
        <f t="shared" si="27"/>
        <v>14513569</v>
      </c>
      <c r="S187" s="79">
        <f>M187/'[21]2014'!M187-1</f>
        <v>6.5201399879628141E-2</v>
      </c>
      <c r="T187" s="79">
        <f>N187/'[21]2014'!N187-1</f>
        <v>0.35762947514772336</v>
      </c>
      <c r="U187" s="79">
        <f>O187/'[21]2014'!O187-1</f>
        <v>0.15449817992719717</v>
      </c>
      <c r="V187" s="79">
        <f>P187/'[21]2014'!P187-1</f>
        <v>-1.8334005403906395E-2</v>
      </c>
      <c r="W187" s="79">
        <f>Q187/'[21]2014'!Q187-1</f>
        <v>0.16884907501495072</v>
      </c>
      <c r="X187" s="79">
        <f>R187/'[21]2014'!R187-1</f>
        <v>3.1338282894097347E-2</v>
      </c>
      <c r="Y187" s="85"/>
      <c r="Z187" s="97"/>
      <c r="AA187" s="85"/>
      <c r="AB187" s="71"/>
    </row>
    <row r="188" spans="1:32" ht="15" customHeight="1" x14ac:dyDescent="0.15">
      <c r="A188" s="20">
        <v>42187</v>
      </c>
      <c r="B188" s="20" t="s">
        <v>37</v>
      </c>
      <c r="C188" s="21">
        <v>44438</v>
      </c>
      <c r="D188" s="7">
        <v>41291</v>
      </c>
      <c r="E188" s="7">
        <v>86998</v>
      </c>
      <c r="F188" s="22">
        <v>4437.8999999999996</v>
      </c>
      <c r="G188" s="23">
        <v>2874.2</v>
      </c>
      <c r="H188" s="24"/>
      <c r="I188" s="36"/>
      <c r="J188" s="8">
        <f t="shared" si="19"/>
        <v>45707</v>
      </c>
      <c r="K188" s="37">
        <f t="shared" si="20"/>
        <v>487</v>
      </c>
      <c r="L188" s="37">
        <v>782</v>
      </c>
      <c r="M188" s="74">
        <f t="shared" ref="M188:O203" si="28">C188+M187</f>
        <v>92224</v>
      </c>
      <c r="N188" s="75">
        <f t="shared" si="28"/>
        <v>80350</v>
      </c>
      <c r="O188" s="75">
        <f t="shared" si="28"/>
        <v>175802</v>
      </c>
      <c r="P188" s="72">
        <f t="shared" si="27"/>
        <v>9881977</v>
      </c>
      <c r="Q188" s="76">
        <f t="shared" si="27"/>
        <v>4420736</v>
      </c>
      <c r="R188" s="76">
        <f t="shared" si="27"/>
        <v>14600567</v>
      </c>
      <c r="S188" s="80">
        <f>M188/'[21]2014'!M188-1</f>
        <v>7.0530279191394207E-4</v>
      </c>
      <c r="T188" s="80">
        <f>N188/'[21]2014'!N188-1</f>
        <v>0.33578268386753551</v>
      </c>
      <c r="U188" s="80">
        <f>O188/'[21]2014'!O188-1</f>
        <v>0.10508218876701125</v>
      </c>
      <c r="V188" s="81">
        <f>P188/'[21]2014'!P188-1</f>
        <v>-1.8531932101161996E-2</v>
      </c>
      <c r="W188" s="81">
        <f>Q188/'[21]2014'!Q188-1</f>
        <v>0.17006928541922695</v>
      </c>
      <c r="X188" s="81">
        <f>R188/'[21]2014'!R188-1</f>
        <v>3.1497811964426248E-2</v>
      </c>
      <c r="Y188" s="93">
        <f>Y186+0.55*2</f>
        <v>60.186300000000003</v>
      </c>
      <c r="Z188" s="50">
        <f>P188/10000-Y188</f>
        <v>928.01140000000009</v>
      </c>
      <c r="AA188" s="37">
        <v>3890.0920000000001</v>
      </c>
      <c r="AB188" s="37">
        <f>Z188*10000/AA188</f>
        <v>2385.5769992072169</v>
      </c>
    </row>
    <row r="189" spans="1:32" ht="15" customHeight="1" x14ac:dyDescent="0.15">
      <c r="A189" s="20">
        <v>42188</v>
      </c>
      <c r="B189" s="20" t="s">
        <v>38</v>
      </c>
      <c r="C189" s="21">
        <v>44051</v>
      </c>
      <c r="D189" s="7">
        <f t="shared" si="26"/>
        <v>39385</v>
      </c>
      <c r="E189" s="7">
        <v>86087</v>
      </c>
      <c r="F189" s="22">
        <v>4431</v>
      </c>
      <c r="G189" s="23">
        <v>2942</v>
      </c>
      <c r="H189" s="24"/>
      <c r="I189" s="36"/>
      <c r="J189" s="8">
        <f t="shared" si="19"/>
        <v>46702</v>
      </c>
      <c r="K189" s="37">
        <v>1871</v>
      </c>
      <c r="L189" s="37">
        <v>780</v>
      </c>
      <c r="M189" s="74">
        <f t="shared" si="28"/>
        <v>136275</v>
      </c>
      <c r="N189" s="75">
        <f t="shared" si="28"/>
        <v>119735</v>
      </c>
      <c r="O189" s="75">
        <f t="shared" si="28"/>
        <v>261889</v>
      </c>
      <c r="P189" s="72">
        <f t="shared" si="27"/>
        <v>9926028</v>
      </c>
      <c r="Q189" s="76">
        <f t="shared" si="27"/>
        <v>4460121</v>
      </c>
      <c r="R189" s="76">
        <f t="shared" si="27"/>
        <v>14686654</v>
      </c>
      <c r="S189" s="80">
        <f>M189/'[21]2014'!M189-1</f>
        <v>-3.7680688647068417E-2</v>
      </c>
      <c r="T189" s="80">
        <f>N189/'[21]2014'!N189-1</f>
        <v>0.28905324806752364</v>
      </c>
      <c r="U189" s="80">
        <f>O189/'[21]2014'!O189-1</f>
        <v>7.1523845373310246E-2</v>
      </c>
      <c r="V189" s="81">
        <f>P189/'[21]2014'!P189-1</f>
        <v>-1.8975157093498285E-2</v>
      </c>
      <c r="W189" s="81">
        <f>Q189/'[21]2014'!Q189-1</f>
        <v>0.17035371879383043</v>
      </c>
      <c r="X189" s="81">
        <f>R189/'[21]2014'!R189-1</f>
        <v>3.1362736020601689E-2</v>
      </c>
      <c r="Y189" s="93"/>
      <c r="Z189" s="50"/>
      <c r="AA189" s="37"/>
      <c r="AB189" s="37"/>
    </row>
    <row r="190" spans="1:32" ht="15" customHeight="1" x14ac:dyDescent="0.15">
      <c r="A190" s="20">
        <v>42189</v>
      </c>
      <c r="B190" s="20" t="s">
        <v>39</v>
      </c>
      <c r="C190" s="21">
        <v>40039</v>
      </c>
      <c r="D190" s="7">
        <f t="shared" si="26"/>
        <v>36097</v>
      </c>
      <c r="E190" s="7">
        <v>79119</v>
      </c>
      <c r="F190" s="22">
        <v>4090.7</v>
      </c>
      <c r="G190" s="23">
        <v>2792.2</v>
      </c>
      <c r="H190" s="24"/>
      <c r="I190" s="36"/>
      <c r="J190" s="8">
        <f t="shared" si="19"/>
        <v>43022</v>
      </c>
      <c r="K190" s="37">
        <v>2201</v>
      </c>
      <c r="L190" s="37">
        <v>782</v>
      </c>
      <c r="M190" s="74">
        <f t="shared" si="28"/>
        <v>176314</v>
      </c>
      <c r="N190" s="75">
        <f t="shared" si="28"/>
        <v>155832</v>
      </c>
      <c r="O190" s="75">
        <f t="shared" si="28"/>
        <v>341008</v>
      </c>
      <c r="P190" s="72">
        <f t="shared" si="27"/>
        <v>9966067</v>
      </c>
      <c r="Q190" s="76">
        <f t="shared" si="27"/>
        <v>4496218</v>
      </c>
      <c r="R190" s="76">
        <f t="shared" si="27"/>
        <v>14765773</v>
      </c>
      <c r="S190" s="80">
        <f>M190/'[21]2014'!M190-1</f>
        <v>-7.5641442367176626E-2</v>
      </c>
      <c r="T190" s="80">
        <f>N190/'[21]2014'!N190-1</f>
        <v>0.22431470525844399</v>
      </c>
      <c r="U190" s="80">
        <f>O190/'[21]2014'!O190-1</f>
        <v>3.0204525543034988E-2</v>
      </c>
      <c r="V190" s="81">
        <f>P190/'[21]2014'!P190-1</f>
        <v>-1.977771548565721E-2</v>
      </c>
      <c r="W190" s="81">
        <f>Q190/'[21]2014'!Q190-1</f>
        <v>0.16927257998121914</v>
      </c>
      <c r="X190" s="81">
        <f>R190/'[21]2014'!R190-1</f>
        <v>3.0650840618477115E-2</v>
      </c>
      <c r="Y190" s="93"/>
      <c r="Z190" s="50"/>
      <c r="AA190" s="37"/>
      <c r="AB190" s="37"/>
    </row>
    <row r="191" spans="1:32" ht="15" customHeight="1" x14ac:dyDescent="0.15">
      <c r="A191" s="20">
        <v>42190</v>
      </c>
      <c r="B191" s="20" t="s">
        <v>1</v>
      </c>
      <c r="C191" s="21">
        <v>31393</v>
      </c>
      <c r="D191" s="7">
        <f t="shared" si="26"/>
        <v>35932</v>
      </c>
      <c r="E191" s="7">
        <v>70658</v>
      </c>
      <c r="F191" s="22">
        <v>3529.9</v>
      </c>
      <c r="G191" s="23">
        <v>2543.3000000000002</v>
      </c>
      <c r="H191" s="24"/>
      <c r="I191" s="36"/>
      <c r="J191" s="8">
        <f t="shared" si="19"/>
        <v>34726</v>
      </c>
      <c r="K191" s="37">
        <v>2551</v>
      </c>
      <c r="L191" s="37">
        <v>782</v>
      </c>
      <c r="M191" s="74">
        <f t="shared" si="28"/>
        <v>207707</v>
      </c>
      <c r="N191" s="75">
        <f t="shared" si="28"/>
        <v>191764</v>
      </c>
      <c r="O191" s="75">
        <f t="shared" si="28"/>
        <v>411666</v>
      </c>
      <c r="P191" s="72">
        <f t="shared" si="27"/>
        <v>9997460</v>
      </c>
      <c r="Q191" s="76">
        <f t="shared" si="27"/>
        <v>4532150</v>
      </c>
      <c r="R191" s="76">
        <f t="shared" si="27"/>
        <v>14836431</v>
      </c>
      <c r="S191" s="80">
        <f>M191/'[21]2014'!M191-1</f>
        <v>-0.15657459819869568</v>
      </c>
      <c r="T191" s="80">
        <f>N191/'[21]2014'!N191-1</f>
        <v>0.23749846735630253</v>
      </c>
      <c r="U191" s="80">
        <f>O191/'[21]2014'!O191-1</f>
        <v>-1.5452242978807873E-2</v>
      </c>
      <c r="V191" s="81">
        <f>P191/'[21]2014'!P191-1</f>
        <v>-2.2030830680896174E-2</v>
      </c>
      <c r="W191" s="81">
        <f>Q191/'[21]2014'!Q191-1</f>
        <v>0.17019345327350388</v>
      </c>
      <c r="X191" s="81">
        <f>R191/'[21]2014'!R191-1</f>
        <v>2.9323692039138871E-2</v>
      </c>
      <c r="Y191" s="93"/>
      <c r="Z191" s="50"/>
      <c r="AA191" s="37"/>
      <c r="AB191" s="37"/>
    </row>
    <row r="192" spans="1:32" ht="15" customHeight="1" x14ac:dyDescent="0.15">
      <c r="A192" s="20">
        <v>42191</v>
      </c>
      <c r="B192" s="20" t="s">
        <v>34</v>
      </c>
      <c r="C192" s="21">
        <v>34397</v>
      </c>
      <c r="D192" s="7">
        <f t="shared" si="26"/>
        <v>36303</v>
      </c>
      <c r="E192" s="7">
        <v>74468</v>
      </c>
      <c r="F192" s="22">
        <v>3924.8</v>
      </c>
      <c r="G192" s="23">
        <v>2401.8000000000002</v>
      </c>
      <c r="H192" s="24"/>
      <c r="I192" s="36"/>
      <c r="J192" s="8">
        <f t="shared" si="19"/>
        <v>38165</v>
      </c>
      <c r="K192" s="37">
        <v>2982</v>
      </c>
      <c r="L192" s="37">
        <v>786</v>
      </c>
      <c r="M192" s="74">
        <f t="shared" si="28"/>
        <v>242104</v>
      </c>
      <c r="N192" s="75">
        <f t="shared" si="28"/>
        <v>228067</v>
      </c>
      <c r="O192" s="75">
        <f t="shared" si="28"/>
        <v>486134</v>
      </c>
      <c r="P192" s="72">
        <f t="shared" si="27"/>
        <v>10031857</v>
      </c>
      <c r="Q192" s="76">
        <f t="shared" si="27"/>
        <v>4568453</v>
      </c>
      <c r="R192" s="76">
        <f t="shared" si="27"/>
        <v>14910899</v>
      </c>
      <c r="S192" s="80">
        <f>M192/'[21]2014'!M192-1</f>
        <v>-0.18728411017304758</v>
      </c>
      <c r="T192" s="80">
        <f>N192/'[21]2014'!N192-1</f>
        <v>0.25160245856656793</v>
      </c>
      <c r="U192" s="80">
        <f>O192/'[21]2014'!O192-1</f>
        <v>-3.0671005511289762E-2</v>
      </c>
      <c r="V192" s="81">
        <f>P192/'[21]2014'!P192-1</f>
        <v>-2.3597318475034212E-2</v>
      </c>
      <c r="W192" s="81">
        <f>Q192/'[21]2014'!Q192-1</f>
        <v>0.17132278996088224</v>
      </c>
      <c r="X192" s="81">
        <f>R192/'[21]2014'!R192-1</f>
        <v>2.8539657293700449E-2</v>
      </c>
      <c r="Y192" s="93"/>
      <c r="Z192" s="50"/>
      <c r="AA192" s="37"/>
      <c r="AB192" s="37"/>
    </row>
    <row r="193" spans="1:32" ht="15" customHeight="1" x14ac:dyDescent="0.15">
      <c r="A193" s="20">
        <v>42192</v>
      </c>
      <c r="B193" s="14" t="s">
        <v>35</v>
      </c>
      <c r="C193" s="15">
        <v>33747</v>
      </c>
      <c r="D193" s="16">
        <f t="shared" si="26"/>
        <v>37413</v>
      </c>
      <c r="E193" s="16">
        <v>75459</v>
      </c>
      <c r="F193" s="17">
        <v>3923.2</v>
      </c>
      <c r="G193" s="18">
        <v>2494.9</v>
      </c>
      <c r="H193" s="19"/>
      <c r="I193" s="19"/>
      <c r="J193" s="32">
        <f t="shared" ref="J193:J256" si="29">E193-D193</f>
        <v>38046</v>
      </c>
      <c r="K193" s="33">
        <v>3517</v>
      </c>
      <c r="L193" s="33">
        <v>782</v>
      </c>
      <c r="M193" s="77">
        <f t="shared" si="28"/>
        <v>275851</v>
      </c>
      <c r="N193" s="78">
        <f t="shared" si="28"/>
        <v>265480</v>
      </c>
      <c r="O193" s="78">
        <f t="shared" si="28"/>
        <v>561593</v>
      </c>
      <c r="P193" s="77">
        <f t="shared" si="27"/>
        <v>10065604</v>
      </c>
      <c r="Q193" s="77">
        <f t="shared" si="27"/>
        <v>4605866</v>
      </c>
      <c r="R193" s="77">
        <f t="shared" si="27"/>
        <v>14986358</v>
      </c>
      <c r="S193" s="82">
        <f>M193/'[21]2014'!M193-1</f>
        <v>-0.21423403406825048</v>
      </c>
      <c r="T193" s="82">
        <f>N193/'[21]2014'!N193-1</f>
        <v>0.23211443051604186</v>
      </c>
      <c r="U193" s="82">
        <f>O193/'[21]2014'!O193-1</f>
        <v>-4.8789121914369682E-2</v>
      </c>
      <c r="V193" s="82">
        <f>P193/'[21]2014'!P193-1</f>
        <v>-2.5356069851777852E-2</v>
      </c>
      <c r="W193" s="82">
        <f>Q193/'[21]2014'!Q193-1</f>
        <v>0.17093383113620919</v>
      </c>
      <c r="X193" s="82">
        <f>R193/'[21]2014'!R193-1</f>
        <v>2.7445483348816468E-2</v>
      </c>
      <c r="Y193" s="96">
        <v>60.43</v>
      </c>
      <c r="Z193" s="49">
        <f>P193/10000-Y193</f>
        <v>946.13040000000001</v>
      </c>
      <c r="AA193" s="33">
        <v>3890.0920000000001</v>
      </c>
      <c r="AB193" s="33">
        <f>Z193*10000/AA193</f>
        <v>2432.1543038056684</v>
      </c>
      <c r="AC193" s="63">
        <f>AC186+SUM(K187:K193)/10000</f>
        <v>16.932700000000001</v>
      </c>
      <c r="AD193" s="92">
        <f>AD186+SUM(L187:L193)/10000</f>
        <v>14.5558</v>
      </c>
      <c r="AF193" s="92">
        <f>AF186+SUM(J187:J193)/10000</f>
        <v>1038.0491999999999</v>
      </c>
    </row>
    <row r="194" spans="1:32" ht="15" customHeight="1" x14ac:dyDescent="0.15">
      <c r="A194" s="20">
        <v>42193</v>
      </c>
      <c r="B194" s="20" t="s">
        <v>36</v>
      </c>
      <c r="C194" s="66">
        <v>35326</v>
      </c>
      <c r="D194" s="67">
        <f t="shared" si="26"/>
        <v>36428</v>
      </c>
      <c r="E194" s="67">
        <v>76430</v>
      </c>
      <c r="F194" s="68">
        <v>3986.2</v>
      </c>
      <c r="G194" s="69">
        <v>2512.1999999999998</v>
      </c>
      <c r="H194" s="24"/>
      <c r="I194" s="24"/>
      <c r="J194" s="70">
        <f t="shared" si="29"/>
        <v>40002</v>
      </c>
      <c r="K194" s="71">
        <v>3891</v>
      </c>
      <c r="L194" s="71">
        <v>785</v>
      </c>
      <c r="M194" s="72">
        <f t="shared" si="28"/>
        <v>311177</v>
      </c>
      <c r="N194" s="73">
        <f t="shared" si="28"/>
        <v>301908</v>
      </c>
      <c r="O194" s="73">
        <f t="shared" si="28"/>
        <v>638023</v>
      </c>
      <c r="P194" s="72">
        <f t="shared" si="27"/>
        <v>10100930</v>
      </c>
      <c r="Q194" s="72">
        <f t="shared" si="27"/>
        <v>4642294</v>
      </c>
      <c r="R194" s="72">
        <f t="shared" si="27"/>
        <v>15062788</v>
      </c>
      <c r="S194" s="79">
        <f>M194/'[21]2014'!M194-1</f>
        <v>-0.23583351137371045</v>
      </c>
      <c r="T194" s="79">
        <f>N194/'[21]2014'!N194-1</f>
        <v>0.21104715297137933</v>
      </c>
      <c r="U194" s="79">
        <f>O194/'[21]2014'!O194-1</f>
        <v>-6.5774156847643206E-2</v>
      </c>
      <c r="V194" s="79">
        <f>P194/'[21]2014'!P194-1</f>
        <v>-2.7224515845583275E-2</v>
      </c>
      <c r="W194" s="79">
        <f>Q194/'[21]2014'!Q194-1</f>
        <v>0.17013169146846785</v>
      </c>
      <c r="X194" s="79">
        <f>R194/'[21]2014'!R194-1</f>
        <v>2.617458796851535E-2</v>
      </c>
      <c r="Y194" s="85"/>
      <c r="Z194" s="97"/>
      <c r="AA194" s="85"/>
      <c r="AB194" s="71"/>
    </row>
    <row r="195" spans="1:32" ht="15" customHeight="1" x14ac:dyDescent="0.15">
      <c r="A195" s="20">
        <v>42194</v>
      </c>
      <c r="B195" s="20" t="s">
        <v>37</v>
      </c>
      <c r="C195" s="21">
        <v>37514</v>
      </c>
      <c r="D195" s="7">
        <f t="shared" si="26"/>
        <v>36451</v>
      </c>
      <c r="E195" s="7">
        <v>78572</v>
      </c>
      <c r="F195" s="22">
        <v>4071</v>
      </c>
      <c r="G195" s="23">
        <v>2519</v>
      </c>
      <c r="H195" s="24"/>
      <c r="I195" s="36"/>
      <c r="J195" s="8">
        <f t="shared" si="29"/>
        <v>42121</v>
      </c>
      <c r="K195" s="37">
        <v>3822</v>
      </c>
      <c r="L195" s="37">
        <v>785</v>
      </c>
      <c r="M195" s="74">
        <f t="shared" si="28"/>
        <v>348691</v>
      </c>
      <c r="N195" s="75">
        <f t="shared" si="28"/>
        <v>338359</v>
      </c>
      <c r="O195" s="75">
        <f t="shared" si="28"/>
        <v>716595</v>
      </c>
      <c r="P195" s="76">
        <f t="shared" si="27"/>
        <v>10138444</v>
      </c>
      <c r="Q195" s="76">
        <f t="shared" si="27"/>
        <v>4678745</v>
      </c>
      <c r="R195" s="76">
        <f t="shared" si="27"/>
        <v>15141360</v>
      </c>
      <c r="S195" s="80">
        <f>M195/'[21]2014'!M195-1</f>
        <v>-0.25388154234604354</v>
      </c>
      <c r="T195" s="80">
        <f>N195/'[21]2014'!N195-1</f>
        <v>0.19547121547234614</v>
      </c>
      <c r="U195" s="80">
        <f>O195/'[21]2014'!O195-1</f>
        <v>-8.0877213009410642E-2</v>
      </c>
      <c r="V195" s="81">
        <f>P195/'[21]2014'!P195-1</f>
        <v>-2.9233183336097368E-2</v>
      </c>
      <c r="W195" s="81">
        <f>Q195/'[21]2014'!Q195-1</f>
        <v>0.16937487470523793</v>
      </c>
      <c r="X195" s="81">
        <f>R195/'[21]2014'!R195-1</f>
        <v>2.4775813945842717E-2</v>
      </c>
      <c r="Y195" s="93">
        <f>Y188+0.3*7</f>
        <v>62.286300000000004</v>
      </c>
      <c r="Z195" s="50">
        <f>P195/10000-Y195</f>
        <v>951.55809999999997</v>
      </c>
      <c r="AA195" s="37">
        <v>3890.0920000000001</v>
      </c>
      <c r="AB195" s="37">
        <f>Z195*10000/AA195</f>
        <v>2446.1069301188763</v>
      </c>
    </row>
    <row r="196" spans="1:32" ht="15" customHeight="1" x14ac:dyDescent="0.15">
      <c r="A196" s="20">
        <v>42195</v>
      </c>
      <c r="B196" s="20" t="s">
        <v>38</v>
      </c>
      <c r="C196" s="21">
        <v>36874</v>
      </c>
      <c r="D196" s="7">
        <f t="shared" si="26"/>
        <v>33106</v>
      </c>
      <c r="E196" s="7">
        <v>74908</v>
      </c>
      <c r="F196" s="22">
        <v>4072.6</v>
      </c>
      <c r="G196" s="23">
        <v>2305.1999999999998</v>
      </c>
      <c r="H196" s="24"/>
      <c r="I196" s="36"/>
      <c r="J196" s="8">
        <f t="shared" si="29"/>
        <v>41802</v>
      </c>
      <c r="K196" s="37">
        <v>4144</v>
      </c>
      <c r="L196" s="37">
        <v>784</v>
      </c>
      <c r="M196" s="74">
        <f t="shared" si="28"/>
        <v>385565</v>
      </c>
      <c r="N196" s="75">
        <f t="shared" si="28"/>
        <v>371465</v>
      </c>
      <c r="O196" s="75">
        <f t="shared" si="28"/>
        <v>791503</v>
      </c>
      <c r="P196" s="76">
        <f t="shared" si="27"/>
        <v>10175318</v>
      </c>
      <c r="Q196" s="76">
        <f t="shared" si="27"/>
        <v>4711851</v>
      </c>
      <c r="R196" s="76">
        <f t="shared" si="27"/>
        <v>15216268</v>
      </c>
      <c r="S196" s="80">
        <f>M196/'[21]2014'!M196-1</f>
        <v>-0.27492665864299681</v>
      </c>
      <c r="T196" s="80">
        <f>N196/'[21]2014'!N196-1</f>
        <v>0.17170299340756401</v>
      </c>
      <c r="U196" s="80">
        <f>O196/'[21]2014'!O196-1</f>
        <v>-0.10141332446292195</v>
      </c>
      <c r="V196" s="81">
        <f>P196/'[21]2014'!P196-1</f>
        <v>-3.1675359586942231E-2</v>
      </c>
      <c r="W196" s="81">
        <f>Q196/'[21]2014'!Q196-1</f>
        <v>0.16772729909839534</v>
      </c>
      <c r="X196" s="81">
        <f>R196/'[21]2014'!R196-1</f>
        <v>2.2841294765854503E-2</v>
      </c>
      <c r="Y196" s="93">
        <v>61.0398</v>
      </c>
      <c r="Z196" s="50">
        <f>P196/10000-Y196</f>
        <v>956.49199999999996</v>
      </c>
      <c r="AA196" s="37">
        <v>3890.0920000000001</v>
      </c>
      <c r="AB196" s="37">
        <f>Z196*10000/AA196</f>
        <v>2458.7901777130205</v>
      </c>
      <c r="AC196" s="63">
        <v>18.118200000000002</v>
      </c>
      <c r="AD196" s="2">
        <v>14.7911</v>
      </c>
      <c r="AF196" s="2">
        <v>1050.44</v>
      </c>
    </row>
    <row r="197" spans="1:32" ht="15" customHeight="1" x14ac:dyDescent="0.15">
      <c r="A197" s="20">
        <v>42196</v>
      </c>
      <c r="B197" s="20" t="s">
        <v>39</v>
      </c>
      <c r="C197" s="21">
        <v>33458</v>
      </c>
      <c r="D197" s="7">
        <f t="shared" si="26"/>
        <v>22453</v>
      </c>
      <c r="E197" s="7">
        <v>59955</v>
      </c>
      <c r="F197" s="22">
        <v>2996.3</v>
      </c>
      <c r="G197" s="23">
        <v>1989.4</v>
      </c>
      <c r="H197" s="24"/>
      <c r="I197" s="36"/>
      <c r="J197" s="8">
        <f t="shared" si="29"/>
        <v>37502</v>
      </c>
      <c r="K197" s="37">
        <v>3260</v>
      </c>
      <c r="L197" s="37">
        <v>784</v>
      </c>
      <c r="M197" s="74">
        <f t="shared" si="28"/>
        <v>419023</v>
      </c>
      <c r="N197" s="75">
        <f t="shared" si="28"/>
        <v>393918</v>
      </c>
      <c r="O197" s="75">
        <f t="shared" si="28"/>
        <v>851458</v>
      </c>
      <c r="P197" s="76">
        <f t="shared" si="27"/>
        <v>10208776</v>
      </c>
      <c r="Q197" s="76">
        <f t="shared" si="27"/>
        <v>4734304</v>
      </c>
      <c r="R197" s="76">
        <f t="shared" si="27"/>
        <v>15276223</v>
      </c>
      <c r="S197" s="80">
        <f>M197/'[21]2014'!M197-1</f>
        <v>-0.30013528861571348</v>
      </c>
      <c r="T197" s="80">
        <f>N197/'[21]2014'!N197-1</f>
        <v>0.11727283298966729</v>
      </c>
      <c r="U197" s="80">
        <f>O197/'[21]2014'!O197-1</f>
        <v>-0.13563267398598067</v>
      </c>
      <c r="V197" s="81">
        <f>P197/'[21]2014'!P197-1</f>
        <v>-3.4642795812967919E-2</v>
      </c>
      <c r="W197" s="81">
        <f>Q197/'[21]2014'!Q197-1</f>
        <v>0.16304759927284462</v>
      </c>
      <c r="X197" s="81">
        <f>R197/'[21]2014'!R197-1</f>
        <v>1.9726632129153598E-2</v>
      </c>
      <c r="Y197" s="93"/>
      <c r="Z197" s="50"/>
      <c r="AA197" s="37"/>
      <c r="AB197" s="37"/>
    </row>
    <row r="198" spans="1:32" ht="15" customHeight="1" x14ac:dyDescent="0.15">
      <c r="A198" s="20">
        <v>42197</v>
      </c>
      <c r="B198" s="20" t="s">
        <v>1</v>
      </c>
      <c r="C198" s="21">
        <v>44122</v>
      </c>
      <c r="D198" s="7">
        <f t="shared" si="26"/>
        <v>24327</v>
      </c>
      <c r="E198" s="7">
        <v>71163</v>
      </c>
      <c r="F198" s="22">
        <v>3600.4</v>
      </c>
      <c r="G198" s="23">
        <v>2051.1999999999998</v>
      </c>
      <c r="H198" s="24"/>
      <c r="I198" s="36"/>
      <c r="J198" s="8">
        <f t="shared" si="29"/>
        <v>46836</v>
      </c>
      <c r="K198" s="37">
        <v>1934</v>
      </c>
      <c r="L198" s="37">
        <v>780</v>
      </c>
      <c r="M198" s="74">
        <f t="shared" si="28"/>
        <v>463145</v>
      </c>
      <c r="N198" s="75">
        <f t="shared" si="28"/>
        <v>418245</v>
      </c>
      <c r="O198" s="75">
        <f t="shared" si="28"/>
        <v>922621</v>
      </c>
      <c r="P198" s="76">
        <f t="shared" si="27"/>
        <v>10252898</v>
      </c>
      <c r="Q198" s="76">
        <f t="shared" si="27"/>
        <v>4758631</v>
      </c>
      <c r="R198" s="76">
        <f t="shared" si="27"/>
        <v>15347386</v>
      </c>
      <c r="S198" s="80">
        <f>M198/'[21]2014'!M198-1</f>
        <v>-0.3040541555846068</v>
      </c>
      <c r="T198" s="80">
        <f>N198/'[21]2014'!N198-1</f>
        <v>7.9782207971250241E-2</v>
      </c>
      <c r="U198" s="80">
        <f>O198/'[21]2014'!O198-1</f>
        <v>-0.15197235930332065</v>
      </c>
      <c r="V198" s="81">
        <f>P198/'[21]2014'!P198-1</f>
        <v>-3.6553629813027677E-2</v>
      </c>
      <c r="W198" s="81">
        <f>Q198/'[21]2014'!Q198-1</f>
        <v>0.15912266293165889</v>
      </c>
      <c r="X198" s="81">
        <f>R198/'[21]2014'!R198-1</f>
        <v>1.748825460777792E-2</v>
      </c>
      <c r="Y198" s="93"/>
      <c r="Z198" s="50"/>
      <c r="AA198" s="37"/>
      <c r="AB198" s="37"/>
    </row>
    <row r="199" spans="1:32" ht="15" customHeight="1" x14ac:dyDescent="0.15">
      <c r="A199" s="20">
        <v>42198</v>
      </c>
      <c r="B199" s="20" t="s">
        <v>34</v>
      </c>
      <c r="C199" s="21">
        <v>53307</v>
      </c>
      <c r="D199" s="7">
        <f t="shared" si="26"/>
        <v>33066</v>
      </c>
      <c r="E199" s="7">
        <v>88674</v>
      </c>
      <c r="F199" s="22">
        <v>4594</v>
      </c>
      <c r="G199" s="23">
        <v>2644.3</v>
      </c>
      <c r="H199" s="24"/>
      <c r="I199" s="36"/>
      <c r="J199" s="8">
        <f t="shared" si="29"/>
        <v>55608</v>
      </c>
      <c r="K199" s="37">
        <v>1519</v>
      </c>
      <c r="L199" s="37">
        <v>782</v>
      </c>
      <c r="M199" s="74">
        <f t="shared" si="28"/>
        <v>516452</v>
      </c>
      <c r="N199" s="75">
        <f t="shared" si="28"/>
        <v>451311</v>
      </c>
      <c r="O199" s="75">
        <f t="shared" si="28"/>
        <v>1011295</v>
      </c>
      <c r="P199" s="76">
        <f t="shared" si="27"/>
        <v>10306205</v>
      </c>
      <c r="Q199" s="76">
        <f t="shared" si="27"/>
        <v>4791697</v>
      </c>
      <c r="R199" s="76">
        <f t="shared" si="27"/>
        <v>15436060</v>
      </c>
      <c r="S199" s="80">
        <f>M199/'[21]2014'!M199-1</f>
        <v>-0.28201848713560618</v>
      </c>
      <c r="T199" s="80">
        <f>N199/'[21]2014'!N199-1</f>
        <v>7.2267601818985394E-2</v>
      </c>
      <c r="U199" s="80">
        <f>O199/'[21]2014'!O199-1</f>
        <v>-0.14046603578901917</v>
      </c>
      <c r="V199" s="81">
        <f>P199/'[21]2014'!P199-1</f>
        <v>-3.6417748072850475E-2</v>
      </c>
      <c r="W199" s="81">
        <f>Q199/'[21]2014'!Q199-1</f>
        <v>0.15771532082085749</v>
      </c>
      <c r="X199" s="81">
        <f>R199/'[21]2014'!R199-1</f>
        <v>1.7390939997265376E-2</v>
      </c>
      <c r="Y199" s="93"/>
      <c r="Z199" s="50"/>
      <c r="AA199" s="37"/>
      <c r="AB199" s="37"/>
    </row>
    <row r="200" spans="1:32" ht="15" customHeight="1" x14ac:dyDescent="0.15">
      <c r="A200" s="20">
        <v>42199</v>
      </c>
      <c r="B200" s="14" t="s">
        <v>35</v>
      </c>
      <c r="C200" s="15">
        <v>59431</v>
      </c>
      <c r="D200" s="16">
        <f t="shared" si="26"/>
        <v>35544</v>
      </c>
      <c r="E200" s="16">
        <v>96217</v>
      </c>
      <c r="F200" s="17">
        <v>4896</v>
      </c>
      <c r="G200" s="18">
        <v>3051</v>
      </c>
      <c r="H200" s="19"/>
      <c r="I200" s="19"/>
      <c r="J200" s="32">
        <f t="shared" si="29"/>
        <v>60673</v>
      </c>
      <c r="K200" s="33">
        <v>461</v>
      </c>
      <c r="L200" s="33">
        <v>781</v>
      </c>
      <c r="M200" s="77">
        <f t="shared" si="28"/>
        <v>575883</v>
      </c>
      <c r="N200" s="78">
        <f t="shared" si="28"/>
        <v>486855</v>
      </c>
      <c r="O200" s="78">
        <f t="shared" si="28"/>
        <v>1107512</v>
      </c>
      <c r="P200" s="77">
        <f t="shared" si="27"/>
        <v>10365636</v>
      </c>
      <c r="Q200" s="77">
        <f t="shared" si="27"/>
        <v>4827241</v>
      </c>
      <c r="R200" s="77">
        <f t="shared" si="27"/>
        <v>15532277</v>
      </c>
      <c r="S200" s="82">
        <f>M200/'[21]2014'!M200-1</f>
        <v>-0.25503439051114252</v>
      </c>
      <c r="T200" s="82">
        <f>N200/'[21]2014'!N200-1</f>
        <v>6.6450684418392303E-2</v>
      </c>
      <c r="U200" s="82">
        <f>O200/'[21]2014'!O200-1</f>
        <v>-0.12619087256095496</v>
      </c>
      <c r="V200" s="82">
        <f>P200/'[21]2014'!P200-1</f>
        <v>-3.5704647339336093E-2</v>
      </c>
      <c r="W200" s="82">
        <f>Q200/'[21]2014'!Q200-1</f>
        <v>0.15634999805128702</v>
      </c>
      <c r="X200" s="82">
        <f>R200/'[21]2014'!R200-1</f>
        <v>1.7636324093321942E-2</v>
      </c>
      <c r="Y200" s="96">
        <v>61.76</v>
      </c>
      <c r="Z200" s="49">
        <f>P200/10000-Y200</f>
        <v>974.80359999999996</v>
      </c>
      <c r="AA200" s="33">
        <v>3890.0920000000001</v>
      </c>
      <c r="AB200" s="33">
        <f>Z200*10000/AA200</f>
        <v>2505.8625862833064</v>
      </c>
      <c r="AC200" s="63">
        <f>AC196+SUM(K197:K200)/10000</f>
        <v>18.835600000000003</v>
      </c>
      <c r="AD200" s="92">
        <f>AD196+SUM(L197:L200)/10000</f>
        <v>15.1038</v>
      </c>
      <c r="AF200" s="92">
        <f>AF196+SUM(J197:J200)/10000</f>
        <v>1070.5019</v>
      </c>
    </row>
    <row r="201" spans="1:32" ht="15" customHeight="1" x14ac:dyDescent="0.15">
      <c r="A201" s="20">
        <v>42200</v>
      </c>
      <c r="B201" s="20" t="s">
        <v>36</v>
      </c>
      <c r="C201" s="66">
        <v>58817</v>
      </c>
      <c r="D201" s="67">
        <f t="shared" si="26"/>
        <v>37601</v>
      </c>
      <c r="E201" s="67">
        <v>97883</v>
      </c>
      <c r="F201" s="68">
        <v>4955</v>
      </c>
      <c r="G201" s="69">
        <v>3189</v>
      </c>
      <c r="H201" s="24"/>
      <c r="I201" s="24"/>
      <c r="J201" s="70">
        <f t="shared" si="29"/>
        <v>60282</v>
      </c>
      <c r="K201" s="71">
        <v>686</v>
      </c>
      <c r="L201" s="71">
        <v>779</v>
      </c>
      <c r="M201" s="72">
        <f t="shared" si="28"/>
        <v>634700</v>
      </c>
      <c r="N201" s="73">
        <f t="shared" si="28"/>
        <v>524456</v>
      </c>
      <c r="O201" s="73">
        <f t="shared" si="28"/>
        <v>1205395</v>
      </c>
      <c r="P201" s="72">
        <f t="shared" si="27"/>
        <v>10424453</v>
      </c>
      <c r="Q201" s="72">
        <f t="shared" si="27"/>
        <v>4864842</v>
      </c>
      <c r="R201" s="72">
        <f t="shared" si="27"/>
        <v>15630160</v>
      </c>
      <c r="S201" s="79">
        <f>M201/'[21]2014'!M201-1</f>
        <v>-0.22716031644174728</v>
      </c>
      <c r="T201" s="79">
        <f>N201/'[21]2014'!N201-1</f>
        <v>5.7168485874681263E-2</v>
      </c>
      <c r="U201" s="79">
        <f>O201/'[21]2014'!O201-1</f>
        <v>-0.11201321303888845</v>
      </c>
      <c r="V201" s="79">
        <f>P201/'[21]2014'!P201-1</f>
        <v>-3.4564139561655272E-2</v>
      </c>
      <c r="W201" s="79">
        <f>Q201/'[21]2014'!Q201-1</f>
        <v>0.15441301103922833</v>
      </c>
      <c r="X201" s="79">
        <f>R201/'[21]2014'!R201-1</f>
        <v>1.8046784673290794E-2</v>
      </c>
      <c r="Y201" s="85"/>
      <c r="Z201" s="97"/>
      <c r="AA201" s="85"/>
      <c r="AB201" s="71"/>
    </row>
    <row r="202" spans="1:32" ht="15" customHeight="1" x14ac:dyDescent="0.15">
      <c r="A202" s="20">
        <v>42201</v>
      </c>
      <c r="B202" s="20" t="s">
        <v>37</v>
      </c>
      <c r="C202" s="21">
        <v>61141</v>
      </c>
      <c r="D202" s="7">
        <f t="shared" si="26"/>
        <v>35371</v>
      </c>
      <c r="E202" s="7">
        <v>97469</v>
      </c>
      <c r="F202" s="22">
        <v>4899.7</v>
      </c>
      <c r="G202" s="23">
        <v>3252.3</v>
      </c>
      <c r="H202" s="24"/>
      <c r="I202" s="36"/>
      <c r="J202" s="8">
        <f t="shared" si="29"/>
        <v>62098</v>
      </c>
      <c r="K202" s="37">
        <v>178</v>
      </c>
      <c r="L202" s="37">
        <v>779</v>
      </c>
      <c r="M202" s="74">
        <f t="shared" si="28"/>
        <v>695841</v>
      </c>
      <c r="N202" s="75">
        <f t="shared" si="28"/>
        <v>559827</v>
      </c>
      <c r="O202" s="75">
        <f t="shared" si="28"/>
        <v>1302864</v>
      </c>
      <c r="P202" s="76">
        <f t="shared" si="27"/>
        <v>10485594</v>
      </c>
      <c r="Q202" s="76">
        <f t="shared" si="27"/>
        <v>4900213</v>
      </c>
      <c r="R202" s="76">
        <f t="shared" si="27"/>
        <v>15727629</v>
      </c>
      <c r="S202" s="80">
        <f>M202/'[21]2014'!M202-1</f>
        <v>-0.20657394231295501</v>
      </c>
      <c r="T202" s="80">
        <f>N202/'[21]2014'!N202-1</f>
        <v>5.6267393703832935E-2</v>
      </c>
      <c r="U202" s="80">
        <f>O202/'[21]2014'!O202-1</f>
        <v>-0.10094483103175111</v>
      </c>
      <c r="V202" s="81">
        <f>P202/'[21]2014'!P202-1</f>
        <v>-3.3889975285200546E-2</v>
      </c>
      <c r="W202" s="81">
        <f>Q202/'[21]2014'!Q202-1</f>
        <v>0.15352433092553053</v>
      </c>
      <c r="X202" s="81">
        <f>R202/'[21]2014'!R202-1</f>
        <v>1.831309406014503E-2</v>
      </c>
      <c r="Y202" s="93">
        <f>Y196+0.2*6</f>
        <v>62.239800000000002</v>
      </c>
      <c r="Z202" s="50">
        <f>P202/10000-Y202</f>
        <v>986.31960000000004</v>
      </c>
      <c r="AA202" s="37">
        <v>3890.0920000000001</v>
      </c>
      <c r="AB202" s="37">
        <f>Z202*10000/AA202</f>
        <v>2535.4659992617139</v>
      </c>
    </row>
    <row r="203" spans="1:32" ht="15" customHeight="1" x14ac:dyDescent="0.15">
      <c r="A203" s="20">
        <v>42202</v>
      </c>
      <c r="B203" s="20" t="s">
        <v>38</v>
      </c>
      <c r="C203" s="21">
        <v>54628</v>
      </c>
      <c r="D203" s="7">
        <v>40661</v>
      </c>
      <c r="E203" s="7">
        <v>96458</v>
      </c>
      <c r="F203" s="22">
        <v>4906.1000000000004</v>
      </c>
      <c r="G203" s="23">
        <v>3203.5</v>
      </c>
      <c r="H203" s="24"/>
      <c r="I203" s="36"/>
      <c r="J203" s="8">
        <f t="shared" si="29"/>
        <v>55797</v>
      </c>
      <c r="K203" s="37">
        <f t="shared" ref="K203:K266" si="30">J203-C203-L203</f>
        <v>389</v>
      </c>
      <c r="L203" s="37">
        <v>780</v>
      </c>
      <c r="M203" s="74">
        <f t="shared" si="28"/>
        <v>750469</v>
      </c>
      <c r="N203" s="75">
        <f t="shared" si="28"/>
        <v>600488</v>
      </c>
      <c r="O203" s="75">
        <f t="shared" si="28"/>
        <v>1399322</v>
      </c>
      <c r="P203" s="76">
        <f t="shared" ref="P203:R217" si="31">P$186+M203</f>
        <v>10540222</v>
      </c>
      <c r="Q203" s="76">
        <f t="shared" si="31"/>
        <v>4940874</v>
      </c>
      <c r="R203" s="76">
        <f t="shared" si="31"/>
        <v>15824087</v>
      </c>
      <c r="S203" s="80">
        <f>M203/'[21]2014'!M203-1</f>
        <v>-0.1980986512968792</v>
      </c>
      <c r="T203" s="80">
        <f>N203/'[21]2014'!N203-1</f>
        <v>5.9426081280158138E-2</v>
      </c>
      <c r="U203" s="80">
        <f>O203/'[21]2014'!O203-1</f>
        <v>-9.5143285587636739E-2</v>
      </c>
      <c r="V203" s="81">
        <f>P203/'[21]2014'!P203-1</f>
        <v>-3.4094464304860517E-2</v>
      </c>
      <c r="W203" s="81">
        <f>Q203/'[21]2014'!Q203-1</f>
        <v>0.15310688313142262</v>
      </c>
      <c r="X203" s="81">
        <f>R203/'[21]2014'!R203-1</f>
        <v>1.8143681334680473E-2</v>
      </c>
      <c r="Y203" s="93"/>
      <c r="Z203" s="50"/>
      <c r="AA203" s="37"/>
      <c r="AB203" s="37"/>
    </row>
    <row r="204" spans="1:32" ht="15" customHeight="1" x14ac:dyDescent="0.15">
      <c r="A204" s="20">
        <v>42203</v>
      </c>
      <c r="B204" s="20" t="s">
        <v>39</v>
      </c>
      <c r="C204" s="21">
        <v>52742</v>
      </c>
      <c r="D204" s="7">
        <v>39196</v>
      </c>
      <c r="E204" s="7">
        <v>93337</v>
      </c>
      <c r="F204" s="22">
        <v>4675</v>
      </c>
      <c r="G204" s="23">
        <v>3179</v>
      </c>
      <c r="H204" s="24"/>
      <c r="I204" s="36"/>
      <c r="J204" s="8">
        <f t="shared" si="29"/>
        <v>54141</v>
      </c>
      <c r="K204" s="37">
        <f t="shared" si="30"/>
        <v>619</v>
      </c>
      <c r="L204" s="37">
        <v>780</v>
      </c>
      <c r="M204" s="74">
        <f t="shared" ref="M204:O217" si="32">C204+M203</f>
        <v>803211</v>
      </c>
      <c r="N204" s="75">
        <f t="shared" si="32"/>
        <v>639684</v>
      </c>
      <c r="O204" s="75">
        <f t="shared" si="32"/>
        <v>1492659</v>
      </c>
      <c r="P204" s="76">
        <f t="shared" si="31"/>
        <v>10592964</v>
      </c>
      <c r="Q204" s="76">
        <f t="shared" si="31"/>
        <v>4980070</v>
      </c>
      <c r="R204" s="76">
        <f t="shared" si="31"/>
        <v>15917424</v>
      </c>
      <c r="S204" s="80">
        <f>M204/'[21]2014'!M204-1</f>
        <v>-0.19436403574760031</v>
      </c>
      <c r="T204" s="80">
        <f>N204/'[21]2014'!N204-1</f>
        <v>5.5704362377894556E-2</v>
      </c>
      <c r="U204" s="80">
        <f>O204/'[21]2014'!O204-1</f>
        <v>-9.4481749911884405E-2</v>
      </c>
      <c r="V204" s="81">
        <f>P204/'[21]2014'!P204-1</f>
        <v>-3.466875073700959E-2</v>
      </c>
      <c r="W204" s="81">
        <f>Q204/'[21]2014'!Q204-1</f>
        <v>0.15173766208542872</v>
      </c>
      <c r="X204" s="81">
        <f>R204/'[21]2014'!R204-1</f>
        <v>1.7475140836618719E-2</v>
      </c>
      <c r="Y204" s="93"/>
      <c r="Z204" s="50"/>
      <c r="AA204" s="37"/>
      <c r="AB204" s="37"/>
    </row>
    <row r="205" spans="1:32" ht="15" customHeight="1" x14ac:dyDescent="0.15">
      <c r="A205" s="20">
        <v>42204</v>
      </c>
      <c r="B205" s="20" t="s">
        <v>1</v>
      </c>
      <c r="C205" s="21">
        <v>49835</v>
      </c>
      <c r="D205" s="7">
        <v>38138</v>
      </c>
      <c r="E205" s="7">
        <v>89410</v>
      </c>
      <c r="F205" s="22">
        <v>4295</v>
      </c>
      <c r="G205" s="23">
        <v>3115</v>
      </c>
      <c r="H205" s="24"/>
      <c r="I205" s="36"/>
      <c r="J205" s="8">
        <f t="shared" si="29"/>
        <v>51272</v>
      </c>
      <c r="K205" s="37">
        <f t="shared" si="30"/>
        <v>657</v>
      </c>
      <c r="L205" s="37">
        <v>780</v>
      </c>
      <c r="M205" s="74">
        <f t="shared" si="32"/>
        <v>853046</v>
      </c>
      <c r="N205" s="75">
        <f t="shared" si="32"/>
        <v>677822</v>
      </c>
      <c r="O205" s="75">
        <f t="shared" si="32"/>
        <v>1582069</v>
      </c>
      <c r="P205" s="76">
        <f t="shared" si="31"/>
        <v>10642799</v>
      </c>
      <c r="Q205" s="76">
        <f t="shared" si="31"/>
        <v>5018208</v>
      </c>
      <c r="R205" s="76">
        <f t="shared" si="31"/>
        <v>16006834</v>
      </c>
      <c r="S205" s="80">
        <f>M205/'[21]2014'!M205-1</f>
        <v>-0.19434199801854712</v>
      </c>
      <c r="T205" s="80">
        <f>N205/'[21]2014'!N205-1</f>
        <v>5.1468797458438242E-2</v>
      </c>
      <c r="U205" s="80">
        <f>O205/'[21]2014'!O205-1</f>
        <v>-9.6566130245269832E-2</v>
      </c>
      <c r="V205" s="81">
        <f>P205/'[21]2014'!P205-1</f>
        <v>-3.556138899544159E-2</v>
      </c>
      <c r="W205" s="81">
        <f>Q205/'[21]2014'!Q205-1</f>
        <v>0.15025965382103612</v>
      </c>
      <c r="X205" s="81">
        <f>R205/'[21]2014'!R205-1</f>
        <v>1.6512665380012947E-2</v>
      </c>
      <c r="Y205" s="93"/>
      <c r="Z205" s="50"/>
      <c r="AA205" s="37"/>
      <c r="AB205" s="37"/>
    </row>
    <row r="206" spans="1:32" ht="15" customHeight="1" x14ac:dyDescent="0.15">
      <c r="A206" s="20">
        <v>42205</v>
      </c>
      <c r="B206" s="20" t="s">
        <v>34</v>
      </c>
      <c r="C206" s="21">
        <v>55956</v>
      </c>
      <c r="D206" s="7">
        <v>39653</v>
      </c>
      <c r="E206" s="7">
        <v>97259</v>
      </c>
      <c r="F206" s="22">
        <v>4965</v>
      </c>
      <c r="G206" s="23">
        <v>3069</v>
      </c>
      <c r="H206" s="24"/>
      <c r="I206" s="36"/>
      <c r="J206" s="8">
        <f t="shared" si="29"/>
        <v>57606</v>
      </c>
      <c r="K206" s="37">
        <f t="shared" si="30"/>
        <v>870</v>
      </c>
      <c r="L206" s="37">
        <v>780</v>
      </c>
      <c r="M206" s="74">
        <f t="shared" si="32"/>
        <v>909002</v>
      </c>
      <c r="N206" s="75">
        <f t="shared" si="32"/>
        <v>717475</v>
      </c>
      <c r="O206" s="75">
        <f t="shared" si="32"/>
        <v>1679328</v>
      </c>
      <c r="P206" s="76">
        <f t="shared" si="31"/>
        <v>10698755</v>
      </c>
      <c r="Q206" s="76">
        <f t="shared" si="31"/>
        <v>5057861</v>
      </c>
      <c r="R206" s="76">
        <f t="shared" si="31"/>
        <v>16104093</v>
      </c>
      <c r="S206" s="80">
        <f>M206/'[21]2014'!M206-1</f>
        <v>-0.18706279009452942</v>
      </c>
      <c r="T206" s="80">
        <f>N206/'[21]2014'!N206-1</f>
        <v>5.0063810979000811E-2</v>
      </c>
      <c r="U206" s="80">
        <f>O206/'[21]2014'!O206-1</f>
        <v>-9.2746523234442768E-2</v>
      </c>
      <c r="V206" s="81">
        <f>P206/'[21]2014'!P206-1</f>
        <v>-3.5677156895917994E-2</v>
      </c>
      <c r="W206" s="81">
        <f>Q206/'[21]2014'!Q206-1</f>
        <v>0.14917456984461719</v>
      </c>
      <c r="X206" s="81">
        <f>R206/'[21]2014'!R206-1</f>
        <v>1.6246461152276126E-2</v>
      </c>
      <c r="Y206" s="93">
        <v>65.219700000000003</v>
      </c>
      <c r="Z206" s="50">
        <f>P206/10000-Y206</f>
        <v>1004.6558000000001</v>
      </c>
      <c r="AA206" s="37">
        <v>3890.0920000000001</v>
      </c>
      <c r="AB206" s="37">
        <f>Z206*10000/AA206</f>
        <v>2582.6016454109572</v>
      </c>
      <c r="AC206" s="63">
        <v>19.178000000000001</v>
      </c>
      <c r="AD206" s="2">
        <v>15.5694</v>
      </c>
      <c r="AF206" s="2">
        <v>1104.6199999999999</v>
      </c>
    </row>
    <row r="207" spans="1:32" ht="15" customHeight="1" x14ac:dyDescent="0.15">
      <c r="A207" s="20">
        <v>42206</v>
      </c>
      <c r="B207" s="14" t="s">
        <v>35</v>
      </c>
      <c r="C207" s="15">
        <v>52572</v>
      </c>
      <c r="D207" s="16">
        <f>29739+11210</f>
        <v>40949</v>
      </c>
      <c r="E207" s="16">
        <v>94921</v>
      </c>
      <c r="F207" s="17">
        <v>4851</v>
      </c>
      <c r="G207" s="18">
        <v>3561</v>
      </c>
      <c r="H207" s="19">
        <v>1950</v>
      </c>
      <c r="I207" s="19">
        <v>1457</v>
      </c>
      <c r="J207" s="32">
        <f t="shared" si="29"/>
        <v>53972</v>
      </c>
      <c r="K207" s="33">
        <f t="shared" si="30"/>
        <v>620</v>
      </c>
      <c r="L207" s="33">
        <v>780</v>
      </c>
      <c r="M207" s="77">
        <f t="shared" si="32"/>
        <v>961574</v>
      </c>
      <c r="N207" s="78">
        <f t="shared" si="32"/>
        <v>758424</v>
      </c>
      <c r="O207" s="78">
        <f t="shared" si="32"/>
        <v>1774249</v>
      </c>
      <c r="P207" s="77">
        <f t="shared" si="31"/>
        <v>10751327</v>
      </c>
      <c r="Q207" s="77">
        <f t="shared" si="31"/>
        <v>5098810</v>
      </c>
      <c r="R207" s="77">
        <f t="shared" si="31"/>
        <v>16199014</v>
      </c>
      <c r="S207" s="82">
        <f>M207/'[21]2014'!M207-1</f>
        <v>-0.18819302212098754</v>
      </c>
      <c r="T207" s="82">
        <f>N207/'[21]2014'!N207-1</f>
        <v>5.0761653400943407E-2</v>
      </c>
      <c r="U207" s="82">
        <f>O207/'[21]2014'!O207-1</f>
        <v>-9.4189073491594888E-2</v>
      </c>
      <c r="V207" s="82">
        <f>P207/'[21]2014'!P207-1</f>
        <v>-3.6696612296470144E-2</v>
      </c>
      <c r="W207" s="82">
        <f>Q207/'[21]2014'!Q207-1</f>
        <v>0.14842819728501833</v>
      </c>
      <c r="X207" s="82">
        <f>R207/'[21]2014'!R207-1</f>
        <v>1.53333340152777E-2</v>
      </c>
      <c r="Y207" s="96">
        <v>65.62</v>
      </c>
      <c r="Z207" s="49">
        <f>P207/10000-Y207</f>
        <v>1009.5127000000001</v>
      </c>
      <c r="AA207" s="33">
        <v>3890.0920000000001</v>
      </c>
      <c r="AB207" s="33">
        <f>Z207*10000/AA207</f>
        <v>2595.0869542416995</v>
      </c>
      <c r="AC207" s="63">
        <f>AC206+SUM(K207:K207)/10000</f>
        <v>19.240000000000002</v>
      </c>
      <c r="AD207" s="92">
        <f>AD206+SUM(L207:L207)/10000</f>
        <v>15.647399999999999</v>
      </c>
      <c r="AF207" s="92">
        <f>AF206+J207/10000</f>
        <v>1110.0172</v>
      </c>
    </row>
    <row r="208" spans="1:32" ht="15" customHeight="1" x14ac:dyDescent="0.15">
      <c r="A208" s="20">
        <v>42207</v>
      </c>
      <c r="B208" s="20" t="s">
        <v>36</v>
      </c>
      <c r="C208" s="66">
        <v>54294</v>
      </c>
      <c r="D208" s="67">
        <f>30037+11237</f>
        <v>41274</v>
      </c>
      <c r="E208" s="67">
        <v>96778</v>
      </c>
      <c r="F208" s="68">
        <v>4885</v>
      </c>
      <c r="G208" s="69">
        <v>3141</v>
      </c>
      <c r="H208" s="24"/>
      <c r="I208" s="24"/>
      <c r="J208" s="70">
        <f t="shared" si="29"/>
        <v>55504</v>
      </c>
      <c r="K208" s="71">
        <f t="shared" si="30"/>
        <v>430</v>
      </c>
      <c r="L208" s="71">
        <v>780</v>
      </c>
      <c r="M208" s="72">
        <f t="shared" si="32"/>
        <v>1015868</v>
      </c>
      <c r="N208" s="73">
        <f t="shared" si="32"/>
        <v>799698</v>
      </c>
      <c r="O208" s="73">
        <f t="shared" si="32"/>
        <v>1871027</v>
      </c>
      <c r="P208" s="72">
        <f t="shared" si="31"/>
        <v>10805621</v>
      </c>
      <c r="Q208" s="72">
        <f t="shared" si="31"/>
        <v>5140084</v>
      </c>
      <c r="R208" s="72">
        <f t="shared" si="31"/>
        <v>16295792</v>
      </c>
      <c r="S208" s="79">
        <f>M208/'[21]2014'!M208-1</f>
        <v>-0.18617439543085856</v>
      </c>
      <c r="T208" s="79">
        <f>N208/'[21]2014'!N208-1</f>
        <v>5.4780951376019793E-2</v>
      </c>
      <c r="U208" s="79">
        <f>O208/'[21]2014'!O208-1</f>
        <v>-9.3024044938046835E-2</v>
      </c>
      <c r="V208" s="79">
        <f>P208/'[21]2014'!P208-1</f>
        <v>-3.7332901598611912E-2</v>
      </c>
      <c r="W208" s="79">
        <f>Q208/'[21]2014'!Q208-1</f>
        <v>0.14831519557420658</v>
      </c>
      <c r="X208" s="79">
        <f>R208/'[21]2014'!R208-1</f>
        <v>1.4772415425610363E-2</v>
      </c>
      <c r="Y208" s="85"/>
      <c r="Z208" s="97"/>
      <c r="AA208" s="85"/>
      <c r="AB208" s="71"/>
    </row>
    <row r="209" spans="1:32" ht="15" customHeight="1" x14ac:dyDescent="0.15">
      <c r="A209" s="20">
        <v>42208</v>
      </c>
      <c r="B209" s="20" t="s">
        <v>37</v>
      </c>
      <c r="C209" s="21">
        <v>53902</v>
      </c>
      <c r="D209" s="7">
        <v>41333</v>
      </c>
      <c r="E209" s="7">
        <v>97684</v>
      </c>
      <c r="F209" s="22">
        <v>4958</v>
      </c>
      <c r="G209" s="23">
        <v>3209</v>
      </c>
      <c r="H209" s="24">
        <v>1988</v>
      </c>
      <c r="I209" s="36">
        <v>1467</v>
      </c>
      <c r="J209" s="8">
        <f t="shared" si="29"/>
        <v>56351</v>
      </c>
      <c r="K209" s="37">
        <f t="shared" si="30"/>
        <v>1669</v>
      </c>
      <c r="L209" s="37">
        <v>780</v>
      </c>
      <c r="M209" s="74">
        <f t="shared" si="32"/>
        <v>1069770</v>
      </c>
      <c r="N209" s="75">
        <f t="shared" si="32"/>
        <v>841031</v>
      </c>
      <c r="O209" s="75">
        <f t="shared" si="32"/>
        <v>1968711</v>
      </c>
      <c r="P209" s="76">
        <f t="shared" si="31"/>
        <v>10859523</v>
      </c>
      <c r="Q209" s="76">
        <f t="shared" si="31"/>
        <v>5181417</v>
      </c>
      <c r="R209" s="76">
        <f t="shared" si="31"/>
        <v>16393476</v>
      </c>
      <c r="S209" s="80">
        <f>M209/'[21]2014'!M209-1</f>
        <v>-0.18516965353246406</v>
      </c>
      <c r="T209" s="80">
        <f>N209/'[21]2014'!N209-1</f>
        <v>5.6404388250101078E-2</v>
      </c>
      <c r="U209" s="80">
        <f>O209/'[21]2014'!O209-1</f>
        <v>-9.2606027197238983E-2</v>
      </c>
      <c r="V209" s="81">
        <f>P209/'[21]2014'!P209-1</f>
        <v>-3.8067921432441865E-2</v>
      </c>
      <c r="W209" s="81">
        <f>Q209/'[21]2014'!Q209-1</f>
        <v>0.14781494866450262</v>
      </c>
      <c r="X209" s="81">
        <f>R209/'[21]2014'!R209-1</f>
        <v>1.4116981876844736E-2</v>
      </c>
      <c r="Y209" s="93">
        <f>Y206+0.4*3</f>
        <v>66.419700000000006</v>
      </c>
      <c r="Z209" s="50">
        <f>P209/10000-Y209</f>
        <v>1019.5325999999999</v>
      </c>
      <c r="AA209" s="37">
        <v>3890.0920000000001</v>
      </c>
      <c r="AB209" s="37">
        <f>Z209*10000/AA209</f>
        <v>2620.8444427535383</v>
      </c>
    </row>
    <row r="210" spans="1:32" ht="15" customHeight="1" x14ac:dyDescent="0.15">
      <c r="A210" s="20">
        <v>42209</v>
      </c>
      <c r="B210" s="20" t="s">
        <v>38</v>
      </c>
      <c r="C210" s="21">
        <v>56182</v>
      </c>
      <c r="D210" s="7">
        <v>41362</v>
      </c>
      <c r="E210" s="7">
        <v>99578</v>
      </c>
      <c r="F210" s="22">
        <v>5227</v>
      </c>
      <c r="G210" s="23">
        <v>3193</v>
      </c>
      <c r="H210" s="24">
        <v>1950</v>
      </c>
      <c r="I210" s="36">
        <v>1474</v>
      </c>
      <c r="J210" s="8">
        <f t="shared" si="29"/>
        <v>58216</v>
      </c>
      <c r="K210" s="37">
        <f t="shared" si="30"/>
        <v>1254</v>
      </c>
      <c r="L210" s="37">
        <v>780</v>
      </c>
      <c r="M210" s="74">
        <f t="shared" si="32"/>
        <v>1125952</v>
      </c>
      <c r="N210" s="75">
        <f t="shared" si="32"/>
        <v>882393</v>
      </c>
      <c r="O210" s="75">
        <f t="shared" si="32"/>
        <v>2068289</v>
      </c>
      <c r="P210" s="76">
        <f t="shared" si="31"/>
        <v>10915705</v>
      </c>
      <c r="Q210" s="76">
        <f t="shared" si="31"/>
        <v>5222779</v>
      </c>
      <c r="R210" s="76">
        <f t="shared" si="31"/>
        <v>16493054</v>
      </c>
      <c r="S210" s="80">
        <f>M210/'[21]2014'!M210-1</f>
        <v>-0.18105108239259537</v>
      </c>
      <c r="T210" s="80">
        <f>N210/'[21]2014'!N210-1</f>
        <v>5.9949356505694995E-2</v>
      </c>
      <c r="U210" s="80">
        <f>O210/'[21]2014'!O210-1</f>
        <v>-8.9714418000362617E-2</v>
      </c>
      <c r="V210" s="81">
        <f>P210/'[21]2014'!P210-1</f>
        <v>-3.8372538013440205E-2</v>
      </c>
      <c r="W210" s="81">
        <f>Q210/'[21]2014'!Q210-1</f>
        <v>0.14773307851101158</v>
      </c>
      <c r="X210" s="81">
        <f>R210/'[21]2014'!R210-1</f>
        <v>1.3848414622031013E-2</v>
      </c>
      <c r="Y210" s="93"/>
      <c r="Z210" s="50"/>
      <c r="AA210" s="37"/>
      <c r="AB210" s="37"/>
    </row>
    <row r="211" spans="1:32" ht="15" customHeight="1" x14ac:dyDescent="0.15">
      <c r="A211" s="20">
        <v>42210</v>
      </c>
      <c r="B211" s="20" t="s">
        <v>39</v>
      </c>
      <c r="C211" s="21">
        <v>58648</v>
      </c>
      <c r="D211" s="7">
        <v>40295</v>
      </c>
      <c r="E211" s="7">
        <v>100825</v>
      </c>
      <c r="F211" s="22">
        <v>4985</v>
      </c>
      <c r="G211" s="23">
        <v>3093</v>
      </c>
      <c r="H211" s="24">
        <v>1939</v>
      </c>
      <c r="I211" s="36">
        <v>1410</v>
      </c>
      <c r="J211" s="8">
        <f t="shared" si="29"/>
        <v>60530</v>
      </c>
      <c r="K211" s="37">
        <f t="shared" si="30"/>
        <v>1102</v>
      </c>
      <c r="L211" s="37">
        <v>780</v>
      </c>
      <c r="M211" s="74">
        <f t="shared" si="32"/>
        <v>1184600</v>
      </c>
      <c r="N211" s="75">
        <f t="shared" si="32"/>
        <v>922688</v>
      </c>
      <c r="O211" s="75">
        <f t="shared" si="32"/>
        <v>2169114</v>
      </c>
      <c r="P211" s="76">
        <f t="shared" si="31"/>
        <v>10974353</v>
      </c>
      <c r="Q211" s="76">
        <f t="shared" si="31"/>
        <v>5263074</v>
      </c>
      <c r="R211" s="76">
        <f t="shared" si="31"/>
        <v>16593879</v>
      </c>
      <c r="S211" s="80">
        <f>M211/'[21]2014'!M211-1</f>
        <v>-0.17189534434892884</v>
      </c>
      <c r="T211" s="80">
        <f>N211/'[21]2014'!N211-1</f>
        <v>6.0082054887849567E-2</v>
      </c>
      <c r="U211" s="80">
        <f>O211/'[21]2014'!O211-1</f>
        <v>-8.4377231950642506E-2</v>
      </c>
      <c r="V211" s="81">
        <f>P211/'[21]2014'!P211-1</f>
        <v>-3.7920064743389714E-2</v>
      </c>
      <c r="W211" s="81">
        <f>Q211/'[21]2014'!Q211-1</f>
        <v>0.14703303036003157</v>
      </c>
      <c r="X211" s="81">
        <f>R211/'[21]2014'!R211-1</f>
        <v>1.4007995026761089E-2</v>
      </c>
      <c r="Y211" s="93"/>
      <c r="Z211" s="50"/>
      <c r="AA211" s="37"/>
      <c r="AB211" s="37"/>
    </row>
    <row r="212" spans="1:32" ht="15" customHeight="1" x14ac:dyDescent="0.15">
      <c r="A212" s="20">
        <v>42211</v>
      </c>
      <c r="B212" s="20" t="s">
        <v>1</v>
      </c>
      <c r="C212" s="21">
        <v>57669</v>
      </c>
      <c r="D212" s="7">
        <v>40405</v>
      </c>
      <c r="E212" s="7">
        <v>99564</v>
      </c>
      <c r="F212" s="22">
        <v>4748</v>
      </c>
      <c r="G212" s="23">
        <v>3381</v>
      </c>
      <c r="H212" s="24">
        <v>1939</v>
      </c>
      <c r="I212" s="36">
        <v>1389</v>
      </c>
      <c r="J212" s="8">
        <f t="shared" si="29"/>
        <v>59159</v>
      </c>
      <c r="K212" s="37">
        <f t="shared" si="30"/>
        <v>710</v>
      </c>
      <c r="L212" s="37">
        <v>780</v>
      </c>
      <c r="M212" s="74">
        <f t="shared" si="32"/>
        <v>1242269</v>
      </c>
      <c r="N212" s="75">
        <f t="shared" si="32"/>
        <v>963093</v>
      </c>
      <c r="O212" s="75">
        <f t="shared" si="32"/>
        <v>2268678</v>
      </c>
      <c r="P212" s="76">
        <f t="shared" si="31"/>
        <v>11032022</v>
      </c>
      <c r="Q212" s="76">
        <f t="shared" si="31"/>
        <v>5303479</v>
      </c>
      <c r="R212" s="76">
        <f t="shared" si="31"/>
        <v>16693443</v>
      </c>
      <c r="S212" s="80">
        <f>M212/'[21]2014'!M212-1</f>
        <v>-0.16460818332398242</v>
      </c>
      <c r="T212" s="80">
        <f>N212/'[21]2014'!N212-1</f>
        <v>6.0714828528821485E-2</v>
      </c>
      <c r="U212" s="80">
        <f>O212/'[21]2014'!O212-1</f>
        <v>-7.9951740289761042E-2</v>
      </c>
      <c r="V212" s="81">
        <f>P212/'[21]2014'!P212-1</f>
        <v>-3.7635723711392011E-2</v>
      </c>
      <c r="W212" s="81">
        <f>Q212/'[21]2014'!Q212-1</f>
        <v>0.14645099972068731</v>
      </c>
      <c r="X212" s="81">
        <f>R212/'[21]2014'!R212-1</f>
        <v>1.4092236130713642E-2</v>
      </c>
      <c r="Y212" s="93"/>
      <c r="Z212" s="50"/>
      <c r="AA212" s="37"/>
      <c r="AB212" s="37"/>
    </row>
    <row r="213" spans="1:32" ht="15" customHeight="1" x14ac:dyDescent="0.15">
      <c r="A213" s="20">
        <v>42212</v>
      </c>
      <c r="B213" s="20" t="s">
        <v>34</v>
      </c>
      <c r="C213" s="21">
        <v>68221</v>
      </c>
      <c r="D213" s="7">
        <v>41266</v>
      </c>
      <c r="E213" s="7">
        <v>111254</v>
      </c>
      <c r="F213" s="22">
        <v>5560</v>
      </c>
      <c r="G213" s="23">
        <v>3437</v>
      </c>
      <c r="H213" s="24">
        <v>1975</v>
      </c>
      <c r="I213" s="36">
        <v>1397</v>
      </c>
      <c r="J213" s="8">
        <f t="shared" si="29"/>
        <v>69988</v>
      </c>
      <c r="K213" s="37">
        <f t="shared" si="30"/>
        <v>987</v>
      </c>
      <c r="L213" s="37">
        <v>780</v>
      </c>
      <c r="M213" s="74">
        <f t="shared" si="32"/>
        <v>1310490</v>
      </c>
      <c r="N213" s="75">
        <f t="shared" si="32"/>
        <v>1004359</v>
      </c>
      <c r="O213" s="75">
        <f t="shared" si="32"/>
        <v>2379932</v>
      </c>
      <c r="P213" s="76">
        <f t="shared" si="31"/>
        <v>11100243</v>
      </c>
      <c r="Q213" s="76">
        <f t="shared" si="31"/>
        <v>5344745</v>
      </c>
      <c r="R213" s="76">
        <f t="shared" si="31"/>
        <v>16804697</v>
      </c>
      <c r="S213" s="80">
        <f>M213/'[21]2014'!M213-1</f>
        <v>-0.14783418959798089</v>
      </c>
      <c r="T213" s="80">
        <f>N213/'[21]2014'!N213-1</f>
        <v>6.2241607430495005E-2</v>
      </c>
      <c r="U213" s="80">
        <f>O213/'[21]2014'!O213-1</f>
        <v>-6.8955224464487208E-2</v>
      </c>
      <c r="V213" s="81">
        <f>P213/'[21]2014'!P213-1</f>
        <v>-3.5955428182174454E-2</v>
      </c>
      <c r="W213" s="81">
        <f>Q213/'[21]2014'!Q213-1</f>
        <v>0.14607034257087248</v>
      </c>
      <c r="X213" s="81">
        <f>R213/'[21]2014'!R213-1</f>
        <v>1.527702836771283E-2</v>
      </c>
      <c r="Y213" s="93"/>
      <c r="Z213" s="50"/>
      <c r="AA213" s="37"/>
      <c r="AB213" s="37"/>
    </row>
    <row r="214" spans="1:32" ht="15" customHeight="1" x14ac:dyDescent="0.15">
      <c r="A214" s="20">
        <v>42213</v>
      </c>
      <c r="B214" s="14" t="s">
        <v>35</v>
      </c>
      <c r="C214" s="15">
        <v>72300</v>
      </c>
      <c r="D214" s="16">
        <v>40543</v>
      </c>
      <c r="E214" s="16">
        <v>114118</v>
      </c>
      <c r="F214" s="17">
        <v>5652</v>
      </c>
      <c r="G214" s="18">
        <v>3742</v>
      </c>
      <c r="H214" s="19">
        <v>1934</v>
      </c>
      <c r="I214" s="19">
        <v>1379</v>
      </c>
      <c r="J214" s="32">
        <f t="shared" si="29"/>
        <v>73575</v>
      </c>
      <c r="K214" s="33">
        <f t="shared" si="30"/>
        <v>495</v>
      </c>
      <c r="L214" s="33">
        <v>780</v>
      </c>
      <c r="M214" s="77">
        <f t="shared" si="32"/>
        <v>1382790</v>
      </c>
      <c r="N214" s="78">
        <f t="shared" si="32"/>
        <v>1044902</v>
      </c>
      <c r="O214" s="78">
        <f t="shared" si="32"/>
        <v>2494050</v>
      </c>
      <c r="P214" s="77">
        <f t="shared" si="31"/>
        <v>11172543</v>
      </c>
      <c r="Q214" s="77">
        <f t="shared" si="31"/>
        <v>5385288</v>
      </c>
      <c r="R214" s="77">
        <f t="shared" si="31"/>
        <v>16918815</v>
      </c>
      <c r="S214" s="82">
        <f>M214/'[21]2014'!M214-1</f>
        <v>-0.13174192390452832</v>
      </c>
      <c r="T214" s="82">
        <f>N214/'[21]2014'!N214-1</f>
        <v>6.2215042985622748E-2</v>
      </c>
      <c r="U214" s="82">
        <f>O214/'[21]2014'!O214-1</f>
        <v>-5.9606694229366153E-2</v>
      </c>
      <c r="V214" s="82">
        <f>P214/'[21]2014'!P214-1</f>
        <v>-3.4269786453612783E-2</v>
      </c>
      <c r="W214" s="82">
        <f>Q214/'[21]2014'!Q214-1</f>
        <v>0.14538384694440598</v>
      </c>
      <c r="X214" s="82">
        <f>R214/'[21]2014'!R214-1</f>
        <v>1.628090562708584E-2</v>
      </c>
      <c r="Y214" s="96">
        <f>Y209+0.4*4</f>
        <v>68.0197</v>
      </c>
      <c r="Z214" s="96">
        <f t="shared" ref="Z214" si="33">P214/10000-Y214</f>
        <v>1049.2346</v>
      </c>
      <c r="AA214" s="33"/>
      <c r="AB214" s="33"/>
      <c r="AC214" s="63">
        <f>AC207+SUM(K208:K214)/10000</f>
        <v>19.904700000000002</v>
      </c>
      <c r="AD214" s="2">
        <f>AD207+SUM(L208:L214)/10000</f>
        <v>16.1934</v>
      </c>
      <c r="AF214" s="2">
        <f>AF207+SUM(J208:J214)/10000</f>
        <v>1153.3495</v>
      </c>
    </row>
    <row r="215" spans="1:32" ht="15" customHeight="1" x14ac:dyDescent="0.15">
      <c r="A215" s="20">
        <v>42214</v>
      </c>
      <c r="B215" s="20" t="s">
        <v>36</v>
      </c>
      <c r="C215" s="66">
        <v>69400</v>
      </c>
      <c r="D215" s="67">
        <v>40629</v>
      </c>
      <c r="E215" s="67">
        <v>111487</v>
      </c>
      <c r="F215" s="68">
        <v>5657</v>
      </c>
      <c r="G215" s="69">
        <v>3705</v>
      </c>
      <c r="H215" s="24"/>
      <c r="I215" s="24"/>
      <c r="J215" s="70">
        <f t="shared" si="29"/>
        <v>70858</v>
      </c>
      <c r="K215" s="71">
        <f t="shared" si="30"/>
        <v>678</v>
      </c>
      <c r="L215" s="71">
        <v>780</v>
      </c>
      <c r="M215" s="72">
        <f t="shared" si="32"/>
        <v>1452190</v>
      </c>
      <c r="N215" s="73">
        <f t="shared" si="32"/>
        <v>1085531</v>
      </c>
      <c r="O215" s="73">
        <f t="shared" si="32"/>
        <v>2605537</v>
      </c>
      <c r="P215" s="72">
        <f t="shared" si="31"/>
        <v>11241943</v>
      </c>
      <c r="Q215" s="72">
        <f t="shared" si="31"/>
        <v>5425917</v>
      </c>
      <c r="R215" s="72">
        <f t="shared" si="31"/>
        <v>17030302</v>
      </c>
      <c r="S215" s="79">
        <f>M215/'[21]2014'!M215-1</f>
        <v>-0.12153557365041545</v>
      </c>
      <c r="T215" s="79">
        <f>N215/'[21]2014'!N215-1</f>
        <v>6.3282869243939777E-2</v>
      </c>
      <c r="U215" s="79">
        <f>O215/'[21]2014'!O215-1</f>
        <v>-5.3588883105448404E-2</v>
      </c>
      <c r="V215" s="79">
        <f>P215/'[21]2014'!P215-1</f>
        <v>-3.3326044633225749E-2</v>
      </c>
      <c r="W215" s="79">
        <f>Q215/'[21]2014'!Q215-1</f>
        <v>0.14496062644695673</v>
      </c>
      <c r="X215" s="79">
        <f>R215/'[21]2014'!R215-1</f>
        <v>1.6812747806246531E-2</v>
      </c>
      <c r="Y215" s="85"/>
      <c r="Z215" s="97"/>
      <c r="AA215" s="85"/>
      <c r="AB215" s="71"/>
    </row>
    <row r="216" spans="1:32" ht="15" customHeight="1" x14ac:dyDescent="0.15">
      <c r="A216" s="14">
        <v>42215</v>
      </c>
      <c r="B216" s="20" t="s">
        <v>37</v>
      </c>
      <c r="C216" s="21">
        <v>66120</v>
      </c>
      <c r="D216" s="7">
        <f>28289+11189</f>
        <v>39478</v>
      </c>
      <c r="E216" s="7">
        <v>106994</v>
      </c>
      <c r="F216" s="22">
        <v>5273</v>
      </c>
      <c r="G216" s="23">
        <v>3462</v>
      </c>
      <c r="H216" s="24"/>
      <c r="I216" s="36"/>
      <c r="J216" s="8">
        <f t="shared" si="29"/>
        <v>67516</v>
      </c>
      <c r="K216" s="37">
        <f t="shared" si="30"/>
        <v>616</v>
      </c>
      <c r="L216" s="37">
        <v>780</v>
      </c>
      <c r="M216" s="74">
        <f t="shared" si="32"/>
        <v>1518310</v>
      </c>
      <c r="N216" s="75">
        <f t="shared" si="32"/>
        <v>1125009</v>
      </c>
      <c r="O216" s="75">
        <f t="shared" si="32"/>
        <v>2712531</v>
      </c>
      <c r="P216" s="76">
        <f t="shared" si="31"/>
        <v>11308063</v>
      </c>
      <c r="Q216" s="76">
        <f t="shared" si="31"/>
        <v>5465395</v>
      </c>
      <c r="R216" s="76">
        <f t="shared" si="31"/>
        <v>17137296</v>
      </c>
      <c r="S216" s="80">
        <f>M216/'[21]2014'!M216-1</f>
        <v>-0.11691533549737576</v>
      </c>
      <c r="T216" s="80">
        <f>N216/'[21]2014'!N216-1</f>
        <v>6.5174928728532144E-2</v>
      </c>
      <c r="U216" s="80">
        <f>O216/'[21]2014'!O216-1</f>
        <v>-5.0955663604451917E-2</v>
      </c>
      <c r="V216" s="81">
        <f>P216/'[21]2014'!P216-1</f>
        <v>-3.3146319496513255E-2</v>
      </c>
      <c r="W216" s="81">
        <f>Q216/'[21]2014'!Q216-1</f>
        <v>0.14477615232243646</v>
      </c>
      <c r="X216" s="81">
        <f>R216/'[21]2014'!R216-1</f>
        <v>1.6820282019837318E-2</v>
      </c>
      <c r="Y216" s="93">
        <f>Y209+0.5*7</f>
        <v>69.919700000000006</v>
      </c>
      <c r="Z216" s="50">
        <f>P216/10000-Y216</f>
        <v>1060.8866</v>
      </c>
      <c r="AA216" s="37">
        <v>3890.0920000000001</v>
      </c>
      <c r="AB216" s="37">
        <f>Z216*10000/AA216</f>
        <v>2727.1504118668659</v>
      </c>
    </row>
    <row r="217" spans="1:32" ht="15" customHeight="1" x14ac:dyDescent="0.15">
      <c r="A217" s="25">
        <v>42216</v>
      </c>
      <c r="B217" s="20" t="s">
        <v>38</v>
      </c>
      <c r="C217" s="21">
        <v>68521</v>
      </c>
      <c r="D217" s="7">
        <f>28530+11145</f>
        <v>39675</v>
      </c>
      <c r="E217" s="7">
        <v>109509</v>
      </c>
      <c r="F217" s="22">
        <v>5425</v>
      </c>
      <c r="G217" s="23">
        <v>3592</v>
      </c>
      <c r="H217" s="24">
        <v>1902</v>
      </c>
      <c r="I217" s="36">
        <v>1328</v>
      </c>
      <c r="J217" s="8">
        <f t="shared" si="29"/>
        <v>69834</v>
      </c>
      <c r="K217" s="37">
        <f t="shared" si="30"/>
        <v>533</v>
      </c>
      <c r="L217" s="37">
        <v>780</v>
      </c>
      <c r="M217" s="74">
        <f t="shared" si="32"/>
        <v>1586831</v>
      </c>
      <c r="N217" s="75">
        <f t="shared" si="32"/>
        <v>1164684</v>
      </c>
      <c r="O217" s="75">
        <f t="shared" si="32"/>
        <v>2822040</v>
      </c>
      <c r="P217" s="76">
        <f t="shared" si="31"/>
        <v>11376584</v>
      </c>
      <c r="Q217" s="76">
        <f t="shared" si="31"/>
        <v>5505070</v>
      </c>
      <c r="R217" s="76">
        <f t="shared" si="31"/>
        <v>17246805</v>
      </c>
      <c r="S217" s="80">
        <f>M217/'[21]2014'!M217-1</f>
        <v>-0.11114628565887308</v>
      </c>
      <c r="T217" s="80">
        <f>N217/'[21]2014'!N217-1</f>
        <v>6.7985398099845717E-2</v>
      </c>
      <c r="U217" s="80">
        <f>O217/'[21]2014'!O217-1</f>
        <v>-4.7392400243448263E-2</v>
      </c>
      <c r="V217" s="81">
        <f>P217/'[21]2014'!P217-1</f>
        <v>-3.2740225848596594E-2</v>
      </c>
      <c r="W217" s="81">
        <f>Q217/'[21]2014'!Q217-1</f>
        <v>0.14484458084986152</v>
      </c>
      <c r="X217" s="81">
        <f>R217/'[21]2014'!R217-1</f>
        <v>1.7026037462966492E-2</v>
      </c>
      <c r="Y217" s="95">
        <v>70.772000000000006</v>
      </c>
      <c r="Z217" s="94">
        <f>P217/10000-Y217</f>
        <v>1066.8864000000001</v>
      </c>
      <c r="AA217" s="51">
        <v>3890.0920000000001</v>
      </c>
      <c r="AB217" s="51">
        <f>Z217*10000/AA217</f>
        <v>2742.5736974858182</v>
      </c>
      <c r="AC217" s="90">
        <v>20.132171</v>
      </c>
      <c r="AD217" s="99">
        <v>16.382628</v>
      </c>
      <c r="AE217" s="99"/>
      <c r="AF217" s="99">
        <v>1174.1725550000001</v>
      </c>
    </row>
    <row r="218" spans="1:32" ht="15" customHeight="1" x14ac:dyDescent="0.15">
      <c r="A218" s="20">
        <v>42217</v>
      </c>
      <c r="B218" s="20" t="s">
        <v>39</v>
      </c>
      <c r="C218" s="21">
        <v>66375</v>
      </c>
      <c r="D218" s="7">
        <f>27472+11109</f>
        <v>38581</v>
      </c>
      <c r="E218" s="7">
        <v>106548</v>
      </c>
      <c r="F218" s="22">
        <v>5169</v>
      </c>
      <c r="G218" s="23">
        <v>3617</v>
      </c>
      <c r="H218" s="24">
        <v>1863</v>
      </c>
      <c r="I218" s="36">
        <v>1309</v>
      </c>
      <c r="J218" s="8">
        <f t="shared" si="29"/>
        <v>67967</v>
      </c>
      <c r="K218" s="37">
        <f t="shared" si="30"/>
        <v>842</v>
      </c>
      <c r="L218" s="37">
        <v>750</v>
      </c>
      <c r="M218" s="74">
        <f>C218</f>
        <v>66375</v>
      </c>
      <c r="N218" s="75">
        <f>D218</f>
        <v>38581</v>
      </c>
      <c r="O218" s="75">
        <f>E218</f>
        <v>106548</v>
      </c>
      <c r="P218" s="76">
        <f>P$217+M218</f>
        <v>11442959</v>
      </c>
      <c r="Q218" s="76">
        <f>Q$217+N218</f>
        <v>5543651</v>
      </c>
      <c r="R218" s="76">
        <f>R$217+O218</f>
        <v>17353353</v>
      </c>
      <c r="S218" s="80">
        <f>M218/'[21]2014'!M218-1</f>
        <v>0.1765905021892118</v>
      </c>
      <c r="T218" s="80">
        <f>N218/'[21]2014'!N218-1</f>
        <v>0.12661702438312172</v>
      </c>
      <c r="U218" s="80">
        <f>O218/'[21]2014'!O218-1</f>
        <v>0.14495105255805463</v>
      </c>
      <c r="V218" s="81">
        <f>P218/'[21]2014'!P218-1</f>
        <v>-3.1740996038160718E-2</v>
      </c>
      <c r="W218" s="81">
        <f>Q218/'[21]2014'!Q218-1</f>
        <v>0.14471568843031957</v>
      </c>
      <c r="X218" s="81">
        <f>R218/'[21]2014'!R218-1</f>
        <v>1.7724206462744307E-2</v>
      </c>
      <c r="Y218" s="93"/>
      <c r="Z218" s="93"/>
      <c r="AA218" s="37"/>
      <c r="AB218" s="37"/>
    </row>
    <row r="219" spans="1:32" ht="15" customHeight="1" x14ac:dyDescent="0.15">
      <c r="A219" s="20">
        <v>42218</v>
      </c>
      <c r="B219" s="20" t="s">
        <v>1</v>
      </c>
      <c r="C219" s="21">
        <v>64593</v>
      </c>
      <c r="D219" s="7">
        <f>27603+11160</f>
        <v>38763</v>
      </c>
      <c r="E219" s="7">
        <v>104484</v>
      </c>
      <c r="F219" s="22">
        <v>4972</v>
      </c>
      <c r="G219" s="23">
        <v>3539</v>
      </c>
      <c r="H219" s="24">
        <v>1863</v>
      </c>
      <c r="I219" s="36">
        <v>1303</v>
      </c>
      <c r="J219" s="8">
        <f t="shared" si="29"/>
        <v>65721</v>
      </c>
      <c r="K219" s="37">
        <f t="shared" si="30"/>
        <v>378</v>
      </c>
      <c r="L219" s="37">
        <v>750</v>
      </c>
      <c r="M219" s="74">
        <f t="shared" ref="M219:O234" si="34">M218+C219</f>
        <v>130968</v>
      </c>
      <c r="N219" s="75">
        <f t="shared" si="34"/>
        <v>77344</v>
      </c>
      <c r="O219" s="75">
        <f t="shared" si="34"/>
        <v>211032</v>
      </c>
      <c r="P219" s="76">
        <f t="shared" ref="P219:R248" si="35">P$217+M219</f>
        <v>11507552</v>
      </c>
      <c r="Q219" s="76">
        <f t="shared" si="35"/>
        <v>5582414</v>
      </c>
      <c r="R219" s="76">
        <f t="shared" si="35"/>
        <v>17457837</v>
      </c>
      <c r="S219" s="80">
        <f>M219/'[21]2014'!M219-1</f>
        <v>0.18741216896198454</v>
      </c>
      <c r="T219" s="80">
        <f>N219/'[21]2014'!N219-1</f>
        <v>0.12775947041497759</v>
      </c>
      <c r="U219" s="80">
        <f>O219/'[21]2014'!O219-1</f>
        <v>0.15265124205282832</v>
      </c>
      <c r="V219" s="81">
        <f>P219/'[21]2014'!P219-1</f>
        <v>-3.0694889810836345E-2</v>
      </c>
      <c r="W219" s="81">
        <f>Q219/'[21]2014'!Q219-1</f>
        <v>0.14460433202045775</v>
      </c>
      <c r="X219" s="81">
        <f>R219/'[21]2014'!R219-1</f>
        <v>1.8474644484040459E-2</v>
      </c>
      <c r="Y219" s="93"/>
      <c r="Z219" s="93"/>
      <c r="AA219" s="37"/>
      <c r="AB219" s="37"/>
    </row>
    <row r="220" spans="1:32" ht="15" customHeight="1" x14ac:dyDescent="0.15">
      <c r="A220" s="20">
        <v>42219</v>
      </c>
      <c r="B220" s="20" t="s">
        <v>34</v>
      </c>
      <c r="C220" s="21">
        <v>75646</v>
      </c>
      <c r="D220" s="7">
        <f>27555+11108</f>
        <v>38663</v>
      </c>
      <c r="E220" s="7">
        <v>115905</v>
      </c>
      <c r="F220" s="22">
        <v>5850</v>
      </c>
      <c r="G220" s="23">
        <v>3624</v>
      </c>
      <c r="H220" s="24">
        <v>1847</v>
      </c>
      <c r="I220" s="36">
        <v>1305</v>
      </c>
      <c r="J220" s="8">
        <f t="shared" si="29"/>
        <v>77242</v>
      </c>
      <c r="K220" s="37">
        <f t="shared" si="30"/>
        <v>846</v>
      </c>
      <c r="L220" s="37">
        <v>750</v>
      </c>
      <c r="M220" s="74">
        <f t="shared" si="34"/>
        <v>206614</v>
      </c>
      <c r="N220" s="75">
        <f t="shared" si="34"/>
        <v>116007</v>
      </c>
      <c r="O220" s="75">
        <f t="shared" si="34"/>
        <v>326937</v>
      </c>
      <c r="P220" s="76">
        <f t="shared" si="35"/>
        <v>11583198</v>
      </c>
      <c r="Q220" s="76">
        <f t="shared" si="35"/>
        <v>5621077</v>
      </c>
      <c r="R220" s="76">
        <f t="shared" si="35"/>
        <v>17573742</v>
      </c>
      <c r="S220" s="80">
        <f>M220/'[21]2014'!M220-1</f>
        <v>0.22121676015296687</v>
      </c>
      <c r="T220" s="80">
        <f>N220/'[21]2014'!N220-1</f>
        <v>0.14364722583698097</v>
      </c>
      <c r="U220" s="80">
        <f>O220/'[21]2014'!O220-1</f>
        <v>0.18032058919094562</v>
      </c>
      <c r="V220" s="81">
        <f>P220/'[21]2014'!P220-1</f>
        <v>-2.9138955300564762E-2</v>
      </c>
      <c r="W220" s="81">
        <f>Q220/'[21]2014'!Q220-1</f>
        <v>0.14481984466793674</v>
      </c>
      <c r="X220" s="81">
        <f>R220/'[21]2014'!R220-1</f>
        <v>1.9650393961702095E-2</v>
      </c>
      <c r="Y220" s="93"/>
      <c r="Z220" s="93"/>
      <c r="AA220" s="37"/>
      <c r="AB220" s="37"/>
    </row>
    <row r="221" spans="1:32" ht="15" customHeight="1" x14ac:dyDescent="0.15">
      <c r="A221" s="20">
        <v>42220</v>
      </c>
      <c r="B221" s="14" t="s">
        <v>35</v>
      </c>
      <c r="C221" s="15">
        <v>74627</v>
      </c>
      <c r="D221" s="16">
        <f>28764+11084</f>
        <v>39848</v>
      </c>
      <c r="E221" s="16">
        <v>116518</v>
      </c>
      <c r="F221" s="17">
        <v>5826</v>
      </c>
      <c r="G221" s="18">
        <v>3810</v>
      </c>
      <c r="H221" s="19">
        <v>1856</v>
      </c>
      <c r="I221" s="19">
        <v>1469</v>
      </c>
      <c r="J221" s="32">
        <f t="shared" si="29"/>
        <v>76670</v>
      </c>
      <c r="K221" s="33">
        <f t="shared" si="30"/>
        <v>1293</v>
      </c>
      <c r="L221" s="33">
        <v>750</v>
      </c>
      <c r="M221" s="77">
        <f t="shared" si="34"/>
        <v>281241</v>
      </c>
      <c r="N221" s="78">
        <f t="shared" si="34"/>
        <v>155855</v>
      </c>
      <c r="O221" s="78">
        <f t="shared" si="34"/>
        <v>443455</v>
      </c>
      <c r="P221" s="77">
        <f t="shared" si="35"/>
        <v>11657825</v>
      </c>
      <c r="Q221" s="77">
        <f t="shared" si="35"/>
        <v>5660925</v>
      </c>
      <c r="R221" s="77">
        <f t="shared" si="35"/>
        <v>17690260</v>
      </c>
      <c r="S221" s="82">
        <f>M221/'[21]2014'!M221-1</f>
        <v>0.17016027027926639</v>
      </c>
      <c r="T221" s="82">
        <f>N221/'[21]2014'!N221-1</f>
        <v>0.16786434175327636</v>
      </c>
      <c r="U221" s="82">
        <f>O221/'[21]2014'!O221-1</f>
        <v>0.15695180748038062</v>
      </c>
      <c r="V221" s="82">
        <f>P221/'[21]2014'!P221-1</f>
        <v>-2.8677079182499954E-2</v>
      </c>
      <c r="W221" s="82">
        <f>Q221/'[21]2014'!Q221-1</f>
        <v>0.14546619948725104</v>
      </c>
      <c r="X221" s="82">
        <f>R221/'[21]2014'!R221-1</f>
        <v>2.0118813942806124E-2</v>
      </c>
      <c r="Y221" s="96">
        <f>Y217+0.5*4</f>
        <v>72.772000000000006</v>
      </c>
      <c r="Z221" s="49">
        <f t="shared" ref="Z221" si="36">P221/10000-Y221</f>
        <v>1093.0105000000001</v>
      </c>
      <c r="AA221" s="33"/>
      <c r="AB221" s="33"/>
      <c r="AC221" s="63">
        <f>AC217+SUM(K218:K221)/10000</f>
        <v>20.468070999999998</v>
      </c>
      <c r="AF221" s="2">
        <f>AF217+SUM(J218:J221)/10000</f>
        <v>1202.9325550000001</v>
      </c>
    </row>
    <row r="222" spans="1:32" ht="15" customHeight="1" x14ac:dyDescent="0.15">
      <c r="A222" s="20">
        <v>42221</v>
      </c>
      <c r="B222" s="20" t="s">
        <v>36</v>
      </c>
      <c r="C222" s="66">
        <v>71925</v>
      </c>
      <c r="D222" s="67">
        <f>29718+11071</f>
        <v>40789</v>
      </c>
      <c r="E222" s="67">
        <v>115189</v>
      </c>
      <c r="F222" s="68">
        <v>5811</v>
      </c>
      <c r="G222" s="69">
        <v>3800</v>
      </c>
      <c r="H222" s="24">
        <v>1859</v>
      </c>
      <c r="I222" s="24">
        <v>1511</v>
      </c>
      <c r="J222" s="70">
        <f t="shared" si="29"/>
        <v>74400</v>
      </c>
      <c r="K222" s="71">
        <f t="shared" si="30"/>
        <v>1725</v>
      </c>
      <c r="L222" s="71">
        <v>750</v>
      </c>
      <c r="M222" s="72">
        <f t="shared" si="34"/>
        <v>353166</v>
      </c>
      <c r="N222" s="73">
        <f t="shared" si="34"/>
        <v>196644</v>
      </c>
      <c r="O222" s="73">
        <f t="shared" si="34"/>
        <v>558644</v>
      </c>
      <c r="P222" s="72">
        <f t="shared" si="35"/>
        <v>11729750</v>
      </c>
      <c r="Q222" s="72">
        <f t="shared" si="35"/>
        <v>5701714</v>
      </c>
      <c r="R222" s="72">
        <f t="shared" si="35"/>
        <v>17805449</v>
      </c>
      <c r="S222" s="79">
        <f>M222/'[21]2014'!M222-1</f>
        <v>0.125571285607746</v>
      </c>
      <c r="T222" s="79">
        <f>N222/'[21]2014'!N222-1</f>
        <v>0.16864963807305111</v>
      </c>
      <c r="U222" s="79">
        <f>O222/'[21]2014'!O222-1</f>
        <v>0.13097277052333234</v>
      </c>
      <c r="V222" s="79">
        <f>P222/'[21]2014'!P222-1</f>
        <v>-2.8626685239433125E-2</v>
      </c>
      <c r="W222" s="79">
        <f>Q222/'[21]2014'!Q222-1</f>
        <v>0.14564942522465207</v>
      </c>
      <c r="X222" s="79">
        <f>R222/'[21]2014'!R222-1</f>
        <v>2.0251106476681935E-2</v>
      </c>
      <c r="Y222" s="85"/>
      <c r="Z222" s="97"/>
      <c r="AA222" s="85"/>
      <c r="AB222" s="71"/>
    </row>
    <row r="223" spans="1:32" ht="15" customHeight="1" x14ac:dyDescent="0.15">
      <c r="A223" s="20">
        <v>42222</v>
      </c>
      <c r="B223" s="20" t="s">
        <v>37</v>
      </c>
      <c r="C223" s="21">
        <v>68430</v>
      </c>
      <c r="D223" s="7">
        <f>30559+11080</f>
        <v>41639</v>
      </c>
      <c r="E223" s="7">
        <v>113173</v>
      </c>
      <c r="F223" s="22">
        <v>5493</v>
      </c>
      <c r="G223" s="23">
        <v>3759</v>
      </c>
      <c r="H223" s="24">
        <v>1951</v>
      </c>
      <c r="I223" s="36">
        <v>1421</v>
      </c>
      <c r="J223" s="8">
        <f t="shared" si="29"/>
        <v>71534</v>
      </c>
      <c r="K223" s="37">
        <f t="shared" si="30"/>
        <v>2354</v>
      </c>
      <c r="L223" s="37">
        <v>750</v>
      </c>
      <c r="M223" s="74">
        <f t="shared" si="34"/>
        <v>421596</v>
      </c>
      <c r="N223" s="75">
        <f t="shared" si="34"/>
        <v>238283</v>
      </c>
      <c r="O223" s="75">
        <f t="shared" si="34"/>
        <v>671817</v>
      </c>
      <c r="P223" s="76">
        <f t="shared" si="35"/>
        <v>11798180</v>
      </c>
      <c r="Q223" s="76">
        <f t="shared" si="35"/>
        <v>5743353</v>
      </c>
      <c r="R223" s="76">
        <f t="shared" si="35"/>
        <v>17918622</v>
      </c>
      <c r="S223" s="80">
        <f>M223/'[21]2014'!M223-1</f>
        <v>9.1782035146599439E-2</v>
      </c>
      <c r="T223" s="80">
        <f>N223/'[21]2014'!N223-1</f>
        <v>0.15021432295186421</v>
      </c>
      <c r="U223" s="80">
        <f>O223/'[21]2014'!O223-1</f>
        <v>0.10592439803710785</v>
      </c>
      <c r="V223" s="81">
        <f>P223/'[21]2014'!P223-1</f>
        <v>-2.8781920655653659E-2</v>
      </c>
      <c r="W223" s="81">
        <f>Q223/'[21]2014'!Q223-1</f>
        <v>0.14506636620440783</v>
      </c>
      <c r="X223" s="81">
        <f>R223/'[21]2014'!R223-1</f>
        <v>2.0100417982083396E-2</v>
      </c>
      <c r="Y223" s="93">
        <f>Y217+0.5*6</f>
        <v>73.772000000000006</v>
      </c>
      <c r="Z223" s="50">
        <f>P223/10000-Y223</f>
        <v>1106.046</v>
      </c>
      <c r="AA223" s="37">
        <v>3890.0920000000001</v>
      </c>
      <c r="AB223" s="37">
        <f>Z223*10000/AA223</f>
        <v>2843.238668905517</v>
      </c>
    </row>
    <row r="224" spans="1:32" ht="15" customHeight="1" x14ac:dyDescent="0.15">
      <c r="A224" s="20">
        <v>42223</v>
      </c>
      <c r="B224" s="20" t="s">
        <v>38</v>
      </c>
      <c r="C224" s="21">
        <v>64931</v>
      </c>
      <c r="D224" s="7">
        <v>40557</v>
      </c>
      <c r="E224" s="7">
        <v>109119</v>
      </c>
      <c r="F224" s="22">
        <v>5448</v>
      </c>
      <c r="G224" s="23">
        <v>3753</v>
      </c>
      <c r="H224" s="24">
        <v>1893</v>
      </c>
      <c r="I224" s="36">
        <v>1475</v>
      </c>
      <c r="J224" s="8">
        <f t="shared" si="29"/>
        <v>68562</v>
      </c>
      <c r="K224" s="37">
        <f t="shared" si="30"/>
        <v>2881</v>
      </c>
      <c r="L224" s="37">
        <v>750</v>
      </c>
      <c r="M224" s="74">
        <f t="shared" si="34"/>
        <v>486527</v>
      </c>
      <c r="N224" s="75">
        <f t="shared" si="34"/>
        <v>278840</v>
      </c>
      <c r="O224" s="75">
        <f t="shared" si="34"/>
        <v>780936</v>
      </c>
      <c r="P224" s="76">
        <f t="shared" si="35"/>
        <v>11863111</v>
      </c>
      <c r="Q224" s="76">
        <f t="shared" si="35"/>
        <v>5783910</v>
      </c>
      <c r="R224" s="76">
        <f t="shared" si="35"/>
        <v>18027741</v>
      </c>
      <c r="S224" s="80">
        <f>M224/'[21]2014'!M224-1</f>
        <v>6.3979565727981802E-2</v>
      </c>
      <c r="T224" s="80">
        <f>N224/'[21]2014'!N224-1</f>
        <v>0.14555217307352586</v>
      </c>
      <c r="U224" s="80">
        <f>O224/'[21]2014'!O224-1</f>
        <v>8.984491115152049E-2</v>
      </c>
      <c r="V224" s="81">
        <f>P224/'[21]2014'!P224-1</f>
        <v>-2.9120666733878142E-2</v>
      </c>
      <c r="W224" s="81">
        <f>Q224/'[21]2014'!Q224-1</f>
        <v>0.14487867353369688</v>
      </c>
      <c r="X224" s="81">
        <f>R224/'[21]2014'!R224-1</f>
        <v>1.997822737272581E-2</v>
      </c>
      <c r="Y224" s="93"/>
      <c r="Z224" s="50"/>
      <c r="AA224" s="37"/>
      <c r="AB224" s="37"/>
    </row>
    <row r="225" spans="1:32" ht="15" customHeight="1" x14ac:dyDescent="0.15">
      <c r="A225" s="20">
        <v>42224</v>
      </c>
      <c r="B225" s="20" t="s">
        <v>39</v>
      </c>
      <c r="C225" s="21">
        <v>57747</v>
      </c>
      <c r="D225" s="7">
        <v>36800</v>
      </c>
      <c r="E225" s="7">
        <v>98909</v>
      </c>
      <c r="F225" s="22">
        <v>4861</v>
      </c>
      <c r="G225" s="23">
        <v>3558</v>
      </c>
      <c r="H225" s="24">
        <v>1893</v>
      </c>
      <c r="I225" s="36">
        <v>1179</v>
      </c>
      <c r="J225" s="8">
        <f t="shared" si="29"/>
        <v>62109</v>
      </c>
      <c r="K225" s="37">
        <f t="shared" si="30"/>
        <v>3612</v>
      </c>
      <c r="L225" s="37">
        <v>750</v>
      </c>
      <c r="M225" s="74">
        <f t="shared" si="34"/>
        <v>544274</v>
      </c>
      <c r="N225" s="75">
        <f t="shared" si="34"/>
        <v>315640</v>
      </c>
      <c r="O225" s="75">
        <f t="shared" si="34"/>
        <v>879845</v>
      </c>
      <c r="P225" s="76">
        <f t="shared" si="35"/>
        <v>11920858</v>
      </c>
      <c r="Q225" s="76">
        <f t="shared" si="35"/>
        <v>5820710</v>
      </c>
      <c r="R225" s="76">
        <f t="shared" si="35"/>
        <v>18126650</v>
      </c>
      <c r="S225" s="80">
        <f>M225/'[21]2014'!M225-1</f>
        <v>4.7228550318628271E-2</v>
      </c>
      <c r="T225" s="80">
        <f>N225/'[21]2014'!N225-1</f>
        <v>0.12431431217496614</v>
      </c>
      <c r="U225" s="80">
        <f>O225/'[21]2014'!O225-1</f>
        <v>7.5234454625666913E-2</v>
      </c>
      <c r="V225" s="81">
        <f>P225/'[21]2014'!P225-1</f>
        <v>-2.9356080653635819E-2</v>
      </c>
      <c r="W225" s="81">
        <f>Q225/'[21]2014'!Q225-1</f>
        <v>0.14371207703607847</v>
      </c>
      <c r="X225" s="81">
        <f>R225/'[21]2014'!R225-1</f>
        <v>1.9705489552309885E-2</v>
      </c>
      <c r="Y225" s="93"/>
      <c r="Z225" s="50"/>
      <c r="AA225" s="37"/>
      <c r="AB225" s="37"/>
    </row>
    <row r="226" spans="1:32" ht="15" customHeight="1" x14ac:dyDescent="0.15">
      <c r="A226" s="20">
        <v>42225</v>
      </c>
      <c r="B226" s="20" t="s">
        <v>1</v>
      </c>
      <c r="C226" s="21">
        <v>43820</v>
      </c>
      <c r="D226" s="7">
        <f>25602+10943</f>
        <v>36545</v>
      </c>
      <c r="E226" s="7">
        <v>84323</v>
      </c>
      <c r="F226" s="22">
        <v>4049</v>
      </c>
      <c r="G226" s="23">
        <v>3101</v>
      </c>
      <c r="H226" s="24">
        <v>1918</v>
      </c>
      <c r="I226" s="36">
        <v>1179</v>
      </c>
      <c r="J226" s="8">
        <f t="shared" si="29"/>
        <v>47778</v>
      </c>
      <c r="K226" s="37">
        <f t="shared" si="30"/>
        <v>3208</v>
      </c>
      <c r="L226" s="37">
        <v>750</v>
      </c>
      <c r="M226" s="74">
        <f t="shared" si="34"/>
        <v>588094</v>
      </c>
      <c r="N226" s="75">
        <f t="shared" si="34"/>
        <v>352185</v>
      </c>
      <c r="O226" s="75">
        <f t="shared" si="34"/>
        <v>964168</v>
      </c>
      <c r="P226" s="76">
        <f t="shared" si="35"/>
        <v>11964678</v>
      </c>
      <c r="Q226" s="76">
        <f t="shared" si="35"/>
        <v>5857255</v>
      </c>
      <c r="R226" s="76">
        <f t="shared" si="35"/>
        <v>18210973</v>
      </c>
      <c r="S226" s="80">
        <f>M226/'[21]2014'!M226-1</f>
        <v>1.1344856465295594E-2</v>
      </c>
      <c r="T226" s="80">
        <f>N226/'[21]2014'!N226-1</f>
        <v>0.1198322405865857</v>
      </c>
      <c r="U226" s="80">
        <f>O226/'[21]2014'!O226-1</f>
        <v>5.2732259529715941E-2</v>
      </c>
      <c r="V226" s="81">
        <f>P226/'[21]2014'!P226-1</f>
        <v>-3.0663339376226451E-2</v>
      </c>
      <c r="W226" s="81">
        <f>Q226/'[21]2014'!Q226-1</f>
        <v>0.14330910939160901</v>
      </c>
      <c r="X226" s="81">
        <f>R226/'[21]2014'!R226-1</f>
        <v>1.8855646048824504E-2</v>
      </c>
      <c r="Y226" s="93"/>
      <c r="Z226" s="50"/>
      <c r="AA226" s="37"/>
      <c r="AB226" s="37"/>
    </row>
    <row r="227" spans="1:32" ht="15" customHeight="1" x14ac:dyDescent="0.15">
      <c r="A227" s="20">
        <v>42226</v>
      </c>
      <c r="B227" s="20" t="s">
        <v>34</v>
      </c>
      <c r="C227" s="21">
        <v>45853</v>
      </c>
      <c r="D227" s="7">
        <f>26241+10783</f>
        <v>37024</v>
      </c>
      <c r="E227" s="7">
        <v>87119</v>
      </c>
      <c r="F227" s="22">
        <v>4527</v>
      </c>
      <c r="G227" s="23">
        <v>2758</v>
      </c>
      <c r="H227" s="24">
        <v>1858</v>
      </c>
      <c r="I227" s="36">
        <v>1087</v>
      </c>
      <c r="J227" s="8">
        <f t="shared" si="29"/>
        <v>50095</v>
      </c>
      <c r="K227" s="37">
        <f t="shared" si="30"/>
        <v>3492</v>
      </c>
      <c r="L227" s="37">
        <v>750</v>
      </c>
      <c r="M227" s="74">
        <f t="shared" si="34"/>
        <v>633947</v>
      </c>
      <c r="N227" s="75">
        <f t="shared" si="34"/>
        <v>389209</v>
      </c>
      <c r="O227" s="75">
        <f t="shared" si="34"/>
        <v>1051287</v>
      </c>
      <c r="P227" s="76">
        <f t="shared" si="35"/>
        <v>12010531</v>
      </c>
      <c r="Q227" s="76">
        <f t="shared" si="35"/>
        <v>5894279</v>
      </c>
      <c r="R227" s="76">
        <f t="shared" si="35"/>
        <v>18298092</v>
      </c>
      <c r="S227" s="80">
        <f>M227/'[21]2014'!M227-1</f>
        <v>-2.8987558785132927E-3</v>
      </c>
      <c r="T227" s="80">
        <f>N227/'[21]2014'!N227-1</f>
        <v>0.11572034250561147</v>
      </c>
      <c r="U227" s="80">
        <f>O227/'[21]2014'!O227-1</f>
        <v>4.5217422427960896E-2</v>
      </c>
      <c r="V227" s="81">
        <f>P227/'[21]2014'!P227-1</f>
        <v>-3.1209838324927186E-2</v>
      </c>
      <c r="W227" s="81">
        <f>Q227/'[21]2014'!Q227-1</f>
        <v>0.14287465439809188</v>
      </c>
      <c r="X227" s="81">
        <f>R227/'[21]2014'!R227-1</f>
        <v>1.8604487516606705E-2</v>
      </c>
      <c r="Y227" s="93">
        <v>75.834999999999994</v>
      </c>
      <c r="Z227" s="50">
        <f>P227/10000-Y227</f>
        <v>1125.2181</v>
      </c>
      <c r="AA227" s="37">
        <v>3890.0920000000001</v>
      </c>
      <c r="AB227" s="37">
        <f>Z227*10000/AA227</f>
        <v>2892.5231074226522</v>
      </c>
      <c r="AC227" s="90">
        <v>22.193431</v>
      </c>
      <c r="AD227" s="99">
        <v>17.13447</v>
      </c>
      <c r="AE227" s="99"/>
      <c r="AF227" s="99">
        <v>1240.3813720000001</v>
      </c>
    </row>
    <row r="228" spans="1:32" ht="15" customHeight="1" x14ac:dyDescent="0.15">
      <c r="A228" s="20">
        <v>42227</v>
      </c>
      <c r="B228" s="14" t="s">
        <v>35</v>
      </c>
      <c r="C228" s="15">
        <v>46828</v>
      </c>
      <c r="D228" s="16">
        <f>27954+11028</f>
        <v>38982</v>
      </c>
      <c r="E228" s="16">
        <v>90249</v>
      </c>
      <c r="F228" s="17">
        <v>4673</v>
      </c>
      <c r="G228" s="18">
        <v>2871</v>
      </c>
      <c r="H228" s="19">
        <v>1883</v>
      </c>
      <c r="I228" s="19">
        <v>1271</v>
      </c>
      <c r="J228" s="32">
        <f t="shared" si="29"/>
        <v>51267</v>
      </c>
      <c r="K228" s="33">
        <f t="shared" si="30"/>
        <v>3689</v>
      </c>
      <c r="L228" s="33">
        <v>750</v>
      </c>
      <c r="M228" s="77">
        <f t="shared" si="34"/>
        <v>680775</v>
      </c>
      <c r="N228" s="78">
        <f t="shared" si="34"/>
        <v>428191</v>
      </c>
      <c r="O228" s="78">
        <f t="shared" si="34"/>
        <v>1141536</v>
      </c>
      <c r="P228" s="77">
        <f t="shared" si="35"/>
        <v>12057359</v>
      </c>
      <c r="Q228" s="77">
        <f t="shared" si="35"/>
        <v>5933261</v>
      </c>
      <c r="R228" s="77">
        <f t="shared" si="35"/>
        <v>18388341</v>
      </c>
      <c r="S228" s="82">
        <f>M228/'[21]2014'!M228-1</f>
        <v>-1.3622592465411087E-2</v>
      </c>
      <c r="T228" s="82">
        <f>N228/'[21]2014'!N228-1</f>
        <v>0.11135595023969147</v>
      </c>
      <c r="U228" s="82">
        <f>O228/'[21]2014'!O228-1</f>
        <v>3.9571689936006571E-2</v>
      </c>
      <c r="V228" s="82">
        <f>P228/'[21]2014'!P228-1</f>
        <v>-3.1680579217697846E-2</v>
      </c>
      <c r="W228" s="82">
        <f>Q228/'[21]2014'!Q228-1</f>
        <v>0.14236035307143657</v>
      </c>
      <c r="X228" s="82">
        <f>R228/'[21]2014'!R228-1</f>
        <v>1.8397148422123255E-2</v>
      </c>
      <c r="Y228" s="96">
        <f>Y227+0.5</f>
        <v>76.334999999999994</v>
      </c>
      <c r="Z228" s="49">
        <f>P228/10000-Y228</f>
        <v>1129.4008999999999</v>
      </c>
      <c r="AA228" s="33"/>
      <c r="AB228" s="33"/>
      <c r="AC228" s="63">
        <f>AC227+K228/10000</f>
        <v>22.562331</v>
      </c>
      <c r="AD228" s="2">
        <f>AD227+L228/10000</f>
        <v>17.20947</v>
      </c>
      <c r="AF228" s="2">
        <f>AF227+J228/10000</f>
        <v>1245.5080720000001</v>
      </c>
    </row>
    <row r="229" spans="1:32" ht="15" customHeight="1" x14ac:dyDescent="0.15">
      <c r="A229" s="20">
        <v>42228</v>
      </c>
      <c r="B229" s="20" t="s">
        <v>36</v>
      </c>
      <c r="C229" s="66">
        <v>49650</v>
      </c>
      <c r="D229" s="67">
        <f>27070+10965</f>
        <v>38035</v>
      </c>
      <c r="E229" s="67">
        <v>91832</v>
      </c>
      <c r="F229" s="68">
        <v>4742.3</v>
      </c>
      <c r="G229" s="69">
        <v>2970</v>
      </c>
      <c r="H229" s="24">
        <v>1852</v>
      </c>
      <c r="I229" s="24">
        <v>1257</v>
      </c>
      <c r="J229" s="70">
        <f t="shared" si="29"/>
        <v>53797</v>
      </c>
      <c r="K229" s="71">
        <f t="shared" si="30"/>
        <v>3397</v>
      </c>
      <c r="L229" s="71">
        <v>750</v>
      </c>
      <c r="M229" s="72">
        <f t="shared" si="34"/>
        <v>730425</v>
      </c>
      <c r="N229" s="73">
        <f t="shared" si="34"/>
        <v>466226</v>
      </c>
      <c r="O229" s="73">
        <f t="shared" si="34"/>
        <v>1233368</v>
      </c>
      <c r="P229" s="72">
        <f t="shared" si="35"/>
        <v>12107009</v>
      </c>
      <c r="Q229" s="72">
        <f t="shared" si="35"/>
        <v>5971296</v>
      </c>
      <c r="R229" s="72">
        <f t="shared" si="35"/>
        <v>18480173</v>
      </c>
      <c r="S229" s="79">
        <f>M229/'[21]2014'!M229-1</f>
        <v>-1.2927184249538204E-2</v>
      </c>
      <c r="T229" s="79">
        <f>N229/'[21]2014'!N229-1</f>
        <v>0.10148604909395886</v>
      </c>
      <c r="U229" s="79">
        <f>O229/'[21]2014'!O229-1</f>
        <v>3.8981781545338157E-2</v>
      </c>
      <c r="V229" s="79">
        <f>P229/'[21]2014'!P229-1</f>
        <v>-3.1567463280052221E-2</v>
      </c>
      <c r="W229" s="79">
        <f>Q229/'[21]2014'!Q229-1</f>
        <v>0.14133676116228311</v>
      </c>
      <c r="X229" s="79">
        <f>R229/'[21]2014'!R229-1</f>
        <v>1.8462425841611729E-2</v>
      </c>
      <c r="Y229" s="85"/>
      <c r="Z229" s="97"/>
      <c r="AA229" s="85"/>
      <c r="AB229" s="71"/>
    </row>
    <row r="230" spans="1:32" ht="15" customHeight="1" x14ac:dyDescent="0.15">
      <c r="A230" s="20">
        <v>42229</v>
      </c>
      <c r="B230" s="20" t="s">
        <v>37</v>
      </c>
      <c r="C230" s="21">
        <v>49119</v>
      </c>
      <c r="D230" s="7">
        <f>27436+10980</f>
        <v>38416</v>
      </c>
      <c r="E230" s="7">
        <v>91913</v>
      </c>
      <c r="F230" s="22">
        <v>4790.8999999999996</v>
      </c>
      <c r="G230" s="23">
        <v>3023</v>
      </c>
      <c r="H230" s="24">
        <v>1857</v>
      </c>
      <c r="I230" s="36">
        <v>1287</v>
      </c>
      <c r="J230" s="8">
        <f t="shared" si="29"/>
        <v>53497</v>
      </c>
      <c r="K230" s="37">
        <f t="shared" si="30"/>
        <v>3628</v>
      </c>
      <c r="L230" s="37">
        <v>750</v>
      </c>
      <c r="M230" s="74">
        <f t="shared" si="34"/>
        <v>779544</v>
      </c>
      <c r="N230" s="75">
        <f t="shared" si="34"/>
        <v>504642</v>
      </c>
      <c r="O230" s="75">
        <f t="shared" si="34"/>
        <v>1325281</v>
      </c>
      <c r="P230" s="76">
        <f t="shared" si="35"/>
        <v>12156128</v>
      </c>
      <c r="Q230" s="76">
        <f t="shared" si="35"/>
        <v>6009712</v>
      </c>
      <c r="R230" s="76">
        <f t="shared" si="35"/>
        <v>18572086</v>
      </c>
      <c r="S230" s="80">
        <f>M230/'[21]2014'!M230-1</f>
        <v>-1.6179432684978123E-2</v>
      </c>
      <c r="T230" s="80">
        <f>N230/'[21]2014'!N230-1</f>
        <v>9.3678819809413172E-2</v>
      </c>
      <c r="U230" s="80">
        <f>O230/'[21]2014'!O230-1</f>
        <v>3.5841100494362621E-2</v>
      </c>
      <c r="V230" s="81">
        <f>P230/'[21]2014'!P230-1</f>
        <v>-3.1694969551890884E-2</v>
      </c>
      <c r="W230" s="81">
        <f>Q230/'[21]2014'!Q230-1</f>
        <v>0.14036473420230267</v>
      </c>
      <c r="X230" s="81">
        <f>R230/'[21]2014'!R230-1</f>
        <v>1.8345980464354428E-2</v>
      </c>
      <c r="Y230" s="93">
        <f>Y227+0.5*3</f>
        <v>77.334999999999994</v>
      </c>
      <c r="Z230" s="50">
        <f>P230/10000-Y230</f>
        <v>1138.2778000000001</v>
      </c>
      <c r="AA230" s="37">
        <v>3890.0920000000001</v>
      </c>
      <c r="AB230" s="37">
        <f>Z230*10000/AA230</f>
        <v>2926.0948070122763</v>
      </c>
    </row>
    <row r="231" spans="1:32" ht="15" customHeight="1" x14ac:dyDescent="0.15">
      <c r="A231" s="20">
        <v>42230</v>
      </c>
      <c r="B231" s="20" t="s">
        <v>38</v>
      </c>
      <c r="C231" s="21">
        <v>47190</v>
      </c>
      <c r="D231" s="7">
        <f>27597+10971</f>
        <v>38568</v>
      </c>
      <c r="E231" s="7">
        <v>90336</v>
      </c>
      <c r="F231" s="22">
        <v>4654</v>
      </c>
      <c r="G231" s="23">
        <v>2982</v>
      </c>
      <c r="H231" s="24">
        <v>1916</v>
      </c>
      <c r="I231" s="36">
        <v>1284</v>
      </c>
      <c r="J231" s="8">
        <f t="shared" si="29"/>
        <v>51768</v>
      </c>
      <c r="K231" s="37">
        <f t="shared" si="30"/>
        <v>3828</v>
      </c>
      <c r="L231" s="37">
        <v>750</v>
      </c>
      <c r="M231" s="74">
        <f t="shared" si="34"/>
        <v>826734</v>
      </c>
      <c r="N231" s="75">
        <f t="shared" si="34"/>
        <v>543210</v>
      </c>
      <c r="O231" s="75">
        <f t="shared" si="34"/>
        <v>1415617</v>
      </c>
      <c r="P231" s="76">
        <f t="shared" si="35"/>
        <v>12203318</v>
      </c>
      <c r="Q231" s="76">
        <f t="shared" si="35"/>
        <v>6048280</v>
      </c>
      <c r="R231" s="76">
        <f t="shared" si="35"/>
        <v>18662422</v>
      </c>
      <c r="S231" s="80">
        <f>M231/'[21]2014'!M231-1</f>
        <v>-1.923720268106055E-2</v>
      </c>
      <c r="T231" s="80">
        <f>N231/'[21]2014'!N231-1</f>
        <v>8.9665022436816733E-2</v>
      </c>
      <c r="U231" s="80">
        <f>O231/'[21]2014'!O231-1</f>
        <v>3.3743023450262033E-2</v>
      </c>
      <c r="V231" s="81">
        <f>P231/'[21]2014'!P231-1</f>
        <v>-3.1837193529437147E-2</v>
      </c>
      <c r="W231" s="81">
        <f>Q231/'[21]2014'!Q231-1</f>
        <v>0.13966139340784278</v>
      </c>
      <c r="X231" s="81">
        <f>R231/'[21]2014'!R231-1</f>
        <v>1.8275111782985132E-2</v>
      </c>
      <c r="Y231" s="93"/>
      <c r="Z231" s="50"/>
      <c r="AA231" s="37"/>
      <c r="AB231" s="37"/>
    </row>
    <row r="232" spans="1:32" ht="15" customHeight="1" x14ac:dyDescent="0.15">
      <c r="A232" s="20">
        <v>42231</v>
      </c>
      <c r="B232" s="20" t="s">
        <v>39</v>
      </c>
      <c r="C232" s="21">
        <v>48403</v>
      </c>
      <c r="D232" s="7">
        <f>26234+11013</f>
        <v>37247</v>
      </c>
      <c r="E232" s="7">
        <v>90425</v>
      </c>
      <c r="F232" s="22">
        <v>4617</v>
      </c>
      <c r="G232" s="23">
        <v>2957</v>
      </c>
      <c r="H232" s="24">
        <v>1937</v>
      </c>
      <c r="I232" s="36">
        <v>977</v>
      </c>
      <c r="J232" s="8">
        <f t="shared" si="29"/>
        <v>53178</v>
      </c>
      <c r="K232" s="37">
        <f t="shared" si="30"/>
        <v>4025</v>
      </c>
      <c r="L232" s="37">
        <v>750</v>
      </c>
      <c r="M232" s="74">
        <f t="shared" si="34"/>
        <v>875137</v>
      </c>
      <c r="N232" s="75">
        <f t="shared" si="34"/>
        <v>580457</v>
      </c>
      <c r="O232" s="75">
        <f t="shared" si="34"/>
        <v>1506042</v>
      </c>
      <c r="P232" s="76">
        <f t="shared" si="35"/>
        <v>12251721</v>
      </c>
      <c r="Q232" s="76">
        <f t="shared" si="35"/>
        <v>6085527</v>
      </c>
      <c r="R232" s="76">
        <f t="shared" si="35"/>
        <v>18752847</v>
      </c>
      <c r="S232" s="80">
        <f>M232/'[21]2014'!M232-1</f>
        <v>-1.694079427735673E-2</v>
      </c>
      <c r="T232" s="80">
        <f>N232/'[21]2014'!N232-1</f>
        <v>8.262303276273042E-2</v>
      </c>
      <c r="U232" s="80">
        <f>O232/'[21]2014'!O232-1</f>
        <v>3.3937041443517169E-2</v>
      </c>
      <c r="V232" s="81">
        <f>P232/'[21]2014'!P232-1</f>
        <v>-3.1628538361462621E-2</v>
      </c>
      <c r="W232" s="81">
        <f>Q232/'[21]2014'!Q232-1</f>
        <v>0.1386028122906291</v>
      </c>
      <c r="X232" s="81">
        <f>R232/'[21]2014'!R232-1</f>
        <v>1.8363704677099024E-2</v>
      </c>
      <c r="Y232" s="93"/>
      <c r="Z232" s="50"/>
      <c r="AA232" s="37"/>
      <c r="AB232" s="37"/>
    </row>
    <row r="233" spans="1:32" ht="15" customHeight="1" x14ac:dyDescent="0.15">
      <c r="A233" s="20">
        <v>42232</v>
      </c>
      <c r="B233" s="20" t="s">
        <v>1</v>
      </c>
      <c r="C233" s="21">
        <v>39352</v>
      </c>
      <c r="D233" s="7">
        <f>27661+10956</f>
        <v>38617</v>
      </c>
      <c r="E233" s="7">
        <v>82454</v>
      </c>
      <c r="F233" s="22">
        <v>4068</v>
      </c>
      <c r="G233" s="23">
        <v>2921</v>
      </c>
      <c r="H233" s="24">
        <v>1964</v>
      </c>
      <c r="I233" s="36">
        <v>1278</v>
      </c>
      <c r="J233" s="8">
        <f t="shared" si="29"/>
        <v>43837</v>
      </c>
      <c r="K233" s="37">
        <f t="shared" si="30"/>
        <v>3735</v>
      </c>
      <c r="L233" s="37">
        <v>750</v>
      </c>
      <c r="M233" s="74">
        <f t="shared" si="34"/>
        <v>914489</v>
      </c>
      <c r="N233" s="75">
        <f t="shared" si="34"/>
        <v>619074</v>
      </c>
      <c r="O233" s="75">
        <f t="shared" si="34"/>
        <v>1588496</v>
      </c>
      <c r="P233" s="76">
        <f t="shared" si="35"/>
        <v>12291073</v>
      </c>
      <c r="Q233" s="76">
        <f t="shared" si="35"/>
        <v>6124144</v>
      </c>
      <c r="R233" s="76">
        <f t="shared" si="35"/>
        <v>18835301</v>
      </c>
      <c r="S233" s="80">
        <f>M233/'[21]2014'!M233-1</f>
        <v>-2.1819725999264072E-2</v>
      </c>
      <c r="T233" s="80">
        <f>N233/'[21]2014'!N233-1</f>
        <v>8.0163313733358832E-2</v>
      </c>
      <c r="U233" s="80">
        <f>O233/'[21]2014'!O233-1</f>
        <v>3.0874392652186611E-2</v>
      </c>
      <c r="V233" s="81">
        <f>P233/'[21]2014'!P233-1</f>
        <v>-3.1936114256007064E-2</v>
      </c>
      <c r="W233" s="81">
        <f>Q233/'[21]2014'!Q233-1</f>
        <v>0.13795628414427319</v>
      </c>
      <c r="X233" s="81">
        <f>R233/'[21]2014'!R233-1</f>
        <v>1.8179571416291784E-2</v>
      </c>
      <c r="Y233" s="93"/>
      <c r="Z233" s="50"/>
      <c r="AA233" s="37"/>
      <c r="AB233" s="37"/>
    </row>
    <row r="234" spans="1:32" ht="15" customHeight="1" x14ac:dyDescent="0.15">
      <c r="A234" s="20">
        <v>42233</v>
      </c>
      <c r="B234" s="20" t="s">
        <v>34</v>
      </c>
      <c r="C234" s="21">
        <v>47428</v>
      </c>
      <c r="D234" s="7">
        <f>27660+10765</f>
        <v>38425</v>
      </c>
      <c r="E234" s="7">
        <v>90650</v>
      </c>
      <c r="F234" s="22">
        <v>4732</v>
      </c>
      <c r="G234" s="23">
        <v>2762</v>
      </c>
      <c r="H234" s="24">
        <v>1933</v>
      </c>
      <c r="I234" s="36">
        <v>1221</v>
      </c>
      <c r="J234" s="8">
        <f t="shared" si="29"/>
        <v>52225</v>
      </c>
      <c r="K234" s="37">
        <f t="shared" si="30"/>
        <v>4047</v>
      </c>
      <c r="L234" s="37">
        <v>750</v>
      </c>
      <c r="M234" s="74">
        <f t="shared" si="34"/>
        <v>961917</v>
      </c>
      <c r="N234" s="75">
        <f t="shared" si="34"/>
        <v>657499</v>
      </c>
      <c r="O234" s="75">
        <f t="shared" si="34"/>
        <v>1679146</v>
      </c>
      <c r="P234" s="76">
        <f t="shared" si="35"/>
        <v>12338501</v>
      </c>
      <c r="Q234" s="76">
        <f t="shared" si="35"/>
        <v>6162569</v>
      </c>
      <c r="R234" s="76">
        <f t="shared" si="35"/>
        <v>18925951</v>
      </c>
      <c r="S234" s="80">
        <f>M234/'[21]2014'!M234-1</f>
        <v>-1.141696110895285E-2</v>
      </c>
      <c r="T234" s="80">
        <f>N234/'[21]2014'!N234-1</f>
        <v>7.7639318898134579E-2</v>
      </c>
      <c r="U234" s="80">
        <f>O234/'[21]2014'!O234-1</f>
        <v>3.731091108009954E-2</v>
      </c>
      <c r="V234" s="81">
        <f>P234/'[21]2014'!P234-1</f>
        <v>-3.1110968145535045E-2</v>
      </c>
      <c r="W234" s="81">
        <f>Q234/'[21]2014'!Q234-1</f>
        <v>0.13727747881222729</v>
      </c>
      <c r="X234" s="81">
        <f>R234/'[21]2014'!R234-1</f>
        <v>1.8793622537383037E-2</v>
      </c>
      <c r="Y234" s="93"/>
      <c r="Z234" s="50"/>
      <c r="AA234" s="37"/>
      <c r="AB234" s="37"/>
    </row>
    <row r="235" spans="1:32" ht="15" customHeight="1" x14ac:dyDescent="0.15">
      <c r="A235" s="20">
        <v>42234</v>
      </c>
      <c r="B235" s="14" t="s">
        <v>35</v>
      </c>
      <c r="C235" s="15">
        <v>48457</v>
      </c>
      <c r="D235" s="16">
        <v>40174</v>
      </c>
      <c r="E235" s="16">
        <v>93762</v>
      </c>
      <c r="F235" s="17">
        <v>4793</v>
      </c>
      <c r="G235" s="18">
        <v>3007</v>
      </c>
      <c r="H235" s="19"/>
      <c r="I235" s="19"/>
      <c r="J235" s="32">
        <f t="shared" si="29"/>
        <v>53588</v>
      </c>
      <c r="K235" s="33">
        <f t="shared" si="30"/>
        <v>4381</v>
      </c>
      <c r="L235" s="33">
        <v>750</v>
      </c>
      <c r="M235" s="77">
        <f t="shared" ref="M235:O248" si="37">M234+C235</f>
        <v>1010374</v>
      </c>
      <c r="N235" s="78">
        <f t="shared" si="37"/>
        <v>697673</v>
      </c>
      <c r="O235" s="78">
        <f t="shared" si="37"/>
        <v>1772908</v>
      </c>
      <c r="P235" s="77">
        <f t="shared" si="35"/>
        <v>12386958</v>
      </c>
      <c r="Q235" s="77">
        <f t="shared" si="35"/>
        <v>6202743</v>
      </c>
      <c r="R235" s="77">
        <f t="shared" si="35"/>
        <v>19019713</v>
      </c>
      <c r="S235" s="82">
        <f>M235/'[21]2014'!M235-1</f>
        <v>-3.3980424513645469E-3</v>
      </c>
      <c r="T235" s="82">
        <f>N235/'[21]2014'!N235-1</f>
        <v>7.7314222889296458E-2</v>
      </c>
      <c r="U235" s="82">
        <f>O235/'[21]2014'!O235-1</f>
        <v>4.2479878447476915E-2</v>
      </c>
      <c r="V235" s="82">
        <f>P235/'[21]2014'!P235-1</f>
        <v>-3.0411729607219495E-2</v>
      </c>
      <c r="W235" s="82">
        <f>Q235/'[21]2014'!Q235-1</f>
        <v>0.13682927615577656</v>
      </c>
      <c r="X235" s="82">
        <f>R235/'[21]2014'!R235-1</f>
        <v>1.9346045708586557E-2</v>
      </c>
      <c r="Y235" s="96">
        <f>Y237-0.5*2</f>
        <v>77.639799999999994</v>
      </c>
      <c r="Z235" s="49">
        <f t="shared" ref="Z235" si="38">P235/10000-Y235</f>
        <v>1161.056</v>
      </c>
      <c r="AA235" s="33">
        <v>3890</v>
      </c>
      <c r="AB235" s="33">
        <f t="shared" ref="AB235" si="39">Z235*10000/AA235</f>
        <v>2984.719794344473</v>
      </c>
      <c r="AC235" s="63">
        <f>AC228+SUM(K229:K235)/10000</f>
        <v>25.266431000000001</v>
      </c>
      <c r="AD235" s="2">
        <f>AD228+SUM(L229:L235)/10000</f>
        <v>17.734469999999998</v>
      </c>
      <c r="AF235" s="2">
        <f>AF228+SUM(J229:J235)/10000</f>
        <v>1281.6970720000002</v>
      </c>
    </row>
    <row r="236" spans="1:32" ht="15" customHeight="1" x14ac:dyDescent="0.15">
      <c r="A236" s="20">
        <v>42235</v>
      </c>
      <c r="B236" s="20" t="s">
        <v>36</v>
      </c>
      <c r="C236" s="66">
        <v>51554</v>
      </c>
      <c r="D236" s="67">
        <f>30166+11011</f>
        <v>41177</v>
      </c>
      <c r="E236" s="67">
        <v>97407</v>
      </c>
      <c r="F236" s="68">
        <v>4921.5</v>
      </c>
      <c r="G236" s="69">
        <v>3099</v>
      </c>
      <c r="H236" s="24">
        <v>2095.4</v>
      </c>
      <c r="I236" s="24">
        <v>1329.6</v>
      </c>
      <c r="J236" s="70">
        <f t="shared" si="29"/>
        <v>56230</v>
      </c>
      <c r="K236" s="71">
        <f t="shared" si="30"/>
        <v>3926</v>
      </c>
      <c r="L236" s="71">
        <v>750</v>
      </c>
      <c r="M236" s="72">
        <f t="shared" si="37"/>
        <v>1061928</v>
      </c>
      <c r="N236" s="73">
        <f t="shared" si="37"/>
        <v>738850</v>
      </c>
      <c r="O236" s="73">
        <f t="shared" si="37"/>
        <v>1870315</v>
      </c>
      <c r="P236" s="72">
        <f t="shared" si="35"/>
        <v>12438512</v>
      </c>
      <c r="Q236" s="72">
        <f t="shared" si="35"/>
        <v>6243920</v>
      </c>
      <c r="R236" s="72">
        <f t="shared" si="35"/>
        <v>19117120</v>
      </c>
      <c r="S236" s="79">
        <f>M236/'[21]2014'!M236-1</f>
        <v>9.1801708310050856E-3</v>
      </c>
      <c r="T236" s="79">
        <f>N236/'[21]2014'!N236-1</f>
        <v>7.8739122817263363E-2</v>
      </c>
      <c r="U236" s="79">
        <f>O236/'[21]2014'!O236-1</f>
        <v>5.045313521491912E-2</v>
      </c>
      <c r="V236" s="79">
        <f>P236/'[21]2014'!P236-1</f>
        <v>-2.9297762315495746E-2</v>
      </c>
      <c r="W236" s="79">
        <f>Q236/'[21]2014'!Q236-1</f>
        <v>0.13660265877049005</v>
      </c>
      <c r="X236" s="79">
        <f>R236/'[21]2014'!R236-1</f>
        <v>2.020218398679785E-2</v>
      </c>
      <c r="Y236" s="85"/>
      <c r="Z236" s="97"/>
      <c r="AA236" s="85"/>
      <c r="AB236" s="71"/>
    </row>
    <row r="237" spans="1:32" ht="15" customHeight="1" x14ac:dyDescent="0.15">
      <c r="A237" s="20">
        <v>42236</v>
      </c>
      <c r="B237" s="20" t="s">
        <v>37</v>
      </c>
      <c r="C237" s="21">
        <v>53505</v>
      </c>
      <c r="D237" s="7">
        <f>30828+11705</f>
        <v>42533</v>
      </c>
      <c r="E237" s="7">
        <v>100123</v>
      </c>
      <c r="F237" s="22">
        <v>5110.5</v>
      </c>
      <c r="G237" s="23">
        <v>3257.9</v>
      </c>
      <c r="H237" s="24"/>
      <c r="I237" s="36"/>
      <c r="J237" s="8">
        <f t="shared" si="29"/>
        <v>57590</v>
      </c>
      <c r="K237" s="37">
        <f t="shared" si="30"/>
        <v>3335</v>
      </c>
      <c r="L237" s="37">
        <v>750</v>
      </c>
      <c r="M237" s="74">
        <f t="shared" si="37"/>
        <v>1115433</v>
      </c>
      <c r="N237" s="75">
        <f t="shared" si="37"/>
        <v>781383</v>
      </c>
      <c r="O237" s="75">
        <f t="shared" si="37"/>
        <v>1970438</v>
      </c>
      <c r="P237" s="76">
        <f t="shared" si="35"/>
        <v>12492017</v>
      </c>
      <c r="Q237" s="76">
        <f t="shared" si="35"/>
        <v>6286453</v>
      </c>
      <c r="R237" s="76">
        <f t="shared" si="35"/>
        <v>19217243</v>
      </c>
      <c r="S237" s="80">
        <f>M237/'[21]2014'!M237-1</f>
        <v>2.2685639365906063E-2</v>
      </c>
      <c r="T237" s="80">
        <f>N237/'[21]2014'!N237-1</f>
        <v>8.348147059394484E-2</v>
      </c>
      <c r="U237" s="80">
        <f>O237/'[21]2014'!O237-1</f>
        <v>5.9937149478164198E-2</v>
      </c>
      <c r="V237" s="81">
        <f>P237/'[21]2014'!P237-1</f>
        <v>-2.8047619377367772E-2</v>
      </c>
      <c r="W237" s="81">
        <f>Q237/'[21]2014'!Q237-1</f>
        <v>0.13684174015685091</v>
      </c>
      <c r="X237" s="81">
        <f>R237/'[21]2014'!R237-1</f>
        <v>2.1265394202692134E-2</v>
      </c>
      <c r="Y237" s="93">
        <v>78.639799999999994</v>
      </c>
      <c r="Z237" s="50">
        <f>P237/10000-Y237</f>
        <v>1170.5619000000002</v>
      </c>
      <c r="AA237" s="37">
        <f>3890.092+6*20/(212+20)</f>
        <v>3890.6092413793103</v>
      </c>
      <c r="AB237" s="37">
        <f>(Z237-0.8152)*10000/AA237</f>
        <v>3006.5900413717677</v>
      </c>
    </row>
    <row r="238" spans="1:32" ht="15" customHeight="1" x14ac:dyDescent="0.15">
      <c r="A238" s="20">
        <v>42237</v>
      </c>
      <c r="B238" s="20" t="s">
        <v>38</v>
      </c>
      <c r="C238" s="21">
        <v>47949</v>
      </c>
      <c r="D238" s="7">
        <v>43786</v>
      </c>
      <c r="E238" s="7">
        <v>95495</v>
      </c>
      <c r="F238" s="22">
        <v>4845.2</v>
      </c>
      <c r="G238" s="23">
        <v>3229</v>
      </c>
      <c r="H238" s="24">
        <v>2154.6</v>
      </c>
      <c r="I238" s="36">
        <v>1427.9</v>
      </c>
      <c r="J238" s="8">
        <f t="shared" si="29"/>
        <v>51709</v>
      </c>
      <c r="K238" s="37">
        <f t="shared" si="30"/>
        <v>3010</v>
      </c>
      <c r="L238" s="37">
        <v>750</v>
      </c>
      <c r="M238" s="74">
        <f t="shared" si="37"/>
        <v>1163382</v>
      </c>
      <c r="N238" s="75">
        <f t="shared" si="37"/>
        <v>825169</v>
      </c>
      <c r="O238" s="75">
        <f t="shared" si="37"/>
        <v>2065933</v>
      </c>
      <c r="P238" s="76">
        <f t="shared" si="35"/>
        <v>12539966</v>
      </c>
      <c r="Q238" s="76">
        <f t="shared" si="35"/>
        <v>6330239</v>
      </c>
      <c r="R238" s="76">
        <f t="shared" si="35"/>
        <v>19312738</v>
      </c>
      <c r="S238" s="80">
        <f>M238/'[21]2014'!M238-1</f>
        <v>2.9325707794028988E-2</v>
      </c>
      <c r="T238" s="80">
        <f>N238/'[21]2014'!N238-1</f>
        <v>8.7399814982223045E-2</v>
      </c>
      <c r="U238" s="80">
        <f>O238/'[21]2014'!O238-1</f>
        <v>6.4490316224677713E-2</v>
      </c>
      <c r="V238" s="81">
        <f>P238/'[21]2014'!P238-1</f>
        <v>-2.7298885796863015E-2</v>
      </c>
      <c r="W238" s="81">
        <f>Q238/'[21]2014'!Q238-1</f>
        <v>0.13701479074661527</v>
      </c>
      <c r="X238" s="81">
        <f>R238/'[21]2014'!R238-1</f>
        <v>2.1900268021413538E-2</v>
      </c>
      <c r="Y238" s="93"/>
      <c r="Z238" s="50"/>
      <c r="AA238" s="37"/>
      <c r="AB238" s="37"/>
    </row>
    <row r="239" spans="1:32" ht="15" customHeight="1" x14ac:dyDescent="0.15">
      <c r="A239" s="20">
        <v>42238</v>
      </c>
      <c r="B239" s="20" t="s">
        <v>39</v>
      </c>
      <c r="C239" s="21">
        <v>45682</v>
      </c>
      <c r="D239" s="7">
        <v>41366</v>
      </c>
      <c r="E239" s="7">
        <v>90447</v>
      </c>
      <c r="F239" s="22">
        <v>4560</v>
      </c>
      <c r="G239" s="23">
        <v>3155</v>
      </c>
      <c r="H239" s="24"/>
      <c r="I239" s="36"/>
      <c r="J239" s="8">
        <f t="shared" si="29"/>
        <v>49081</v>
      </c>
      <c r="K239" s="37">
        <f t="shared" si="30"/>
        <v>2649</v>
      </c>
      <c r="L239" s="37">
        <v>750</v>
      </c>
      <c r="M239" s="74">
        <f t="shared" si="37"/>
        <v>1209064</v>
      </c>
      <c r="N239" s="75">
        <f t="shared" si="37"/>
        <v>866535</v>
      </c>
      <c r="O239" s="75">
        <f t="shared" si="37"/>
        <v>2156380</v>
      </c>
      <c r="P239" s="76">
        <f t="shared" si="35"/>
        <v>12585648</v>
      </c>
      <c r="Q239" s="76">
        <f t="shared" si="35"/>
        <v>6371605</v>
      </c>
      <c r="R239" s="76">
        <f t="shared" si="35"/>
        <v>19403185</v>
      </c>
      <c r="S239" s="80">
        <f>M239/'[21]2014'!M239-1</f>
        <v>2.980747282099494E-2</v>
      </c>
      <c r="T239" s="80">
        <f>N239/'[21]2014'!N239-1</f>
        <v>8.7305949136464278E-2</v>
      </c>
      <c r="U239" s="80">
        <f>O239/'[21]2014'!O239-1</f>
        <v>6.3653578371190234E-2</v>
      </c>
      <c r="V239" s="81">
        <f>P239/'[21]2014'!P239-1</f>
        <v>-2.7063295141734667E-2</v>
      </c>
      <c r="W239" s="81">
        <f>Q239/'[21]2014'!Q239-1</f>
        <v>0.13666413101590535</v>
      </c>
      <c r="X239" s="81">
        <f>R239/'[21]2014'!R239-1</f>
        <v>2.2005100679115319E-2</v>
      </c>
      <c r="Y239" s="93"/>
      <c r="Z239" s="50"/>
      <c r="AA239" s="37"/>
      <c r="AB239" s="37"/>
    </row>
    <row r="240" spans="1:32" ht="15" customHeight="1" x14ac:dyDescent="0.15">
      <c r="A240" s="20">
        <v>42239</v>
      </c>
      <c r="B240" s="20" t="s">
        <v>1</v>
      </c>
      <c r="C240" s="21">
        <v>38096</v>
      </c>
      <c r="D240" s="7">
        <v>40418</v>
      </c>
      <c r="E240" s="7">
        <v>82067</v>
      </c>
      <c r="F240" s="22">
        <v>4016</v>
      </c>
      <c r="G240" s="23">
        <v>2955</v>
      </c>
      <c r="H240" s="24"/>
      <c r="I240" s="36"/>
      <c r="J240" s="8">
        <f t="shared" si="29"/>
        <v>41649</v>
      </c>
      <c r="K240" s="37">
        <f t="shared" si="30"/>
        <v>2803</v>
      </c>
      <c r="L240" s="37">
        <v>750</v>
      </c>
      <c r="M240" s="74">
        <f t="shared" si="37"/>
        <v>1247160</v>
      </c>
      <c r="N240" s="75">
        <f t="shared" si="37"/>
        <v>906953</v>
      </c>
      <c r="O240" s="75">
        <f t="shared" si="37"/>
        <v>2238447</v>
      </c>
      <c r="P240" s="76">
        <f t="shared" si="35"/>
        <v>12623744</v>
      </c>
      <c r="Q240" s="76">
        <f t="shared" si="35"/>
        <v>6412023</v>
      </c>
      <c r="R240" s="76">
        <f t="shared" si="35"/>
        <v>19485252</v>
      </c>
      <c r="S240" s="80">
        <f>M240/'[21]2014'!M240-1</f>
        <v>2.1889556678097E-2</v>
      </c>
      <c r="T240" s="80">
        <f>N240/'[21]2014'!N240-1</f>
        <v>8.671656795445859E-2</v>
      </c>
      <c r="U240" s="80">
        <f>O240/'[21]2014'!O240-1</f>
        <v>5.7832207819211945E-2</v>
      </c>
      <c r="V240" s="81">
        <f>P240/'[21]2014'!P240-1</f>
        <v>-2.7604492709940698E-2</v>
      </c>
      <c r="W240" s="81">
        <f>Q240/'[21]2014'!Q240-1</f>
        <v>0.13624787665325733</v>
      </c>
      <c r="X240" s="81">
        <f>R240/'[21]2014'!R240-1</f>
        <v>2.1553040254148836E-2</v>
      </c>
      <c r="Y240" s="93"/>
      <c r="Z240" s="50"/>
      <c r="AA240" s="37"/>
      <c r="AB240" s="37"/>
    </row>
    <row r="241" spans="1:32" ht="15" customHeight="1" x14ac:dyDescent="0.15">
      <c r="A241" s="20">
        <v>42240</v>
      </c>
      <c r="B241" s="20" t="s">
        <v>34</v>
      </c>
      <c r="C241" s="21">
        <v>40516</v>
      </c>
      <c r="D241" s="7">
        <f>30946+11198</f>
        <v>42144</v>
      </c>
      <c r="E241" s="7">
        <v>85411</v>
      </c>
      <c r="F241" s="22">
        <v>4480</v>
      </c>
      <c r="G241" s="23">
        <v>8810</v>
      </c>
      <c r="H241" s="24"/>
      <c r="I241" s="36"/>
      <c r="J241" s="8">
        <f t="shared" si="29"/>
        <v>43267</v>
      </c>
      <c r="K241" s="37">
        <f t="shared" si="30"/>
        <v>2001</v>
      </c>
      <c r="L241" s="37">
        <v>750</v>
      </c>
      <c r="M241" s="74">
        <f t="shared" si="37"/>
        <v>1287676</v>
      </c>
      <c r="N241" s="75">
        <f t="shared" si="37"/>
        <v>949097</v>
      </c>
      <c r="O241" s="75">
        <f t="shared" si="37"/>
        <v>2323858</v>
      </c>
      <c r="P241" s="76">
        <f t="shared" si="35"/>
        <v>12664260</v>
      </c>
      <c r="Q241" s="76">
        <f t="shared" si="35"/>
        <v>6454167</v>
      </c>
      <c r="R241" s="76">
        <f t="shared" si="35"/>
        <v>19570663</v>
      </c>
      <c r="S241" s="80">
        <f>M241/'[21]2014'!M241-1</f>
        <v>1.5498930224451701E-2</v>
      </c>
      <c r="T241" s="80">
        <f>N241/'[21]2014'!N241-1</f>
        <v>8.9991478492956523E-2</v>
      </c>
      <c r="U241" s="80">
        <f>O241/'[21]2014'!O241-1</f>
        <v>5.4141455012762574E-2</v>
      </c>
      <c r="V241" s="81">
        <f>P241/'[21]2014'!P241-1</f>
        <v>-2.8045687779140849E-2</v>
      </c>
      <c r="W241" s="81">
        <f>Q241/'[21]2014'!Q241-1</f>
        <v>0.13643463968109804</v>
      </c>
      <c r="X241" s="81">
        <f>R241/'[21]2014'!R241-1</f>
        <v>2.1295872366274837E-2</v>
      </c>
      <c r="Y241" s="93"/>
      <c r="Z241" s="50"/>
      <c r="AA241" s="37"/>
      <c r="AB241" s="37"/>
    </row>
    <row r="242" spans="1:32" ht="15" customHeight="1" x14ac:dyDescent="0.15">
      <c r="A242" s="20">
        <v>42241</v>
      </c>
      <c r="B242" s="14" t="s">
        <v>35</v>
      </c>
      <c r="C242" s="15">
        <v>41751</v>
      </c>
      <c r="D242" s="16">
        <f>33704+11133</f>
        <v>44837</v>
      </c>
      <c r="E242" s="16">
        <v>88556</v>
      </c>
      <c r="F242" s="17">
        <v>4474.3999999999996</v>
      </c>
      <c r="G242" s="18">
        <v>2881.2</v>
      </c>
      <c r="H242" s="19">
        <v>2157.5</v>
      </c>
      <c r="I242" s="19">
        <v>1525.6</v>
      </c>
      <c r="J242" s="32">
        <f t="shared" si="29"/>
        <v>43719</v>
      </c>
      <c r="K242" s="33">
        <f t="shared" si="30"/>
        <v>1218</v>
      </c>
      <c r="L242" s="33">
        <v>750</v>
      </c>
      <c r="M242" s="77">
        <f t="shared" si="37"/>
        <v>1329427</v>
      </c>
      <c r="N242" s="78">
        <f t="shared" si="37"/>
        <v>993934</v>
      </c>
      <c r="O242" s="78">
        <f t="shared" si="37"/>
        <v>2412414</v>
      </c>
      <c r="P242" s="77">
        <f t="shared" si="35"/>
        <v>12706011</v>
      </c>
      <c r="Q242" s="77">
        <f t="shared" si="35"/>
        <v>6499004</v>
      </c>
      <c r="R242" s="77">
        <f t="shared" si="35"/>
        <v>19659219</v>
      </c>
      <c r="S242" s="82">
        <f>M242/'[21]2014'!M242-1</f>
        <v>8.8712694566517314E-3</v>
      </c>
      <c r="T242" s="82">
        <f>N242/'[21]2014'!N242-1</f>
        <v>9.4430038263550564E-2</v>
      </c>
      <c r="U242" s="82">
        <f>O242/'[21]2014'!O242-1</f>
        <v>5.057026769266959E-2</v>
      </c>
      <c r="V242" s="82">
        <f>P242/'[21]2014'!P242-1</f>
        <v>-2.8547907790501648E-2</v>
      </c>
      <c r="W242" s="82">
        <f>Q242/'[21]2014'!Q242-1</f>
        <v>0.13683561869104954</v>
      </c>
      <c r="X242" s="82">
        <f>R242/'[21]2014'!R242-1</f>
        <v>2.1026547258723216E-2</v>
      </c>
      <c r="Y242" s="96">
        <f>Y244-(Y244-Y237)/7*2</f>
        <v>80.139799999999994</v>
      </c>
      <c r="Z242" s="49">
        <f t="shared" ref="Z242" si="40">P242/10000-Y242</f>
        <v>1190.4613000000002</v>
      </c>
      <c r="AA242" s="33">
        <v>3891</v>
      </c>
      <c r="AB242" s="33">
        <f>Z242*10000/AA242</f>
        <v>3059.5253148290931</v>
      </c>
      <c r="AC242" s="63">
        <f t="shared" ref="AC242" si="41">AC235+SUM(K236:K242)/10000</f>
        <v>27.160631000000002</v>
      </c>
      <c r="AD242" s="2">
        <f t="shared" ref="AD242" si="42">AD235+SUM(L236:L242)/10000</f>
        <v>18.259469999999997</v>
      </c>
      <c r="AF242" s="2">
        <f t="shared" ref="AF242" si="43">AF235+SUM(J236:J242)/10000</f>
        <v>1316.0215720000001</v>
      </c>
    </row>
    <row r="243" spans="1:32" ht="15" customHeight="1" x14ac:dyDescent="0.15">
      <c r="A243" s="20">
        <v>42242</v>
      </c>
      <c r="B243" s="20" t="s">
        <v>36</v>
      </c>
      <c r="C243" s="66">
        <v>43297</v>
      </c>
      <c r="D243" s="67">
        <f>33533+11266</f>
        <v>44799</v>
      </c>
      <c r="E243" s="67">
        <v>90382</v>
      </c>
      <c r="F243" s="68">
        <v>4598.1000000000004</v>
      </c>
      <c r="G243" s="69">
        <v>3016.4</v>
      </c>
      <c r="H243" s="24"/>
      <c r="I243" s="24"/>
      <c r="J243" s="70">
        <f t="shared" si="29"/>
        <v>45583</v>
      </c>
      <c r="K243" s="71">
        <f t="shared" si="30"/>
        <v>1536</v>
      </c>
      <c r="L243" s="71">
        <v>750</v>
      </c>
      <c r="M243" s="72">
        <f t="shared" si="37"/>
        <v>1372724</v>
      </c>
      <c r="N243" s="73">
        <f t="shared" si="37"/>
        <v>1038733</v>
      </c>
      <c r="O243" s="73">
        <f t="shared" si="37"/>
        <v>2502796</v>
      </c>
      <c r="P243" s="72">
        <f t="shared" si="35"/>
        <v>12749308</v>
      </c>
      <c r="Q243" s="72">
        <f t="shared" si="35"/>
        <v>6543803</v>
      </c>
      <c r="R243" s="72">
        <f t="shared" si="35"/>
        <v>19749601</v>
      </c>
      <c r="S243" s="79">
        <f>M243/'[21]2014'!M243-1</f>
        <v>6.4556619564650752E-3</v>
      </c>
      <c r="T243" s="79">
        <f>N243/'[21]2014'!N243-1</f>
        <v>9.6805564208127803E-2</v>
      </c>
      <c r="U243" s="79">
        <f>O243/'[21]2014'!O243-1</f>
        <v>4.8953182614876578E-2</v>
      </c>
      <c r="V243" s="79">
        <f>P243/'[21]2014'!P243-1</f>
        <v>-2.8667262533045967E-2</v>
      </c>
      <c r="W243" s="79">
        <f>Q243/'[21]2014'!Q243-1</f>
        <v>0.13694005645362273</v>
      </c>
      <c r="X243" s="79">
        <f>R243/'[21]2014'!R243-1</f>
        <v>2.096409063065563E-2</v>
      </c>
      <c r="Y243" s="85"/>
      <c r="Z243" s="97"/>
      <c r="AA243" s="85"/>
      <c r="AB243" s="71"/>
    </row>
    <row r="244" spans="1:32" ht="15" customHeight="1" x14ac:dyDescent="0.15">
      <c r="A244" s="20">
        <v>42243</v>
      </c>
      <c r="B244" s="20" t="s">
        <v>37</v>
      </c>
      <c r="C244" s="21">
        <v>45291</v>
      </c>
      <c r="D244" s="7">
        <f>33502+11259</f>
        <v>44761</v>
      </c>
      <c r="E244" s="7">
        <v>91999</v>
      </c>
      <c r="F244" s="22">
        <v>4666.6000000000004</v>
      </c>
      <c r="G244" s="23">
        <v>3050</v>
      </c>
      <c r="H244" s="24">
        <v>2158.1999999999998</v>
      </c>
      <c r="I244" s="36">
        <v>1650.2</v>
      </c>
      <c r="J244" s="8">
        <f t="shared" si="29"/>
        <v>47238</v>
      </c>
      <c r="K244" s="37">
        <f t="shared" si="30"/>
        <v>1197</v>
      </c>
      <c r="L244" s="37">
        <v>750</v>
      </c>
      <c r="M244" s="74">
        <f t="shared" si="37"/>
        <v>1418015</v>
      </c>
      <c r="N244" s="75">
        <f t="shared" si="37"/>
        <v>1083494</v>
      </c>
      <c r="O244" s="75">
        <f t="shared" si="37"/>
        <v>2594795</v>
      </c>
      <c r="P244" s="76">
        <f t="shared" si="35"/>
        <v>12794599</v>
      </c>
      <c r="Q244" s="76">
        <f t="shared" si="35"/>
        <v>6588564</v>
      </c>
      <c r="R244" s="76">
        <f t="shared" si="35"/>
        <v>19841600</v>
      </c>
      <c r="S244" s="80">
        <f>M244/'[21]2014'!M244-1</f>
        <v>5.0108260775578728E-3</v>
      </c>
      <c r="T244" s="80">
        <f>N244/'[21]2014'!N244-1</f>
        <v>9.9429125748600189E-2</v>
      </c>
      <c r="U244" s="80">
        <f>O244/'[21]2014'!O244-1</f>
        <v>4.8465139921554767E-2</v>
      </c>
      <c r="V244" s="81">
        <f>P244/'[21]2014'!P244-1</f>
        <v>-2.8696633580665987E-2</v>
      </c>
      <c r="W244" s="81">
        <f>Q244/'[21]2014'!Q244-1</f>
        <v>0.13711993729599992</v>
      </c>
      <c r="X244" s="81">
        <f>R244/'[21]2014'!R244-1</f>
        <v>2.1029916730259668E-2</v>
      </c>
      <c r="Y244" s="93">
        <f>Y237+0.3*7</f>
        <v>80.739799999999988</v>
      </c>
      <c r="Z244" s="50">
        <f>P244/10000-Y244</f>
        <v>1198.7201</v>
      </c>
      <c r="AA244" s="37">
        <f>3890.092+6*27/(212+27)</f>
        <v>3890.7698242677825</v>
      </c>
      <c r="AB244" s="37">
        <f>(Z244-0.8152)*10000/AA244</f>
        <v>3078.8377470400419</v>
      </c>
    </row>
    <row r="245" spans="1:32" ht="15" customHeight="1" x14ac:dyDescent="0.15">
      <c r="A245" s="20">
        <v>42244</v>
      </c>
      <c r="B245" s="20" t="s">
        <v>38</v>
      </c>
      <c r="C245" s="21">
        <v>45290</v>
      </c>
      <c r="D245" s="7">
        <f>33447+11230</f>
        <v>44677</v>
      </c>
      <c r="E245" s="7">
        <v>92483</v>
      </c>
      <c r="F245" s="22">
        <v>4756.8999999999996</v>
      </c>
      <c r="G245" s="23">
        <v>3101</v>
      </c>
      <c r="H245" s="24"/>
      <c r="I245" s="36"/>
      <c r="J245" s="8">
        <f t="shared" si="29"/>
        <v>47806</v>
      </c>
      <c r="K245" s="37">
        <f t="shared" si="30"/>
        <v>1766</v>
      </c>
      <c r="L245" s="37">
        <v>750</v>
      </c>
      <c r="M245" s="74">
        <f t="shared" si="37"/>
        <v>1463305</v>
      </c>
      <c r="N245" s="75">
        <f t="shared" si="37"/>
        <v>1128171</v>
      </c>
      <c r="O245" s="75">
        <f t="shared" si="37"/>
        <v>2687278</v>
      </c>
      <c r="P245" s="76">
        <f t="shared" si="35"/>
        <v>12839889</v>
      </c>
      <c r="Q245" s="76">
        <f t="shared" si="35"/>
        <v>6633241</v>
      </c>
      <c r="R245" s="76">
        <f t="shared" si="35"/>
        <v>19934083</v>
      </c>
      <c r="S245" s="80">
        <f>M245/'[21]2014'!M245-1</f>
        <v>1.9411559292557001E-3</v>
      </c>
      <c r="T245" s="80">
        <f>N245/'[21]2014'!N245-1</f>
        <v>0.10196839549199144</v>
      </c>
      <c r="U245" s="80">
        <f>O245/'[21]2014'!O245-1</f>
        <v>4.6416850591649128E-2</v>
      </c>
      <c r="V245" s="81">
        <f>P245/'[21]2014'!P245-1</f>
        <v>-2.8909443352830411E-2</v>
      </c>
      <c r="W245" s="81">
        <f>Q245/'[21]2014'!Q245-1</f>
        <v>0.13731833851389053</v>
      </c>
      <c r="X245" s="81">
        <f>R245/'[21]2014'!R245-1</f>
        <v>2.0891511889150394E-2</v>
      </c>
      <c r="Y245" s="93"/>
      <c r="Z245" s="50"/>
      <c r="AA245" s="37"/>
      <c r="AB245" s="37"/>
    </row>
    <row r="246" spans="1:32" ht="15" customHeight="1" x14ac:dyDescent="0.15">
      <c r="A246" s="20">
        <v>42245</v>
      </c>
      <c r="B246" s="20" t="s">
        <v>39</v>
      </c>
      <c r="C246" s="21">
        <v>44662</v>
      </c>
      <c r="D246" s="7">
        <f>31763+11158</f>
        <v>42921</v>
      </c>
      <c r="E246" s="7">
        <v>89103</v>
      </c>
      <c r="F246" s="22">
        <v>4485</v>
      </c>
      <c r="G246" s="23">
        <v>3049.2</v>
      </c>
      <c r="H246" s="24"/>
      <c r="I246" s="36"/>
      <c r="J246" s="8">
        <f t="shared" si="29"/>
        <v>46182</v>
      </c>
      <c r="K246" s="37">
        <f t="shared" si="30"/>
        <v>770</v>
      </c>
      <c r="L246" s="37">
        <v>750</v>
      </c>
      <c r="M246" s="74">
        <f t="shared" si="37"/>
        <v>1507967</v>
      </c>
      <c r="N246" s="75">
        <f t="shared" si="37"/>
        <v>1171092</v>
      </c>
      <c r="O246" s="75">
        <f t="shared" si="37"/>
        <v>2776381</v>
      </c>
      <c r="P246" s="76">
        <f t="shared" si="35"/>
        <v>12884551</v>
      </c>
      <c r="Q246" s="76">
        <f t="shared" si="35"/>
        <v>6676162</v>
      </c>
      <c r="R246" s="76">
        <f t="shared" si="35"/>
        <v>20023186</v>
      </c>
      <c r="S246" s="80">
        <f>M246/'[21]2014'!M246-1</f>
        <v>-1.3410667076382277E-3</v>
      </c>
      <c r="T246" s="80">
        <f>N246/'[21]2014'!N246-1</f>
        <v>0.10221149692280318</v>
      </c>
      <c r="U246" s="80">
        <f>O246/'[21]2014'!O246-1</f>
        <v>4.3474518812286034E-2</v>
      </c>
      <c r="V246" s="81">
        <f>P246/'[21]2014'!P246-1</f>
        <v>-2.9167764294111165E-2</v>
      </c>
      <c r="W246" s="81">
        <f>Q246/'[21]2014'!Q246-1</f>
        <v>0.13712922817727646</v>
      </c>
      <c r="X246" s="81">
        <f>R246/'[21]2014'!R246-1</f>
        <v>2.0612991952096538E-2</v>
      </c>
      <c r="Y246" s="93"/>
      <c r="Z246" s="50"/>
      <c r="AA246" s="37"/>
      <c r="AB246" s="37"/>
    </row>
    <row r="247" spans="1:32" ht="15" customHeight="1" x14ac:dyDescent="0.15">
      <c r="A247" s="20">
        <v>42246</v>
      </c>
      <c r="B247" s="20" t="s">
        <v>1</v>
      </c>
      <c r="C247" s="21">
        <v>40081</v>
      </c>
      <c r="D247" s="7">
        <f>31578+11219</f>
        <v>42797</v>
      </c>
      <c r="E247" s="7">
        <v>84490</v>
      </c>
      <c r="F247" s="22">
        <v>4143.8999999999996</v>
      </c>
      <c r="G247" s="23">
        <v>2990.1</v>
      </c>
      <c r="H247" s="24"/>
      <c r="I247" s="36"/>
      <c r="J247" s="8">
        <f t="shared" si="29"/>
        <v>41693</v>
      </c>
      <c r="K247" s="37">
        <f t="shared" si="30"/>
        <v>1162</v>
      </c>
      <c r="L247" s="37">
        <v>450</v>
      </c>
      <c r="M247" s="74">
        <f t="shared" si="37"/>
        <v>1548048</v>
      </c>
      <c r="N247" s="75">
        <f t="shared" si="37"/>
        <v>1213889</v>
      </c>
      <c r="O247" s="75">
        <f t="shared" si="37"/>
        <v>2860871</v>
      </c>
      <c r="P247" s="76">
        <f t="shared" si="35"/>
        <v>12924632</v>
      </c>
      <c r="Q247" s="76">
        <f t="shared" si="35"/>
        <v>6718959</v>
      </c>
      <c r="R247" s="76">
        <f t="shared" si="35"/>
        <v>20107676</v>
      </c>
      <c r="S247" s="80">
        <f>M247/'[21]2014'!M247-1</f>
        <v>-5.240318904410235E-3</v>
      </c>
      <c r="T247" s="80">
        <f>N247/'[21]2014'!N247-1</f>
        <v>0.10273947714104548</v>
      </c>
      <c r="U247" s="80">
        <f>O247/'[21]2014'!O247-1</f>
        <v>4.0598256401004562E-2</v>
      </c>
      <c r="V247" s="81">
        <f>P247/'[21]2014'!P247-1</f>
        <v>-2.9526840459728532E-2</v>
      </c>
      <c r="W247" s="81">
        <f>Q247/'[21]2014'!Q247-1</f>
        <v>0.13700126414531533</v>
      </c>
      <c r="X247" s="81">
        <f>R247/'[21]2014'!R247-1</f>
        <v>2.0314461478077694E-2</v>
      </c>
      <c r="Y247" s="93"/>
      <c r="Z247" s="50"/>
      <c r="AA247" s="37"/>
      <c r="AB247" s="37"/>
    </row>
    <row r="248" spans="1:32" s="1" customFormat="1" ht="15" customHeight="1" x14ac:dyDescent="0.15">
      <c r="A248" s="25">
        <v>42247</v>
      </c>
      <c r="B248" s="20" t="s">
        <v>34</v>
      </c>
      <c r="C248" s="21">
        <v>46788</v>
      </c>
      <c r="D248" s="7">
        <f>30780+11230</f>
        <v>42010</v>
      </c>
      <c r="E248" s="7">
        <v>90030</v>
      </c>
      <c r="F248" s="22">
        <v>4643.3</v>
      </c>
      <c r="G248" s="23">
        <v>2896.7</v>
      </c>
      <c r="H248" s="24"/>
      <c r="I248" s="36"/>
      <c r="J248" s="8">
        <f t="shared" si="29"/>
        <v>48020</v>
      </c>
      <c r="K248" s="37">
        <f t="shared" si="30"/>
        <v>1232</v>
      </c>
      <c r="L248" s="37">
        <v>0</v>
      </c>
      <c r="M248" s="74">
        <f t="shared" si="37"/>
        <v>1594836</v>
      </c>
      <c r="N248" s="75">
        <f t="shared" si="37"/>
        <v>1255899</v>
      </c>
      <c r="O248" s="75">
        <f t="shared" si="37"/>
        <v>2950901</v>
      </c>
      <c r="P248" s="76">
        <f t="shared" si="35"/>
        <v>12971420</v>
      </c>
      <c r="Q248" s="76">
        <f t="shared" si="35"/>
        <v>6760969</v>
      </c>
      <c r="R248" s="76">
        <f t="shared" si="35"/>
        <v>20197706</v>
      </c>
      <c r="S248" s="80">
        <f>M248/'[21]2014'!M248-1</f>
        <v>-3.4212100023057745E-3</v>
      </c>
      <c r="T248" s="80">
        <f>N248/'[21]2014'!N248-1</f>
        <v>0.10444336766235796</v>
      </c>
      <c r="U248" s="80">
        <f>O248/'[21]2014'!O248-1</f>
        <v>4.1296869194116459E-2</v>
      </c>
      <c r="V248" s="81">
        <f>P248/'[21]2014'!P248-1</f>
        <v>-2.922880292994301E-2</v>
      </c>
      <c r="W248" s="81">
        <f>Q248/'[21]2014'!Q248-1</f>
        <v>0.13711773659351634</v>
      </c>
      <c r="X248" s="81">
        <f>R248/'[21]2014'!R248-1</f>
        <v>2.0501208735037801E-2</v>
      </c>
      <c r="Y248" s="93">
        <v>80.968800000000002</v>
      </c>
      <c r="Z248" s="50">
        <f>P248/10000-Y248</f>
        <v>1216.1732</v>
      </c>
      <c r="AA248" s="37">
        <f>3890.092+12*62/(181+62)</f>
        <v>3893.153728395062</v>
      </c>
      <c r="AB248" s="37">
        <f>(Z248-1.0947)*10000/AA248</f>
        <v>3121.0647838992768</v>
      </c>
      <c r="AC248" s="86">
        <v>28.010899999999999</v>
      </c>
      <c r="AD248" s="1">
        <v>18.520399999999999</v>
      </c>
      <c r="AF248" s="1">
        <v>1343.6737000000001</v>
      </c>
    </row>
    <row r="249" spans="1:32" ht="15" customHeight="1" x14ac:dyDescent="0.15">
      <c r="A249" s="20">
        <v>42248</v>
      </c>
      <c r="B249" s="14" t="s">
        <v>35</v>
      </c>
      <c r="C249" s="15">
        <v>47992</v>
      </c>
      <c r="D249" s="16">
        <v>42311</v>
      </c>
      <c r="E249" s="16">
        <v>91503</v>
      </c>
      <c r="F249" s="17">
        <v>4591.7</v>
      </c>
      <c r="G249" s="18">
        <v>3030.7</v>
      </c>
      <c r="H249" s="19">
        <v>2025.3</v>
      </c>
      <c r="I249" s="19">
        <v>1527.7</v>
      </c>
      <c r="J249" s="32">
        <f t="shared" si="29"/>
        <v>49192</v>
      </c>
      <c r="K249" s="33">
        <f t="shared" si="30"/>
        <v>1200</v>
      </c>
      <c r="L249" s="33">
        <v>0</v>
      </c>
      <c r="M249" s="77">
        <f>C249</f>
        <v>47992</v>
      </c>
      <c r="N249" s="78">
        <f>D249</f>
        <v>42311</v>
      </c>
      <c r="O249" s="78">
        <f>E249</f>
        <v>91503</v>
      </c>
      <c r="P249" s="77">
        <f t="shared" ref="P249:R264" si="44">P$248+M249</f>
        <v>13019412</v>
      </c>
      <c r="Q249" s="77">
        <f t="shared" si="44"/>
        <v>6803280</v>
      </c>
      <c r="R249" s="77">
        <f t="shared" si="44"/>
        <v>20289209</v>
      </c>
      <c r="S249" s="82">
        <f>M249/'[21]2014'!M249-1</f>
        <v>4.2329995873422677E-2</v>
      </c>
      <c r="T249" s="82">
        <f>N249/'[21]2014'!N249-1</f>
        <v>9.1530583288187195E-2</v>
      </c>
      <c r="U249" s="82">
        <f>O249/'[21]2014'!O249-1</f>
        <v>4.004319163446235E-2</v>
      </c>
      <c r="V249" s="82">
        <f>P249/'[21]2014'!P249-1</f>
        <v>-2.898307072021189E-2</v>
      </c>
      <c r="W249" s="82">
        <f>Q249/'[21]2014'!Q249-1</f>
        <v>0.13682245651122904</v>
      </c>
      <c r="X249" s="82">
        <f>R249/'[21]2014'!R249-1</f>
        <v>2.0587693139213714E-2</v>
      </c>
      <c r="Y249" s="96">
        <f>Y248+0.2</f>
        <v>81.168800000000005</v>
      </c>
      <c r="Z249" s="49">
        <f>P249/10000-Y249</f>
        <v>1220.7724000000001</v>
      </c>
      <c r="AA249" s="33"/>
      <c r="AB249" s="33"/>
      <c r="AC249" s="63">
        <f>AC248+SUM(K249:K249)/10000</f>
        <v>28.1309</v>
      </c>
      <c r="AD249" s="2">
        <f>AD248+SUM(L249:L249)/10000</f>
        <v>18.520399999999999</v>
      </c>
      <c r="AF249" s="2">
        <f>AF248+SUM(J249:J249)/10000</f>
        <v>1348.5929000000001</v>
      </c>
    </row>
    <row r="250" spans="1:32" ht="15" customHeight="1" x14ac:dyDescent="0.15">
      <c r="A250" s="20">
        <v>42249</v>
      </c>
      <c r="B250" s="20" t="s">
        <v>36</v>
      </c>
      <c r="C250" s="66">
        <v>49490</v>
      </c>
      <c r="D250" s="67">
        <v>42653</v>
      </c>
      <c r="E250" s="67">
        <v>92735</v>
      </c>
      <c r="F250" s="68">
        <v>4740.5</v>
      </c>
      <c r="G250" s="69">
        <v>3095.8</v>
      </c>
      <c r="H250" s="24"/>
      <c r="I250" s="24"/>
      <c r="J250" s="70">
        <f t="shared" si="29"/>
        <v>50082</v>
      </c>
      <c r="K250" s="71">
        <f t="shared" si="30"/>
        <v>592</v>
      </c>
      <c r="L250" s="71">
        <v>0</v>
      </c>
      <c r="M250" s="72">
        <f t="shared" ref="M250:O265" si="45">C250+M249</f>
        <v>97482</v>
      </c>
      <c r="N250" s="73">
        <f t="shared" si="45"/>
        <v>84964</v>
      </c>
      <c r="O250" s="73">
        <f t="shared" si="45"/>
        <v>184238</v>
      </c>
      <c r="P250" s="72">
        <f t="shared" si="44"/>
        <v>13068902</v>
      </c>
      <c r="Q250" s="72">
        <f t="shared" si="44"/>
        <v>6845933</v>
      </c>
      <c r="R250" s="72">
        <f t="shared" si="44"/>
        <v>20381944</v>
      </c>
      <c r="S250" s="79">
        <f>M250/'[21]2014'!M250-1</f>
        <v>1.7366641661442639E-3</v>
      </c>
      <c r="T250" s="79">
        <f>N250/'[21]2014'!N250-1</f>
        <v>9.1661313118334808E-2</v>
      </c>
      <c r="U250" s="79">
        <f>O250/'[21]2014'!O250-1</f>
        <v>1.5689776836905756E-2</v>
      </c>
      <c r="V250" s="79">
        <f>P250/'[21]2014'!P250-1</f>
        <v>-2.900491719341769E-2</v>
      </c>
      <c r="W250" s="79">
        <f>Q250/'[21]2014'!Q250-1</f>
        <v>0.13653039507302123</v>
      </c>
      <c r="X250" s="79">
        <f>R250/'[21]2014'!R250-1</f>
        <v>2.045751272367613E-2</v>
      </c>
      <c r="Y250" s="85"/>
      <c r="Z250" s="97"/>
      <c r="AA250" s="85"/>
      <c r="AB250" s="71"/>
    </row>
    <row r="251" spans="1:32" ht="15" customHeight="1" x14ac:dyDescent="0.15">
      <c r="A251" s="20">
        <v>42250</v>
      </c>
      <c r="B251" s="20" t="s">
        <v>37</v>
      </c>
      <c r="C251" s="21">
        <v>40927</v>
      </c>
      <c r="D251" s="7">
        <v>33881</v>
      </c>
      <c r="E251" s="7">
        <v>75147</v>
      </c>
      <c r="F251" s="22">
        <v>3383.7</v>
      </c>
      <c r="G251" s="23">
        <v>2900.3</v>
      </c>
      <c r="H251" s="24"/>
      <c r="I251" s="36"/>
      <c r="J251" s="8">
        <f t="shared" si="29"/>
        <v>41266</v>
      </c>
      <c r="K251" s="37">
        <f t="shared" si="30"/>
        <v>339</v>
      </c>
      <c r="L251" s="37">
        <v>0</v>
      </c>
      <c r="M251" s="74">
        <f t="shared" si="45"/>
        <v>138409</v>
      </c>
      <c r="N251" s="75">
        <f t="shared" si="45"/>
        <v>118845</v>
      </c>
      <c r="O251" s="75">
        <f t="shared" si="45"/>
        <v>259385</v>
      </c>
      <c r="P251" s="76">
        <f t="shared" si="44"/>
        <v>13109829</v>
      </c>
      <c r="Q251" s="76">
        <f t="shared" si="44"/>
        <v>6879814</v>
      </c>
      <c r="R251" s="76">
        <f t="shared" si="44"/>
        <v>20457091</v>
      </c>
      <c r="S251" s="80">
        <f>M251/'[21]2014'!M251-1</f>
        <v>-3.5094079181277604E-2</v>
      </c>
      <c r="T251" s="80">
        <f>N251/'[21]2014'!N251-1</f>
        <v>1.6099245908927751E-2</v>
      </c>
      <c r="U251" s="80">
        <f>O251/'[21]2014'!O251-1</f>
        <v>-3.7139463231745773E-2</v>
      </c>
      <c r="V251" s="81">
        <f>P251/'[21]2014'!P251-1</f>
        <v>-2.92910988804439E-2</v>
      </c>
      <c r="W251" s="81">
        <f>Q251/'[21]2014'!Q251-1</f>
        <v>0.13478302815504151</v>
      </c>
      <c r="X251" s="81">
        <f>R251/'[21]2014'!R251-1</f>
        <v>1.9727191504915531E-2</v>
      </c>
      <c r="Y251" s="93">
        <f>Y248+0.21*3</f>
        <v>81.598799999999997</v>
      </c>
      <c r="Z251" s="50">
        <f>P251/10000-Y251</f>
        <v>1229.3841</v>
      </c>
      <c r="AA251" s="37">
        <f>3890.092+12*(A251-"2015年6月30日")/(A251-"2015年1月1日"+1)</f>
        <v>3893.262731707317</v>
      </c>
      <c r="AB251" s="37">
        <f>(Z251-1.0947)*10000/AA251</f>
        <v>3154.9101220337025</v>
      </c>
    </row>
    <row r="252" spans="1:32" ht="15" customHeight="1" x14ac:dyDescent="0.15">
      <c r="A252" s="20">
        <v>42251</v>
      </c>
      <c r="B252" s="20" t="s">
        <v>38</v>
      </c>
      <c r="C252" s="21">
        <v>48736</v>
      </c>
      <c r="D252" s="7">
        <v>35247</v>
      </c>
      <c r="E252" s="7">
        <v>84958</v>
      </c>
      <c r="F252" s="22">
        <v>4268.8999999999996</v>
      </c>
      <c r="G252" s="23">
        <v>2610.1999999999998</v>
      </c>
      <c r="H252" s="24"/>
      <c r="I252" s="36"/>
      <c r="J252" s="8">
        <f t="shared" si="29"/>
        <v>49711</v>
      </c>
      <c r="K252" s="37">
        <f t="shared" si="30"/>
        <v>975</v>
      </c>
      <c r="L252" s="37">
        <v>0</v>
      </c>
      <c r="M252" s="74">
        <f t="shared" si="45"/>
        <v>187145</v>
      </c>
      <c r="N252" s="75">
        <f t="shared" si="45"/>
        <v>154092</v>
      </c>
      <c r="O252" s="75">
        <f t="shared" si="45"/>
        <v>344343</v>
      </c>
      <c r="P252" s="76">
        <f t="shared" si="44"/>
        <v>13158565</v>
      </c>
      <c r="Q252" s="76">
        <f t="shared" si="44"/>
        <v>6915061</v>
      </c>
      <c r="R252" s="76">
        <f t="shared" si="44"/>
        <v>20542049</v>
      </c>
      <c r="S252" s="80">
        <f>M252/'[21]2014'!M252-1</f>
        <v>-1.5487482179400214E-2</v>
      </c>
      <c r="T252" s="80">
        <f>N252/'[21]2014'!N252-1</f>
        <v>-1.4908198230450531E-2</v>
      </c>
      <c r="U252" s="80">
        <f>O252/'[21]2014'!O252-1</f>
        <v>-3.7268678373821862E-2</v>
      </c>
      <c r="V252" s="81">
        <f>P252/'[21]2014'!P252-1</f>
        <v>-2.9036059299698436E-2</v>
      </c>
      <c r="W252" s="81">
        <f>Q252/'[21]2014'!Q252-1</f>
        <v>0.13322065466603972</v>
      </c>
      <c r="X252" s="81">
        <f>R252/'[21]2014'!R252-1</f>
        <v>1.9475743804790335E-2</v>
      </c>
      <c r="Y252" s="93"/>
      <c r="Z252" s="50"/>
      <c r="AA252" s="37"/>
      <c r="AB252" s="37"/>
    </row>
    <row r="253" spans="1:32" ht="15" customHeight="1" x14ac:dyDescent="0.15">
      <c r="A253" s="20">
        <v>42252</v>
      </c>
      <c r="B253" s="20" t="s">
        <v>39</v>
      </c>
      <c r="C253" s="21">
        <v>52279</v>
      </c>
      <c r="D253" s="7">
        <v>36459</v>
      </c>
      <c r="E253" s="7">
        <v>90443</v>
      </c>
      <c r="F253" s="22">
        <v>4591.7</v>
      </c>
      <c r="G253" s="23">
        <v>3014.5</v>
      </c>
      <c r="H253" s="24"/>
      <c r="I253" s="36"/>
      <c r="J253" s="8">
        <f t="shared" si="29"/>
        <v>53984</v>
      </c>
      <c r="K253" s="37">
        <f t="shared" si="30"/>
        <v>1705</v>
      </c>
      <c r="L253" s="37">
        <v>0</v>
      </c>
      <c r="M253" s="74">
        <f t="shared" si="45"/>
        <v>239424</v>
      </c>
      <c r="N253" s="75">
        <f t="shared" si="45"/>
        <v>190551</v>
      </c>
      <c r="O253" s="75">
        <f t="shared" si="45"/>
        <v>434786</v>
      </c>
      <c r="P253" s="76">
        <f t="shared" si="44"/>
        <v>13210844</v>
      </c>
      <c r="Q253" s="76">
        <f t="shared" si="44"/>
        <v>6951520</v>
      </c>
      <c r="R253" s="76">
        <f t="shared" si="44"/>
        <v>20632492</v>
      </c>
      <c r="S253" s="80">
        <f>M253/'[21]2014'!M253-1</f>
        <v>-1.896789631439133E-3</v>
      </c>
      <c r="T253" s="80">
        <f>N253/'[21]2014'!N253-1</f>
        <v>-2.6474840726908644E-2</v>
      </c>
      <c r="U253" s="80">
        <f>O253/'[21]2014'!O253-1</f>
        <v>-2.9489036756942588E-2</v>
      </c>
      <c r="V253" s="81">
        <f>P253/'[21]2014'!P253-1</f>
        <v>-2.8746782151790162E-2</v>
      </c>
      <c r="W253" s="81">
        <f>Q253/'[21]2014'!Q253-1</f>
        <v>0.13190389986869699</v>
      </c>
      <c r="X253" s="81">
        <f>R253/'[21]2014'!R253-1</f>
        <v>1.9394709634416252E-2</v>
      </c>
      <c r="Y253" s="93"/>
      <c r="Z253" s="50"/>
      <c r="AA253" s="37"/>
      <c r="AB253" s="37"/>
    </row>
    <row r="254" spans="1:32" ht="15" customHeight="1" x14ac:dyDescent="0.15">
      <c r="A254" s="20">
        <v>42253</v>
      </c>
      <c r="B254" s="20" t="s">
        <v>1</v>
      </c>
      <c r="C254" s="21">
        <v>49015</v>
      </c>
      <c r="D254" s="7">
        <f>28549+10637</f>
        <v>39186</v>
      </c>
      <c r="E254" s="7">
        <v>88788</v>
      </c>
      <c r="F254" s="22">
        <v>4473.5</v>
      </c>
      <c r="G254" s="23">
        <v>3033.3</v>
      </c>
      <c r="H254" s="24"/>
      <c r="I254" s="36"/>
      <c r="J254" s="8">
        <f t="shared" si="29"/>
        <v>49602</v>
      </c>
      <c r="K254" s="37">
        <f t="shared" si="30"/>
        <v>587</v>
      </c>
      <c r="L254" s="37">
        <v>0</v>
      </c>
      <c r="M254" s="74">
        <f t="shared" si="45"/>
        <v>288439</v>
      </c>
      <c r="N254" s="75">
        <f t="shared" si="45"/>
        <v>229737</v>
      </c>
      <c r="O254" s="75">
        <f t="shared" si="45"/>
        <v>523574</v>
      </c>
      <c r="P254" s="76">
        <f t="shared" si="44"/>
        <v>13259859</v>
      </c>
      <c r="Q254" s="76">
        <f t="shared" si="44"/>
        <v>6990706</v>
      </c>
      <c r="R254" s="76">
        <f t="shared" si="44"/>
        <v>20721280</v>
      </c>
      <c r="S254" s="80">
        <f>M254/'[21]2014'!M254-1</f>
        <v>-7.938173050796693E-3</v>
      </c>
      <c r="T254" s="80">
        <f>N254/'[21]2014'!N254-1</f>
        <v>-1.8758889330241058E-2</v>
      </c>
      <c r="U254" s="80">
        <f>O254/'[21]2014'!O254-1</f>
        <v>-2.8388930952062852E-2</v>
      </c>
      <c r="V254" s="81">
        <f>P254/'[21]2014'!P254-1</f>
        <v>-2.877539979296373E-2</v>
      </c>
      <c r="W254" s="81">
        <f>Q254/'[21]2014'!Q254-1</f>
        <v>0.13121220156631663</v>
      </c>
      <c r="X254" s="81">
        <f>R254/'[21]2014'!R254-1</f>
        <v>1.9205366833827009E-2</v>
      </c>
      <c r="Y254" s="93"/>
      <c r="Z254" s="50"/>
      <c r="AA254" s="37"/>
      <c r="AB254" s="37"/>
    </row>
    <row r="255" spans="1:32" ht="15" customHeight="1" x14ac:dyDescent="0.15">
      <c r="A255" s="20">
        <v>42254</v>
      </c>
      <c r="B255" s="20" t="s">
        <v>34</v>
      </c>
      <c r="C255" s="21">
        <v>46535</v>
      </c>
      <c r="D255" s="7">
        <f>31504+10967</f>
        <v>42471</v>
      </c>
      <c r="E255" s="7">
        <v>89755</v>
      </c>
      <c r="F255" s="22">
        <v>4589.7</v>
      </c>
      <c r="G255" s="23">
        <v>2944.8</v>
      </c>
      <c r="H255" s="24"/>
      <c r="I255" s="36"/>
      <c r="J255" s="8">
        <f t="shared" si="29"/>
        <v>47284</v>
      </c>
      <c r="K255" s="37">
        <f t="shared" si="30"/>
        <v>749</v>
      </c>
      <c r="L255" s="37">
        <v>0</v>
      </c>
      <c r="M255" s="74">
        <f t="shared" si="45"/>
        <v>334974</v>
      </c>
      <c r="N255" s="75">
        <f t="shared" si="45"/>
        <v>272208</v>
      </c>
      <c r="O255" s="75">
        <f t="shared" si="45"/>
        <v>613329</v>
      </c>
      <c r="P255" s="76">
        <f t="shared" si="44"/>
        <v>13306394</v>
      </c>
      <c r="Q255" s="76">
        <f t="shared" si="44"/>
        <v>7033177</v>
      </c>
      <c r="R255" s="76">
        <f t="shared" si="44"/>
        <v>20811035</v>
      </c>
      <c r="S255" s="80">
        <f>M255/'[21]2014'!M255-1</f>
        <v>-1.606495128355645E-3</v>
      </c>
      <c r="T255" s="80">
        <f>N255/'[21]2014'!N255-1</f>
        <v>2.4785018505901757E-3</v>
      </c>
      <c r="U255" s="80">
        <f>O255/'[21]2014'!O255-1</f>
        <v>-1.5381034178292174E-2</v>
      </c>
      <c r="V255" s="81">
        <f>P255/'[21]2014'!P255-1</f>
        <v>-2.8552208529407652E-2</v>
      </c>
      <c r="W255" s="81">
        <f>Q255/'[21]2014'!Q255-1</f>
        <v>0.13123743403847832</v>
      </c>
      <c r="X255" s="81">
        <f>R255/'[21]2014'!R255-1</f>
        <v>1.9406348861272127E-2</v>
      </c>
      <c r="Y255" s="93"/>
      <c r="Z255" s="50"/>
      <c r="AA255" s="37"/>
      <c r="AB255" s="37"/>
    </row>
    <row r="256" spans="1:32" ht="15" customHeight="1" x14ac:dyDescent="0.15">
      <c r="A256" s="20">
        <v>42255</v>
      </c>
      <c r="B256" s="14" t="s">
        <v>35</v>
      </c>
      <c r="C256" s="15">
        <v>46320</v>
      </c>
      <c r="D256" s="16">
        <f>33029+10954</f>
        <v>43983</v>
      </c>
      <c r="E256" s="16">
        <v>91085</v>
      </c>
      <c r="F256" s="17">
        <v>4615.3999999999996</v>
      </c>
      <c r="G256" s="18">
        <v>3043.2</v>
      </c>
      <c r="H256" s="19">
        <v>2113.5</v>
      </c>
      <c r="I256" s="19">
        <v>1555.5</v>
      </c>
      <c r="J256" s="32">
        <f t="shared" si="29"/>
        <v>47102</v>
      </c>
      <c r="K256" s="33">
        <f t="shared" si="30"/>
        <v>782</v>
      </c>
      <c r="L256" s="33">
        <v>0</v>
      </c>
      <c r="M256" s="77">
        <f t="shared" si="45"/>
        <v>381294</v>
      </c>
      <c r="N256" s="78">
        <f t="shared" si="45"/>
        <v>316191</v>
      </c>
      <c r="O256" s="78">
        <f t="shared" si="45"/>
        <v>704414</v>
      </c>
      <c r="P256" s="77">
        <f t="shared" si="44"/>
        <v>13352714</v>
      </c>
      <c r="Q256" s="77">
        <f t="shared" si="44"/>
        <v>7077160</v>
      </c>
      <c r="R256" s="77">
        <f t="shared" si="44"/>
        <v>20902120</v>
      </c>
      <c r="S256" s="82">
        <f>M256/'[21]2014'!M256-1</f>
        <v>4.1658812441093263E-2</v>
      </c>
      <c r="T256" s="82">
        <f>N256/'[21]2014'!N256-1</f>
        <v>2.9653027663350429E-2</v>
      </c>
      <c r="U256" s="82">
        <f>O256/'[21]2014'!O256-1</f>
        <v>2.0916487676490014E-2</v>
      </c>
      <c r="V256" s="82">
        <f>P256/'[21]2014'!P256-1</f>
        <v>-2.733864993805013E-2</v>
      </c>
      <c r="W256" s="82">
        <f>Q256/'[21]2014'!Q256-1</f>
        <v>0.13183996634079675</v>
      </c>
      <c r="X256" s="82">
        <f>R256/'[21]2014'!R256-1</f>
        <v>2.0515198383783462E-2</v>
      </c>
      <c r="Y256" s="96">
        <v>82.65</v>
      </c>
      <c r="Z256" s="96">
        <f>P256/10000-Y256</f>
        <v>1252.6214</v>
      </c>
      <c r="AA256" s="33">
        <f>3890.092+12*(A256-"2015年6月30日")/(A256-"2015年1月1日"+1)</f>
        <v>3893.4386135458167</v>
      </c>
      <c r="AB256" s="33">
        <f>(Z256-1.0947)*10000/AA256</f>
        <v>3214.450834400634</v>
      </c>
      <c r="AC256" s="63">
        <f>AC249+SUM(K250:K256)/10000</f>
        <v>28.703800000000001</v>
      </c>
      <c r="AD256" s="2">
        <f>AD249+SUM(L250:L256)/10000</f>
        <v>18.520399999999999</v>
      </c>
      <c r="AF256" s="2">
        <f>AF249+SUM(J250:J256)/10000</f>
        <v>1382.4960000000001</v>
      </c>
    </row>
    <row r="257" spans="1:32" ht="15" customHeight="1" x14ac:dyDescent="0.15">
      <c r="A257" s="20">
        <v>42256</v>
      </c>
      <c r="B257" s="20" t="s">
        <v>36</v>
      </c>
      <c r="C257" s="66">
        <v>43922</v>
      </c>
      <c r="D257" s="67">
        <f>34639+10974</f>
        <v>45613</v>
      </c>
      <c r="E257" s="67">
        <v>90328</v>
      </c>
      <c r="F257" s="68">
        <v>4560.3999999999996</v>
      </c>
      <c r="G257" s="69">
        <v>3503.7</v>
      </c>
      <c r="H257" s="24">
        <v>2116.1</v>
      </c>
      <c r="I257" s="24">
        <v>1557.1</v>
      </c>
      <c r="J257" s="70">
        <f t="shared" ref="J257:J320" si="46">E257-D257</f>
        <v>44715</v>
      </c>
      <c r="K257" s="71">
        <f t="shared" si="30"/>
        <v>793</v>
      </c>
      <c r="L257" s="71">
        <v>0</v>
      </c>
      <c r="M257" s="72">
        <f t="shared" si="45"/>
        <v>425216</v>
      </c>
      <c r="N257" s="73">
        <f t="shared" si="45"/>
        <v>361804</v>
      </c>
      <c r="O257" s="73">
        <f t="shared" si="45"/>
        <v>794742</v>
      </c>
      <c r="P257" s="72">
        <f t="shared" si="44"/>
        <v>13396636</v>
      </c>
      <c r="Q257" s="72">
        <f t="shared" si="44"/>
        <v>7122773</v>
      </c>
      <c r="R257" s="72">
        <f t="shared" si="44"/>
        <v>20992448</v>
      </c>
      <c r="S257" s="79">
        <f>M257/'[21]2014'!M257-1</f>
        <v>2.7409440599992285E-2</v>
      </c>
      <c r="T257" s="79">
        <f>N257/'[21]2014'!N257-1</f>
        <v>5.6852670290733487E-2</v>
      </c>
      <c r="U257" s="79">
        <f>O257/'[21]2014'!O257-1</f>
        <v>2.4808414667641498E-2</v>
      </c>
      <c r="V257" s="79">
        <f>P257/'[21]2014'!P257-1</f>
        <v>-2.7527202734834111E-2</v>
      </c>
      <c r="W257" s="79">
        <f>Q257/'[21]2014'!Q257-1</f>
        <v>0.13274785541160239</v>
      </c>
      <c r="X257" s="79">
        <f>R257/'[21]2014'!R257-1</f>
        <v>2.0663613461747721E-2</v>
      </c>
      <c r="Y257" s="85"/>
      <c r="Z257" s="97"/>
      <c r="AA257" s="85"/>
      <c r="AB257" s="71"/>
    </row>
    <row r="258" spans="1:32" ht="15" customHeight="1" x14ac:dyDescent="0.15">
      <c r="A258" s="20">
        <v>42257</v>
      </c>
      <c r="B258" s="20" t="s">
        <v>37</v>
      </c>
      <c r="C258" s="21">
        <v>45271</v>
      </c>
      <c r="D258" s="7">
        <f>32760+10950</f>
        <v>43710</v>
      </c>
      <c r="E258" s="7">
        <v>89485</v>
      </c>
      <c r="F258" s="22">
        <v>4612.3</v>
      </c>
      <c r="G258" s="23">
        <v>3052.8</v>
      </c>
      <c r="H258" s="24">
        <v>2115.3000000000002</v>
      </c>
      <c r="I258" s="36">
        <v>1527.7</v>
      </c>
      <c r="J258" s="8">
        <f t="shared" si="46"/>
        <v>45775</v>
      </c>
      <c r="K258" s="37">
        <f t="shared" si="30"/>
        <v>504</v>
      </c>
      <c r="L258" s="37">
        <v>0</v>
      </c>
      <c r="M258" s="74">
        <f t="shared" si="45"/>
        <v>470487</v>
      </c>
      <c r="N258" s="75">
        <f t="shared" si="45"/>
        <v>405514</v>
      </c>
      <c r="O258" s="75">
        <f t="shared" si="45"/>
        <v>884227</v>
      </c>
      <c r="P258" s="76">
        <f t="shared" si="44"/>
        <v>13441907</v>
      </c>
      <c r="Q258" s="76">
        <f t="shared" si="44"/>
        <v>7166483</v>
      </c>
      <c r="R258" s="76">
        <f t="shared" si="44"/>
        <v>21081933</v>
      </c>
      <c r="S258" s="80">
        <f>M258/'[21]2014'!M258-1</f>
        <v>1.2244081274365604E-2</v>
      </c>
      <c r="T258" s="80">
        <f>N258/'[21]2014'!N258-1</f>
        <v>6.332253877518923E-2</v>
      </c>
      <c r="U258" s="80">
        <f>O258/'[21]2014'!O258-1</f>
        <v>1.9744990808505447E-2</v>
      </c>
      <c r="V258" s="81">
        <f>P258/'[21]2014'!P258-1</f>
        <v>-2.783466460539763E-2</v>
      </c>
      <c r="W258" s="81">
        <f>Q258/'[21]2014'!Q258-1</f>
        <v>0.13266972254038323</v>
      </c>
      <c r="X258" s="81">
        <f>R258/'[21]2014'!R258-1</f>
        <v>2.0469468601725493E-2</v>
      </c>
      <c r="Y258" s="93">
        <v>83.1</v>
      </c>
      <c r="Z258" s="50">
        <f>P258/10000-Y258</f>
        <v>1261.0907000000002</v>
      </c>
      <c r="AA258" s="37">
        <f>3890.092+12*(A258-"2015年6月30日")/(A258-"2015年1月1日"+1)</f>
        <v>3893.5070197628461</v>
      </c>
      <c r="AB258" s="37">
        <f>(Z258-2.5818)*10000/AA258</f>
        <v>3232.3272915959865</v>
      </c>
    </row>
    <row r="259" spans="1:32" ht="15" customHeight="1" x14ac:dyDescent="0.15">
      <c r="A259" s="20">
        <v>42258</v>
      </c>
      <c r="B259" s="20" t="s">
        <v>38</v>
      </c>
      <c r="C259" s="21">
        <v>45780</v>
      </c>
      <c r="D259" s="7">
        <f>33332+10959</f>
        <v>44291</v>
      </c>
      <c r="E259" s="7">
        <v>90971</v>
      </c>
      <c r="F259" s="22">
        <v>4612</v>
      </c>
      <c r="G259" s="23">
        <v>3053</v>
      </c>
      <c r="H259" s="24"/>
      <c r="I259" s="36"/>
      <c r="J259" s="8">
        <f t="shared" si="46"/>
        <v>46680</v>
      </c>
      <c r="K259" s="37">
        <f t="shared" si="30"/>
        <v>900</v>
      </c>
      <c r="L259" s="37">
        <v>0</v>
      </c>
      <c r="M259" s="74">
        <f t="shared" si="45"/>
        <v>516267</v>
      </c>
      <c r="N259" s="75">
        <f t="shared" si="45"/>
        <v>449805</v>
      </c>
      <c r="O259" s="75">
        <f t="shared" si="45"/>
        <v>975198</v>
      </c>
      <c r="P259" s="76">
        <f t="shared" si="44"/>
        <v>13487687</v>
      </c>
      <c r="Q259" s="76">
        <f t="shared" si="44"/>
        <v>7210774</v>
      </c>
      <c r="R259" s="76">
        <f t="shared" si="44"/>
        <v>21172904</v>
      </c>
      <c r="S259" s="80">
        <f>M259/'[21]2014'!M259-1</f>
        <v>5.8547096804362209E-3</v>
      </c>
      <c r="T259" s="80">
        <f>N259/'[21]2014'!N259-1</f>
        <v>6.9589099728919912E-2</v>
      </c>
      <c r="U259" s="80">
        <f>O259/'[21]2014'!O259-1</f>
        <v>1.9374638718127501E-2</v>
      </c>
      <c r="V259" s="81">
        <f>P259/'[21]2014'!P259-1</f>
        <v>-2.793102081116805E-2</v>
      </c>
      <c r="W259" s="81">
        <f>Q259/'[21]2014'!Q259-1</f>
        <v>0.13265694635070013</v>
      </c>
      <c r="X259" s="81">
        <f>R259/'[21]2014'!R259-1</f>
        <v>2.0449265600351874E-2</v>
      </c>
      <c r="Y259" s="93"/>
      <c r="Z259" s="50"/>
      <c r="AA259" s="37"/>
      <c r="AB259" s="37"/>
    </row>
    <row r="260" spans="1:32" ht="15" customHeight="1" x14ac:dyDescent="0.15">
      <c r="A260" s="20">
        <v>42259</v>
      </c>
      <c r="B260" s="20" t="s">
        <v>39</v>
      </c>
      <c r="C260" s="21">
        <v>41404</v>
      </c>
      <c r="D260" s="7">
        <f>33798+10934</f>
        <v>44732</v>
      </c>
      <c r="E260" s="7">
        <v>86478</v>
      </c>
      <c r="F260" s="22">
        <v>4448.1000000000004</v>
      </c>
      <c r="G260" s="23">
        <v>3066</v>
      </c>
      <c r="H260" s="24"/>
      <c r="I260" s="36"/>
      <c r="J260" s="8">
        <f t="shared" si="46"/>
        <v>41746</v>
      </c>
      <c r="K260" s="37">
        <f t="shared" si="30"/>
        <v>342</v>
      </c>
      <c r="L260" s="37">
        <v>0</v>
      </c>
      <c r="M260" s="74">
        <f t="shared" si="45"/>
        <v>557671</v>
      </c>
      <c r="N260" s="75">
        <f t="shared" si="45"/>
        <v>494537</v>
      </c>
      <c r="O260" s="75">
        <f t="shared" si="45"/>
        <v>1061676</v>
      </c>
      <c r="P260" s="76">
        <f t="shared" si="44"/>
        <v>13529091</v>
      </c>
      <c r="Q260" s="76">
        <f t="shared" si="44"/>
        <v>7255506</v>
      </c>
      <c r="R260" s="76">
        <f t="shared" si="44"/>
        <v>21259382</v>
      </c>
      <c r="S260" s="80">
        <f>M260/'[21]2014'!M260-1</f>
        <v>-1.5187074739833051E-2</v>
      </c>
      <c r="T260" s="80">
        <f>N260/'[21]2014'!N260-1</f>
        <v>7.6936980490279971E-2</v>
      </c>
      <c r="U260" s="80">
        <f>O260/'[21]2014'!O260-1</f>
        <v>1.0914928685895164E-2</v>
      </c>
      <c r="V260" s="81">
        <f>P260/'[21]2014'!P260-1</f>
        <v>-2.8657918143878303E-2</v>
      </c>
      <c r="W260" s="81">
        <f>Q260/'[21]2014'!Q260-1</f>
        <v>0.13280301448539333</v>
      </c>
      <c r="X260" s="81">
        <f>R260/'[21]2014'!R260-1</f>
        <v>2.0018166869321341E-2</v>
      </c>
      <c r="Y260" s="93"/>
      <c r="Z260" s="50"/>
      <c r="AA260" s="37"/>
      <c r="AB260" s="37"/>
    </row>
    <row r="261" spans="1:32" ht="15" customHeight="1" x14ac:dyDescent="0.15">
      <c r="A261" s="20">
        <v>42260</v>
      </c>
      <c r="B261" s="20" t="s">
        <v>1</v>
      </c>
      <c r="C261" s="21">
        <v>35881</v>
      </c>
      <c r="D261" s="7">
        <f>33124+10905</f>
        <v>44029</v>
      </c>
      <c r="E261" s="7">
        <v>80133</v>
      </c>
      <c r="F261" s="22">
        <v>3936.6</v>
      </c>
      <c r="G261" s="23">
        <v>2870.3</v>
      </c>
      <c r="H261" s="24">
        <v>2117.6999999999998</v>
      </c>
      <c r="I261" s="36">
        <v>1576.8</v>
      </c>
      <c r="J261" s="8">
        <f t="shared" si="46"/>
        <v>36104</v>
      </c>
      <c r="K261" s="37">
        <f t="shared" si="30"/>
        <v>223</v>
      </c>
      <c r="L261" s="37">
        <v>0</v>
      </c>
      <c r="M261" s="74">
        <f t="shared" si="45"/>
        <v>593552</v>
      </c>
      <c r="N261" s="75">
        <f t="shared" si="45"/>
        <v>538566</v>
      </c>
      <c r="O261" s="75">
        <f t="shared" si="45"/>
        <v>1141809</v>
      </c>
      <c r="P261" s="76">
        <f t="shared" si="44"/>
        <v>13564972</v>
      </c>
      <c r="Q261" s="76">
        <f t="shared" si="44"/>
        <v>7299535</v>
      </c>
      <c r="R261" s="76">
        <f t="shared" si="44"/>
        <v>21339515</v>
      </c>
      <c r="S261" s="80">
        <f>M261/'[21]2014'!M261-1</f>
        <v>-3.855019267807136E-2</v>
      </c>
      <c r="T261" s="80">
        <f>N261/'[21]2014'!N261-1</f>
        <v>8.4382179250468647E-2</v>
      </c>
      <c r="U261" s="80">
        <f>O261/'[21]2014'!O261-1</f>
        <v>1.3408987266285699E-3</v>
      </c>
      <c r="V261" s="81">
        <f>P261/'[21]2014'!P261-1</f>
        <v>-2.9640451494400866E-2</v>
      </c>
      <c r="W261" s="81">
        <f>Q261/'[21]2014'!Q261-1</f>
        <v>0.13305222845135378</v>
      </c>
      <c r="X261" s="81">
        <f>R261/'[21]2014'!R261-1</f>
        <v>1.9457453661610336E-2</v>
      </c>
      <c r="Y261" s="93"/>
      <c r="Z261" s="50"/>
      <c r="AA261" s="37"/>
      <c r="AB261" s="37"/>
    </row>
    <row r="262" spans="1:32" ht="15" customHeight="1" x14ac:dyDescent="0.15">
      <c r="A262" s="20">
        <v>42261</v>
      </c>
      <c r="B262" s="20" t="s">
        <v>34</v>
      </c>
      <c r="C262" s="21">
        <v>39298</v>
      </c>
      <c r="D262" s="7">
        <f>34058+10968</f>
        <v>45026</v>
      </c>
      <c r="E262" s="7">
        <v>84651</v>
      </c>
      <c r="F262" s="22">
        <v>4367.8</v>
      </c>
      <c r="G262" s="23">
        <v>2812.6</v>
      </c>
      <c r="H262" s="24">
        <v>2215.1</v>
      </c>
      <c r="I262" s="36">
        <v>1596.5</v>
      </c>
      <c r="J262" s="8">
        <f t="shared" si="46"/>
        <v>39625</v>
      </c>
      <c r="K262" s="37">
        <f t="shared" si="30"/>
        <v>327</v>
      </c>
      <c r="L262" s="37">
        <v>0</v>
      </c>
      <c r="M262" s="74">
        <f t="shared" si="45"/>
        <v>632850</v>
      </c>
      <c r="N262" s="75">
        <f t="shared" si="45"/>
        <v>583592</v>
      </c>
      <c r="O262" s="75">
        <f t="shared" si="45"/>
        <v>1226460</v>
      </c>
      <c r="P262" s="76">
        <f t="shared" si="44"/>
        <v>13604270</v>
      </c>
      <c r="Q262" s="76">
        <f t="shared" si="44"/>
        <v>7344561</v>
      </c>
      <c r="R262" s="76">
        <f t="shared" si="44"/>
        <v>21424166</v>
      </c>
      <c r="S262" s="80">
        <f>M262/'[21]2014'!M262-1</f>
        <v>-4.5644968165545197E-2</v>
      </c>
      <c r="T262" s="80">
        <f>N262/'[21]2014'!N262-1</f>
        <v>9.3182128962043365E-2</v>
      </c>
      <c r="U262" s="80">
        <f>O262/'[21]2014'!O262-1</f>
        <v>1.4665246957532574E-3</v>
      </c>
      <c r="V262" s="81">
        <f>P262/'[21]2014'!P262-1</f>
        <v>-3.0004972829940302E-2</v>
      </c>
      <c r="W262" s="81">
        <f>Q262/'[21]2014'!Q262-1</f>
        <v>0.13349790535740724</v>
      </c>
      <c r="X262" s="81">
        <f>R262/'[21]2014'!R262-1</f>
        <v>1.9392034086622045E-2</v>
      </c>
      <c r="Y262" s="93"/>
      <c r="Z262" s="50"/>
      <c r="AA262" s="37"/>
      <c r="AB262" s="37"/>
    </row>
    <row r="263" spans="1:32" ht="15" customHeight="1" x14ac:dyDescent="0.15">
      <c r="A263" s="20">
        <v>42262</v>
      </c>
      <c r="B263" s="14" t="s">
        <v>35</v>
      </c>
      <c r="C263" s="15">
        <v>39590</v>
      </c>
      <c r="D263" s="16">
        <f>32725+11047</f>
        <v>43772</v>
      </c>
      <c r="E263" s="16">
        <v>83654</v>
      </c>
      <c r="F263" s="17">
        <v>4284.8</v>
      </c>
      <c r="G263" s="18">
        <v>2888.6</v>
      </c>
      <c r="H263" s="19">
        <v>2106.6999999999998</v>
      </c>
      <c r="I263" s="19">
        <v>1603.5</v>
      </c>
      <c r="J263" s="32">
        <f t="shared" si="46"/>
        <v>39882</v>
      </c>
      <c r="K263" s="33">
        <f t="shared" si="30"/>
        <v>292</v>
      </c>
      <c r="L263" s="33">
        <v>0</v>
      </c>
      <c r="M263" s="77">
        <f t="shared" si="45"/>
        <v>672440</v>
      </c>
      <c r="N263" s="78">
        <f t="shared" si="45"/>
        <v>627364</v>
      </c>
      <c r="O263" s="78">
        <f t="shared" si="45"/>
        <v>1310114</v>
      </c>
      <c r="P263" s="77">
        <f t="shared" si="44"/>
        <v>13643860</v>
      </c>
      <c r="Q263" s="77">
        <f t="shared" si="44"/>
        <v>7388333</v>
      </c>
      <c r="R263" s="77">
        <f t="shared" si="44"/>
        <v>21507820</v>
      </c>
      <c r="S263" s="82">
        <f>M263/'[21]2014'!M263-1</f>
        <v>-5.6270920024981241E-2</v>
      </c>
      <c r="T263" s="82">
        <f>N263/'[21]2014'!N263-1</f>
        <v>9.7394544198291078E-2</v>
      </c>
      <c r="U263" s="82">
        <f>O263/'[21]2014'!O263-1</f>
        <v>-2.353783301160095E-3</v>
      </c>
      <c r="V263" s="82">
        <f>P263/'[21]2014'!P263-1</f>
        <v>-3.0597835000078843E-2</v>
      </c>
      <c r="W263" s="82">
        <f>Q263/'[21]2014'!Q263-1</f>
        <v>0.13363334392601622</v>
      </c>
      <c r="X263" s="82">
        <f>R263/'[21]2014'!R263-1</f>
        <v>1.9079125179830125E-2</v>
      </c>
      <c r="Y263" s="96">
        <v>84.15</v>
      </c>
      <c r="Z263" s="49">
        <f>P263/10000-Y263</f>
        <v>1280.2359999999999</v>
      </c>
      <c r="AA263" s="33">
        <f>3890.092+12*(A263-"2015年6月30日")/(A263-"2015年1月1日"+1)</f>
        <v>3893.6733953488374</v>
      </c>
      <c r="AB263" s="33">
        <f>(Z263-2.5818)*10000/AA263</f>
        <v>3281.3594523007851</v>
      </c>
      <c r="AC263" s="63">
        <f>AC256+SUM(K257:K263)/10000</f>
        <v>29.041900000000002</v>
      </c>
      <c r="AD263" s="2">
        <f>AD256+SUM(L257:L263)/10000</f>
        <v>18.520399999999999</v>
      </c>
      <c r="AF263" s="2">
        <f>AF256+SUM(J257:J263)/10000</f>
        <v>1411.9487000000001</v>
      </c>
    </row>
    <row r="264" spans="1:32" ht="15" customHeight="1" x14ac:dyDescent="0.15">
      <c r="A264" s="20">
        <v>42263</v>
      </c>
      <c r="B264" s="20" t="s">
        <v>36</v>
      </c>
      <c r="C264" s="66">
        <v>40162</v>
      </c>
      <c r="D264" s="67">
        <f>32415+11065</f>
        <v>43480</v>
      </c>
      <c r="E264" s="67">
        <v>84042</v>
      </c>
      <c r="F264" s="68">
        <v>4246.7</v>
      </c>
      <c r="G264" s="69">
        <v>2840.4</v>
      </c>
      <c r="H264" s="24"/>
      <c r="I264" s="24"/>
      <c r="J264" s="70">
        <f t="shared" si="46"/>
        <v>40562</v>
      </c>
      <c r="K264" s="71">
        <f t="shared" si="30"/>
        <v>400</v>
      </c>
      <c r="L264" s="71">
        <v>0</v>
      </c>
      <c r="M264" s="72">
        <f t="shared" si="45"/>
        <v>712602</v>
      </c>
      <c r="N264" s="73">
        <f t="shared" si="45"/>
        <v>670844</v>
      </c>
      <c r="O264" s="73">
        <f t="shared" si="45"/>
        <v>1394156</v>
      </c>
      <c r="P264" s="72">
        <f t="shared" si="44"/>
        <v>13684022</v>
      </c>
      <c r="Q264" s="72">
        <f t="shared" si="44"/>
        <v>7431813</v>
      </c>
      <c r="R264" s="72">
        <f t="shared" si="44"/>
        <v>21591862</v>
      </c>
      <c r="S264" s="79">
        <f>M264/'[21]2014'!M264-1</f>
        <v>-6.4490381055655188E-2</v>
      </c>
      <c r="T264" s="79">
        <f>N264/'[21]2014'!N264-1</f>
        <v>0.1020513435503505</v>
      </c>
      <c r="U264" s="79">
        <f>O264/'[21]2014'!O264-1</f>
        <v>-5.3415884073191311E-3</v>
      </c>
      <c r="V264" s="79">
        <f>P264/'[21]2014'!P264-1</f>
        <v>-3.1130546798085135E-2</v>
      </c>
      <c r="W264" s="79">
        <f>Q264/'[21]2014'!Q264-1</f>
        <v>0.13386105071133492</v>
      </c>
      <c r="X264" s="79">
        <f>R264/'[21]2014'!R264-1</f>
        <v>1.8792089353114161E-2</v>
      </c>
      <c r="Y264" s="85"/>
      <c r="Z264" s="97"/>
      <c r="AA264" s="85"/>
      <c r="AB264" s="71"/>
    </row>
    <row r="265" spans="1:32" ht="15" customHeight="1" x14ac:dyDescent="0.15">
      <c r="A265" s="20">
        <v>42264</v>
      </c>
      <c r="B265" s="20" t="s">
        <v>37</v>
      </c>
      <c r="C265" s="21">
        <v>41900</v>
      </c>
      <c r="D265" s="7">
        <v>43300</v>
      </c>
      <c r="E265" s="7">
        <v>85700</v>
      </c>
      <c r="F265" s="22">
        <v>4336.8</v>
      </c>
      <c r="G265" s="23">
        <v>2875.3</v>
      </c>
      <c r="H265" s="24">
        <v>2088.1999999999998</v>
      </c>
      <c r="I265" s="36">
        <v>1574.2</v>
      </c>
      <c r="J265" s="8">
        <f t="shared" si="46"/>
        <v>42400</v>
      </c>
      <c r="K265" s="37">
        <f t="shared" si="30"/>
        <v>500</v>
      </c>
      <c r="L265" s="37">
        <v>0</v>
      </c>
      <c r="M265" s="74">
        <f t="shared" si="45"/>
        <v>754502</v>
      </c>
      <c r="N265" s="75">
        <f t="shared" si="45"/>
        <v>714144</v>
      </c>
      <c r="O265" s="75">
        <f t="shared" si="45"/>
        <v>1479856</v>
      </c>
      <c r="P265" s="76">
        <f t="shared" ref="P265:R278" si="47">P$248+M265</f>
        <v>13725922</v>
      </c>
      <c r="Q265" s="76">
        <f t="shared" si="47"/>
        <v>7475113</v>
      </c>
      <c r="R265" s="76">
        <f t="shared" si="47"/>
        <v>21677562</v>
      </c>
      <c r="S265" s="80">
        <f>M265/'[21]2014'!M265-1</f>
        <v>-7.4256800114843369E-2</v>
      </c>
      <c r="T265" s="80">
        <f>N265/'[21]2014'!N265-1</f>
        <v>0.10463621640935683</v>
      </c>
      <c r="U265" s="80">
        <f>O265/'[21]2014'!O265-1</f>
        <v>-9.6402168028209001E-3</v>
      </c>
      <c r="V265" s="81">
        <f>P265/'[21]2014'!P265-1</f>
        <v>-3.1817422508796489E-2</v>
      </c>
      <c r="W265" s="81">
        <f>Q265/'[21]2014'!Q265-1</f>
        <v>0.1339322761563162</v>
      </c>
      <c r="X265" s="81">
        <f>R265/'[21]2014'!R265-1</f>
        <v>1.8385324293474392E-2</v>
      </c>
      <c r="Y265" s="93">
        <f>Y258+0.21*7</f>
        <v>84.57</v>
      </c>
      <c r="Z265" s="50">
        <f>P265/10000-Y265</f>
        <v>1288.0222000000001</v>
      </c>
      <c r="AA265" s="37">
        <f>3890.092+12*(A265-"2015年6月30日")/(A265-"2015年1月1日"+1)</f>
        <v>3893.7381538461541</v>
      </c>
      <c r="AB265" s="37">
        <f>(Z265-4.03)*10000/AA265</f>
        <v>3297.5822956448656</v>
      </c>
    </row>
    <row r="266" spans="1:32" ht="15" customHeight="1" x14ac:dyDescent="0.15">
      <c r="A266" s="20">
        <v>42265</v>
      </c>
      <c r="B266" s="20" t="s">
        <v>38</v>
      </c>
      <c r="C266" s="21">
        <v>43300</v>
      </c>
      <c r="D266" s="7">
        <f>31600+11000</f>
        <v>42600</v>
      </c>
      <c r="E266" s="7">
        <v>86700</v>
      </c>
      <c r="F266" s="22">
        <v>4414</v>
      </c>
      <c r="G266" s="23">
        <v>2945</v>
      </c>
      <c r="H266" s="24"/>
      <c r="I266" s="36"/>
      <c r="J266" s="8">
        <f t="shared" si="46"/>
        <v>44100</v>
      </c>
      <c r="K266" s="37">
        <f t="shared" si="30"/>
        <v>800</v>
      </c>
      <c r="L266" s="37">
        <v>0</v>
      </c>
      <c r="M266" s="74">
        <f t="shared" ref="M266:O278" si="48">C266+M265</f>
        <v>797802</v>
      </c>
      <c r="N266" s="75">
        <f t="shared" si="48"/>
        <v>756744</v>
      </c>
      <c r="O266" s="75">
        <f t="shared" si="48"/>
        <v>1566556</v>
      </c>
      <c r="P266" s="76">
        <f t="shared" si="47"/>
        <v>13769222</v>
      </c>
      <c r="Q266" s="76">
        <f t="shared" si="47"/>
        <v>7517713</v>
      </c>
      <c r="R266" s="76">
        <f t="shared" si="47"/>
        <v>21764262</v>
      </c>
      <c r="S266" s="80">
        <f>M266/'[21]2014'!M266-1</f>
        <v>-7.8535639952968195E-2</v>
      </c>
      <c r="T266" s="80">
        <f>N266/'[21]2014'!N266-1</f>
        <v>0.10587716080684739</v>
      </c>
      <c r="U266" s="80">
        <f>O266/'[21]2014'!O266-1</f>
        <v>-1.1564253282890125E-2</v>
      </c>
      <c r="V266" s="81">
        <f>P266/'[21]2014'!P266-1</f>
        <v>-3.2229255799206435E-2</v>
      </c>
      <c r="W266" s="81">
        <f>Q266/'[21]2014'!Q266-1</f>
        <v>0.13389334639678219</v>
      </c>
      <c r="X266" s="81">
        <f>R266/'[21]2014'!R266-1</f>
        <v>1.8123866774274466E-2</v>
      </c>
      <c r="Y266" s="93"/>
      <c r="Z266" s="50"/>
      <c r="AA266" s="37"/>
      <c r="AB266" s="37"/>
    </row>
    <row r="267" spans="1:32" ht="15" customHeight="1" x14ac:dyDescent="0.15">
      <c r="A267" s="20">
        <v>42266</v>
      </c>
      <c r="B267" s="20" t="s">
        <v>39</v>
      </c>
      <c r="C267" s="21">
        <v>42400</v>
      </c>
      <c r="D267" s="7">
        <f>31000+11000</f>
        <v>42000</v>
      </c>
      <c r="E267" s="7">
        <v>85200</v>
      </c>
      <c r="F267" s="22">
        <v>4320</v>
      </c>
      <c r="G267" s="23">
        <v>2932</v>
      </c>
      <c r="H267" s="24"/>
      <c r="I267" s="36"/>
      <c r="J267" s="8">
        <f t="shared" si="46"/>
        <v>43200</v>
      </c>
      <c r="K267" s="37">
        <f t="shared" ref="K267:K330" si="49">J267-C267-L267</f>
        <v>800</v>
      </c>
      <c r="L267" s="37">
        <v>0</v>
      </c>
      <c r="M267" s="74">
        <f t="shared" si="48"/>
        <v>840202</v>
      </c>
      <c r="N267" s="75">
        <f t="shared" si="48"/>
        <v>798744</v>
      </c>
      <c r="O267" s="75">
        <f t="shared" si="48"/>
        <v>1651756</v>
      </c>
      <c r="P267" s="76">
        <f t="shared" si="47"/>
        <v>13811622</v>
      </c>
      <c r="Q267" s="76">
        <f t="shared" si="47"/>
        <v>7559713</v>
      </c>
      <c r="R267" s="76">
        <f t="shared" si="47"/>
        <v>21849462</v>
      </c>
      <c r="S267" s="80">
        <f>M267/'[21]2014'!M267-1</f>
        <v>-7.5545022236599202E-2</v>
      </c>
      <c r="T267" s="80">
        <f>N267/'[21]2014'!N267-1</f>
        <v>0.10454349341210056</v>
      </c>
      <c r="U267" s="80">
        <f>O267/'[21]2014'!O267-1</f>
        <v>-1.0378184842170346E-2</v>
      </c>
      <c r="V267" s="81">
        <f>P267/'[21]2014'!P267-1</f>
        <v>-3.2178528522587291E-2</v>
      </c>
      <c r="W267" s="81">
        <f>Q267/'[21]2014'!Q267-1</f>
        <v>0.1335855137026527</v>
      </c>
      <c r="X267" s="81">
        <f>R267/'[21]2014'!R267-1</f>
        <v>1.8099640492663216E-2</v>
      </c>
      <c r="Y267" s="93"/>
      <c r="Z267" s="50"/>
      <c r="AA267" s="37"/>
      <c r="AB267" s="37"/>
    </row>
    <row r="268" spans="1:32" ht="15" customHeight="1" x14ac:dyDescent="0.15">
      <c r="A268" s="20">
        <v>42267</v>
      </c>
      <c r="B268" s="20" t="s">
        <v>1</v>
      </c>
      <c r="C268" s="21">
        <v>36830</v>
      </c>
      <c r="D268" s="7">
        <v>42988</v>
      </c>
      <c r="E268" s="7">
        <v>80527</v>
      </c>
      <c r="F268" s="22">
        <v>3980</v>
      </c>
      <c r="G268" s="23">
        <v>2863</v>
      </c>
      <c r="H268" s="24"/>
      <c r="I268" s="36"/>
      <c r="J268" s="8">
        <f t="shared" si="46"/>
        <v>37539</v>
      </c>
      <c r="K268" s="37">
        <f t="shared" si="49"/>
        <v>709</v>
      </c>
      <c r="L268" s="37">
        <v>0</v>
      </c>
      <c r="M268" s="74">
        <f t="shared" si="48"/>
        <v>877032</v>
      </c>
      <c r="N268" s="75">
        <f t="shared" si="48"/>
        <v>841732</v>
      </c>
      <c r="O268" s="75">
        <f t="shared" si="48"/>
        <v>1732283</v>
      </c>
      <c r="P268" s="76">
        <f t="shared" si="47"/>
        <v>13848452</v>
      </c>
      <c r="Q268" s="76">
        <f t="shared" si="47"/>
        <v>7602701</v>
      </c>
      <c r="R268" s="76">
        <f t="shared" si="47"/>
        <v>21929989</v>
      </c>
      <c r="S268" s="80">
        <f>M268/'[21]2014'!M268-1</f>
        <v>-7.7061014880138057E-2</v>
      </c>
      <c r="T268" s="80">
        <f>N268/'[21]2014'!N268-1</f>
        <v>0.10595883787420113</v>
      </c>
      <c r="U268" s="80">
        <f>O268/'[21]2014'!O268-1</f>
        <v>-1.0513574941066084E-2</v>
      </c>
      <c r="V268" s="81">
        <f>P268/'[21]2014'!P268-1</f>
        <v>-3.2404619932122181E-2</v>
      </c>
      <c r="W268" s="81">
        <f>Q268/'[21]2014'!Q268-1</f>
        <v>0.1335818206224908</v>
      </c>
      <c r="X268" s="81">
        <f>R268/'[21]2014'!R268-1</f>
        <v>1.7980753939447203E-2</v>
      </c>
      <c r="Y268" s="93">
        <v>85.641400000000004</v>
      </c>
      <c r="Z268" s="50">
        <f>P268/10000-Y268</f>
        <v>1299.2038</v>
      </c>
      <c r="AA268" s="37">
        <f>3890.092+12*(A268-"2015年6月30日")/(A268-"2015年1月1日"+1)+100*(A268-"2015年9月14日")/(A268-"2015年1月1日"+1)</f>
        <v>3896.114813688213</v>
      </c>
      <c r="AB268" s="37">
        <f>(Z268-3.38)*10000/AA268</f>
        <v>3325.9384334552578</v>
      </c>
    </row>
    <row r="269" spans="1:32" ht="15" customHeight="1" x14ac:dyDescent="0.15">
      <c r="A269" s="20">
        <v>42268</v>
      </c>
      <c r="B269" s="20" t="s">
        <v>34</v>
      </c>
      <c r="C269" s="21">
        <v>40878</v>
      </c>
      <c r="D269" s="7">
        <v>41801</v>
      </c>
      <c r="E269" s="7">
        <v>84025</v>
      </c>
      <c r="F269" s="22">
        <v>4317</v>
      </c>
      <c r="G269" s="23">
        <v>2718</v>
      </c>
      <c r="H269" s="24"/>
      <c r="I269" s="36"/>
      <c r="J269" s="8">
        <f t="shared" si="46"/>
        <v>42224</v>
      </c>
      <c r="K269" s="37">
        <f t="shared" si="49"/>
        <v>1346</v>
      </c>
      <c r="L269" s="37">
        <v>0</v>
      </c>
      <c r="M269" s="74">
        <f t="shared" si="48"/>
        <v>917910</v>
      </c>
      <c r="N269" s="75">
        <f t="shared" si="48"/>
        <v>883533</v>
      </c>
      <c r="O269" s="75">
        <f t="shared" si="48"/>
        <v>1816308</v>
      </c>
      <c r="P269" s="76">
        <f t="shared" si="47"/>
        <v>13889330</v>
      </c>
      <c r="Q269" s="76">
        <f t="shared" si="47"/>
        <v>7644502</v>
      </c>
      <c r="R269" s="76">
        <f t="shared" si="47"/>
        <v>22014014</v>
      </c>
      <c r="S269" s="80">
        <f>M269/'[21]2014'!M269-1</f>
        <v>-6.8400140058154535E-2</v>
      </c>
      <c r="T269" s="80">
        <f>N269/'[21]2014'!N269-1</f>
        <v>0.10697197153929139</v>
      </c>
      <c r="U269" s="80">
        <f>O269/'[21]2014'!O269-1</f>
        <v>-5.3257526014042211E-3</v>
      </c>
      <c r="V269" s="81">
        <f>P269/'[21]2014'!P269-1</f>
        <v>-3.1918909739063861E-2</v>
      </c>
      <c r="W269" s="81">
        <f>Q269/'[21]2014'!Q269-1</f>
        <v>0.13354990860501403</v>
      </c>
      <c r="X269" s="81">
        <f>R269/'[21]2014'!R269-1</f>
        <v>1.831965045156192E-2</v>
      </c>
      <c r="Y269" s="93"/>
      <c r="Z269" s="50"/>
      <c r="AA269" s="37"/>
      <c r="AB269" s="37"/>
    </row>
    <row r="270" spans="1:32" ht="15" customHeight="1" x14ac:dyDescent="0.15">
      <c r="A270" s="20">
        <v>42269</v>
      </c>
      <c r="B270" s="14" t="s">
        <v>35</v>
      </c>
      <c r="C270" s="15">
        <v>43666</v>
      </c>
      <c r="D270" s="16">
        <f>31122+9523</f>
        <v>40645</v>
      </c>
      <c r="E270" s="16">
        <v>84974</v>
      </c>
      <c r="F270" s="17">
        <v>4355</v>
      </c>
      <c r="G270" s="18">
        <v>2899</v>
      </c>
      <c r="H270" s="19"/>
      <c r="I270" s="19"/>
      <c r="J270" s="32">
        <f t="shared" si="46"/>
        <v>44329</v>
      </c>
      <c r="K270" s="33">
        <f t="shared" si="49"/>
        <v>663</v>
      </c>
      <c r="L270" s="33">
        <v>0</v>
      </c>
      <c r="M270" s="77">
        <f t="shared" si="48"/>
        <v>961576</v>
      </c>
      <c r="N270" s="78">
        <f t="shared" si="48"/>
        <v>924178</v>
      </c>
      <c r="O270" s="78">
        <f t="shared" si="48"/>
        <v>1901282</v>
      </c>
      <c r="P270" s="77">
        <f t="shared" si="47"/>
        <v>13932996</v>
      </c>
      <c r="Q270" s="77">
        <f t="shared" si="47"/>
        <v>7685147</v>
      </c>
      <c r="R270" s="77">
        <f t="shared" si="47"/>
        <v>22098988</v>
      </c>
      <c r="S270" s="82">
        <f>M270/'[21]2014'!M270-1</f>
        <v>-6.1251546152216507E-2</v>
      </c>
      <c r="T270" s="82">
        <f>N270/'[21]2014'!N270-1</f>
        <v>0.1103531300160514</v>
      </c>
      <c r="U270" s="82">
        <f>O270/'[21]2014'!O270-1</f>
        <v>-8.4030477996255293E-4</v>
      </c>
      <c r="V270" s="82">
        <f>P270/'[21]2014'!P270-1</f>
        <v>-3.1508851281779049E-2</v>
      </c>
      <c r="W270" s="82">
        <f>Q270/'[21]2014'!Q270-1</f>
        <v>0.13383110099267559</v>
      </c>
      <c r="X270" s="82">
        <f>R270/'[21]2014'!R270-1</f>
        <v>1.8629317412394819E-2</v>
      </c>
      <c r="Y270" s="96">
        <v>86.1</v>
      </c>
      <c r="Z270" s="96">
        <f>P270/10000-Y270</f>
        <v>1307.1996000000001</v>
      </c>
      <c r="AA270" s="96">
        <f>3890.092+12*(A270-"2015年6月30日")/(A270-"2015年1月1日"+1)+100*(A270-"2015年9月14日")/(A270-"2015年1月1日"+1)</f>
        <v>3896.9146415094342</v>
      </c>
      <c r="AB270" s="96">
        <f>(Z270-3.38)*10000/AA270</f>
        <v>3345.7740801193877</v>
      </c>
    </row>
    <row r="271" spans="1:32" ht="15" customHeight="1" x14ac:dyDescent="0.15">
      <c r="A271" s="20">
        <v>42270</v>
      </c>
      <c r="B271" s="20" t="s">
        <v>36</v>
      </c>
      <c r="C271" s="66">
        <v>43959</v>
      </c>
      <c r="D271" s="67">
        <f>31607+5993</f>
        <v>37600</v>
      </c>
      <c r="E271" s="67">
        <v>86232</v>
      </c>
      <c r="F271" s="68">
        <v>4387</v>
      </c>
      <c r="G271" s="69">
        <v>2913</v>
      </c>
      <c r="H271" s="24"/>
      <c r="I271" s="24"/>
      <c r="J271" s="70">
        <f t="shared" si="46"/>
        <v>48632</v>
      </c>
      <c r="K271" s="71">
        <f t="shared" si="49"/>
        <v>4673</v>
      </c>
      <c r="L271" s="71">
        <v>0</v>
      </c>
      <c r="M271" s="72">
        <f t="shared" si="48"/>
        <v>1005535</v>
      </c>
      <c r="N271" s="73">
        <f t="shared" si="48"/>
        <v>961778</v>
      </c>
      <c r="O271" s="73">
        <f t="shared" si="48"/>
        <v>1987514</v>
      </c>
      <c r="P271" s="72">
        <f t="shared" si="47"/>
        <v>13976955</v>
      </c>
      <c r="Q271" s="72">
        <f t="shared" si="47"/>
        <v>7722747</v>
      </c>
      <c r="R271" s="72">
        <f t="shared" si="47"/>
        <v>22185220</v>
      </c>
      <c r="S271" s="79">
        <f>M271/'[21]2014'!M271-1</f>
        <v>-5.6178646820357336E-2</v>
      </c>
      <c r="T271" s="79">
        <f>N271/'[21]2014'!N271-1</f>
        <v>0.10706857236915557</v>
      </c>
      <c r="U271" s="79">
        <f>O271/'[21]2014'!O271-1</f>
        <v>2.0433978787584017E-3</v>
      </c>
      <c r="V271" s="79">
        <f>P271/'[21]2014'!P271-1</f>
        <v>-3.1218911328701471E-2</v>
      </c>
      <c r="W271" s="79">
        <f>Q271/'[21]2014'!Q271-1</f>
        <v>0.13328683716341705</v>
      </c>
      <c r="X271" s="79">
        <f>R271/'[21]2014'!R271-1</f>
        <v>1.8819938390537194E-2</v>
      </c>
      <c r="Y271" s="85"/>
      <c r="Z271" s="97"/>
      <c r="AA271" s="85"/>
      <c r="AB271" s="71"/>
    </row>
    <row r="272" spans="1:32" ht="15" customHeight="1" x14ac:dyDescent="0.15">
      <c r="A272" s="20">
        <v>42271</v>
      </c>
      <c r="B272" s="20" t="s">
        <v>37</v>
      </c>
      <c r="C272" s="21">
        <v>44092</v>
      </c>
      <c r="D272" s="7">
        <v>41574</v>
      </c>
      <c r="E272" s="7">
        <v>87067</v>
      </c>
      <c r="F272" s="22">
        <v>4386</v>
      </c>
      <c r="G272" s="23">
        <v>2912</v>
      </c>
      <c r="H272" s="24"/>
      <c r="I272" s="36"/>
      <c r="J272" s="8">
        <f t="shared" si="46"/>
        <v>45493</v>
      </c>
      <c r="K272" s="37">
        <f t="shared" si="49"/>
        <v>1401</v>
      </c>
      <c r="L272" s="37">
        <v>0</v>
      </c>
      <c r="M272" s="74">
        <f t="shared" si="48"/>
        <v>1049627</v>
      </c>
      <c r="N272" s="75">
        <f t="shared" si="48"/>
        <v>1003352</v>
      </c>
      <c r="O272" s="75">
        <f t="shared" si="48"/>
        <v>2074581</v>
      </c>
      <c r="P272" s="76">
        <f t="shared" si="47"/>
        <v>14021047</v>
      </c>
      <c r="Q272" s="76">
        <f t="shared" si="47"/>
        <v>7764321</v>
      </c>
      <c r="R272" s="76">
        <f t="shared" si="47"/>
        <v>22272287</v>
      </c>
      <c r="S272" s="80">
        <f>M272/'[21]2014'!M272-1</f>
        <v>-5.508387985398111E-2</v>
      </c>
      <c r="T272" s="80">
        <f>N272/'[21]2014'!N272-1</f>
        <v>0.10704564437132924</v>
      </c>
      <c r="U272" s="80">
        <f>O272/'[21]2014'!O272-1</f>
        <v>3.0256396123815588E-3</v>
      </c>
      <c r="V272" s="81">
        <f>P272/'[21]2014'!P272-1</f>
        <v>-3.1213230827114247E-2</v>
      </c>
      <c r="W272" s="81">
        <f>Q272/'[21]2014'!Q272-1</f>
        <v>0.1331400410222352</v>
      </c>
      <c r="X272" s="81">
        <f>R272/'[21]2014'!R272-1</f>
        <v>1.8847746939281151E-2</v>
      </c>
      <c r="Y272" s="93">
        <f>Y268+0.25*4</f>
        <v>86.641400000000004</v>
      </c>
      <c r="Z272" s="50">
        <f>P272/10000-Y272</f>
        <v>1315.4633000000001</v>
      </c>
      <c r="AA272" s="37">
        <f>3890.092+12*(A272-"2015年6月30日")/(A272-"2015年1月1日"+1)+100*(A272-"2015年9月14日")/(A272-"2015年1月1日"+1)</f>
        <v>3897.7024868913854</v>
      </c>
      <c r="AB272" s="37">
        <f>(Z272-3.38)*10000/AA272</f>
        <v>3366.2992606869097</v>
      </c>
    </row>
    <row r="273" spans="1:32" ht="15" customHeight="1" x14ac:dyDescent="0.15">
      <c r="A273" s="20">
        <v>42272</v>
      </c>
      <c r="B273" s="20" t="s">
        <v>38</v>
      </c>
      <c r="C273" s="21">
        <v>42884</v>
      </c>
      <c r="D273" s="7">
        <f>31814+9801</f>
        <v>41615</v>
      </c>
      <c r="E273" s="7">
        <v>86294</v>
      </c>
      <c r="F273" s="22">
        <v>4386</v>
      </c>
      <c r="G273" s="23">
        <v>2950</v>
      </c>
      <c r="H273" s="24"/>
      <c r="I273" s="36"/>
      <c r="J273" s="8">
        <f t="shared" si="46"/>
        <v>44679</v>
      </c>
      <c r="K273" s="37">
        <f t="shared" si="49"/>
        <v>1795</v>
      </c>
      <c r="L273" s="37">
        <v>0</v>
      </c>
      <c r="M273" s="74">
        <f t="shared" si="48"/>
        <v>1092511</v>
      </c>
      <c r="N273" s="75">
        <f t="shared" si="48"/>
        <v>1044967</v>
      </c>
      <c r="O273" s="75">
        <f t="shared" si="48"/>
        <v>2160875</v>
      </c>
      <c r="P273" s="76">
        <f t="shared" si="47"/>
        <v>14063931</v>
      </c>
      <c r="Q273" s="76">
        <f t="shared" si="47"/>
        <v>7805936</v>
      </c>
      <c r="R273" s="76">
        <f t="shared" si="47"/>
        <v>22358581</v>
      </c>
      <c r="S273" s="80">
        <f>M273/'[21]2014'!M273-1</f>
        <v>-5.4423134679082663E-2</v>
      </c>
      <c r="T273" s="80">
        <f>N273/'[21]2014'!N273-1</f>
        <v>0.10604735937407384</v>
      </c>
      <c r="U273" s="80">
        <f>O273/'[21]2014'!O273-1</f>
        <v>3.5747160708496928E-3</v>
      </c>
      <c r="V273" s="81">
        <f>P273/'[21]2014'!P273-1</f>
        <v>-3.1233939751349582E-2</v>
      </c>
      <c r="W273" s="81">
        <f>Q273/'[21]2014'!Q273-1</f>
        <v>0.13285757859271152</v>
      </c>
      <c r="X273" s="81">
        <f>R273/'[21]2014'!R273-1</f>
        <v>1.8840441190721258E-2</v>
      </c>
      <c r="Y273" s="93"/>
      <c r="Z273" s="50"/>
      <c r="AA273" s="37"/>
      <c r="AB273" s="37"/>
    </row>
    <row r="274" spans="1:32" ht="15" customHeight="1" x14ac:dyDescent="0.15">
      <c r="A274" s="20">
        <v>42273</v>
      </c>
      <c r="B274" s="20" t="s">
        <v>39</v>
      </c>
      <c r="C274" s="21">
        <v>41480</v>
      </c>
      <c r="D274" s="7">
        <f>29230+9669</f>
        <v>38899</v>
      </c>
      <c r="E274" s="7">
        <v>82387</v>
      </c>
      <c r="F274" s="22">
        <v>4145</v>
      </c>
      <c r="G274" s="23">
        <v>2908</v>
      </c>
      <c r="H274" s="24"/>
      <c r="I274" s="36"/>
      <c r="J274" s="8">
        <f t="shared" si="46"/>
        <v>43488</v>
      </c>
      <c r="K274" s="37">
        <f t="shared" si="49"/>
        <v>2008</v>
      </c>
      <c r="L274" s="37">
        <v>0</v>
      </c>
      <c r="M274" s="74">
        <f t="shared" si="48"/>
        <v>1133991</v>
      </c>
      <c r="N274" s="75">
        <f t="shared" si="48"/>
        <v>1083866</v>
      </c>
      <c r="O274" s="75">
        <f t="shared" si="48"/>
        <v>2243262</v>
      </c>
      <c r="P274" s="76">
        <f t="shared" si="47"/>
        <v>14105411</v>
      </c>
      <c r="Q274" s="76">
        <f t="shared" si="47"/>
        <v>7844835</v>
      </c>
      <c r="R274" s="76">
        <f t="shared" si="47"/>
        <v>22440968</v>
      </c>
      <c r="S274" s="80">
        <f>M274/'[21]2014'!M274-1</f>
        <v>-5.6388318427367912E-2</v>
      </c>
      <c r="T274" s="80">
        <f>N274/'[21]2014'!N274-1</f>
        <v>0.10212378258225763</v>
      </c>
      <c r="U274" s="80">
        <f>O274/'[21]2014'!O274-1</f>
        <v>1.6758137609627077E-3</v>
      </c>
      <c r="V274" s="81">
        <f>P274/'[21]2014'!P274-1</f>
        <v>-3.1469925879952343E-2</v>
      </c>
      <c r="W274" s="81">
        <f>Q274/'[21]2014'!Q274-1</f>
        <v>0.13215114063704081</v>
      </c>
      <c r="X274" s="81">
        <f>R274/'[21]2014'!R274-1</f>
        <v>1.8587597525373978E-2</v>
      </c>
      <c r="Y274" s="93"/>
      <c r="Z274" s="50"/>
      <c r="AA274" s="37"/>
      <c r="AB274" s="37"/>
    </row>
    <row r="275" spans="1:32" ht="15" customHeight="1" x14ac:dyDescent="0.15">
      <c r="A275" s="20">
        <v>42274</v>
      </c>
      <c r="B275" s="20" t="s">
        <v>1</v>
      </c>
      <c r="C275" s="21">
        <v>32943</v>
      </c>
      <c r="D275" s="7">
        <f>20242+9591</f>
        <v>29833</v>
      </c>
      <c r="E275" s="7">
        <v>64964</v>
      </c>
      <c r="F275" s="22">
        <v>3000</v>
      </c>
      <c r="G275" s="23">
        <v>2501</v>
      </c>
      <c r="H275" s="24"/>
      <c r="I275" s="36"/>
      <c r="J275" s="8">
        <f t="shared" si="46"/>
        <v>35131</v>
      </c>
      <c r="K275" s="37">
        <f t="shared" si="49"/>
        <v>2188</v>
      </c>
      <c r="L275" s="37">
        <v>0</v>
      </c>
      <c r="M275" s="74">
        <f t="shared" si="48"/>
        <v>1166934</v>
      </c>
      <c r="N275" s="75">
        <f t="shared" si="48"/>
        <v>1113699</v>
      </c>
      <c r="O275" s="75">
        <f t="shared" si="48"/>
        <v>2308226</v>
      </c>
      <c r="P275" s="76">
        <f t="shared" si="47"/>
        <v>14138354</v>
      </c>
      <c r="Q275" s="76">
        <f t="shared" si="47"/>
        <v>7874668</v>
      </c>
      <c r="R275" s="76">
        <f t="shared" si="47"/>
        <v>22505932</v>
      </c>
      <c r="S275" s="80">
        <f>M275/'[21]2014'!M275-1</f>
        <v>-6.6951421160531766E-2</v>
      </c>
      <c r="T275" s="80">
        <f>N275/'[21]2014'!N275-1</f>
        <v>9.0166662424896238E-2</v>
      </c>
      <c r="U275" s="80">
        <f>O275/'[21]2014'!O275-1</f>
        <v>-8.5898055385540406E-3</v>
      </c>
      <c r="V275" s="81">
        <f>P275/'[21]2014'!P275-1</f>
        <v>-3.2457409352952493E-2</v>
      </c>
      <c r="W275" s="81">
        <f>Q275/'[21]2014'!Q275-1</f>
        <v>0.13023349053594435</v>
      </c>
      <c r="X275" s="81">
        <f>R275/'[21]2014'!R275-1</f>
        <v>1.7439278374947298E-2</v>
      </c>
      <c r="Y275" s="93">
        <f>Y272+0.2*3</f>
        <v>87.241399999999999</v>
      </c>
      <c r="Z275" s="50">
        <f>P275/10000-Y275</f>
        <v>1326.5940000000001</v>
      </c>
      <c r="AA275" s="37">
        <f>3890.092+12*(A275-"2015年6月30日")/(A275-"2015年1月1日"+1)+100*(A275-"2015年9月14日")/(A275-"2015年1月1日"+1)</f>
        <v>3898.8623703703706</v>
      </c>
      <c r="AB275" s="37">
        <f>(Z275-3.38)*10000/AA275</f>
        <v>3393.8463949275078</v>
      </c>
    </row>
    <row r="276" spans="1:32" ht="15" customHeight="1" x14ac:dyDescent="0.15">
      <c r="A276" s="20">
        <v>42275</v>
      </c>
      <c r="B276" s="20" t="s">
        <v>34</v>
      </c>
      <c r="C276" s="21">
        <v>38490</v>
      </c>
      <c r="D276" s="7">
        <f>26769+9838</f>
        <v>36607</v>
      </c>
      <c r="E276" s="7">
        <v>77299</v>
      </c>
      <c r="F276" s="22">
        <v>4056</v>
      </c>
      <c r="G276" s="23">
        <v>2703</v>
      </c>
      <c r="H276" s="24"/>
      <c r="I276" s="36"/>
      <c r="J276" s="8">
        <f t="shared" si="46"/>
        <v>40692</v>
      </c>
      <c r="K276" s="37">
        <f t="shared" si="49"/>
        <v>2202</v>
      </c>
      <c r="L276" s="37">
        <v>0</v>
      </c>
      <c r="M276" s="74">
        <f t="shared" si="48"/>
        <v>1205424</v>
      </c>
      <c r="N276" s="75">
        <f t="shared" si="48"/>
        <v>1150306</v>
      </c>
      <c r="O276" s="75">
        <f t="shared" si="48"/>
        <v>2385525</v>
      </c>
      <c r="P276" s="76">
        <f t="shared" si="47"/>
        <v>14176844</v>
      </c>
      <c r="Q276" s="76">
        <f t="shared" si="47"/>
        <v>7911275</v>
      </c>
      <c r="R276" s="76">
        <f t="shared" si="47"/>
        <v>22583231</v>
      </c>
      <c r="S276" s="80">
        <f>M276/'[21]2014'!M276-1</f>
        <v>-7.3347390949058178E-2</v>
      </c>
      <c r="T276" s="80">
        <f>N276/'[21]2014'!N276-1</f>
        <v>8.5357143194120688E-2</v>
      </c>
      <c r="U276" s="80">
        <f>O276/'[21]2014'!O276-1</f>
        <v>-1.3597777051864601E-2</v>
      </c>
      <c r="V276" s="81">
        <f>P276/'[21]2014'!P276-1</f>
        <v>-3.3142860721979694E-2</v>
      </c>
      <c r="W276" s="81">
        <f>Q276/'[21]2014'!Q276-1</f>
        <v>0.12928708604541606</v>
      </c>
      <c r="X276" s="81">
        <f>R276/'[21]2014'!R276-1</f>
        <v>1.6788286532894325E-2</v>
      </c>
      <c r="Y276" s="93"/>
      <c r="Z276" s="50"/>
      <c r="AA276" s="37"/>
      <c r="AB276" s="37"/>
    </row>
    <row r="277" spans="1:32" ht="15" customHeight="1" x14ac:dyDescent="0.15">
      <c r="A277" s="20">
        <v>42276</v>
      </c>
      <c r="B277" s="14" t="s">
        <v>35</v>
      </c>
      <c r="C277" s="15">
        <v>40171</v>
      </c>
      <c r="D277" s="16">
        <v>39378</v>
      </c>
      <c r="E277" s="16">
        <v>80068</v>
      </c>
      <c r="F277" s="17">
        <v>4123</v>
      </c>
      <c r="G277" s="18">
        <v>2703</v>
      </c>
      <c r="H277" s="19"/>
      <c r="I277" s="19"/>
      <c r="J277" s="32">
        <f t="shared" si="46"/>
        <v>40690</v>
      </c>
      <c r="K277" s="33">
        <f t="shared" si="49"/>
        <v>519</v>
      </c>
      <c r="L277" s="33">
        <v>0</v>
      </c>
      <c r="M277" s="77">
        <f t="shared" si="48"/>
        <v>1245595</v>
      </c>
      <c r="N277" s="78">
        <f t="shared" si="48"/>
        <v>1189684</v>
      </c>
      <c r="O277" s="78">
        <f t="shared" si="48"/>
        <v>2465593</v>
      </c>
      <c r="P277" s="77">
        <f t="shared" si="47"/>
        <v>14217015</v>
      </c>
      <c r="Q277" s="77">
        <f t="shared" si="47"/>
        <v>7950653</v>
      </c>
      <c r="R277" s="77">
        <f t="shared" si="47"/>
        <v>22663299</v>
      </c>
      <c r="S277" s="82">
        <f>M277/'[21]2014'!M277-1</f>
        <v>-7.8922654630103395E-2</v>
      </c>
      <c r="T277" s="82">
        <f>N277/'[21]2014'!N277-1</f>
        <v>8.3024498330879881E-2</v>
      </c>
      <c r="U277" s="82">
        <f>O277/'[21]2014'!O277-1</f>
        <v>-1.7872414668062997E-2</v>
      </c>
      <c r="V277" s="82">
        <f>P277/'[21]2014'!P277-1</f>
        <v>-3.3795937966331291E-2</v>
      </c>
      <c r="W277" s="82">
        <f>Q277/'[21]2014'!Q277-1</f>
        <v>0.12868234490150976</v>
      </c>
      <c r="X277" s="82">
        <f>R277/'[21]2014'!R277-1</f>
        <v>1.618169829064775E-2</v>
      </c>
      <c r="Y277" s="96"/>
      <c r="Z277" s="49"/>
      <c r="AA277" s="33"/>
      <c r="AB277" s="33"/>
    </row>
    <row r="278" spans="1:32" s="1" customFormat="1" ht="15" customHeight="1" x14ac:dyDescent="0.15">
      <c r="A278" s="25">
        <v>42277</v>
      </c>
      <c r="B278" s="20" t="s">
        <v>36</v>
      </c>
      <c r="C278" s="66">
        <v>39439</v>
      </c>
      <c r="D278" s="67">
        <v>35306</v>
      </c>
      <c r="E278" s="67">
        <v>76914</v>
      </c>
      <c r="F278" s="68">
        <v>4030</v>
      </c>
      <c r="G278" s="69">
        <v>2540</v>
      </c>
      <c r="H278" s="24"/>
      <c r="I278" s="24"/>
      <c r="J278" s="70">
        <f t="shared" si="46"/>
        <v>41608</v>
      </c>
      <c r="K278" s="71">
        <f t="shared" si="49"/>
        <v>1935</v>
      </c>
      <c r="L278" s="71">
        <v>234</v>
      </c>
      <c r="M278" s="72">
        <f t="shared" si="48"/>
        <v>1285034</v>
      </c>
      <c r="N278" s="73">
        <f t="shared" si="48"/>
        <v>1224990</v>
      </c>
      <c r="O278" s="73">
        <f t="shared" si="48"/>
        <v>2542507</v>
      </c>
      <c r="P278" s="72">
        <f t="shared" si="47"/>
        <v>14256454</v>
      </c>
      <c r="Q278" s="72">
        <f t="shared" si="47"/>
        <v>7985959</v>
      </c>
      <c r="R278" s="72">
        <f t="shared" si="47"/>
        <v>22740213</v>
      </c>
      <c r="S278" s="79">
        <f>M278/'[21]2014'!M278-1</f>
        <v>-7.8856519441272477E-2</v>
      </c>
      <c r="T278" s="79">
        <f>N278/'[21]2014'!N278-1</f>
        <v>7.9604612954620846E-2</v>
      </c>
      <c r="U278" s="79">
        <f>O278/'[21]2014'!O278-1</f>
        <v>-1.8576385217138336E-2</v>
      </c>
      <c r="V278" s="79">
        <f>P278/'[21]2014'!P278-1</f>
        <v>-3.3920317399871336E-2</v>
      </c>
      <c r="W278" s="79">
        <f>Q278/'[21]2014'!Q278-1</f>
        <v>0.12790096848718058</v>
      </c>
      <c r="X278" s="79">
        <f>R278/'[21]2014'!R278-1</f>
        <v>1.5978242467685533E-2</v>
      </c>
      <c r="Y278" s="85">
        <v>88.715900000000005</v>
      </c>
      <c r="Z278" s="97">
        <f>P278/10000-Y278</f>
        <v>1336.9295000000002</v>
      </c>
      <c r="AA278" s="85">
        <f>3890.092+12*(A278-"2015年6月30日")/(A278-"2015年1月1日"+1)+100*(A278-"2015年9月14日")/(A278-"2015年1月1日"+1)</f>
        <v>3899.996761904762</v>
      </c>
      <c r="AB278" s="71">
        <f>(Z278-3.38)*10000/AA278</f>
        <v>3419.3605313371932</v>
      </c>
      <c r="AC278" s="86">
        <v>31.235800000000001</v>
      </c>
      <c r="AD278" s="1">
        <v>18.543800000000001</v>
      </c>
      <c r="AF278" s="1">
        <v>1475.4254000000001</v>
      </c>
    </row>
    <row r="279" spans="1:32" ht="15" customHeight="1" x14ac:dyDescent="0.15">
      <c r="A279" s="14">
        <v>42278</v>
      </c>
      <c r="B279" s="20" t="s">
        <v>37</v>
      </c>
      <c r="C279" s="21">
        <v>23919</v>
      </c>
      <c r="D279" s="7">
        <v>24800</v>
      </c>
      <c r="E279" s="7">
        <v>50683</v>
      </c>
      <c r="F279" s="22">
        <v>2679</v>
      </c>
      <c r="G279" s="23">
        <v>1771</v>
      </c>
      <c r="H279" s="24"/>
      <c r="I279" s="36"/>
      <c r="J279" s="8">
        <f t="shared" si="46"/>
        <v>25883</v>
      </c>
      <c r="K279" s="37">
        <f t="shared" si="49"/>
        <v>1414</v>
      </c>
      <c r="L279" s="37">
        <v>550</v>
      </c>
      <c r="M279" s="74">
        <f>C279</f>
        <v>23919</v>
      </c>
      <c r="N279" s="75">
        <f>D279</f>
        <v>24800</v>
      </c>
      <c r="O279" s="75">
        <f>E279</f>
        <v>50683</v>
      </c>
      <c r="P279" s="76">
        <f>P$278+M279</f>
        <v>14280373</v>
      </c>
      <c r="Q279" s="76">
        <f>Q$278+N279</f>
        <v>8010759</v>
      </c>
      <c r="R279" s="76">
        <f>R$278+O279</f>
        <v>22790896</v>
      </c>
      <c r="S279" s="80">
        <f>M279/'[21]2014'!M279-1</f>
        <v>-0.10331771321462047</v>
      </c>
      <c r="T279" s="80">
        <f>N279/'[21]2014'!N279-1</f>
        <v>-5.7535912442046033E-2</v>
      </c>
      <c r="U279" s="80">
        <f>O279/'[21]2014'!O279-1</f>
        <v>-6.4682217465121483E-2</v>
      </c>
      <c r="V279" s="81">
        <f>P279/'[21]2014'!P279-1</f>
        <v>-3.404553480646888E-2</v>
      </c>
      <c r="W279" s="81">
        <f>Q279/'[21]2014'!Q279-1</f>
        <v>0.12721434947214849</v>
      </c>
      <c r="X279" s="81">
        <f>R279/'[21]2014'!R279-1</f>
        <v>1.5783435922899658E-2</v>
      </c>
      <c r="Y279" s="93">
        <v>88.87</v>
      </c>
      <c r="Z279" s="50">
        <f>P279/10000-Y279</f>
        <v>1339.1673000000001</v>
      </c>
      <c r="AA279" s="37">
        <f>3890.092+12*(A279-"2015年6月30日")/(A279-"2015年1月1日"+1)+100*(A279-"2015年9月14日")/(A279-"2015年1月1日"+1)</f>
        <v>3900.369372262774</v>
      </c>
      <c r="AB279" s="37">
        <f>(Z279-3.38)*10000/AA279</f>
        <v>3424.7712780727011</v>
      </c>
    </row>
    <row r="280" spans="1:32" ht="15" customHeight="1" x14ac:dyDescent="0.15">
      <c r="A280" s="20">
        <v>42279</v>
      </c>
      <c r="B280" s="20" t="s">
        <v>38</v>
      </c>
      <c r="C280" s="21">
        <v>23000</v>
      </c>
      <c r="D280" s="7">
        <v>24300</v>
      </c>
      <c r="E280" s="7">
        <v>49230</v>
      </c>
      <c r="F280" s="22">
        <v>2352</v>
      </c>
      <c r="G280" s="23">
        <v>1595</v>
      </c>
      <c r="H280" s="24"/>
      <c r="I280" s="36"/>
      <c r="J280" s="8">
        <f t="shared" si="46"/>
        <v>24930</v>
      </c>
      <c r="K280" s="37">
        <f t="shared" si="49"/>
        <v>1147</v>
      </c>
      <c r="L280" s="37">
        <v>783</v>
      </c>
      <c r="M280" s="74">
        <f t="shared" ref="M280:O295" si="50">C280+M279</f>
        <v>46919</v>
      </c>
      <c r="N280" s="75">
        <f t="shared" si="50"/>
        <v>49100</v>
      </c>
      <c r="O280" s="75">
        <f t="shared" si="50"/>
        <v>99913</v>
      </c>
      <c r="P280" s="76">
        <f t="shared" ref="P280:R309" si="51">P$278+M280</f>
        <v>14303373</v>
      </c>
      <c r="Q280" s="76">
        <f t="shared" si="51"/>
        <v>8035059</v>
      </c>
      <c r="R280" s="76">
        <f t="shared" si="51"/>
        <v>22840126</v>
      </c>
      <c r="S280" s="80">
        <f>M280/'[21]2014'!M280-1</f>
        <v>-0.16970748022438908</v>
      </c>
      <c r="T280" s="80">
        <f>N280/'[21]2014'!N280-1</f>
        <v>-3.4509881034313294E-2</v>
      </c>
      <c r="U280" s="80">
        <f>O280/'[21]2014'!O280-1</f>
        <v>-8.8202011352643828E-2</v>
      </c>
      <c r="V280" s="81">
        <f>P280/'[21]2014'!P280-1</f>
        <v>-3.4438303255813207E-2</v>
      </c>
      <c r="W280" s="81">
        <f>Q280/'[21]2014'!Q280-1</f>
        <v>0.12674276623484526</v>
      </c>
      <c r="X280" s="81">
        <f>R280/'[21]2014'!R280-1</f>
        <v>1.5470693814607861E-2</v>
      </c>
      <c r="Y280" s="93"/>
      <c r="Z280" s="50"/>
      <c r="AA280" s="37"/>
      <c r="AB280" s="37"/>
    </row>
    <row r="281" spans="1:32" ht="15" customHeight="1" x14ac:dyDescent="0.15">
      <c r="A281" s="20">
        <v>42280</v>
      </c>
      <c r="B281" s="20" t="s">
        <v>39</v>
      </c>
      <c r="C281" s="21">
        <v>31000</v>
      </c>
      <c r="D281" s="7">
        <v>26057</v>
      </c>
      <c r="E281" s="7">
        <v>59318</v>
      </c>
      <c r="F281" s="22">
        <v>2922</v>
      </c>
      <c r="G281" s="23">
        <v>1868</v>
      </c>
      <c r="H281" s="24"/>
      <c r="I281" s="36"/>
      <c r="J281" s="8">
        <f t="shared" si="46"/>
        <v>33261</v>
      </c>
      <c r="K281" s="37">
        <f t="shared" si="49"/>
        <v>1478</v>
      </c>
      <c r="L281" s="37">
        <v>783</v>
      </c>
      <c r="M281" s="74">
        <f t="shared" si="50"/>
        <v>77919</v>
      </c>
      <c r="N281" s="75">
        <f t="shared" si="50"/>
        <v>75157</v>
      </c>
      <c r="O281" s="75">
        <f t="shared" si="50"/>
        <v>159231</v>
      </c>
      <c r="P281" s="76">
        <f t="shared" si="51"/>
        <v>14334373</v>
      </c>
      <c r="Q281" s="76">
        <f t="shared" si="51"/>
        <v>8061116</v>
      </c>
      <c r="R281" s="76">
        <f t="shared" si="51"/>
        <v>22899444</v>
      </c>
      <c r="S281" s="80">
        <f>M281/'[21]2014'!M281-1</f>
        <v>-0.1752159369972055</v>
      </c>
      <c r="T281" s="80">
        <f>N281/'[21]2014'!N281-1</f>
        <v>-1.8235732107167557E-2</v>
      </c>
      <c r="U281" s="80">
        <f>O281/'[21]2014'!O281-1</f>
        <v>-8.803450132300894E-2</v>
      </c>
      <c r="V281" s="81">
        <f>P281/'[21]2014'!P281-1</f>
        <v>-3.4819114823700481E-2</v>
      </c>
      <c r="W281" s="81">
        <f>Q281/'[21]2014'!Q281-1</f>
        <v>0.12633783878286842</v>
      </c>
      <c r="X281" s="81">
        <f>R281/'[21]2014'!R281-1</f>
        <v>1.5173140389162398E-2</v>
      </c>
      <c r="Y281" s="93"/>
      <c r="Z281" s="50"/>
      <c r="AA281" s="37"/>
      <c r="AB281" s="37"/>
    </row>
    <row r="282" spans="1:32" ht="15" customHeight="1" x14ac:dyDescent="0.15">
      <c r="A282" s="20">
        <v>42281</v>
      </c>
      <c r="B282" s="20" t="s">
        <v>1</v>
      </c>
      <c r="C282" s="21">
        <v>37500</v>
      </c>
      <c r="D282" s="7">
        <v>29591</v>
      </c>
      <c r="E282" s="7">
        <v>68977</v>
      </c>
      <c r="F282" s="22">
        <v>3520</v>
      </c>
      <c r="G282" s="23">
        <v>2212</v>
      </c>
      <c r="H282" s="24"/>
      <c r="I282" s="36"/>
      <c r="J282" s="8">
        <f t="shared" si="46"/>
        <v>39386</v>
      </c>
      <c r="K282" s="37">
        <f t="shared" si="49"/>
        <v>1103</v>
      </c>
      <c r="L282" s="37">
        <v>783</v>
      </c>
      <c r="M282" s="74">
        <f t="shared" si="50"/>
        <v>115419</v>
      </c>
      <c r="N282" s="75">
        <f t="shared" si="50"/>
        <v>104748</v>
      </c>
      <c r="O282" s="75">
        <f t="shared" si="50"/>
        <v>228208</v>
      </c>
      <c r="P282" s="76">
        <f t="shared" si="51"/>
        <v>14371873</v>
      </c>
      <c r="Q282" s="76">
        <f t="shared" si="51"/>
        <v>8090707</v>
      </c>
      <c r="R282" s="76">
        <f t="shared" si="51"/>
        <v>22968421</v>
      </c>
      <c r="S282" s="80">
        <f>M282/'[21]2014'!M282-1</f>
        <v>-0.1558433959642207</v>
      </c>
      <c r="T282" s="80">
        <f>N282/'[21]2014'!N282-1</f>
        <v>-6.1293811791942598E-3</v>
      </c>
      <c r="U282" s="80">
        <f>O282/'[21]2014'!O282-1</f>
        <v>-7.8033152474719536E-2</v>
      </c>
      <c r="V282" s="81">
        <f>P282/'[21]2014'!P282-1</f>
        <v>-3.5039591177495222E-2</v>
      </c>
      <c r="W282" s="81">
        <f>Q282/'[21]2014'!Q282-1</f>
        <v>0.12593513858264105</v>
      </c>
      <c r="X282" s="81">
        <f>R282/'[21]2014'!R282-1</f>
        <v>1.4949966820144711E-2</v>
      </c>
      <c r="Y282" s="93"/>
      <c r="Z282" s="50"/>
      <c r="AA282" s="37"/>
      <c r="AB282" s="37"/>
    </row>
    <row r="283" spans="1:32" ht="15" customHeight="1" x14ac:dyDescent="0.15">
      <c r="A283" s="20">
        <v>42282</v>
      </c>
      <c r="B283" s="20" t="s">
        <v>34</v>
      </c>
      <c r="C283" s="21">
        <v>40800</v>
      </c>
      <c r="D283" s="7">
        <v>32213</v>
      </c>
      <c r="E283" s="7">
        <v>75055</v>
      </c>
      <c r="F283" s="22">
        <v>3852</v>
      </c>
      <c r="G283" s="23">
        <v>2489</v>
      </c>
      <c r="H283" s="24"/>
      <c r="I283" s="36"/>
      <c r="J283" s="8">
        <f t="shared" si="46"/>
        <v>42842</v>
      </c>
      <c r="K283" s="37">
        <f t="shared" si="49"/>
        <v>1259</v>
      </c>
      <c r="L283" s="37">
        <v>783</v>
      </c>
      <c r="M283" s="74">
        <f t="shared" si="50"/>
        <v>156219</v>
      </c>
      <c r="N283" s="75">
        <f t="shared" si="50"/>
        <v>136961</v>
      </c>
      <c r="O283" s="75">
        <f t="shared" si="50"/>
        <v>303263</v>
      </c>
      <c r="P283" s="76">
        <f t="shared" si="51"/>
        <v>14412673</v>
      </c>
      <c r="Q283" s="76">
        <f t="shared" si="51"/>
        <v>8122920</v>
      </c>
      <c r="R283" s="76">
        <f t="shared" si="51"/>
        <v>23043476</v>
      </c>
      <c r="S283" s="80">
        <f>M283/'[21]2014'!M283-1</f>
        <v>-0.14789016647393805</v>
      </c>
      <c r="T283" s="80">
        <f>N283/'[21]2014'!N283-1</f>
        <v>2.2074132668671531E-2</v>
      </c>
      <c r="U283" s="80">
        <f>O283/'[21]2014'!O283-1</f>
        <v>-6.4701673441441843E-2</v>
      </c>
      <c r="V283" s="81">
        <f>P283/'[21]2014'!P283-1</f>
        <v>-3.5318833646311609E-2</v>
      </c>
      <c r="W283" s="81">
        <f>Q283/'[21]2014'!Q283-1</f>
        <v>0.12593529405282555</v>
      </c>
      <c r="X283" s="81">
        <f>R283/'[21]2014'!R283-1</f>
        <v>1.4826173774086016E-2</v>
      </c>
      <c r="Y283" s="93"/>
      <c r="Z283" s="50"/>
      <c r="AA283" s="37"/>
      <c r="AB283" s="37"/>
    </row>
    <row r="284" spans="1:32" ht="15" customHeight="1" x14ac:dyDescent="0.15">
      <c r="A284" s="20">
        <v>42283</v>
      </c>
      <c r="B284" s="14" t="s">
        <v>35</v>
      </c>
      <c r="C284" s="15">
        <v>43500</v>
      </c>
      <c r="D284" s="16">
        <v>32210</v>
      </c>
      <c r="E284" s="16">
        <v>78238</v>
      </c>
      <c r="F284" s="17">
        <v>3956</v>
      </c>
      <c r="G284" s="18">
        <v>2656</v>
      </c>
      <c r="H284" s="19"/>
      <c r="I284" s="19"/>
      <c r="J284" s="32">
        <f t="shared" si="46"/>
        <v>46028</v>
      </c>
      <c r="K284" s="33">
        <f t="shared" si="49"/>
        <v>1745</v>
      </c>
      <c r="L284" s="33">
        <v>783</v>
      </c>
      <c r="M284" s="77">
        <f t="shared" si="50"/>
        <v>199719</v>
      </c>
      <c r="N284" s="78">
        <f t="shared" si="50"/>
        <v>169171</v>
      </c>
      <c r="O284" s="78">
        <f t="shared" si="50"/>
        <v>381501</v>
      </c>
      <c r="P284" s="77">
        <f t="shared" si="51"/>
        <v>14456173</v>
      </c>
      <c r="Q284" s="77">
        <f t="shared" si="51"/>
        <v>8155130</v>
      </c>
      <c r="R284" s="77">
        <f t="shared" si="51"/>
        <v>23121714</v>
      </c>
      <c r="S284" s="82">
        <f>M284/'[21]2014'!M284-1</f>
        <v>-0.14090856299762988</v>
      </c>
      <c r="T284" s="82">
        <f>N284/'[21]2014'!N284-1</f>
        <v>4.0981841229209115E-2</v>
      </c>
      <c r="U284" s="82">
        <f>O284/'[21]2014'!O284-1</f>
        <v>-5.5040349547460843E-2</v>
      </c>
      <c r="V284" s="82">
        <f>P284/'[21]2014'!P284-1</f>
        <v>-3.5579633377196496E-2</v>
      </c>
      <c r="W284" s="82">
        <f>Q284/'[21]2014'!Q284-1</f>
        <v>0.12595073495245357</v>
      </c>
      <c r="X284" s="82">
        <f>R284/'[21]2014'!R284-1</f>
        <v>1.4719952745923415E-2</v>
      </c>
      <c r="Y284" s="96"/>
      <c r="Z284" s="49"/>
      <c r="AA284" s="33"/>
      <c r="AB284" s="33"/>
    </row>
    <row r="285" spans="1:32" ht="15" customHeight="1" x14ac:dyDescent="0.15">
      <c r="A285" s="20">
        <v>42284</v>
      </c>
      <c r="B285" s="20" t="s">
        <v>36</v>
      </c>
      <c r="C285" s="66">
        <v>43700</v>
      </c>
      <c r="D285" s="67">
        <v>32900</v>
      </c>
      <c r="E285" s="67">
        <v>79019</v>
      </c>
      <c r="F285" s="68">
        <v>4050</v>
      </c>
      <c r="G285" s="69">
        <v>2676</v>
      </c>
      <c r="H285" s="24"/>
      <c r="I285" s="24"/>
      <c r="J285" s="70">
        <f t="shared" si="46"/>
        <v>46119</v>
      </c>
      <c r="K285" s="71">
        <f t="shared" si="49"/>
        <v>1636</v>
      </c>
      <c r="L285" s="71">
        <v>783</v>
      </c>
      <c r="M285" s="72">
        <f t="shared" si="50"/>
        <v>243419</v>
      </c>
      <c r="N285" s="73">
        <f t="shared" si="50"/>
        <v>202071</v>
      </c>
      <c r="O285" s="73">
        <f t="shared" si="50"/>
        <v>460520</v>
      </c>
      <c r="P285" s="72">
        <f t="shared" si="51"/>
        <v>14499873</v>
      </c>
      <c r="Q285" s="72">
        <f t="shared" si="51"/>
        <v>8188030</v>
      </c>
      <c r="R285" s="72">
        <f t="shared" si="51"/>
        <v>23200733</v>
      </c>
      <c r="S285" s="79">
        <f>M285/'[21]2014'!M285-1</f>
        <v>-0.14670662880779617</v>
      </c>
      <c r="T285" s="79">
        <f>N285/'[21]2014'!N285-1</f>
        <v>6.9215302396952172E-2</v>
      </c>
      <c r="U285" s="79">
        <f>O285/'[21]2014'!O285-1</f>
        <v>-4.9182290989199795E-2</v>
      </c>
      <c r="V285" s="79">
        <f>P285/'[21]2014'!P285-1</f>
        <v>-3.6059257556937285E-2</v>
      </c>
      <c r="W285" s="79">
        <f>Q285/'[21]2014'!Q285-1</f>
        <v>0.12637524954904911</v>
      </c>
      <c r="X285" s="79">
        <f>R285/'[21]2014'!R285-1</f>
        <v>1.4598086403480703E-2</v>
      </c>
      <c r="Y285" s="85"/>
      <c r="Z285" s="97"/>
      <c r="AA285" s="85"/>
      <c r="AB285" s="71"/>
    </row>
    <row r="286" spans="1:32" ht="15" customHeight="1" x14ac:dyDescent="0.15">
      <c r="A286" s="20">
        <v>42285</v>
      </c>
      <c r="B286" s="20" t="s">
        <v>37</v>
      </c>
      <c r="C286" s="21">
        <v>43081</v>
      </c>
      <c r="D286" s="7">
        <v>34389</v>
      </c>
      <c r="E286" s="7">
        <v>78872</v>
      </c>
      <c r="F286" s="22">
        <v>4073</v>
      </c>
      <c r="G286" s="23">
        <v>2651</v>
      </c>
      <c r="H286" s="24">
        <v>1631</v>
      </c>
      <c r="I286" s="36">
        <v>1159</v>
      </c>
      <c r="J286" s="8">
        <f t="shared" si="46"/>
        <v>44483</v>
      </c>
      <c r="K286" s="37">
        <f t="shared" si="49"/>
        <v>619</v>
      </c>
      <c r="L286" s="37">
        <v>783</v>
      </c>
      <c r="M286" s="74">
        <f t="shared" si="50"/>
        <v>286500</v>
      </c>
      <c r="N286" s="75">
        <f t="shared" si="50"/>
        <v>236460</v>
      </c>
      <c r="O286" s="75">
        <f t="shared" si="50"/>
        <v>539392</v>
      </c>
      <c r="P286" s="76">
        <f t="shared" si="51"/>
        <v>14542954</v>
      </c>
      <c r="Q286" s="76">
        <f t="shared" si="51"/>
        <v>8222419</v>
      </c>
      <c r="R286" s="76">
        <f t="shared" si="51"/>
        <v>23279605</v>
      </c>
      <c r="S286" s="80">
        <f>M286/'[21]2014'!M286-1</f>
        <v>-0.15464033118034637</v>
      </c>
      <c r="T286" s="80">
        <f>N286/'[21]2014'!N286-1</f>
        <v>9.0909090909090828E-2</v>
      </c>
      <c r="U286" s="80">
        <f>O286/'[21]2014'!O286-1</f>
        <v>-4.8890973499388979E-2</v>
      </c>
      <c r="V286" s="81">
        <f>P286/'[21]2014'!P286-1</f>
        <v>-3.6630525438152151E-2</v>
      </c>
      <c r="W286" s="81">
        <f>Q286/'[21]2014'!Q286-1</f>
        <v>0.12680215605387191</v>
      </c>
      <c r="X286" s="81">
        <f>R286/'[21]2014'!R286-1</f>
        <v>1.4375233777861096E-2</v>
      </c>
      <c r="Y286" s="93">
        <v>90.62</v>
      </c>
      <c r="Z286" s="50">
        <f>P286/10000-Y286</f>
        <v>1363.6754000000001</v>
      </c>
      <c r="AA286" s="37">
        <f>3890.092+12*(A286-"2015年6月30日")/(A286-"2015年1月1日"+1)+100*(A286-"2015年9月14日")/(A286-"2015年1月1日"+1)</f>
        <v>3902.9033879003559</v>
      </c>
      <c r="AB286" s="37">
        <f>(Z286-3.38)*10000/AA286</f>
        <v>3485.3422306510074</v>
      </c>
    </row>
    <row r="287" spans="1:32" ht="15" customHeight="1" x14ac:dyDescent="0.15">
      <c r="A287" s="20">
        <v>42286</v>
      </c>
      <c r="B287" s="20" t="s">
        <v>38</v>
      </c>
      <c r="C287" s="21">
        <v>42500</v>
      </c>
      <c r="D287" s="7">
        <v>35000</v>
      </c>
      <c r="E287" s="7">
        <v>79000</v>
      </c>
      <c r="F287" s="22">
        <v>4046</v>
      </c>
      <c r="G287" s="23">
        <v>2641</v>
      </c>
      <c r="H287" s="24">
        <v>1652</v>
      </c>
      <c r="I287" s="36">
        <v>1389</v>
      </c>
      <c r="J287" s="8">
        <f t="shared" si="46"/>
        <v>44000</v>
      </c>
      <c r="K287" s="37">
        <f t="shared" si="49"/>
        <v>717</v>
      </c>
      <c r="L287" s="37">
        <v>783</v>
      </c>
      <c r="M287" s="74">
        <f t="shared" si="50"/>
        <v>329000</v>
      </c>
      <c r="N287" s="75">
        <f t="shared" si="50"/>
        <v>271460</v>
      </c>
      <c r="O287" s="75">
        <f t="shared" si="50"/>
        <v>618392</v>
      </c>
      <c r="P287" s="76">
        <f t="shared" si="51"/>
        <v>14585454</v>
      </c>
      <c r="Q287" s="76">
        <f t="shared" si="51"/>
        <v>8257419</v>
      </c>
      <c r="R287" s="76">
        <f t="shared" si="51"/>
        <v>23358605</v>
      </c>
      <c r="S287" s="80">
        <f>M287/'[21]2014'!M287-1</f>
        <v>-0.16124492667903978</v>
      </c>
      <c r="T287" s="80">
        <f>N287/'[21]2014'!N287-1</f>
        <v>0.10369334352485815</v>
      </c>
      <c r="U287" s="80">
        <f>O287/'[21]2014'!O287-1</f>
        <v>-4.9873089427396655E-2</v>
      </c>
      <c r="V287" s="81">
        <f>P287/'[21]2014'!P287-1</f>
        <v>-3.7217033403091127E-2</v>
      </c>
      <c r="W287" s="81">
        <f>Q287/'[21]2014'!Q287-1</f>
        <v>0.12708828166795971</v>
      </c>
      <c r="X287" s="81">
        <f>R287/'[21]2014'!R287-1</f>
        <v>1.4117491823590012E-2</v>
      </c>
      <c r="Y287" s="93"/>
      <c r="Z287" s="50"/>
      <c r="AA287" s="37"/>
      <c r="AB287" s="37"/>
    </row>
    <row r="288" spans="1:32" ht="15" customHeight="1" x14ac:dyDescent="0.15">
      <c r="A288" s="20">
        <v>42287</v>
      </c>
      <c r="B288" s="20" t="s">
        <v>39</v>
      </c>
      <c r="C288" s="21">
        <v>40059</v>
      </c>
      <c r="D288" s="7">
        <f>27045+9972</f>
        <v>37017</v>
      </c>
      <c r="E288" s="7">
        <v>78340</v>
      </c>
      <c r="F288" s="22">
        <v>3994</v>
      </c>
      <c r="G288" s="23">
        <v>2692</v>
      </c>
      <c r="H288" s="24"/>
      <c r="I288" s="36"/>
      <c r="J288" s="8">
        <f t="shared" si="46"/>
        <v>41323</v>
      </c>
      <c r="K288" s="37">
        <f t="shared" si="49"/>
        <v>481</v>
      </c>
      <c r="L288" s="37">
        <v>783</v>
      </c>
      <c r="M288" s="74">
        <f t="shared" si="50"/>
        <v>369059</v>
      </c>
      <c r="N288" s="75">
        <f t="shared" si="50"/>
        <v>308477</v>
      </c>
      <c r="O288" s="75">
        <f t="shared" si="50"/>
        <v>696732</v>
      </c>
      <c r="P288" s="76">
        <f t="shared" si="51"/>
        <v>14625513</v>
      </c>
      <c r="Q288" s="76">
        <f t="shared" si="51"/>
        <v>8294436</v>
      </c>
      <c r="R288" s="76">
        <f t="shared" si="51"/>
        <v>23436945</v>
      </c>
      <c r="S288" s="80">
        <f>M288/'[21]2014'!M288-1</f>
        <v>-0.17054955230321123</v>
      </c>
      <c r="T288" s="80">
        <f>N288/'[21]2014'!N288-1</f>
        <v>0.11536681491123413</v>
      </c>
      <c r="U288" s="80">
        <f>O288/'[21]2014'!O288-1</f>
        <v>-5.2399222586870797E-2</v>
      </c>
      <c r="V288" s="81">
        <f>P288/'[21]2014'!P288-1</f>
        <v>-3.7919298816447622E-2</v>
      </c>
      <c r="W288" s="81">
        <f>Q288/'[21]2014'!Q288-1</f>
        <v>0.12742977126707178</v>
      </c>
      <c r="X288" s="81">
        <f>R288/'[21]2014'!R288-1</f>
        <v>1.3803508516970542E-2</v>
      </c>
      <c r="Y288" s="93">
        <v>91.62</v>
      </c>
      <c r="Z288" s="50">
        <f>P288/10000-Y288</f>
        <v>1370.9313000000002</v>
      </c>
      <c r="AA288" s="37">
        <f>3890.092+12*(A288-"2015年6月30日")/(A288-"2015年1月1日"+1)+100*(A288-"2015年9月14日")/(A288-"2015年1月1日"+1)</f>
        <v>3903.6043674911662</v>
      </c>
      <c r="AB288" s="37">
        <f>(Z288-3.38)*10000/AA288</f>
        <v>3503.3040525029455</v>
      </c>
    </row>
    <row r="289" spans="1:32" ht="15" customHeight="1" x14ac:dyDescent="0.15">
      <c r="A289" s="20">
        <v>42288</v>
      </c>
      <c r="B289" s="20" t="s">
        <v>1</v>
      </c>
      <c r="C289" s="21">
        <v>36937</v>
      </c>
      <c r="D289" s="7">
        <f>25601+9949</f>
        <v>35550</v>
      </c>
      <c r="E289" s="7">
        <v>74020</v>
      </c>
      <c r="F289" s="22">
        <v>3676</v>
      </c>
      <c r="G289" s="23">
        <v>2639</v>
      </c>
      <c r="H289" s="24"/>
      <c r="I289" s="36"/>
      <c r="J289" s="8">
        <f t="shared" si="46"/>
        <v>38470</v>
      </c>
      <c r="K289" s="37">
        <f t="shared" si="49"/>
        <v>750</v>
      </c>
      <c r="L289" s="37">
        <v>783</v>
      </c>
      <c r="M289" s="74">
        <f t="shared" si="50"/>
        <v>405996</v>
      </c>
      <c r="N289" s="75">
        <f t="shared" si="50"/>
        <v>344027</v>
      </c>
      <c r="O289" s="75">
        <f t="shared" si="50"/>
        <v>770752</v>
      </c>
      <c r="P289" s="76">
        <f t="shared" si="51"/>
        <v>14662450</v>
      </c>
      <c r="Q289" s="76">
        <f t="shared" si="51"/>
        <v>8329986</v>
      </c>
      <c r="R289" s="76">
        <f t="shared" si="51"/>
        <v>23510965</v>
      </c>
      <c r="S289" s="80">
        <f>M289/'[21]2014'!M289-1</f>
        <v>-0.18715613963433675</v>
      </c>
      <c r="T289" s="80">
        <f>N289/'[21]2014'!N289-1</f>
        <v>0.12721083085956186</v>
      </c>
      <c r="U289" s="80">
        <f>O289/'[21]2014'!O289-1</f>
        <v>-5.9565381846578114E-2</v>
      </c>
      <c r="V289" s="81">
        <f>P289/'[21]2014'!P289-1</f>
        <v>-3.8937041564564123E-2</v>
      </c>
      <c r="W289" s="81">
        <f>Q289/'[21]2014'!Q289-1</f>
        <v>0.12787244919132568</v>
      </c>
      <c r="X289" s="81">
        <f>R289/'[21]2014'!R289-1</f>
        <v>1.3309813396752634E-2</v>
      </c>
      <c r="Y289" s="93">
        <v>91.921000000000006</v>
      </c>
      <c r="Z289" s="50">
        <f>P289/10000-Y289</f>
        <v>1374.3239999999998</v>
      </c>
      <c r="AA289" s="37">
        <f>3890.092+12*(A289-"2015年6月30日")/(A289-"2015年1月1日"+1)+100*(A289-"2015年9月14日")/(A289-"2015年1月1日"+1)</f>
        <v>3903.9511549295776</v>
      </c>
      <c r="AB289" s="37">
        <f>(Z289-3.38)*10000/AA289</f>
        <v>3511.6832808445574</v>
      </c>
    </row>
    <row r="290" spans="1:32" ht="15" customHeight="1" x14ac:dyDescent="0.15">
      <c r="A290" s="20">
        <v>42289</v>
      </c>
      <c r="B290" s="20" t="s">
        <v>34</v>
      </c>
      <c r="C290" s="21">
        <v>41611</v>
      </c>
      <c r="D290" s="7">
        <f>26319+9251</f>
        <v>35570</v>
      </c>
      <c r="E290" s="7">
        <v>79080</v>
      </c>
      <c r="F290" s="22">
        <v>4050</v>
      </c>
      <c r="G290" s="23">
        <v>2620</v>
      </c>
      <c r="H290" s="24">
        <v>1687</v>
      </c>
      <c r="I290" s="36">
        <v>1235</v>
      </c>
      <c r="J290" s="8">
        <f t="shared" si="46"/>
        <v>43510</v>
      </c>
      <c r="K290" s="37">
        <f t="shared" si="49"/>
        <v>1112</v>
      </c>
      <c r="L290" s="37">
        <v>787</v>
      </c>
      <c r="M290" s="74">
        <f t="shared" si="50"/>
        <v>447607</v>
      </c>
      <c r="N290" s="75">
        <f t="shared" si="50"/>
        <v>379597</v>
      </c>
      <c r="O290" s="75">
        <f t="shared" si="50"/>
        <v>849832</v>
      </c>
      <c r="P290" s="76">
        <f t="shared" si="51"/>
        <v>14704061</v>
      </c>
      <c r="Q290" s="76">
        <f t="shared" si="51"/>
        <v>8365556</v>
      </c>
      <c r="R290" s="76">
        <f t="shared" si="51"/>
        <v>23590045</v>
      </c>
      <c r="S290" s="80">
        <f>M290/'[21]2014'!M290-1</f>
        <v>-0.18477579863767168</v>
      </c>
      <c r="T290" s="80">
        <f>N290/'[21]2014'!N290-1</f>
        <v>0.13509060462890976</v>
      </c>
      <c r="U290" s="80">
        <f>O290/'[21]2014'!O290-1</f>
        <v>-5.5227846271859171E-2</v>
      </c>
      <c r="V290" s="81">
        <f>P290/'[21]2014'!P290-1</f>
        <v>-3.9331809332519341E-2</v>
      </c>
      <c r="W290" s="81">
        <f>Q290/'[21]2014'!Q290-1</f>
        <v>0.12822523354497117</v>
      </c>
      <c r="X290" s="81">
        <f>R290/'[21]2014'!R290-1</f>
        <v>1.3227175343730302E-2</v>
      </c>
      <c r="Y290" s="93"/>
      <c r="Z290" s="50"/>
      <c r="AA290" s="37"/>
      <c r="AB290" s="37"/>
    </row>
    <row r="291" spans="1:32" ht="15" customHeight="1" x14ac:dyDescent="0.15">
      <c r="A291" s="20">
        <v>42290</v>
      </c>
      <c r="B291" s="14" t="s">
        <v>35</v>
      </c>
      <c r="C291" s="15">
        <v>41490</v>
      </c>
      <c r="D291" s="16">
        <v>37626</v>
      </c>
      <c r="E291" s="16">
        <v>81273</v>
      </c>
      <c r="F291" s="17">
        <v>4093</v>
      </c>
      <c r="G291" s="18">
        <v>2761</v>
      </c>
      <c r="H291" s="19">
        <v>1723</v>
      </c>
      <c r="I291" s="19">
        <v>1378</v>
      </c>
      <c r="J291" s="32">
        <f t="shared" si="46"/>
        <v>43647</v>
      </c>
      <c r="K291" s="33">
        <f t="shared" si="49"/>
        <v>1370</v>
      </c>
      <c r="L291" s="33">
        <v>787</v>
      </c>
      <c r="M291" s="77">
        <f t="shared" si="50"/>
        <v>489097</v>
      </c>
      <c r="N291" s="78">
        <f t="shared" si="50"/>
        <v>417223</v>
      </c>
      <c r="O291" s="78">
        <f t="shared" si="50"/>
        <v>931105</v>
      </c>
      <c r="P291" s="77">
        <f t="shared" si="51"/>
        <v>14745551</v>
      </c>
      <c r="Q291" s="77">
        <f t="shared" si="51"/>
        <v>8403182</v>
      </c>
      <c r="R291" s="77">
        <f t="shared" si="51"/>
        <v>23671318</v>
      </c>
      <c r="S291" s="82">
        <f>M291/'[21]2014'!M291-1</f>
        <v>-0.18792556962613793</v>
      </c>
      <c r="T291" s="82">
        <f>N291/'[21]2014'!N291-1</f>
        <v>0.14999558990529316</v>
      </c>
      <c r="U291" s="82">
        <f>O291/'[21]2014'!O291-1</f>
        <v>-5.2113619519981724E-2</v>
      </c>
      <c r="V291" s="82">
        <f>P291/'[21]2014'!P291-1</f>
        <v>-3.995929386794761E-2</v>
      </c>
      <c r="W291" s="82">
        <f>Q291/'[21]2014'!Q291-1</f>
        <v>0.1289779303231624</v>
      </c>
      <c r="X291" s="82">
        <f>R291/'[21]2014'!R291-1</f>
        <v>1.3115553733593632E-2</v>
      </c>
      <c r="Y291" s="96"/>
      <c r="Z291" s="49"/>
      <c r="AA291" s="33"/>
      <c r="AB291" s="33"/>
    </row>
    <row r="292" spans="1:32" ht="15" customHeight="1" x14ac:dyDescent="0.15">
      <c r="A292" s="20">
        <v>42291</v>
      </c>
      <c r="B292" s="20" t="s">
        <v>36</v>
      </c>
      <c r="C292" s="66">
        <v>42909</v>
      </c>
      <c r="D292" s="67">
        <v>38110</v>
      </c>
      <c r="E292" s="67">
        <v>82633</v>
      </c>
      <c r="F292" s="68">
        <v>4193</v>
      </c>
      <c r="G292" s="69">
        <v>2816</v>
      </c>
      <c r="H292" s="24"/>
      <c r="I292" s="24"/>
      <c r="J292" s="70">
        <f t="shared" si="46"/>
        <v>44523</v>
      </c>
      <c r="K292" s="71">
        <f t="shared" si="49"/>
        <v>827</v>
      </c>
      <c r="L292" s="71">
        <v>787</v>
      </c>
      <c r="M292" s="72">
        <f t="shared" si="50"/>
        <v>532006</v>
      </c>
      <c r="N292" s="73">
        <f t="shared" si="50"/>
        <v>455333</v>
      </c>
      <c r="O292" s="73">
        <f t="shared" si="50"/>
        <v>1013738</v>
      </c>
      <c r="P292" s="72">
        <f t="shared" si="51"/>
        <v>14788460</v>
      </c>
      <c r="Q292" s="72">
        <f t="shared" si="51"/>
        <v>8441292</v>
      </c>
      <c r="R292" s="72">
        <f t="shared" si="51"/>
        <v>23753951</v>
      </c>
      <c r="S292" s="79">
        <f>M292/'[21]2014'!M292-1</f>
        <v>-0.19583592819439999</v>
      </c>
      <c r="T292" s="79">
        <f>N292/'[21]2014'!N292-1</f>
        <v>0.17902965615637778</v>
      </c>
      <c r="U292" s="79">
        <f>O292/'[21]2014'!O292-1</f>
        <v>-4.9286686948790792E-2</v>
      </c>
      <c r="V292" s="79">
        <f>P292/'[21]2014'!P292-1</f>
        <v>-4.0867619573355163E-2</v>
      </c>
      <c r="W292" s="79">
        <f>Q292/'[21]2014'!Q292-1</f>
        <v>0.13054549645348978</v>
      </c>
      <c r="X292" s="79">
        <f>R292/'[21]2014'!R292-1</f>
        <v>1.301044615379654E-2</v>
      </c>
      <c r="Y292" s="85"/>
      <c r="Z292" s="97"/>
      <c r="AA292" s="85"/>
      <c r="AB292" s="71"/>
    </row>
    <row r="293" spans="1:32" ht="15" customHeight="1" x14ac:dyDescent="0.15">
      <c r="A293" s="20">
        <v>42292</v>
      </c>
      <c r="B293" s="20" t="s">
        <v>37</v>
      </c>
      <c r="C293" s="21">
        <v>44638</v>
      </c>
      <c r="D293" s="7">
        <v>37048</v>
      </c>
      <c r="E293" s="7">
        <v>83063</v>
      </c>
      <c r="F293" s="22">
        <v>4175</v>
      </c>
      <c r="G293" s="23">
        <v>2831</v>
      </c>
      <c r="H293" s="24"/>
      <c r="I293" s="36"/>
      <c r="J293" s="8">
        <f t="shared" si="46"/>
        <v>46015</v>
      </c>
      <c r="K293" s="37">
        <f t="shared" si="49"/>
        <v>590</v>
      </c>
      <c r="L293" s="37">
        <v>787</v>
      </c>
      <c r="M293" s="74">
        <f t="shared" si="50"/>
        <v>576644</v>
      </c>
      <c r="N293" s="75">
        <f t="shared" si="50"/>
        <v>492381</v>
      </c>
      <c r="O293" s="75">
        <f t="shared" si="50"/>
        <v>1096801</v>
      </c>
      <c r="P293" s="76">
        <f t="shared" si="51"/>
        <v>14833098</v>
      </c>
      <c r="Q293" s="76">
        <f t="shared" si="51"/>
        <v>8478340</v>
      </c>
      <c r="R293" s="76">
        <f t="shared" si="51"/>
        <v>23837014</v>
      </c>
      <c r="S293" s="80">
        <f>M293/'[21]2014'!M293-1</f>
        <v>-0.20135507210246695</v>
      </c>
      <c r="T293" s="80">
        <f>N293/'[21]2014'!N293-1</f>
        <v>0.20250131879725686</v>
      </c>
      <c r="U293" s="80">
        <f>O293/'[21]2014'!O293-1</f>
        <v>-4.711842201286498E-2</v>
      </c>
      <c r="V293" s="81">
        <f>P293/'[21]2014'!P293-1</f>
        <v>-4.1730397639933359E-2</v>
      </c>
      <c r="W293" s="81">
        <f>Q293/'[21]2014'!Q293-1</f>
        <v>0.13197931623741055</v>
      </c>
      <c r="X293" s="81">
        <f>R293/'[21]2014'!R293-1</f>
        <v>1.2892166098616098E-2</v>
      </c>
      <c r="Y293" s="93">
        <v>93.12</v>
      </c>
      <c r="Z293" s="50">
        <f>P293/10000-Y293</f>
        <v>1390.1898000000001</v>
      </c>
      <c r="AA293" s="37">
        <f>3890.092+12*(A293-"2015年6月30日")/(A293-"2015年1月1日"+1)+100*(A293-"2015年9月14日")/(A293-"2015年1月1日"+1)</f>
        <v>3905.3142222222223</v>
      </c>
      <c r="AB293" s="37">
        <f>(Z293-3.38)*10000/AA293</f>
        <v>3551.0837824744108</v>
      </c>
    </row>
    <row r="294" spans="1:32" ht="15" customHeight="1" x14ac:dyDescent="0.15">
      <c r="A294" s="20">
        <v>42293</v>
      </c>
      <c r="B294" s="20" t="s">
        <v>38</v>
      </c>
      <c r="C294" s="21">
        <v>44593</v>
      </c>
      <c r="D294" s="7">
        <v>36967</v>
      </c>
      <c r="E294" s="7">
        <v>83309</v>
      </c>
      <c r="F294" s="22">
        <v>4171</v>
      </c>
      <c r="G294" s="23">
        <v>2845</v>
      </c>
      <c r="H294" s="24"/>
      <c r="I294" s="36"/>
      <c r="J294" s="8">
        <f t="shared" si="46"/>
        <v>46342</v>
      </c>
      <c r="K294" s="37">
        <f t="shared" si="49"/>
        <v>957</v>
      </c>
      <c r="L294" s="37">
        <v>792</v>
      </c>
      <c r="M294" s="74">
        <f t="shared" si="50"/>
        <v>621237</v>
      </c>
      <c r="N294" s="75">
        <f t="shared" si="50"/>
        <v>529348</v>
      </c>
      <c r="O294" s="75">
        <f t="shared" si="50"/>
        <v>1180110</v>
      </c>
      <c r="P294" s="76">
        <f t="shared" si="51"/>
        <v>14877691</v>
      </c>
      <c r="Q294" s="76">
        <f t="shared" si="51"/>
        <v>8515307</v>
      </c>
      <c r="R294" s="76">
        <f t="shared" si="51"/>
        <v>23920323</v>
      </c>
      <c r="S294" s="80">
        <f>M294/'[21]2014'!M294-1</f>
        <v>-0.20627962539447287</v>
      </c>
      <c r="T294" s="80">
        <f>N294/'[21]2014'!N294-1</f>
        <v>0.22339139659200957</v>
      </c>
      <c r="U294" s="80">
        <f>O294/'[21]2014'!O294-1</f>
        <v>-4.5090970882035175E-2</v>
      </c>
      <c r="V294" s="81">
        <f>P294/'[21]2014'!P294-1</f>
        <v>-4.2601556336067437E-2</v>
      </c>
      <c r="W294" s="81">
        <f>Q294/'[21]2014'!Q294-1</f>
        <v>0.13340041206903464</v>
      </c>
      <c r="X294" s="81">
        <f>R294/'[21]2014'!R294-1</f>
        <v>1.2782791996590159E-2</v>
      </c>
      <c r="Y294" s="93"/>
      <c r="Z294" s="50"/>
      <c r="AA294" s="37"/>
      <c r="AB294" s="37"/>
    </row>
    <row r="295" spans="1:32" ht="15" customHeight="1" x14ac:dyDescent="0.15">
      <c r="A295" s="20">
        <v>42294</v>
      </c>
      <c r="B295" s="20" t="s">
        <v>39</v>
      </c>
      <c r="C295" s="21">
        <v>43647</v>
      </c>
      <c r="D295" s="7">
        <v>37068</v>
      </c>
      <c r="E295" s="7">
        <v>82340</v>
      </c>
      <c r="F295" s="22">
        <v>4139</v>
      </c>
      <c r="G295" s="23">
        <v>2841</v>
      </c>
      <c r="H295" s="24"/>
      <c r="I295" s="36"/>
      <c r="J295" s="8">
        <f t="shared" si="46"/>
        <v>45272</v>
      </c>
      <c r="K295" s="37">
        <f t="shared" si="49"/>
        <v>833</v>
      </c>
      <c r="L295" s="37">
        <v>792</v>
      </c>
      <c r="M295" s="74">
        <f t="shared" si="50"/>
        <v>664884</v>
      </c>
      <c r="N295" s="75">
        <f t="shared" si="50"/>
        <v>566416</v>
      </c>
      <c r="O295" s="75">
        <f t="shared" si="50"/>
        <v>1262450</v>
      </c>
      <c r="P295" s="76">
        <f t="shared" si="51"/>
        <v>14921338</v>
      </c>
      <c r="Q295" s="76">
        <f t="shared" si="51"/>
        <v>8552375</v>
      </c>
      <c r="R295" s="76">
        <f t="shared" si="51"/>
        <v>24002663</v>
      </c>
      <c r="S295" s="80">
        <f>M295/'[21]2014'!M295-1</f>
        <v>-0.21162492885600459</v>
      </c>
      <c r="T295" s="80">
        <f>N295/'[21]2014'!N295-1</f>
        <v>0.24217031551199697</v>
      </c>
      <c r="U295" s="80">
        <f>O295/'[21]2014'!O295-1</f>
        <v>-4.4203098797351625E-2</v>
      </c>
      <c r="V295" s="81">
        <f>P295/'[21]2014'!P295-1</f>
        <v>-4.3527070114612654E-2</v>
      </c>
      <c r="W295" s="81">
        <f>Q295/'[21]2014'!Q295-1</f>
        <v>0.13481485727562292</v>
      </c>
      <c r="X295" s="81">
        <f>R295/'[21]2014'!R295-1</f>
        <v>1.2624733019837464E-2</v>
      </c>
      <c r="Y295" s="93"/>
      <c r="Z295" s="50"/>
      <c r="AA295" s="37"/>
      <c r="AB295" s="37"/>
    </row>
    <row r="296" spans="1:32" ht="15" customHeight="1" x14ac:dyDescent="0.15">
      <c r="A296" s="20">
        <v>42295</v>
      </c>
      <c r="B296" s="20" t="s">
        <v>1</v>
      </c>
      <c r="C296" s="21">
        <v>38953</v>
      </c>
      <c r="D296" s="7">
        <v>36943</v>
      </c>
      <c r="E296" s="7">
        <v>77453</v>
      </c>
      <c r="F296" s="22">
        <v>3782</v>
      </c>
      <c r="G296" s="23">
        <v>2780</v>
      </c>
      <c r="H296" s="24"/>
      <c r="I296" s="36"/>
      <c r="J296" s="8">
        <f t="shared" si="46"/>
        <v>40510</v>
      </c>
      <c r="K296" s="37">
        <f t="shared" si="49"/>
        <v>765</v>
      </c>
      <c r="L296" s="37">
        <v>792</v>
      </c>
      <c r="M296" s="74">
        <f t="shared" ref="M296:O309" si="52">C296+M295</f>
        <v>703837</v>
      </c>
      <c r="N296" s="75">
        <f t="shared" si="52"/>
        <v>603359</v>
      </c>
      <c r="O296" s="75">
        <f t="shared" si="52"/>
        <v>1339903</v>
      </c>
      <c r="P296" s="76">
        <f t="shared" si="51"/>
        <v>14960291</v>
      </c>
      <c r="Q296" s="76">
        <f t="shared" si="51"/>
        <v>8589318</v>
      </c>
      <c r="R296" s="76">
        <f t="shared" si="51"/>
        <v>24080116</v>
      </c>
      <c r="S296" s="80">
        <f>M296/'[21]2014'!M296-1</f>
        <v>-0.22050523844330738</v>
      </c>
      <c r="T296" s="80">
        <f>N296/'[21]2014'!N296-1</f>
        <v>0.25965105670485134</v>
      </c>
      <c r="U296" s="80">
        <f>O296/'[21]2014'!O296-1</f>
        <v>-4.6559717078134444E-2</v>
      </c>
      <c r="V296" s="81">
        <f>P296/'[21]2014'!P296-1</f>
        <v>-4.4678647830921903E-2</v>
      </c>
      <c r="W296" s="81">
        <f>Q296/'[21]2014'!Q296-1</f>
        <v>0.13624913956026585</v>
      </c>
      <c r="X296" s="81">
        <f>R296/'[21]2014'!R296-1</f>
        <v>1.2283644262232718E-2</v>
      </c>
      <c r="Y296" s="93"/>
      <c r="Z296" s="50"/>
      <c r="AA296" s="37"/>
      <c r="AB296" s="37"/>
    </row>
    <row r="297" spans="1:32" ht="15" customHeight="1" x14ac:dyDescent="0.15">
      <c r="A297" s="20">
        <v>42296</v>
      </c>
      <c r="B297" s="20" t="s">
        <v>34</v>
      </c>
      <c r="C297" s="21">
        <v>44848</v>
      </c>
      <c r="D297" s="7">
        <v>36016</v>
      </c>
      <c r="E297" s="7">
        <v>82310</v>
      </c>
      <c r="F297" s="22">
        <v>4216</v>
      </c>
      <c r="G297" s="23">
        <v>2675</v>
      </c>
      <c r="H297" s="24"/>
      <c r="I297" s="36"/>
      <c r="J297" s="8">
        <f t="shared" si="46"/>
        <v>46294</v>
      </c>
      <c r="K297" s="37">
        <f t="shared" si="49"/>
        <v>654</v>
      </c>
      <c r="L297" s="37">
        <v>792</v>
      </c>
      <c r="M297" s="74">
        <f t="shared" si="52"/>
        <v>748685</v>
      </c>
      <c r="N297" s="75">
        <f t="shared" si="52"/>
        <v>639375</v>
      </c>
      <c r="O297" s="75">
        <f t="shared" si="52"/>
        <v>1422213</v>
      </c>
      <c r="P297" s="76">
        <f t="shared" si="51"/>
        <v>15005139</v>
      </c>
      <c r="Q297" s="76">
        <f t="shared" si="51"/>
        <v>8625334</v>
      </c>
      <c r="R297" s="76">
        <f t="shared" si="51"/>
        <v>24162426</v>
      </c>
      <c r="S297" s="80">
        <f>M297/'[21]2014'!M297-1</f>
        <v>-0.22146276839119183</v>
      </c>
      <c r="T297" s="80">
        <f>N297/'[21]2014'!N297-1</f>
        <v>0.27371881069774395</v>
      </c>
      <c r="U297" s="80">
        <f>O297/'[21]2014'!O297-1</f>
        <v>-4.4230320780038523E-2</v>
      </c>
      <c r="V297" s="81">
        <f>P297/'[21]2014'!P297-1</f>
        <v>-4.5394016662357206E-2</v>
      </c>
      <c r="W297" s="81">
        <f>Q297/'[21]2014'!Q297-1</f>
        <v>0.13755456341192485</v>
      </c>
      <c r="X297" s="81">
        <f>R297/'[21]2014'!R297-1</f>
        <v>1.2225003791304756E-2</v>
      </c>
      <c r="Y297" s="93"/>
      <c r="Z297" s="50"/>
      <c r="AA297" s="37"/>
      <c r="AB297" s="37"/>
    </row>
    <row r="298" spans="1:32" ht="15" customHeight="1" x14ac:dyDescent="0.15">
      <c r="A298" s="20">
        <v>42297</v>
      </c>
      <c r="B298" s="14" t="s">
        <v>35</v>
      </c>
      <c r="C298" s="15">
        <v>51322</v>
      </c>
      <c r="D298" s="16">
        <v>32081</v>
      </c>
      <c r="E298" s="16">
        <v>84700</v>
      </c>
      <c r="F298" s="17">
        <v>4266</v>
      </c>
      <c r="G298" s="18">
        <v>2859</v>
      </c>
      <c r="H298" s="19"/>
      <c r="I298" s="19"/>
      <c r="J298" s="32">
        <f t="shared" si="46"/>
        <v>52619</v>
      </c>
      <c r="K298" s="33">
        <f t="shared" si="49"/>
        <v>505</v>
      </c>
      <c r="L298" s="33">
        <v>792</v>
      </c>
      <c r="M298" s="77">
        <f t="shared" si="52"/>
        <v>800007</v>
      </c>
      <c r="N298" s="78">
        <f t="shared" si="52"/>
        <v>671456</v>
      </c>
      <c r="O298" s="78">
        <f t="shared" si="52"/>
        <v>1506913</v>
      </c>
      <c r="P298" s="77">
        <f t="shared" si="51"/>
        <v>15056461</v>
      </c>
      <c r="Q298" s="77">
        <f t="shared" si="51"/>
        <v>8657415</v>
      </c>
      <c r="R298" s="77">
        <f t="shared" si="51"/>
        <v>24247126</v>
      </c>
      <c r="S298" s="82">
        <f>M298/'[21]2014'!M298-1</f>
        <v>-0.21788696414727449</v>
      </c>
      <c r="T298" s="82">
        <f>N298/'[21]2014'!N298-1</f>
        <v>0.27722192210242791</v>
      </c>
      <c r="U298" s="82">
        <f>O298/'[21]2014'!O298-1</f>
        <v>-4.2829956896277888E-2</v>
      </c>
      <c r="V298" s="82">
        <f>P298/'[21]2014'!P298-1</f>
        <v>-4.5845340439002569E-2</v>
      </c>
      <c r="W298" s="82">
        <f>Q298/'[21]2014'!Q298-1</f>
        <v>0.1382217022586576</v>
      </c>
      <c r="X298" s="82">
        <f>R298/'[21]2014'!R298-1</f>
        <v>1.2113629847119389E-2</v>
      </c>
      <c r="Y298" s="96">
        <v>95.325900000000004</v>
      </c>
      <c r="Z298" s="49">
        <f>P298/10000-Y298</f>
        <v>1410.3201999999999</v>
      </c>
      <c r="AA298" s="33">
        <f>3890.092+12*(A298-"2015年6月30日")/(A298-"2015年1月1日"+1)+100*(A298-"2015年9月14日")/(A298-"2015年1月1日"+1)</f>
        <v>3906.9657201365185</v>
      </c>
      <c r="AB298" s="33">
        <f>(Z298-3.38)*10000/AA298</f>
        <v>3601.1071014742306</v>
      </c>
      <c r="AC298" s="63">
        <v>33.231999999999999</v>
      </c>
      <c r="AD298" s="2">
        <v>20.092600000000001</v>
      </c>
      <c r="AF298" s="2">
        <v>1558.9711</v>
      </c>
    </row>
    <row r="299" spans="1:32" ht="15" customHeight="1" x14ac:dyDescent="0.15">
      <c r="A299" s="20">
        <v>42298</v>
      </c>
      <c r="B299" s="20" t="s">
        <v>36</v>
      </c>
      <c r="C299" s="66">
        <v>51716</v>
      </c>
      <c r="D299" s="67">
        <v>32019</v>
      </c>
      <c r="E299" s="67">
        <v>85264</v>
      </c>
      <c r="F299" s="68">
        <v>4286</v>
      </c>
      <c r="G299" s="69">
        <v>2889</v>
      </c>
      <c r="H299" s="24"/>
      <c r="I299" s="24"/>
      <c r="J299" s="70">
        <f t="shared" si="46"/>
        <v>53245</v>
      </c>
      <c r="K299" s="71">
        <f t="shared" si="49"/>
        <v>740</v>
      </c>
      <c r="L299" s="71">
        <v>789</v>
      </c>
      <c r="M299" s="72">
        <f t="shared" si="52"/>
        <v>851723</v>
      </c>
      <c r="N299" s="73">
        <f t="shared" si="52"/>
        <v>703475</v>
      </c>
      <c r="O299" s="73">
        <f t="shared" si="52"/>
        <v>1592177</v>
      </c>
      <c r="P299" s="72">
        <f t="shared" si="51"/>
        <v>15108177</v>
      </c>
      <c r="Q299" s="72">
        <f t="shared" si="51"/>
        <v>8689434</v>
      </c>
      <c r="R299" s="72">
        <f t="shared" si="51"/>
        <v>24332390</v>
      </c>
      <c r="S299" s="79">
        <f>M299/'[21]2014'!M299-1</f>
        <v>-0.21558382950898181</v>
      </c>
      <c r="T299" s="79">
        <f>N299/'[21]2014'!N299-1</f>
        <v>0.27962477558021726</v>
      </c>
      <c r="U299" s="79">
        <f>O299/'[21]2014'!O299-1</f>
        <v>-4.2184899124767417E-2</v>
      </c>
      <c r="V299" s="79">
        <f>P299/'[21]2014'!P299-1</f>
        <v>-4.6370823605476064E-2</v>
      </c>
      <c r="W299" s="79">
        <f>Q299/'[21]2014'!Q299-1</f>
        <v>0.13883268075542943</v>
      </c>
      <c r="X299" s="79">
        <f>R299/'[21]2014'!R299-1</f>
        <v>1.1957234688983798E-2</v>
      </c>
      <c r="Y299" s="85"/>
      <c r="Z299" s="97"/>
      <c r="AA299" s="85"/>
      <c r="AB299" s="71"/>
    </row>
    <row r="300" spans="1:32" ht="15" customHeight="1" x14ac:dyDescent="0.15">
      <c r="A300" s="20">
        <v>42299</v>
      </c>
      <c r="B300" s="20" t="s">
        <v>37</v>
      </c>
      <c r="C300" s="21">
        <v>51058</v>
      </c>
      <c r="D300" s="7">
        <v>32688</v>
      </c>
      <c r="E300" s="7">
        <v>85703</v>
      </c>
      <c r="F300" s="22">
        <v>4324</v>
      </c>
      <c r="G300" s="23">
        <v>2886</v>
      </c>
      <c r="H300" s="24"/>
      <c r="I300" s="36"/>
      <c r="J300" s="8">
        <f t="shared" si="46"/>
        <v>53015</v>
      </c>
      <c r="K300" s="37">
        <f t="shared" si="49"/>
        <v>1166</v>
      </c>
      <c r="L300" s="37">
        <v>791</v>
      </c>
      <c r="M300" s="74">
        <f t="shared" si="52"/>
        <v>902781</v>
      </c>
      <c r="N300" s="75">
        <f t="shared" si="52"/>
        <v>736163</v>
      </c>
      <c r="O300" s="75">
        <f t="shared" si="52"/>
        <v>1677880</v>
      </c>
      <c r="P300" s="76">
        <f t="shared" si="51"/>
        <v>15159235</v>
      </c>
      <c r="Q300" s="76">
        <f t="shared" si="51"/>
        <v>8722122</v>
      </c>
      <c r="R300" s="76">
        <f t="shared" si="51"/>
        <v>24418093</v>
      </c>
      <c r="S300" s="80">
        <f>M300/'[21]2014'!M300-1</f>
        <v>-0.21291361484091853</v>
      </c>
      <c r="T300" s="80">
        <f>N300/'[21]2014'!N300-1</f>
        <v>0.28362760722717617</v>
      </c>
      <c r="U300" s="80">
        <f>O300/'[21]2014'!O300-1</f>
        <v>-4.0237955640721301E-2</v>
      </c>
      <c r="V300" s="81">
        <f>P300/'[21]2014'!P300-1</f>
        <v>-4.6829246094259092E-2</v>
      </c>
      <c r="W300" s="81">
        <f>Q300/'[21]2014'!Q300-1</f>
        <v>0.13956950822749969</v>
      </c>
      <c r="X300" s="81">
        <f>R300/'[21]2014'!R300-1</f>
        <v>1.1905499427805388E-2</v>
      </c>
      <c r="Y300" s="93">
        <v>96.03</v>
      </c>
      <c r="Z300" s="50">
        <f>P300/10000-Y300</f>
        <v>1419.8935000000001</v>
      </c>
      <c r="AA300" s="37">
        <f>3890.092+12*(A300-"2015年6月30日")/(A300-"2015年1月1日"+1)+100*(A300-"2015年9月14日")/(A300-"2015年1月1日"+1)</f>
        <v>3907.6106440677968</v>
      </c>
      <c r="AB300" s="37">
        <f>(Z300-3.38-0.6)*10000/AA300</f>
        <v>3623.4764130083431</v>
      </c>
    </row>
    <row r="301" spans="1:32" ht="15" customHeight="1" x14ac:dyDescent="0.15">
      <c r="A301" s="20">
        <v>42300</v>
      </c>
      <c r="B301" s="20" t="s">
        <v>38</v>
      </c>
      <c r="C301" s="21">
        <v>50905</v>
      </c>
      <c r="D301" s="7">
        <f>25358+7809</f>
        <v>33167</v>
      </c>
      <c r="E301" s="7">
        <v>85500</v>
      </c>
      <c r="F301" s="22">
        <v>4333</v>
      </c>
      <c r="G301" s="23">
        <v>2890</v>
      </c>
      <c r="H301" s="24"/>
      <c r="I301" s="36"/>
      <c r="J301" s="8">
        <f t="shared" si="46"/>
        <v>52333</v>
      </c>
      <c r="K301" s="37">
        <f t="shared" si="49"/>
        <v>638</v>
      </c>
      <c r="L301" s="37">
        <v>790</v>
      </c>
      <c r="M301" s="74">
        <f t="shared" si="52"/>
        <v>953686</v>
      </c>
      <c r="N301" s="75">
        <f t="shared" si="52"/>
        <v>769330</v>
      </c>
      <c r="O301" s="75">
        <f t="shared" si="52"/>
        <v>1763380</v>
      </c>
      <c r="P301" s="76">
        <f t="shared" si="51"/>
        <v>15210140</v>
      </c>
      <c r="Q301" s="76">
        <f t="shared" si="51"/>
        <v>8755289</v>
      </c>
      <c r="R301" s="76">
        <f t="shared" si="51"/>
        <v>24503593</v>
      </c>
      <c r="S301" s="80">
        <f>M301/'[21]2014'!M301-1</f>
        <v>-0.21125285849567654</v>
      </c>
      <c r="T301" s="80">
        <f>N301/'[21]2014'!N301-1</f>
        <v>0.2894634512627634</v>
      </c>
      <c r="U301" s="80">
        <f>O301/'[21]2014'!O301-1</f>
        <v>-3.8771200530279049E-2</v>
      </c>
      <c r="V301" s="81">
        <f>P301/'[21]2014'!P301-1</f>
        <v>-4.7349709039008925E-2</v>
      </c>
      <c r="W301" s="81">
        <f>Q301/'[21]2014'!Q301-1</f>
        <v>0.14045700531086336</v>
      </c>
      <c r="X301" s="81">
        <f>R301/'[21]2014'!R301-1</f>
        <v>1.1830832372860867E-2</v>
      </c>
      <c r="Y301" s="93"/>
      <c r="Z301" s="50"/>
      <c r="AA301" s="37"/>
      <c r="AB301" s="37"/>
    </row>
    <row r="302" spans="1:32" ht="15" customHeight="1" x14ac:dyDescent="0.15">
      <c r="A302" s="20">
        <v>42301</v>
      </c>
      <c r="B302" s="20" t="s">
        <v>39</v>
      </c>
      <c r="C302" s="21">
        <v>51122</v>
      </c>
      <c r="D302" s="7">
        <f>24395+7963</f>
        <v>32358</v>
      </c>
      <c r="E302" s="7">
        <v>84685</v>
      </c>
      <c r="F302" s="22">
        <v>4276</v>
      </c>
      <c r="G302" s="23">
        <v>2902</v>
      </c>
      <c r="H302" s="24"/>
      <c r="I302" s="36"/>
      <c r="J302" s="8">
        <f t="shared" si="46"/>
        <v>52327</v>
      </c>
      <c r="K302" s="37">
        <f t="shared" si="49"/>
        <v>413</v>
      </c>
      <c r="L302" s="37">
        <v>792</v>
      </c>
      <c r="M302" s="74">
        <f t="shared" si="52"/>
        <v>1004808</v>
      </c>
      <c r="N302" s="75">
        <f t="shared" si="52"/>
        <v>801688</v>
      </c>
      <c r="O302" s="75">
        <f t="shared" si="52"/>
        <v>1848065</v>
      </c>
      <c r="P302" s="76">
        <f t="shared" si="51"/>
        <v>15261262</v>
      </c>
      <c r="Q302" s="76">
        <f t="shared" si="51"/>
        <v>8787647</v>
      </c>
      <c r="R302" s="76">
        <f t="shared" si="51"/>
        <v>24588278</v>
      </c>
      <c r="S302" s="80">
        <f>M302/'[21]2014'!M302-1</f>
        <v>-0.20988827022109269</v>
      </c>
      <c r="T302" s="80">
        <f>N302/'[21]2014'!N302-1</f>
        <v>0.29374002488433293</v>
      </c>
      <c r="U302" s="80">
        <f>O302/'[21]2014'!O302-1</f>
        <v>-3.8025293631410051E-2</v>
      </c>
      <c r="V302" s="81">
        <f>P302/'[21]2014'!P302-1</f>
        <v>-4.7881706082517517E-2</v>
      </c>
      <c r="W302" s="81">
        <f>Q302/'[21]2014'!Q302-1</f>
        <v>0.14124700269394719</v>
      </c>
      <c r="X302" s="81">
        <f>R302/'[21]2014'!R302-1</f>
        <v>1.1709465295773214E-2</v>
      </c>
      <c r="Y302" s="93"/>
      <c r="Z302" s="50"/>
      <c r="AA302" s="37"/>
      <c r="AB302" s="37"/>
    </row>
    <row r="303" spans="1:32" ht="15" customHeight="1" x14ac:dyDescent="0.15">
      <c r="A303" s="20">
        <v>42302</v>
      </c>
      <c r="B303" s="20" t="s">
        <v>1</v>
      </c>
      <c r="C303" s="21">
        <v>46081</v>
      </c>
      <c r="D303" s="7">
        <f>24254+7882</f>
        <v>32136</v>
      </c>
      <c r="E303" s="7">
        <v>79914</v>
      </c>
      <c r="F303" s="22">
        <v>3947</v>
      </c>
      <c r="G303" s="23">
        <v>2843</v>
      </c>
      <c r="H303" s="24"/>
      <c r="I303" s="36"/>
      <c r="J303" s="8">
        <f t="shared" si="46"/>
        <v>47778</v>
      </c>
      <c r="K303" s="37">
        <f t="shared" si="49"/>
        <v>920</v>
      </c>
      <c r="L303" s="37">
        <v>777</v>
      </c>
      <c r="M303" s="74">
        <f t="shared" si="52"/>
        <v>1050889</v>
      </c>
      <c r="N303" s="75">
        <f t="shared" si="52"/>
        <v>833824</v>
      </c>
      <c r="O303" s="75">
        <f t="shared" si="52"/>
        <v>1927979</v>
      </c>
      <c r="P303" s="76">
        <f t="shared" si="51"/>
        <v>15307343</v>
      </c>
      <c r="Q303" s="76">
        <f t="shared" si="51"/>
        <v>8819783</v>
      </c>
      <c r="R303" s="76">
        <f t="shared" si="51"/>
        <v>24668192</v>
      </c>
      <c r="S303" s="80">
        <f>M303/'[21]2014'!M303-1</f>
        <v>-0.21286852467292394</v>
      </c>
      <c r="T303" s="80">
        <f>N303/'[21]2014'!N303-1</f>
        <v>0.3006267411643222</v>
      </c>
      <c r="U303" s="80">
        <f>O303/'[21]2014'!O303-1</f>
        <v>-3.9300415726345128E-2</v>
      </c>
      <c r="V303" s="81">
        <f>P303/'[21]2014'!P303-1</f>
        <v>-4.8766817882715197E-2</v>
      </c>
      <c r="W303" s="81">
        <f>Q303/'[21]2014'!Q303-1</f>
        <v>0.14224195623978941</v>
      </c>
      <c r="X303" s="81">
        <f>R303/'[21]2014'!R303-1</f>
        <v>1.1429717543438134E-2</v>
      </c>
      <c r="Y303" s="93"/>
      <c r="Z303" s="50"/>
      <c r="AA303" s="37"/>
      <c r="AB303" s="37"/>
    </row>
    <row r="304" spans="1:32" ht="15" customHeight="1" x14ac:dyDescent="0.15">
      <c r="A304" s="20">
        <v>42303</v>
      </c>
      <c r="B304" s="20" t="s">
        <v>34</v>
      </c>
      <c r="C304" s="21">
        <v>54787</v>
      </c>
      <c r="D304" s="7">
        <f>20984+7813</f>
        <v>28797</v>
      </c>
      <c r="E304" s="7">
        <v>84843</v>
      </c>
      <c r="F304" s="22">
        <v>4336</v>
      </c>
      <c r="G304" s="23">
        <v>2739</v>
      </c>
      <c r="H304" s="24"/>
      <c r="I304" s="36"/>
      <c r="J304" s="8">
        <f t="shared" si="46"/>
        <v>56046</v>
      </c>
      <c r="K304" s="37">
        <f t="shared" si="49"/>
        <v>453</v>
      </c>
      <c r="L304" s="37">
        <v>806</v>
      </c>
      <c r="M304" s="74">
        <f t="shared" si="52"/>
        <v>1105676</v>
      </c>
      <c r="N304" s="75">
        <f t="shared" si="52"/>
        <v>862621</v>
      </c>
      <c r="O304" s="75">
        <f t="shared" si="52"/>
        <v>2012822</v>
      </c>
      <c r="P304" s="76">
        <f t="shared" si="51"/>
        <v>15362130</v>
      </c>
      <c r="Q304" s="76">
        <f t="shared" si="51"/>
        <v>8848580</v>
      </c>
      <c r="R304" s="76">
        <f t="shared" si="51"/>
        <v>24753035</v>
      </c>
      <c r="S304" s="80">
        <f>M304/'[21]2014'!M304-1</f>
        <v>-0.20682815480422068</v>
      </c>
      <c r="T304" s="80">
        <f>N304/'[21]2014'!N304-1</f>
        <v>0.30165094090503741</v>
      </c>
      <c r="U304" s="80">
        <f>O304/'[21]2014'!O304-1</f>
        <v>-3.6207425737596388E-2</v>
      </c>
      <c r="V304" s="81">
        <f>P304/'[21]2014'!P304-1</f>
        <v>-4.8843985926677935E-2</v>
      </c>
      <c r="W304" s="81">
        <f>Q304/'[21]2014'!Q304-1</f>
        <v>0.14277183172005525</v>
      </c>
      <c r="X304" s="81">
        <f>R304/'[21]2014'!R304-1</f>
        <v>1.152454193412078E-2</v>
      </c>
      <c r="Y304" s="93"/>
      <c r="Z304" s="50"/>
      <c r="AA304" s="37"/>
      <c r="AB304" s="37"/>
    </row>
    <row r="305" spans="1:32" ht="15" customHeight="1" x14ac:dyDescent="0.15">
      <c r="A305" s="20">
        <v>42304</v>
      </c>
      <c r="B305" s="14" t="s">
        <v>35</v>
      </c>
      <c r="C305" s="15">
        <v>54123</v>
      </c>
      <c r="D305" s="16">
        <f>21089+8041</f>
        <v>29130</v>
      </c>
      <c r="E305" s="16">
        <v>84628</v>
      </c>
      <c r="F305" s="17">
        <v>4327</v>
      </c>
      <c r="G305" s="18">
        <v>2842</v>
      </c>
      <c r="H305" s="19"/>
      <c r="I305" s="19"/>
      <c r="J305" s="32">
        <f t="shared" si="46"/>
        <v>55498</v>
      </c>
      <c r="K305" s="33">
        <f t="shared" si="49"/>
        <v>587</v>
      </c>
      <c r="L305" s="33">
        <v>788</v>
      </c>
      <c r="M305" s="77">
        <f t="shared" si="52"/>
        <v>1159799</v>
      </c>
      <c r="N305" s="78">
        <f t="shared" si="52"/>
        <v>891751</v>
      </c>
      <c r="O305" s="78">
        <f t="shared" si="52"/>
        <v>2097450</v>
      </c>
      <c r="P305" s="77">
        <f t="shared" si="51"/>
        <v>15416253</v>
      </c>
      <c r="Q305" s="77">
        <f t="shared" si="51"/>
        <v>8877710</v>
      </c>
      <c r="R305" s="77">
        <f t="shared" si="51"/>
        <v>24837663</v>
      </c>
      <c r="S305" s="82">
        <f>M305/'[21]2014'!M305-1</f>
        <v>-0.20221451354509956</v>
      </c>
      <c r="T305" s="82">
        <f>N305/'[21]2014'!N305-1</f>
        <v>0.29816677366431277</v>
      </c>
      <c r="U305" s="82">
        <f>O305/'[21]2014'!O305-1</f>
        <v>-3.4950131383341687E-2</v>
      </c>
      <c r="V305" s="82">
        <f>P305/'[21]2014'!P305-1</f>
        <v>-4.9012830663649143E-2</v>
      </c>
      <c r="W305" s="82">
        <f>Q305/'[21]2014'!Q305-1</f>
        <v>0.14295907196107382</v>
      </c>
      <c r="X305" s="82">
        <f>R305/'[21]2014'!R305-1</f>
        <v>1.1470654333100683E-2</v>
      </c>
      <c r="Y305" s="96">
        <v>98.1</v>
      </c>
      <c r="Z305" s="49">
        <f>P305/10000-Y305</f>
        <v>1443.5253</v>
      </c>
      <c r="AA305" s="33">
        <f>3890.092+12*(A305-"2015年6月30日")/(A305-"2015年1月1日"+1)+100*(A305-"2015年9月14日")/(A305-"2015年1月1日"+1)</f>
        <v>3909.1853333333338</v>
      </c>
      <c r="AB305" s="33">
        <f>(Z305-3.38)*10000/AA305</f>
        <v>3684.0036406562449</v>
      </c>
      <c r="AC305" s="63">
        <f>AC298+SUM(K299:K305)/10000</f>
        <v>33.723700000000001</v>
      </c>
      <c r="AD305" s="2">
        <f>AD298+SUM(L299:L305)/10000</f>
        <v>20.645900000000001</v>
      </c>
      <c r="AF305" s="2">
        <f>AF298+SUM(J299:J305)/10000</f>
        <v>1595.9953</v>
      </c>
    </row>
    <row r="306" spans="1:32" ht="15" customHeight="1" x14ac:dyDescent="0.15">
      <c r="A306" s="20">
        <v>42305</v>
      </c>
      <c r="B306" s="20" t="s">
        <v>36</v>
      </c>
      <c r="C306" s="66">
        <v>54033</v>
      </c>
      <c r="D306" s="67">
        <f>21474+8059</f>
        <v>29533</v>
      </c>
      <c r="E306" s="67">
        <v>85233</v>
      </c>
      <c r="F306" s="68">
        <v>4327</v>
      </c>
      <c r="G306" s="69">
        <v>2878</v>
      </c>
      <c r="H306" s="24"/>
      <c r="I306" s="24"/>
      <c r="J306" s="70">
        <f t="shared" si="46"/>
        <v>55700</v>
      </c>
      <c r="K306" s="71">
        <f t="shared" si="49"/>
        <v>876</v>
      </c>
      <c r="L306" s="71">
        <v>791</v>
      </c>
      <c r="M306" s="72">
        <f t="shared" si="52"/>
        <v>1213832</v>
      </c>
      <c r="N306" s="73">
        <f t="shared" si="52"/>
        <v>921284</v>
      </c>
      <c r="O306" s="73">
        <f t="shared" si="52"/>
        <v>2182683</v>
      </c>
      <c r="P306" s="72">
        <f t="shared" si="51"/>
        <v>15470286</v>
      </c>
      <c r="Q306" s="72">
        <f t="shared" si="51"/>
        <v>8907243</v>
      </c>
      <c r="R306" s="72">
        <f t="shared" si="51"/>
        <v>24922896</v>
      </c>
      <c r="S306" s="79">
        <f>M306/'[21]2014'!M306-1</f>
        <v>-0.19831133337824469</v>
      </c>
      <c r="T306" s="79">
        <f>N306/'[21]2014'!N306-1</f>
        <v>0.29557586837294325</v>
      </c>
      <c r="U306" s="79">
        <f>O306/'[21]2014'!O306-1</f>
        <v>-3.3797219339965046E-2</v>
      </c>
      <c r="V306" s="79">
        <f>P306/'[21]2014'!P306-1</f>
        <v>-4.9217579872539052E-2</v>
      </c>
      <c r="W306" s="79">
        <f>Q306/'[21]2014'!Q306-1</f>
        <v>0.1432040605931677</v>
      </c>
      <c r="X306" s="79">
        <f>R306/'[21]2014'!R306-1</f>
        <v>1.1415052087384359E-2</v>
      </c>
      <c r="Y306" s="85"/>
      <c r="Z306" s="97"/>
      <c r="AA306" s="85"/>
      <c r="AB306" s="71"/>
    </row>
    <row r="307" spans="1:32" ht="15" customHeight="1" x14ac:dyDescent="0.15">
      <c r="A307" s="20">
        <v>42306</v>
      </c>
      <c r="B307" s="20" t="s">
        <v>37</v>
      </c>
      <c r="C307" s="21">
        <v>53202</v>
      </c>
      <c r="D307" s="7">
        <f>22086+8789</f>
        <v>30875</v>
      </c>
      <c r="E307" s="7">
        <v>85367</v>
      </c>
      <c r="F307" s="22">
        <v>4401</v>
      </c>
      <c r="G307" s="23">
        <v>2856</v>
      </c>
      <c r="H307" s="24">
        <v>1445</v>
      </c>
      <c r="I307" s="36">
        <v>1176</v>
      </c>
      <c r="J307" s="8">
        <f t="shared" si="46"/>
        <v>54492</v>
      </c>
      <c r="K307" s="37">
        <f t="shared" si="49"/>
        <v>499</v>
      </c>
      <c r="L307" s="37">
        <v>791</v>
      </c>
      <c r="M307" s="74">
        <f t="shared" si="52"/>
        <v>1267034</v>
      </c>
      <c r="N307" s="75">
        <f t="shared" si="52"/>
        <v>952159</v>
      </c>
      <c r="O307" s="75">
        <f t="shared" si="52"/>
        <v>2268050</v>
      </c>
      <c r="P307" s="76">
        <f t="shared" si="51"/>
        <v>15523488</v>
      </c>
      <c r="Q307" s="76">
        <f t="shared" si="51"/>
        <v>8938118</v>
      </c>
      <c r="R307" s="76">
        <f t="shared" si="51"/>
        <v>25008263</v>
      </c>
      <c r="S307" s="80">
        <f>M307/'[21]2014'!M307-1</f>
        <v>-0.1962907306961128</v>
      </c>
      <c r="T307" s="80">
        <f>N307/'[21]2014'!N307-1</f>
        <v>0.2984913014246926</v>
      </c>
      <c r="U307" s="80">
        <f>O307/'[21]2014'!O307-1</f>
        <v>-3.2708901270245283E-2</v>
      </c>
      <c r="V307" s="81">
        <f>P307/'[21]2014'!P307-1</f>
        <v>-4.9592047348916868E-2</v>
      </c>
      <c r="W307" s="81">
        <f>Q307/'[21]2014'!Q307-1</f>
        <v>0.14391020794561715</v>
      </c>
      <c r="X307" s="81">
        <f>R307/'[21]2014'!R307-1</f>
        <v>1.1361532061825441E-2</v>
      </c>
      <c r="Y307" s="93">
        <v>98.83</v>
      </c>
      <c r="Z307" s="50">
        <f>P307/10000-Y307</f>
        <v>1453.5188000000001</v>
      </c>
      <c r="AA307" s="37">
        <f>3890.092+12*(A307-"2015年6月30日")/(A307-"2015年1月1日"+1)+100*(A307-"2015年9月14日")/(A307-"2015年1月1日"+1)</f>
        <v>3909.8006092715236</v>
      </c>
      <c r="AB307" s="37">
        <f>(Z307-3.38-0.6)*10000/AA307</f>
        <v>3707.4494197034742</v>
      </c>
    </row>
    <row r="308" spans="1:32" ht="15" customHeight="1" x14ac:dyDescent="0.15">
      <c r="A308" s="20">
        <v>42307</v>
      </c>
      <c r="B308" s="20" t="s">
        <v>38</v>
      </c>
      <c r="C308" s="21">
        <v>51463</v>
      </c>
      <c r="D308" s="7">
        <v>31378</v>
      </c>
      <c r="E308" s="7">
        <v>84456</v>
      </c>
      <c r="F308" s="22">
        <v>4305</v>
      </c>
      <c r="G308" s="23">
        <v>2813</v>
      </c>
      <c r="H308" s="24">
        <v>1460</v>
      </c>
      <c r="I308" s="36">
        <v>1186</v>
      </c>
      <c r="J308" s="8">
        <f t="shared" si="46"/>
        <v>53078</v>
      </c>
      <c r="K308" s="37">
        <f t="shared" si="49"/>
        <v>822</v>
      </c>
      <c r="L308" s="37">
        <v>793</v>
      </c>
      <c r="M308" s="74">
        <f t="shared" si="52"/>
        <v>1318497</v>
      </c>
      <c r="N308" s="75">
        <f t="shared" si="52"/>
        <v>983537</v>
      </c>
      <c r="O308" s="75">
        <f t="shared" si="52"/>
        <v>2352506</v>
      </c>
      <c r="P308" s="76">
        <f t="shared" si="51"/>
        <v>15574951</v>
      </c>
      <c r="Q308" s="76">
        <f t="shared" si="51"/>
        <v>8969496</v>
      </c>
      <c r="R308" s="76">
        <f t="shared" si="51"/>
        <v>25092719</v>
      </c>
      <c r="S308" s="80">
        <f>M308/'[21]2014'!M308-1</f>
        <v>-0.19525182236051453</v>
      </c>
      <c r="T308" s="80">
        <f>N308/'[21]2014'!N308-1</f>
        <v>0.30085097715561471</v>
      </c>
      <c r="U308" s="80">
        <f>O308/'[21]2014'!O308-1</f>
        <v>-3.2147035929572576E-2</v>
      </c>
      <c r="V308" s="81">
        <f>P308/'[21]2014'!P308-1</f>
        <v>-5.0042207260706184E-2</v>
      </c>
      <c r="W308" s="81">
        <f>Q308/'[21]2014'!Q308-1</f>
        <v>0.14458744651353039</v>
      </c>
      <c r="X308" s="81">
        <f>R308/'[21]2014'!R308-1</f>
        <v>1.1264005205663175E-2</v>
      </c>
      <c r="Y308" s="93"/>
      <c r="Z308" s="50"/>
      <c r="AA308" s="37"/>
      <c r="AB308" s="37"/>
    </row>
    <row r="309" spans="1:32" s="1" customFormat="1" ht="15" customHeight="1" x14ac:dyDescent="0.15">
      <c r="A309" s="25">
        <v>42308</v>
      </c>
      <c r="B309" s="25" t="s">
        <v>39</v>
      </c>
      <c r="C309" s="26">
        <v>49634</v>
      </c>
      <c r="D309" s="27">
        <v>30887</v>
      </c>
      <c r="E309" s="27">
        <v>81862</v>
      </c>
      <c r="F309" s="28">
        <v>4160</v>
      </c>
      <c r="G309" s="29">
        <v>2792.5</v>
      </c>
      <c r="H309" s="30"/>
      <c r="I309" s="30"/>
      <c r="J309" s="42">
        <f t="shared" si="46"/>
        <v>50975</v>
      </c>
      <c r="K309" s="43">
        <f t="shared" si="49"/>
        <v>548</v>
      </c>
      <c r="L309" s="43">
        <v>793</v>
      </c>
      <c r="M309" s="87">
        <f t="shared" si="52"/>
        <v>1368131</v>
      </c>
      <c r="N309" s="88">
        <f t="shared" si="52"/>
        <v>1014424</v>
      </c>
      <c r="O309" s="88">
        <f t="shared" si="52"/>
        <v>2434368</v>
      </c>
      <c r="P309" s="87">
        <f t="shared" si="51"/>
        <v>15624585</v>
      </c>
      <c r="Q309" s="87">
        <f t="shared" si="51"/>
        <v>9000383</v>
      </c>
      <c r="R309" s="87">
        <f t="shared" si="51"/>
        <v>25174581</v>
      </c>
      <c r="S309" s="89">
        <f>M309/'[21]2014'!M309-1</f>
        <v>-0.19477465854769616</v>
      </c>
      <c r="T309" s="89">
        <f>N309/'[21]2014'!N309-1</f>
        <v>0.3023518552040847</v>
      </c>
      <c r="U309" s="89">
        <f>O309/'[21]2014'!O309-1</f>
        <v>-3.220627984888158E-2</v>
      </c>
      <c r="V309" s="89">
        <f>P309/'[21]2014'!P309-1</f>
        <v>-5.053667219486746E-2</v>
      </c>
      <c r="W309" s="89">
        <f>Q309/'[21]2014'!Q309-1</f>
        <v>0.14519041447703374</v>
      </c>
      <c r="X309" s="89">
        <f>R309/'[21]2014'!R309-1</f>
        <v>1.111027952572563E-2</v>
      </c>
      <c r="Y309" s="98">
        <v>100.48569999999999</v>
      </c>
      <c r="Z309" s="52">
        <f>P309/10000-Y309</f>
        <v>1461.9728</v>
      </c>
      <c r="AA309" s="43">
        <f>3890.092+12*(A309-"2015年6月30日")/(A309-"2015年1月1日"+1)+100*(A309-"2015年9月14日")/(A309-"2015年1月1日"+1)</f>
        <v>3910.4077894736843</v>
      </c>
      <c r="AB309" s="43">
        <f>(Z309-3.38-0.79)*10000/AA309</f>
        <v>3728.0070992192118</v>
      </c>
      <c r="AC309" s="63"/>
      <c r="AD309" s="2"/>
      <c r="AF309" s="2"/>
    </row>
    <row r="310" spans="1:32" ht="15" customHeight="1" x14ac:dyDescent="0.15">
      <c r="A310" s="20">
        <v>42309</v>
      </c>
      <c r="B310" s="20" t="s">
        <v>1</v>
      </c>
      <c r="C310" s="21">
        <v>43465</v>
      </c>
      <c r="D310" s="7">
        <f>22095+8611</f>
        <v>30706</v>
      </c>
      <c r="E310" s="7">
        <v>75333</v>
      </c>
      <c r="F310" s="22">
        <v>3669.6</v>
      </c>
      <c r="G310" s="23">
        <v>2721.3</v>
      </c>
      <c r="H310" s="24"/>
      <c r="I310" s="36"/>
      <c r="J310" s="8">
        <f t="shared" si="46"/>
        <v>44627</v>
      </c>
      <c r="K310" s="37">
        <f t="shared" si="49"/>
        <v>371</v>
      </c>
      <c r="L310" s="37">
        <v>791</v>
      </c>
      <c r="M310" s="74">
        <f>C310</f>
        <v>43465</v>
      </c>
      <c r="N310" s="75">
        <f>D310</f>
        <v>30706</v>
      </c>
      <c r="O310" s="75">
        <f>E310</f>
        <v>75333</v>
      </c>
      <c r="P310" s="76">
        <f>P$309+M310</f>
        <v>15668050</v>
      </c>
      <c r="Q310" s="76">
        <f>Q$309+N310</f>
        <v>9031089</v>
      </c>
      <c r="R310" s="76">
        <f>R$309+O310</f>
        <v>25249914</v>
      </c>
      <c r="S310" s="80">
        <f>M310/'[21]2014'!M310-1</f>
        <v>-0.19364413854516449</v>
      </c>
      <c r="T310" s="80">
        <f>N310/'[21]2014'!N310-1</f>
        <v>0.20514933867106255</v>
      </c>
      <c r="U310" s="80">
        <f>O310/'[21]2014'!O310-1</f>
        <v>-6.3465028966408932E-2</v>
      </c>
      <c r="V310" s="81">
        <f>P310/'[21]2014'!P310-1</f>
        <v>-5.1003895729234361E-2</v>
      </c>
      <c r="W310" s="81">
        <f>Q310/'[21]2014'!Q310-1</f>
        <v>0.14538416695429923</v>
      </c>
      <c r="X310" s="81">
        <f>R310/'[21]2014'!R310-1</f>
        <v>1.087012444413693E-2</v>
      </c>
      <c r="Y310" s="93"/>
      <c r="Z310" s="52"/>
      <c r="AA310" s="43"/>
      <c r="AB310" s="43"/>
    </row>
    <row r="311" spans="1:32" ht="15" customHeight="1" x14ac:dyDescent="0.15">
      <c r="A311" s="20">
        <v>42310</v>
      </c>
      <c r="B311" s="20" t="s">
        <v>34</v>
      </c>
      <c r="C311" s="21">
        <v>48792</v>
      </c>
      <c r="D311" s="7">
        <f>22614+8418</f>
        <v>31032</v>
      </c>
      <c r="E311" s="7">
        <v>80868</v>
      </c>
      <c r="F311" s="22">
        <v>4144.8</v>
      </c>
      <c r="G311" s="23">
        <v>2522.6999999999998</v>
      </c>
      <c r="H311" s="24"/>
      <c r="I311" s="36"/>
      <c r="J311" s="8">
        <f t="shared" si="46"/>
        <v>49836</v>
      </c>
      <c r="K311" s="37">
        <f t="shared" si="49"/>
        <v>302</v>
      </c>
      <c r="L311" s="37">
        <v>742</v>
      </c>
      <c r="M311" s="74">
        <f t="shared" ref="M311:O326" si="53">C311+M310</f>
        <v>92257</v>
      </c>
      <c r="N311" s="75">
        <f t="shared" si="53"/>
        <v>61738</v>
      </c>
      <c r="O311" s="75">
        <f t="shared" si="53"/>
        <v>156201</v>
      </c>
      <c r="P311" s="76">
        <f t="shared" ref="P311:R339" si="54">P$309+M311</f>
        <v>15716842</v>
      </c>
      <c r="Q311" s="76">
        <f t="shared" si="54"/>
        <v>9062121</v>
      </c>
      <c r="R311" s="76">
        <f t="shared" si="54"/>
        <v>25330782</v>
      </c>
      <c r="S311" s="80">
        <f>M311/'[21]2014'!M311-1</f>
        <v>-0.11583799739323775</v>
      </c>
      <c r="T311" s="80">
        <f>N311/'[21]2014'!N311-1</f>
        <v>0.2253736379334299</v>
      </c>
      <c r="U311" s="80">
        <f>O311/'[21]2014'!O311-1</f>
        <v>-4.7468556063868794E-3</v>
      </c>
      <c r="V311" s="81">
        <f>P311/'[21]2014'!P311-1</f>
        <v>-5.0948119424860439E-2</v>
      </c>
      <c r="W311" s="81">
        <f>Q311/'[21]2014'!Q311-1</f>
        <v>0.1457011652505209</v>
      </c>
      <c r="X311" s="81">
        <f>R311/'[21]2014'!R311-1</f>
        <v>1.1010949112914448E-2</v>
      </c>
      <c r="Y311" s="93"/>
      <c r="Z311" s="52"/>
      <c r="AA311" s="43"/>
      <c r="AB311" s="43"/>
    </row>
    <row r="312" spans="1:32" ht="15" customHeight="1" x14ac:dyDescent="0.15">
      <c r="A312" s="20">
        <v>42311</v>
      </c>
      <c r="B312" s="14" t="s">
        <v>35</v>
      </c>
      <c r="C312" s="15">
        <v>53766</v>
      </c>
      <c r="D312" s="16">
        <f>20567+8592</f>
        <v>29159</v>
      </c>
      <c r="E312" s="16">
        <v>84183</v>
      </c>
      <c r="F312" s="17">
        <v>4260.2</v>
      </c>
      <c r="G312" s="18">
        <v>2791.1</v>
      </c>
      <c r="H312" s="19"/>
      <c r="I312" s="19"/>
      <c r="J312" s="32">
        <f t="shared" si="46"/>
        <v>55024</v>
      </c>
      <c r="K312" s="33">
        <f t="shared" si="49"/>
        <v>466</v>
      </c>
      <c r="L312" s="33">
        <v>792</v>
      </c>
      <c r="M312" s="77">
        <f t="shared" si="53"/>
        <v>146023</v>
      </c>
      <c r="N312" s="78">
        <f t="shared" si="53"/>
        <v>90897</v>
      </c>
      <c r="O312" s="78">
        <f t="shared" si="53"/>
        <v>240384</v>
      </c>
      <c r="P312" s="77">
        <f t="shared" si="54"/>
        <v>15770608</v>
      </c>
      <c r="Q312" s="77">
        <f t="shared" si="54"/>
        <v>9091280</v>
      </c>
      <c r="R312" s="77">
        <f t="shared" si="54"/>
        <v>25414965</v>
      </c>
      <c r="S312" s="82">
        <f>M312/'[21]2014'!M312-1</f>
        <v>-9.2810725512853964E-2</v>
      </c>
      <c r="T312" s="82">
        <f>N312/'[21]2014'!N312-1</f>
        <v>0.21365912277188071</v>
      </c>
      <c r="U312" s="82">
        <f>O312/'[21]2014'!O312-1</f>
        <v>4.9372290481306536E-3</v>
      </c>
      <c r="V312" s="82">
        <f>P312/'[21]2014'!P312-1</f>
        <v>-5.0946158766915439E-2</v>
      </c>
      <c r="W312" s="82">
        <f>Q312/'[21]2014'!Q312-1</f>
        <v>0.14583672713938034</v>
      </c>
      <c r="X312" s="82">
        <f>R312/'[21]2014'!R312-1</f>
        <v>1.1051537322926519E-2</v>
      </c>
      <c r="Y312" s="96">
        <f>(Y314-Y309)/5*3+Y309</f>
        <v>102.40827999999999</v>
      </c>
      <c r="Z312" s="52">
        <f t="shared" ref="Z312" si="55">P312/10000-Y312</f>
        <v>1474.6525200000001</v>
      </c>
      <c r="AA312" s="43">
        <f t="shared" ref="AA312" si="56">3890.092+12*(A312-"2015年6月30日")/(A312-"2015年1月1日"+1)+100*(A312-"2015年9月14日")/(A312-"2015年1月1日"+1)</f>
        <v>3911.3037263843653</v>
      </c>
      <c r="AB312" s="43">
        <f>(Z312-3.38-0.79)*10000/AA312</f>
        <v>3759.5712909754616</v>
      </c>
      <c r="AC312" s="63">
        <f t="shared" ref="AC312" si="57">AC305+SUM(K306:K312)/10000</f>
        <v>34.112099999999998</v>
      </c>
      <c r="AD312" s="2">
        <f t="shared" ref="AD312" si="58">AD305+SUM(L306:L312)/10000</f>
        <v>21.1952</v>
      </c>
      <c r="AF312" s="2">
        <f t="shared" ref="AF312" si="59">AF305+SUM(J306:J312)/10000</f>
        <v>1632.3685</v>
      </c>
    </row>
    <row r="313" spans="1:32" ht="15" customHeight="1" x14ac:dyDescent="0.15">
      <c r="A313" s="20">
        <v>42312</v>
      </c>
      <c r="B313" s="20" t="s">
        <v>36</v>
      </c>
      <c r="C313" s="66">
        <v>55349</v>
      </c>
      <c r="D313" s="67">
        <f>19511+8430</f>
        <v>27941</v>
      </c>
      <c r="E313" s="67">
        <v>84811</v>
      </c>
      <c r="F313" s="68">
        <v>4365.6000000000004</v>
      </c>
      <c r="G313" s="69">
        <v>2838.9</v>
      </c>
      <c r="H313" s="24">
        <v>1443</v>
      </c>
      <c r="I313" s="24">
        <v>884</v>
      </c>
      <c r="J313" s="70">
        <f t="shared" si="46"/>
        <v>56870</v>
      </c>
      <c r="K313" s="71">
        <f t="shared" si="49"/>
        <v>729</v>
      </c>
      <c r="L313" s="71">
        <v>792</v>
      </c>
      <c r="M313" s="72">
        <f t="shared" si="53"/>
        <v>201372</v>
      </c>
      <c r="N313" s="73">
        <f t="shared" si="53"/>
        <v>118838</v>
      </c>
      <c r="O313" s="73">
        <f t="shared" si="53"/>
        <v>325195</v>
      </c>
      <c r="P313" s="72">
        <f t="shared" si="54"/>
        <v>15825957</v>
      </c>
      <c r="Q313" s="72">
        <f t="shared" si="54"/>
        <v>9119221</v>
      </c>
      <c r="R313" s="72">
        <f t="shared" si="54"/>
        <v>25499776</v>
      </c>
      <c r="S313" s="79">
        <f>M313/'[21]2014'!M313-1</f>
        <v>-0.10301205355949716</v>
      </c>
      <c r="T313" s="79">
        <f>N313/'[21]2014'!N313-1</f>
        <v>0.24663526597920837</v>
      </c>
      <c r="U313" s="79">
        <f>O313/'[21]2014'!O313-1</f>
        <v>2.8494685001125841E-3</v>
      </c>
      <c r="V313" s="79">
        <f>P313/'[21]2014'!P313-1</f>
        <v>-5.1242913527864475E-2</v>
      </c>
      <c r="W313" s="79">
        <f>Q313/'[21]2014'!Q313-1</f>
        <v>0.14640611524138225</v>
      </c>
      <c r="X313" s="79">
        <f>R313/'[21]2014'!R313-1</f>
        <v>1.1004073944895998E-2</v>
      </c>
      <c r="Y313" s="85"/>
      <c r="Z313" s="97"/>
      <c r="AA313" s="85"/>
      <c r="AB313" s="71"/>
    </row>
    <row r="314" spans="1:32" ht="15" customHeight="1" x14ac:dyDescent="0.15">
      <c r="A314" s="20">
        <v>42313</v>
      </c>
      <c r="B314" s="20" t="s">
        <v>37</v>
      </c>
      <c r="C314" s="21">
        <v>55081</v>
      </c>
      <c r="D314" s="7">
        <f>18356+8317</f>
        <v>26673</v>
      </c>
      <c r="E314" s="7">
        <v>83885</v>
      </c>
      <c r="F314" s="22">
        <v>4292.2</v>
      </c>
      <c r="G314" s="23">
        <v>2840.6</v>
      </c>
      <c r="H314" s="24">
        <v>1480</v>
      </c>
      <c r="I314" s="36">
        <v>809</v>
      </c>
      <c r="J314" s="8">
        <f t="shared" si="46"/>
        <v>57212</v>
      </c>
      <c r="K314" s="37">
        <f t="shared" si="49"/>
        <v>1340</v>
      </c>
      <c r="L314" s="37">
        <v>791</v>
      </c>
      <c r="M314" s="74">
        <f t="shared" si="53"/>
        <v>256453</v>
      </c>
      <c r="N314" s="75">
        <f t="shared" si="53"/>
        <v>145511</v>
      </c>
      <c r="O314" s="75">
        <f t="shared" si="53"/>
        <v>409080</v>
      </c>
      <c r="P314" s="76">
        <f t="shared" si="54"/>
        <v>15881038</v>
      </c>
      <c r="Q314" s="76">
        <f t="shared" si="54"/>
        <v>9145894</v>
      </c>
      <c r="R314" s="76">
        <f t="shared" si="54"/>
        <v>25583661</v>
      </c>
      <c r="S314" s="80">
        <f>M314/'[21]2014'!M314-1</f>
        <v>-0.11078248145823721</v>
      </c>
      <c r="T314" s="80">
        <f>N314/'[21]2014'!N314-1</f>
        <v>0.25995549359679271</v>
      </c>
      <c r="U314" s="80">
        <f>O314/'[21]2014'!O314-1</f>
        <v>-9.4025130353025954E-4</v>
      </c>
      <c r="V314" s="81">
        <f>P314/'[21]2014'!P314-1</f>
        <v>-5.1574322539565065E-2</v>
      </c>
      <c r="W314" s="81">
        <f>Q314/'[21]2014'!Q314-1</f>
        <v>0.14685241728030429</v>
      </c>
      <c r="X314" s="81">
        <f>R314/'[21]2014'!R314-1</f>
        <v>1.0915306269908776E-2</v>
      </c>
      <c r="Y314" s="93">
        <v>103.69</v>
      </c>
      <c r="Z314" s="50">
        <f>P314/10000-Y314</f>
        <v>1484.4138</v>
      </c>
      <c r="AA314" s="37">
        <f>3890.092+12*(A314-"2015年6月30日")/(A314-"2015年1月1日"+1)+100*(A314-"2015年9月14日")/(A314-"2015年1月1日"+1)</f>
        <v>3911.8913527508093</v>
      </c>
      <c r="AB314" s="37">
        <f>(Z314-3.38-0.79)*10000/AA314</f>
        <v>3783.9593856795254</v>
      </c>
    </row>
    <row r="315" spans="1:32" ht="15" customHeight="1" x14ac:dyDescent="0.15">
      <c r="A315" s="20">
        <v>42314</v>
      </c>
      <c r="B315" s="20" t="s">
        <v>38</v>
      </c>
      <c r="C315" s="21">
        <v>57125</v>
      </c>
      <c r="D315" s="7">
        <v>26000</v>
      </c>
      <c r="E315" s="7">
        <v>83930</v>
      </c>
      <c r="F315" s="22">
        <v>4320.6000000000004</v>
      </c>
      <c r="G315" s="23">
        <v>2816.9</v>
      </c>
      <c r="H315" s="24">
        <v>1420</v>
      </c>
      <c r="I315" s="36">
        <v>778</v>
      </c>
      <c r="J315" s="8">
        <f t="shared" si="46"/>
        <v>57930</v>
      </c>
      <c r="K315" s="37">
        <f t="shared" si="49"/>
        <v>15</v>
      </c>
      <c r="L315" s="37">
        <v>790</v>
      </c>
      <c r="M315" s="74">
        <f t="shared" si="53"/>
        <v>313578</v>
      </c>
      <c r="N315" s="75">
        <f t="shared" si="53"/>
        <v>171511</v>
      </c>
      <c r="O315" s="75">
        <f t="shared" si="53"/>
        <v>493010</v>
      </c>
      <c r="P315" s="76">
        <f t="shared" si="54"/>
        <v>15938163</v>
      </c>
      <c r="Q315" s="76">
        <f t="shared" si="54"/>
        <v>9171894</v>
      </c>
      <c r="R315" s="76">
        <f t="shared" si="54"/>
        <v>25667591</v>
      </c>
      <c r="S315" s="80">
        <f>M315/'[21]2014'!M315-1</f>
        <v>-0.11054570828050414</v>
      </c>
      <c r="T315" s="80">
        <f>N315/'[21]2014'!N315-1</f>
        <v>0.2625213473882575</v>
      </c>
      <c r="U315" s="80">
        <f>O315/'[21]2014'!O315-1</f>
        <v>-4.4023506128960666E-3</v>
      </c>
      <c r="V315" s="81">
        <f>P315/'[21]2014'!P315-1</f>
        <v>-5.1795314817334459E-2</v>
      </c>
      <c r="W315" s="81">
        <f>Q315/'[21]2014'!Q315-1</f>
        <v>0.14718402278885145</v>
      </c>
      <c r="X315" s="81">
        <f>R315/'[21]2014'!R315-1</f>
        <v>1.0807768809054208E-2</v>
      </c>
      <c r="Y315" s="93"/>
      <c r="Z315" s="50"/>
      <c r="AA315" s="37"/>
      <c r="AB315" s="37"/>
    </row>
    <row r="316" spans="1:32" ht="15" customHeight="1" x14ac:dyDescent="0.15">
      <c r="A316" s="20">
        <v>42315</v>
      </c>
      <c r="B316" s="20" t="s">
        <v>39</v>
      </c>
      <c r="C316" s="21">
        <v>56087</v>
      </c>
      <c r="D316" s="7">
        <v>26749</v>
      </c>
      <c r="E316" s="7">
        <v>83957</v>
      </c>
      <c r="F316" s="22">
        <v>4254.7</v>
      </c>
      <c r="G316" s="23">
        <v>2838.1</v>
      </c>
      <c r="H316" s="24">
        <v>1350</v>
      </c>
      <c r="I316" s="36">
        <v>827</v>
      </c>
      <c r="J316" s="8">
        <f t="shared" si="46"/>
        <v>57208</v>
      </c>
      <c r="K316" s="37">
        <f t="shared" si="49"/>
        <v>332</v>
      </c>
      <c r="L316" s="37">
        <v>789</v>
      </c>
      <c r="M316" s="74">
        <f t="shared" si="53"/>
        <v>369665</v>
      </c>
      <c r="N316" s="75">
        <f t="shared" si="53"/>
        <v>198260</v>
      </c>
      <c r="O316" s="75">
        <f t="shared" si="53"/>
        <v>576967</v>
      </c>
      <c r="P316" s="76">
        <f t="shared" si="54"/>
        <v>15994250</v>
      </c>
      <c r="Q316" s="76">
        <f t="shared" si="54"/>
        <v>9198643</v>
      </c>
      <c r="R316" s="76">
        <f t="shared" si="54"/>
        <v>25751548</v>
      </c>
      <c r="S316" s="80">
        <f>M316/'[21]2014'!M316-1</f>
        <v>-0.11196498451737202</v>
      </c>
      <c r="T316" s="80">
        <f>N316/'[21]2014'!N316-1</f>
        <v>0.26266582599336386</v>
      </c>
      <c r="U316" s="80">
        <f>O316/'[21]2014'!O316-1</f>
        <v>-7.6059230566797309E-3</v>
      </c>
      <c r="V316" s="81">
        <f>P316/'[21]2014'!P316-1</f>
        <v>-5.205221205795163E-2</v>
      </c>
      <c r="W316" s="81">
        <f>Q316/'[21]2014'!Q316-1</f>
        <v>0.14749142887687738</v>
      </c>
      <c r="X316" s="81">
        <f>R316/'[21]2014'!R316-1</f>
        <v>1.0683212285011345E-2</v>
      </c>
      <c r="Y316" s="93"/>
      <c r="Z316" s="50"/>
      <c r="AA316" s="37"/>
      <c r="AB316" s="37"/>
    </row>
    <row r="317" spans="1:32" ht="15" customHeight="1" x14ac:dyDescent="0.15">
      <c r="A317" s="20">
        <v>42316</v>
      </c>
      <c r="B317" s="20" t="s">
        <v>1</v>
      </c>
      <c r="C317" s="21">
        <v>51103</v>
      </c>
      <c r="D317" s="7">
        <f>16337+7766</f>
        <v>24103</v>
      </c>
      <c r="E317" s="7">
        <v>78661</v>
      </c>
      <c r="F317" s="22">
        <v>3939</v>
      </c>
      <c r="G317" s="23">
        <v>2780</v>
      </c>
      <c r="H317" s="24">
        <v>1300</v>
      </c>
      <c r="I317" s="36">
        <v>896</v>
      </c>
      <c r="J317" s="8">
        <f t="shared" si="46"/>
        <v>54558</v>
      </c>
      <c r="K317" s="37">
        <f t="shared" si="49"/>
        <v>2665</v>
      </c>
      <c r="L317" s="37">
        <v>790</v>
      </c>
      <c r="M317" s="74">
        <f t="shared" si="53"/>
        <v>420768</v>
      </c>
      <c r="N317" s="75">
        <f t="shared" si="53"/>
        <v>222363</v>
      </c>
      <c r="O317" s="75">
        <f t="shared" si="53"/>
        <v>655628</v>
      </c>
      <c r="P317" s="76">
        <f t="shared" si="54"/>
        <v>16045353</v>
      </c>
      <c r="Q317" s="76">
        <f t="shared" si="54"/>
        <v>9222746</v>
      </c>
      <c r="R317" s="76">
        <f t="shared" si="54"/>
        <v>25830209</v>
      </c>
      <c r="S317" s="80">
        <f>M317/'[21]2014'!M317-1</f>
        <v>-0.12345113201729896</v>
      </c>
      <c r="T317" s="80">
        <f>N317/'[21]2014'!N317-1</f>
        <v>0.25261521301945145</v>
      </c>
      <c r="U317" s="80">
        <f>O317/'[21]2014'!O317-1</f>
        <v>-1.6866703854989562E-2</v>
      </c>
      <c r="V317" s="81">
        <f>P317/'[21]2014'!P317-1</f>
        <v>-5.2603302642567518E-2</v>
      </c>
      <c r="W317" s="81">
        <f>Q317/'[21]2014'!Q317-1</f>
        <v>0.14756323981092745</v>
      </c>
      <c r="X317" s="81">
        <f>R317/'[21]2014'!R317-1</f>
        <v>1.0380480968612105E-2</v>
      </c>
      <c r="Y317" s="93"/>
      <c r="Z317" s="50"/>
      <c r="AA317" s="37"/>
      <c r="AB317" s="37"/>
    </row>
    <row r="318" spans="1:32" ht="15" customHeight="1" x14ac:dyDescent="0.15">
      <c r="A318" s="20">
        <v>42317</v>
      </c>
      <c r="B318" s="20" t="s">
        <v>34</v>
      </c>
      <c r="C318" s="21">
        <v>54795</v>
      </c>
      <c r="D318" s="7">
        <v>26894</v>
      </c>
      <c r="E318" s="7">
        <v>82529</v>
      </c>
      <c r="F318" s="22">
        <v>4253</v>
      </c>
      <c r="G318" s="23">
        <v>2570</v>
      </c>
      <c r="H318" s="24">
        <v>1322</v>
      </c>
      <c r="I318" s="36">
        <v>878</v>
      </c>
      <c r="J318" s="8">
        <f t="shared" si="46"/>
        <v>55635</v>
      </c>
      <c r="K318" s="37">
        <f t="shared" si="49"/>
        <v>50</v>
      </c>
      <c r="L318" s="37">
        <v>790</v>
      </c>
      <c r="M318" s="74">
        <f t="shared" si="53"/>
        <v>475563</v>
      </c>
      <c r="N318" s="75">
        <f t="shared" si="53"/>
        <v>249257</v>
      </c>
      <c r="O318" s="75">
        <f t="shared" si="53"/>
        <v>738157</v>
      </c>
      <c r="P318" s="76">
        <f t="shared" si="54"/>
        <v>16100148</v>
      </c>
      <c r="Q318" s="76">
        <f t="shared" si="54"/>
        <v>9249640</v>
      </c>
      <c r="R318" s="76">
        <f t="shared" si="54"/>
        <v>25912738</v>
      </c>
      <c r="S318" s="80">
        <f>M318/'[21]2014'!M318-1</f>
        <v>-0.12028568891651314</v>
      </c>
      <c r="T318" s="80">
        <f>N318/'[21]2014'!N318-1</f>
        <v>0.26984054205512242</v>
      </c>
      <c r="U318" s="80">
        <f>O318/'[21]2014'!O318-1</f>
        <v>-1.2418404712625342E-2</v>
      </c>
      <c r="V318" s="81">
        <f>P318/'[21]2014'!P318-1</f>
        <v>-5.2755057182474641E-2</v>
      </c>
      <c r="W318" s="81">
        <f>Q318/'[21]2014'!Q318-1</f>
        <v>0.14822775940576349</v>
      </c>
      <c r="X318" s="81">
        <f>R318/'[21]2014'!R318-1</f>
        <v>1.0424532434207379E-2</v>
      </c>
      <c r="Y318" s="93"/>
      <c r="Z318" s="50"/>
      <c r="AA318" s="37"/>
      <c r="AB318" s="37"/>
    </row>
    <row r="319" spans="1:32" ht="15" customHeight="1" x14ac:dyDescent="0.15">
      <c r="A319" s="20">
        <v>42318</v>
      </c>
      <c r="B319" s="14" t="s">
        <v>35</v>
      </c>
      <c r="C319" s="15">
        <v>55665</v>
      </c>
      <c r="D319" s="16">
        <v>26731</v>
      </c>
      <c r="E319" s="16">
        <v>83738</v>
      </c>
      <c r="F319" s="17">
        <v>4256</v>
      </c>
      <c r="G319" s="18">
        <v>2767</v>
      </c>
      <c r="H319" s="19"/>
      <c r="I319" s="19"/>
      <c r="J319" s="32">
        <f t="shared" si="46"/>
        <v>57007</v>
      </c>
      <c r="K319" s="33">
        <f t="shared" si="49"/>
        <v>552</v>
      </c>
      <c r="L319" s="33">
        <v>790</v>
      </c>
      <c r="M319" s="77">
        <f t="shared" si="53"/>
        <v>531228</v>
      </c>
      <c r="N319" s="78">
        <f t="shared" si="53"/>
        <v>275988</v>
      </c>
      <c r="O319" s="78">
        <f t="shared" si="53"/>
        <v>821895</v>
      </c>
      <c r="P319" s="77">
        <f t="shared" si="54"/>
        <v>16155813</v>
      </c>
      <c r="Q319" s="77">
        <f t="shared" si="54"/>
        <v>9276371</v>
      </c>
      <c r="R319" s="77">
        <f t="shared" si="54"/>
        <v>25996476</v>
      </c>
      <c r="S319" s="82">
        <f>M319/'[21]2014'!M319-1</f>
        <v>-0.12198798416620527</v>
      </c>
      <c r="T319" s="82">
        <f>N319/'[21]2014'!N319-1</f>
        <v>0.27812459477983809</v>
      </c>
      <c r="U319" s="82">
        <f>O319/'[21]2014'!O319-1</f>
        <v>-1.3655772290987134E-2</v>
      </c>
      <c r="V319" s="82">
        <f>P319/'[21]2014'!P319-1</f>
        <v>-5.3070561358207979E-2</v>
      </c>
      <c r="W319" s="82">
        <f>Q319/'[21]2014'!Q319-1</f>
        <v>0.14874508395837815</v>
      </c>
      <c r="X319" s="82">
        <f>R319/'[21]2014'!R319-1</f>
        <v>1.0308261679162101E-2</v>
      </c>
      <c r="Y319" s="96">
        <v>105.74</v>
      </c>
      <c r="Z319" s="49">
        <f>P319/10000-Y319</f>
        <v>1509.8413</v>
      </c>
      <c r="AA319" s="33">
        <f>3890.092+12*(A319-"2015年6月30日")/(A319-"2015年1月1日"+1)+100*(A319-"2015年9月14日")/(A319-"2015年1月1日"+1)</f>
        <v>3913.3276687898092</v>
      </c>
      <c r="AB319" s="33">
        <f>(Z319-3.98-1.98)*10000/AA319</f>
        <v>3842.9731095455982</v>
      </c>
      <c r="AC319" s="63">
        <f t="shared" ref="AC319" si="60">AC312+SUM(K313:K319)/10000</f>
        <v>34.680399999999999</v>
      </c>
      <c r="AD319" s="2">
        <f t="shared" ref="AD319" si="61">AD312+SUM(L313:L319)/10000</f>
        <v>21.7484</v>
      </c>
      <c r="AF319" s="2">
        <f t="shared" ref="AF319" si="62">AF312+SUM(J313:J319)/10000</f>
        <v>1672.0105000000001</v>
      </c>
    </row>
    <row r="320" spans="1:32" ht="15" customHeight="1" x14ac:dyDescent="0.15">
      <c r="A320" s="20">
        <v>42319</v>
      </c>
      <c r="B320" s="20" t="s">
        <v>36</v>
      </c>
      <c r="C320" s="66">
        <v>56664</v>
      </c>
      <c r="D320" s="67">
        <v>26209</v>
      </c>
      <c r="E320" s="67">
        <v>84098</v>
      </c>
      <c r="F320" s="68">
        <v>4278</v>
      </c>
      <c r="G320" s="69">
        <v>2821</v>
      </c>
      <c r="H320" s="24"/>
      <c r="I320" s="24"/>
      <c r="J320" s="70">
        <f t="shared" si="46"/>
        <v>57889</v>
      </c>
      <c r="K320" s="71">
        <f t="shared" si="49"/>
        <v>435</v>
      </c>
      <c r="L320" s="71">
        <v>790</v>
      </c>
      <c r="M320" s="72">
        <f t="shared" si="53"/>
        <v>587892</v>
      </c>
      <c r="N320" s="73">
        <f t="shared" si="53"/>
        <v>302197</v>
      </c>
      <c r="O320" s="73">
        <f t="shared" si="53"/>
        <v>905993</v>
      </c>
      <c r="P320" s="72">
        <f t="shared" si="54"/>
        <v>16212477</v>
      </c>
      <c r="Q320" s="72">
        <f t="shared" si="54"/>
        <v>9302580</v>
      </c>
      <c r="R320" s="72">
        <f t="shared" si="54"/>
        <v>26080574</v>
      </c>
      <c r="S320" s="79">
        <f>M320/'[21]2014'!M320-1</f>
        <v>-0.12854925712964327</v>
      </c>
      <c r="T320" s="79">
        <f>N320/'[21]2014'!N320-1</f>
        <v>0.30417538786871812</v>
      </c>
      <c r="U320" s="79">
        <f>O320/'[21]2014'!O320-1</f>
        <v>-1.5816579816697152E-2</v>
      </c>
      <c r="V320" s="79">
        <f>P320/'[21]2014'!P320-1</f>
        <v>-5.3608809981950056E-2</v>
      </c>
      <c r="W320" s="79">
        <f>Q320/'[21]2014'!Q320-1</f>
        <v>0.14974352072106756</v>
      </c>
      <c r="X320" s="79">
        <f>R320/'[21]2014'!R320-1</f>
        <v>1.015020861352367E-2</v>
      </c>
      <c r="Y320" s="85"/>
      <c r="Z320" s="97"/>
      <c r="AA320" s="85"/>
      <c r="AB320" s="71"/>
    </row>
    <row r="321" spans="1:32" ht="15" customHeight="1" x14ac:dyDescent="0.15">
      <c r="A321" s="20">
        <v>42320</v>
      </c>
      <c r="B321" s="20" t="s">
        <v>37</v>
      </c>
      <c r="C321" s="21">
        <v>56641</v>
      </c>
      <c r="D321" s="7">
        <v>26372</v>
      </c>
      <c r="E321" s="7">
        <v>84756</v>
      </c>
      <c r="F321" s="22">
        <v>4325</v>
      </c>
      <c r="G321" s="23">
        <v>2818</v>
      </c>
      <c r="H321" s="24"/>
      <c r="I321" s="36"/>
      <c r="J321" s="8">
        <f t="shared" ref="J321:J370" si="63">E321-D321</f>
        <v>58384</v>
      </c>
      <c r="K321" s="37">
        <f t="shared" si="49"/>
        <v>953</v>
      </c>
      <c r="L321" s="37">
        <v>790</v>
      </c>
      <c r="M321" s="74">
        <f t="shared" si="53"/>
        <v>644533</v>
      </c>
      <c r="N321" s="75">
        <f t="shared" si="53"/>
        <v>328569</v>
      </c>
      <c r="O321" s="75">
        <f t="shared" si="53"/>
        <v>990749</v>
      </c>
      <c r="P321" s="76">
        <f t="shared" si="54"/>
        <v>16269118</v>
      </c>
      <c r="Q321" s="76">
        <f t="shared" si="54"/>
        <v>9328952</v>
      </c>
      <c r="R321" s="76">
        <f t="shared" si="54"/>
        <v>26165330</v>
      </c>
      <c r="S321" s="80">
        <f>M321/'[21]2014'!M321-1</f>
        <v>-0.13391221853588264</v>
      </c>
      <c r="T321" s="80">
        <f>N321/'[21]2014'!N321-1</f>
        <v>0.32903358897194446</v>
      </c>
      <c r="U321" s="80">
        <f>O321/'[21]2014'!O321-1</f>
        <v>-1.6228888493912685E-2</v>
      </c>
      <c r="V321" s="81">
        <f>P321/'[21]2014'!P321-1</f>
        <v>-5.4143978020998018E-2</v>
      </c>
      <c r="W321" s="81">
        <f>Q321/'[21]2014'!Q321-1</f>
        <v>0.15079707200882342</v>
      </c>
      <c r="X321" s="81">
        <f>R321/'[21]2014'!R321-1</f>
        <v>1.0047433325369948E-2</v>
      </c>
      <c r="Y321" s="93">
        <v>106.84</v>
      </c>
      <c r="Z321" s="50">
        <f>P321/10000-Y321</f>
        <v>1520.0718000000002</v>
      </c>
      <c r="AA321" s="37">
        <f>3890.092+12*(A321-"2015年6月30日")/(A321-"2015年1月1日"+1)+100*(A321-"2015年9月14日")/(A321-"2015年1月1日"+1)</f>
        <v>3913.8894683544308</v>
      </c>
      <c r="AB321" s="37">
        <f>(Z321-4.46-1.98)*10000/AA321</f>
        <v>3867.3340477251563</v>
      </c>
    </row>
    <row r="322" spans="1:32" ht="15" customHeight="1" x14ac:dyDescent="0.15">
      <c r="A322" s="20">
        <v>42321</v>
      </c>
      <c r="B322" s="20" t="s">
        <v>38</v>
      </c>
      <c r="C322" s="21">
        <v>57076</v>
      </c>
      <c r="D322" s="7">
        <v>24618</v>
      </c>
      <c r="E322" s="7">
        <v>82787</v>
      </c>
      <c r="F322" s="22">
        <v>4228</v>
      </c>
      <c r="G322" s="23">
        <v>2749</v>
      </c>
      <c r="H322" s="24"/>
      <c r="I322" s="36"/>
      <c r="J322" s="8">
        <f t="shared" si="63"/>
        <v>58169</v>
      </c>
      <c r="K322" s="37">
        <f t="shared" si="49"/>
        <v>303</v>
      </c>
      <c r="L322" s="37">
        <v>790</v>
      </c>
      <c r="M322" s="74">
        <f t="shared" si="53"/>
        <v>701609</v>
      </c>
      <c r="N322" s="75">
        <f t="shared" si="53"/>
        <v>353187</v>
      </c>
      <c r="O322" s="75">
        <f t="shared" si="53"/>
        <v>1073536</v>
      </c>
      <c r="P322" s="76">
        <f t="shared" si="54"/>
        <v>16326194</v>
      </c>
      <c r="Q322" s="76">
        <f t="shared" si="54"/>
        <v>9353570</v>
      </c>
      <c r="R322" s="76">
        <f t="shared" si="54"/>
        <v>26248117</v>
      </c>
      <c r="S322" s="80">
        <f>M322/'[21]2014'!M322-1</f>
        <v>-0.1384598571158423</v>
      </c>
      <c r="T322" s="80">
        <f>N322/'[21]2014'!N322-1</f>
        <v>0.34324833133664212</v>
      </c>
      <c r="U322" s="80">
        <f>O322/'[21]2014'!O322-1</f>
        <v>-1.8921791451791736E-2</v>
      </c>
      <c r="V322" s="81">
        <f>P322/'[21]2014'!P322-1</f>
        <v>-5.4682543055554422E-2</v>
      </c>
      <c r="W322" s="81">
        <f>Q322/'[21]2014'!Q322-1</f>
        <v>0.15160200262871326</v>
      </c>
      <c r="X322" s="81">
        <f>R322/'[21]2014'!R322-1</f>
        <v>9.8459646549493574E-3</v>
      </c>
      <c r="Y322" s="93"/>
      <c r="Z322" s="50"/>
      <c r="AA322" s="37"/>
      <c r="AB322" s="37"/>
    </row>
    <row r="323" spans="1:32" ht="15" customHeight="1" x14ac:dyDescent="0.15">
      <c r="A323" s="20">
        <v>42322</v>
      </c>
      <c r="B323" s="20" t="s">
        <v>39</v>
      </c>
      <c r="C323" s="21">
        <v>53921</v>
      </c>
      <c r="D323" s="7">
        <v>25158</v>
      </c>
      <c r="E323" s="7">
        <v>80173</v>
      </c>
      <c r="F323" s="22">
        <v>4080</v>
      </c>
      <c r="G323" s="23">
        <v>2688</v>
      </c>
      <c r="H323" s="24"/>
      <c r="I323" s="36"/>
      <c r="J323" s="8">
        <f t="shared" si="63"/>
        <v>55015</v>
      </c>
      <c r="K323" s="37">
        <f t="shared" si="49"/>
        <v>304</v>
      </c>
      <c r="L323" s="37">
        <v>790</v>
      </c>
      <c r="M323" s="74">
        <f t="shared" si="53"/>
        <v>755530</v>
      </c>
      <c r="N323" s="75">
        <f t="shared" si="53"/>
        <v>378345</v>
      </c>
      <c r="O323" s="75">
        <f t="shared" si="53"/>
        <v>1153709</v>
      </c>
      <c r="P323" s="76">
        <f t="shared" si="54"/>
        <v>16380115</v>
      </c>
      <c r="Q323" s="76">
        <f t="shared" si="54"/>
        <v>9378728</v>
      </c>
      <c r="R323" s="76">
        <f t="shared" si="54"/>
        <v>26328290</v>
      </c>
      <c r="S323" s="80">
        <f>M323/'[21]2014'!M323-1</f>
        <v>-0.14634201457544771</v>
      </c>
      <c r="T323" s="80">
        <f>N323/'[21]2014'!N323-1</f>
        <v>0.35665391331786678</v>
      </c>
      <c r="U323" s="80">
        <f>O323/'[21]2014'!O323-1</f>
        <v>-2.4039718236703811E-2</v>
      </c>
      <c r="V323" s="81">
        <f>P323/'[21]2014'!P323-1</f>
        <v>-5.5426307103778605E-2</v>
      </c>
      <c r="W323" s="81">
        <f>Q323/'[21]2014'!Q323-1</f>
        <v>0.15243690212683547</v>
      </c>
      <c r="X323" s="81">
        <f>R323/'[21]2014'!R323-1</f>
        <v>9.517042316756319E-3</v>
      </c>
      <c r="Y323" s="93"/>
      <c r="Z323" s="50"/>
      <c r="AA323" s="37"/>
      <c r="AB323" s="37"/>
    </row>
    <row r="324" spans="1:32" ht="15" customHeight="1" x14ac:dyDescent="0.15">
      <c r="A324" s="20">
        <v>42323</v>
      </c>
      <c r="B324" s="20" t="s">
        <v>1</v>
      </c>
      <c r="C324" s="21">
        <v>47821</v>
      </c>
      <c r="D324" s="7">
        <v>25902</v>
      </c>
      <c r="E324" s="7">
        <v>74763</v>
      </c>
      <c r="F324" s="22">
        <v>3714</v>
      </c>
      <c r="G324" s="23">
        <v>2632</v>
      </c>
      <c r="H324" s="24"/>
      <c r="I324" s="36"/>
      <c r="J324" s="8">
        <f t="shared" si="63"/>
        <v>48861</v>
      </c>
      <c r="K324" s="37">
        <f t="shared" si="49"/>
        <v>250</v>
      </c>
      <c r="L324" s="37">
        <v>790</v>
      </c>
      <c r="M324" s="74">
        <f t="shared" si="53"/>
        <v>803351</v>
      </c>
      <c r="N324" s="75">
        <f t="shared" si="53"/>
        <v>404247</v>
      </c>
      <c r="O324" s="75">
        <f t="shared" si="53"/>
        <v>1228472</v>
      </c>
      <c r="P324" s="76">
        <f t="shared" si="54"/>
        <v>16427936</v>
      </c>
      <c r="Q324" s="76">
        <f t="shared" si="54"/>
        <v>9404630</v>
      </c>
      <c r="R324" s="76">
        <f t="shared" si="54"/>
        <v>26403053</v>
      </c>
      <c r="S324" s="80">
        <f>M324/'[21]2014'!M324-1</f>
        <v>-0.15794477357248571</v>
      </c>
      <c r="T324" s="80">
        <f>N324/'[21]2014'!N324-1</f>
        <v>0.37147248213764694</v>
      </c>
      <c r="U324" s="80">
        <f>O324/'[21]2014'!O324-1</f>
        <v>-3.1149815176869433E-2</v>
      </c>
      <c r="V324" s="81">
        <f>P324/'[21]2014'!P324-1</f>
        <v>-5.642234948304059E-2</v>
      </c>
      <c r="W324" s="81">
        <f>Q324/'[21]2014'!Q324-1</f>
        <v>0.15337010404715157</v>
      </c>
      <c r="X324" s="81">
        <f>R324/'[21]2014'!R324-1</f>
        <v>9.0624067110960382E-3</v>
      </c>
      <c r="Y324" s="93"/>
      <c r="Z324" s="50"/>
      <c r="AA324" s="37"/>
      <c r="AB324" s="37"/>
    </row>
    <row r="325" spans="1:32" ht="15" customHeight="1" x14ac:dyDescent="0.15">
      <c r="A325" s="20">
        <v>42324</v>
      </c>
      <c r="B325" s="20" t="s">
        <v>34</v>
      </c>
      <c r="C325" s="21">
        <v>52363</v>
      </c>
      <c r="D325" s="7">
        <v>25458</v>
      </c>
      <c r="E325" s="7">
        <v>79271</v>
      </c>
      <c r="F325" s="22">
        <v>4091</v>
      </c>
      <c r="G325" s="23">
        <v>2526</v>
      </c>
      <c r="H325" s="24"/>
      <c r="I325" s="36"/>
      <c r="J325" s="8">
        <f t="shared" si="63"/>
        <v>53813</v>
      </c>
      <c r="K325" s="37">
        <f t="shared" si="49"/>
        <v>660</v>
      </c>
      <c r="L325" s="37">
        <v>790</v>
      </c>
      <c r="M325" s="74">
        <f t="shared" si="53"/>
        <v>855714</v>
      </c>
      <c r="N325" s="75">
        <f t="shared" si="53"/>
        <v>429705</v>
      </c>
      <c r="O325" s="75">
        <f t="shared" si="53"/>
        <v>1307743</v>
      </c>
      <c r="P325" s="76">
        <f t="shared" si="54"/>
        <v>16480299</v>
      </c>
      <c r="Q325" s="76">
        <f t="shared" si="54"/>
        <v>9430088</v>
      </c>
      <c r="R325" s="76">
        <f t="shared" si="54"/>
        <v>26482324</v>
      </c>
      <c r="S325" s="80">
        <f>M325/'[21]2014'!M325-1</f>
        <v>-0.1604819816107651</v>
      </c>
      <c r="T325" s="80">
        <f>N325/'[21]2014'!N325-1</f>
        <v>0.3845105456138882</v>
      </c>
      <c r="U325" s="80">
        <f>O325/'[21]2014'!O325-1</f>
        <v>-3.112205964067416E-2</v>
      </c>
      <c r="V325" s="81">
        <f>P325/'[21]2014'!P325-1</f>
        <v>-5.6949435553276806E-2</v>
      </c>
      <c r="W325" s="81">
        <f>Q325/'[21]2014'!Q325-1</f>
        <v>0.15428220932938963</v>
      </c>
      <c r="X325" s="81">
        <f>R325/'[21]2014'!R325-1</f>
        <v>8.9385432211226412E-3</v>
      </c>
      <c r="Y325" s="93"/>
      <c r="Z325" s="50"/>
      <c r="AA325" s="37"/>
      <c r="AB325" s="37"/>
    </row>
    <row r="326" spans="1:32" ht="15" customHeight="1" x14ac:dyDescent="0.15">
      <c r="A326" s="20">
        <v>42325</v>
      </c>
      <c r="B326" s="14" t="s">
        <v>35</v>
      </c>
      <c r="C326" s="15">
        <v>54218</v>
      </c>
      <c r="D326" s="16">
        <v>24709</v>
      </c>
      <c r="E326" s="16">
        <v>81120</v>
      </c>
      <c r="F326" s="17">
        <v>4180</v>
      </c>
      <c r="G326" s="18">
        <v>2658</v>
      </c>
      <c r="H326" s="19"/>
      <c r="I326" s="19"/>
      <c r="J326" s="32">
        <f t="shared" si="63"/>
        <v>56411</v>
      </c>
      <c r="K326" s="33">
        <f t="shared" si="49"/>
        <v>1403</v>
      </c>
      <c r="L326" s="33">
        <v>790</v>
      </c>
      <c r="M326" s="77">
        <f t="shared" si="53"/>
        <v>909932</v>
      </c>
      <c r="N326" s="78">
        <f t="shared" si="53"/>
        <v>454414</v>
      </c>
      <c r="O326" s="78">
        <f t="shared" si="53"/>
        <v>1388863</v>
      </c>
      <c r="P326" s="77">
        <f t="shared" si="54"/>
        <v>16534517</v>
      </c>
      <c r="Q326" s="77">
        <f t="shared" si="54"/>
        <v>9454797</v>
      </c>
      <c r="R326" s="77">
        <f t="shared" si="54"/>
        <v>26563444</v>
      </c>
      <c r="S326" s="82">
        <f>M326/'[21]2014'!M326-1</f>
        <v>-0.16346399592548944</v>
      </c>
      <c r="T326" s="82">
        <f>N326/'[21]2014'!N326-1</f>
        <v>0.39334379944317033</v>
      </c>
      <c r="U326" s="82">
        <f>O326/'[21]2014'!O326-1</f>
        <v>-3.2288789607609836E-2</v>
      </c>
      <c r="V326" s="82">
        <f>P326/'[21]2014'!P326-1</f>
        <v>-5.7538244203163669E-2</v>
      </c>
      <c r="W326" s="82">
        <f>Q326/'[21]2014'!Q326-1</f>
        <v>0.15507759740900329</v>
      </c>
      <c r="X326" s="82">
        <f>R326/'[21]2014'!R326-1</f>
        <v>8.7449533163217463E-3</v>
      </c>
      <c r="Y326" s="96">
        <v>109.78</v>
      </c>
      <c r="Z326" s="49">
        <f>P326/10000-Y326</f>
        <v>1543.6717000000001</v>
      </c>
      <c r="AA326" s="33">
        <f>3890.092+12*(A326-"2015年6月30日")/(A326-"2015年1月1日"+1)+100*(A326-"2015年9月14日")/(A326-"2015年1月1日"+1)</f>
        <v>3915.2633395638632</v>
      </c>
      <c r="AB326" s="33">
        <f>(Z326-3.98-1.98)*10000/AA326</f>
        <v>3927.4796268781547</v>
      </c>
      <c r="AC326" s="63">
        <f t="shared" ref="AC326" si="64">AC319+SUM(K320:K326)/10000</f>
        <v>35.111199999999997</v>
      </c>
      <c r="AD326" s="2">
        <f t="shared" ref="AD326" si="65">AD319+SUM(L320:L326)/10000</f>
        <v>22.301400000000001</v>
      </c>
      <c r="AF326" s="2">
        <f t="shared" ref="AF326" si="66">AF319+SUM(J320:J326)/10000</f>
        <v>1710.8647000000001</v>
      </c>
    </row>
    <row r="327" spans="1:32" ht="15" customHeight="1" x14ac:dyDescent="0.15">
      <c r="A327" s="20">
        <v>42326</v>
      </c>
      <c r="B327" s="20" t="s">
        <v>36</v>
      </c>
      <c r="C327" s="66">
        <v>52066</v>
      </c>
      <c r="D327" s="67">
        <v>25962</v>
      </c>
      <c r="E327" s="67">
        <v>80272</v>
      </c>
      <c r="F327" s="68">
        <v>4171</v>
      </c>
      <c r="G327" s="69">
        <v>2613</v>
      </c>
      <c r="H327" s="24"/>
      <c r="I327" s="24"/>
      <c r="J327" s="70">
        <f t="shared" si="63"/>
        <v>54310</v>
      </c>
      <c r="K327" s="71">
        <f t="shared" si="49"/>
        <v>1454</v>
      </c>
      <c r="L327" s="71">
        <v>790</v>
      </c>
      <c r="M327" s="72">
        <f t="shared" ref="M327:O338" si="67">C327+M326</f>
        <v>961998</v>
      </c>
      <c r="N327" s="73">
        <f t="shared" si="67"/>
        <v>480376</v>
      </c>
      <c r="O327" s="73">
        <f t="shared" si="67"/>
        <v>1469135</v>
      </c>
      <c r="P327" s="72">
        <f t="shared" si="54"/>
        <v>16586583</v>
      </c>
      <c r="Q327" s="72">
        <f t="shared" si="54"/>
        <v>9480759</v>
      </c>
      <c r="R327" s="72">
        <f t="shared" si="54"/>
        <v>26643716</v>
      </c>
      <c r="S327" s="79">
        <f>M327/'[21]2014'!M327-1</f>
        <v>-0.16834482120673244</v>
      </c>
      <c r="T327" s="79">
        <f>N327/'[21]2014'!N327-1</f>
        <v>0.39682761227664609</v>
      </c>
      <c r="U327" s="79">
        <f>O327/'[21]2014'!O327-1</f>
        <v>-3.5348060269119075E-2</v>
      </c>
      <c r="V327" s="79">
        <f>P327/'[21]2014'!P327-1</f>
        <v>-5.8273696832814248E-2</v>
      </c>
      <c r="W327" s="79">
        <f>Q327/'[21]2014'!Q327-1</f>
        <v>0.15573987670291123</v>
      </c>
      <c r="X327" s="79">
        <f>R327/'[21]2014'!R327-1</f>
        <v>8.4323033887767629E-3</v>
      </c>
      <c r="Y327" s="85"/>
      <c r="Z327" s="97"/>
      <c r="AA327" s="85"/>
      <c r="AB327" s="71"/>
    </row>
    <row r="328" spans="1:32" ht="15" customHeight="1" x14ac:dyDescent="0.15">
      <c r="A328" s="20">
        <v>42327</v>
      </c>
      <c r="B328" s="20" t="s">
        <v>37</v>
      </c>
      <c r="C328" s="21">
        <v>54485</v>
      </c>
      <c r="D328" s="7">
        <v>24392</v>
      </c>
      <c r="E328" s="7">
        <v>81712</v>
      </c>
      <c r="F328" s="22">
        <v>4214</v>
      </c>
      <c r="G328" s="23">
        <v>2629</v>
      </c>
      <c r="H328" s="24"/>
      <c r="I328" s="36"/>
      <c r="J328" s="8">
        <f t="shared" si="63"/>
        <v>57320</v>
      </c>
      <c r="K328" s="37">
        <f t="shared" si="49"/>
        <v>2045</v>
      </c>
      <c r="L328" s="37">
        <v>790</v>
      </c>
      <c r="M328" s="74">
        <f t="shared" si="67"/>
        <v>1016483</v>
      </c>
      <c r="N328" s="75">
        <f t="shared" si="67"/>
        <v>504768</v>
      </c>
      <c r="O328" s="75">
        <f t="shared" si="67"/>
        <v>1550847</v>
      </c>
      <c r="P328" s="76">
        <f t="shared" si="54"/>
        <v>16641068</v>
      </c>
      <c r="Q328" s="76">
        <f t="shared" si="54"/>
        <v>9505151</v>
      </c>
      <c r="R328" s="76">
        <f t="shared" si="54"/>
        <v>26725428</v>
      </c>
      <c r="S328" s="80">
        <f>M328/'[21]2014'!M328-1</f>
        <v>-0.17211702136324025</v>
      </c>
      <c r="T328" s="80">
        <f>N328/'[21]2014'!N328-1</f>
        <v>0.40073648778024129</v>
      </c>
      <c r="U328" s="80">
        <f>O328/'[21]2014'!O328-1</f>
        <v>-3.7807175154983552E-2</v>
      </c>
      <c r="V328" s="81">
        <f>P328/'[21]2014'!P328-1</f>
        <v>-5.8978045625099895E-2</v>
      </c>
      <c r="W328" s="81">
        <f>Q328/'[21]2014'!Q328-1</f>
        <v>0.15639385309481302</v>
      </c>
      <c r="X328" s="81">
        <f>R328/'[21]2014'!R328-1</f>
        <v>8.1361135916280247E-3</v>
      </c>
      <c r="Y328" s="93">
        <v>110.55</v>
      </c>
      <c r="Z328" s="50">
        <f>P328/10000-Y328</f>
        <v>1553.5568000000001</v>
      </c>
      <c r="AA328" s="37">
        <f>3890.092+12*(A328-"2015年6月30日")/(A328-"2015年1月1日"+1)+100*(A328-"2015年9月14日")/(A328-"2015年1月1日"+1)</f>
        <v>3915.8009783281732</v>
      </c>
      <c r="AB328" s="37">
        <f>(Z328-3.98-3.08)*10000/AA328</f>
        <v>3949.3753859274721</v>
      </c>
    </row>
    <row r="329" spans="1:32" ht="15" customHeight="1" x14ac:dyDescent="0.15">
      <c r="A329" s="20">
        <v>42328</v>
      </c>
      <c r="B329" s="20" t="s">
        <v>38</v>
      </c>
      <c r="C329" s="21">
        <v>54674</v>
      </c>
      <c r="D329" s="7">
        <v>25038</v>
      </c>
      <c r="E329" s="7">
        <v>82062</v>
      </c>
      <c r="F329" s="22">
        <v>4229</v>
      </c>
      <c r="G329" s="23">
        <v>2682</v>
      </c>
      <c r="H329" s="24"/>
      <c r="I329" s="36"/>
      <c r="J329" s="8">
        <f t="shared" si="63"/>
        <v>57024</v>
      </c>
      <c r="K329" s="37">
        <f t="shared" si="49"/>
        <v>1560</v>
      </c>
      <c r="L329" s="37">
        <v>790</v>
      </c>
      <c r="M329" s="74">
        <f t="shared" si="67"/>
        <v>1071157</v>
      </c>
      <c r="N329" s="75">
        <f t="shared" si="67"/>
        <v>529806</v>
      </c>
      <c r="O329" s="75">
        <f t="shared" si="67"/>
        <v>1632909</v>
      </c>
      <c r="P329" s="76">
        <f t="shared" si="54"/>
        <v>16695742</v>
      </c>
      <c r="Q329" s="76">
        <f t="shared" si="54"/>
        <v>9530189</v>
      </c>
      <c r="R329" s="76">
        <f t="shared" si="54"/>
        <v>26807490</v>
      </c>
      <c r="S329" s="80">
        <f>M329/'[21]2014'!M329-1</f>
        <v>-0.17332603764789778</v>
      </c>
      <c r="T329" s="80">
        <f>N329/'[21]2014'!N329-1</f>
        <v>0.39833299901816921</v>
      </c>
      <c r="U329" s="80">
        <f>O329/'[21]2014'!O329-1</f>
        <v>-3.9058872546682943E-2</v>
      </c>
      <c r="V329" s="81">
        <f>P329/'[21]2014'!P329-1</f>
        <v>-5.9499252223879862E-2</v>
      </c>
      <c r="W329" s="81">
        <f>Q329/'[21]2014'!Q329-1</f>
        <v>0.15683276153385206</v>
      </c>
      <c r="X329" s="81">
        <f>R329/'[21]2014'!R329-1</f>
        <v>7.9050036785528466E-3</v>
      </c>
      <c r="Y329" s="93">
        <v>112.56</v>
      </c>
      <c r="Z329" s="50">
        <f>P329/10000-Y329</f>
        <v>1557.0142000000001</v>
      </c>
      <c r="AA329" s="37">
        <f>3890.092+(12*(A329-"2015年6月30日")+100*(A329-"2015年9月14日")+66*(A329-"2015年11月17日"))/(A329-"2015年1月1日"+1)</f>
        <v>3916.6784197530865</v>
      </c>
      <c r="AB329" s="37">
        <f>(Z329-3.98-2.7544)*10000/AA329</f>
        <v>3958.1493139223107</v>
      </c>
    </row>
    <row r="330" spans="1:32" ht="15" customHeight="1" x14ac:dyDescent="0.15">
      <c r="A330" s="20">
        <v>42329</v>
      </c>
      <c r="B330" s="20" t="s">
        <v>39</v>
      </c>
      <c r="C330" s="21">
        <v>52903</v>
      </c>
      <c r="D330" s="7">
        <f>9278+15986</f>
        <v>25264</v>
      </c>
      <c r="E330" s="7">
        <v>80454</v>
      </c>
      <c r="F330" s="22">
        <v>4103</v>
      </c>
      <c r="G330" s="23">
        <v>2697</v>
      </c>
      <c r="H330" s="24"/>
      <c r="I330" s="36"/>
      <c r="J330" s="8">
        <f t="shared" si="63"/>
        <v>55190</v>
      </c>
      <c r="K330" s="37">
        <f t="shared" si="49"/>
        <v>1497</v>
      </c>
      <c r="L330" s="37">
        <v>790</v>
      </c>
      <c r="M330" s="74">
        <f t="shared" si="67"/>
        <v>1124060</v>
      </c>
      <c r="N330" s="75">
        <f t="shared" si="67"/>
        <v>555070</v>
      </c>
      <c r="O330" s="75">
        <f t="shared" si="67"/>
        <v>1713363</v>
      </c>
      <c r="P330" s="76">
        <f t="shared" si="54"/>
        <v>16748645</v>
      </c>
      <c r="Q330" s="76">
        <f t="shared" si="54"/>
        <v>9555453</v>
      </c>
      <c r="R330" s="76">
        <f t="shared" si="54"/>
        <v>26887944</v>
      </c>
      <c r="S330" s="80">
        <f>M330/'[21]2014'!M330-1</f>
        <v>-0.17475956244034951</v>
      </c>
      <c r="T330" s="80">
        <f>N330/'[21]2014'!N330-1</f>
        <v>0.39042804753411753</v>
      </c>
      <c r="U330" s="80">
        <f>O330/'[21]2014'!O330-1</f>
        <v>-4.1139979013641081E-2</v>
      </c>
      <c r="V330" s="81">
        <f>P330/'[21]2014'!P330-1</f>
        <v>-6.0032737078361098E-2</v>
      </c>
      <c r="W330" s="81">
        <f>Q330/'[21]2014'!Q330-1</f>
        <v>0.15704497095264602</v>
      </c>
      <c r="X330" s="81">
        <f>R330/'[21]2014'!R330-1</f>
        <v>7.6114874713699709E-3</v>
      </c>
      <c r="Y330" s="93"/>
      <c r="Z330" s="50"/>
      <c r="AA330" s="37"/>
      <c r="AB330" s="37"/>
    </row>
    <row r="331" spans="1:32" ht="15" customHeight="1" x14ac:dyDescent="0.15">
      <c r="A331" s="20">
        <v>42330</v>
      </c>
      <c r="B331" s="20" t="s">
        <v>1</v>
      </c>
      <c r="C331" s="21">
        <v>48537</v>
      </c>
      <c r="D331" s="7">
        <f>6786+17943</f>
        <v>24729</v>
      </c>
      <c r="E331" s="7">
        <v>75720</v>
      </c>
      <c r="F331" s="22">
        <v>3760</v>
      </c>
      <c r="G331" s="23">
        <v>2640</v>
      </c>
      <c r="H331" s="24"/>
      <c r="I331" s="36"/>
      <c r="J331" s="8">
        <f t="shared" si="63"/>
        <v>50991</v>
      </c>
      <c r="K331" s="37">
        <f t="shared" ref="K331:K370" si="68">J331-C331-L331</f>
        <v>1664</v>
      </c>
      <c r="L331" s="37">
        <v>790</v>
      </c>
      <c r="M331" s="74">
        <f t="shared" si="67"/>
        <v>1172597</v>
      </c>
      <c r="N331" s="75">
        <f t="shared" si="67"/>
        <v>579799</v>
      </c>
      <c r="O331" s="75">
        <f t="shared" si="67"/>
        <v>1789083</v>
      </c>
      <c r="P331" s="76">
        <f t="shared" si="54"/>
        <v>16797182</v>
      </c>
      <c r="Q331" s="76">
        <f t="shared" si="54"/>
        <v>9580182</v>
      </c>
      <c r="R331" s="76">
        <f t="shared" si="54"/>
        <v>26963664</v>
      </c>
      <c r="S331" s="80">
        <f>M331/'[21]2014'!M331-1</f>
        <v>-0.17707640310025297</v>
      </c>
      <c r="T331" s="80">
        <f>N331/'[21]2014'!N331-1</f>
        <v>0.37714897841876982</v>
      </c>
      <c r="U331" s="80">
        <f>O331/'[21]2014'!O331-1</f>
        <v>-4.4618364370670904E-2</v>
      </c>
      <c r="V331" s="81">
        <f>P331/'[21]2014'!P331-1</f>
        <v>-6.0620394310341719E-2</v>
      </c>
      <c r="W331" s="81">
        <f>Q331/'[21]2014'!Q331-1</f>
        <v>0.15698440280600834</v>
      </c>
      <c r="X331" s="81">
        <f>R331/'[21]2014'!R331-1</f>
        <v>7.2119903180052347E-3</v>
      </c>
      <c r="Y331" s="93"/>
      <c r="Z331" s="50"/>
      <c r="AA331" s="37"/>
      <c r="AB331" s="37"/>
    </row>
    <row r="332" spans="1:32" ht="15" customHeight="1" x14ac:dyDescent="0.15">
      <c r="A332" s="20">
        <v>42331</v>
      </c>
      <c r="B332" s="20" t="s">
        <v>34</v>
      </c>
      <c r="C332" s="21">
        <v>52729</v>
      </c>
      <c r="D332" s="7">
        <f>16659+8503</f>
        <v>25162</v>
      </c>
      <c r="E332" s="7">
        <v>80043</v>
      </c>
      <c r="F332" s="22">
        <v>4132</v>
      </c>
      <c r="G332" s="23">
        <v>2558</v>
      </c>
      <c r="H332" s="24"/>
      <c r="I332" s="36"/>
      <c r="J332" s="8">
        <f t="shared" si="63"/>
        <v>54881</v>
      </c>
      <c r="K332" s="37">
        <f t="shared" si="68"/>
        <v>1362</v>
      </c>
      <c r="L332" s="37">
        <v>790</v>
      </c>
      <c r="M332" s="74">
        <f t="shared" si="67"/>
        <v>1225326</v>
      </c>
      <c r="N332" s="75">
        <f t="shared" si="67"/>
        <v>604961</v>
      </c>
      <c r="O332" s="75">
        <f t="shared" si="67"/>
        <v>1869126</v>
      </c>
      <c r="P332" s="76">
        <f t="shared" si="54"/>
        <v>16849911</v>
      </c>
      <c r="Q332" s="76">
        <f t="shared" si="54"/>
        <v>9605344</v>
      </c>
      <c r="R332" s="76">
        <f t="shared" si="54"/>
        <v>27043707</v>
      </c>
      <c r="S332" s="80">
        <f>M332/'[21]2014'!M332-1</f>
        <v>-0.17391172443363956</v>
      </c>
      <c r="T332" s="80">
        <f>N332/'[21]2014'!N332-1</f>
        <v>0.3668377018474962</v>
      </c>
      <c r="U332" s="80">
        <f>O332/'[21]2014'!O332-1</f>
        <v>-4.3256822925890948E-2</v>
      </c>
      <c r="V332" s="81">
        <f>P332/'[21]2014'!P332-1</f>
        <v>-6.073765093426442E-2</v>
      </c>
      <c r="W332" s="81">
        <f>Q332/'[21]2014'!Q332-1</f>
        <v>0.15700710747921987</v>
      </c>
      <c r="X332" s="81">
        <f>R332/'[21]2014'!R332-1</f>
        <v>7.1547069511472827E-3</v>
      </c>
      <c r="Y332" s="93"/>
      <c r="Z332" s="50"/>
      <c r="AA332" s="37"/>
      <c r="AB332" s="37"/>
    </row>
    <row r="333" spans="1:32" ht="15" customHeight="1" x14ac:dyDescent="0.15">
      <c r="A333" s="20">
        <v>42332</v>
      </c>
      <c r="B333" s="14" t="s">
        <v>35</v>
      </c>
      <c r="C333" s="15">
        <v>56278</v>
      </c>
      <c r="D333" s="16">
        <f>15831+8541</f>
        <v>24372</v>
      </c>
      <c r="E333" s="16">
        <v>82782</v>
      </c>
      <c r="F333" s="17">
        <v>4226</v>
      </c>
      <c r="G333" s="18">
        <v>2710</v>
      </c>
      <c r="H333" s="19">
        <v>1193</v>
      </c>
      <c r="I333" s="19">
        <v>765</v>
      </c>
      <c r="J333" s="32">
        <f t="shared" si="63"/>
        <v>58410</v>
      </c>
      <c r="K333" s="33">
        <f t="shared" si="68"/>
        <v>1342</v>
      </c>
      <c r="L333" s="33">
        <v>790</v>
      </c>
      <c r="M333" s="77">
        <f t="shared" si="67"/>
        <v>1281604</v>
      </c>
      <c r="N333" s="78">
        <f t="shared" si="67"/>
        <v>629333</v>
      </c>
      <c r="O333" s="78">
        <f t="shared" si="67"/>
        <v>1951908</v>
      </c>
      <c r="P333" s="77">
        <f t="shared" si="54"/>
        <v>16906189</v>
      </c>
      <c r="Q333" s="77">
        <f t="shared" si="54"/>
        <v>9629716</v>
      </c>
      <c r="R333" s="77">
        <f t="shared" si="54"/>
        <v>27126489</v>
      </c>
      <c r="S333" s="82">
        <f>M333/'[21]2014'!M333-1</f>
        <v>-0.170611684916259</v>
      </c>
      <c r="T333" s="82">
        <f>N333/'[21]2014'!N333-1</f>
        <v>0.35566666092231336</v>
      </c>
      <c r="U333" s="82">
        <f>O333/'[21]2014'!O333-1</f>
        <v>-4.2334067480361282E-2</v>
      </c>
      <c r="V333" s="82">
        <f>P333/'[21]2014'!P333-1</f>
        <v>-6.0843871177617248E-2</v>
      </c>
      <c r="W333" s="82">
        <f>Q333/'[21]2014'!Q333-1</f>
        <v>0.15692922225692318</v>
      </c>
      <c r="X333" s="82">
        <f>R333/'[21]2014'!R333-1</f>
        <v>7.0662757981976299E-3</v>
      </c>
      <c r="Y333" s="96">
        <f>(Y335-Y329)/7*4+Y329</f>
        <v>114.96000000000001</v>
      </c>
      <c r="Z333" s="49">
        <f>P333/10000-Y333</f>
        <v>1575.6588999999999</v>
      </c>
      <c r="AA333" s="33">
        <f>3890.092+12*(A333-"2015年6月30日")/(A333-"2015年1月1日"+1)+100*(A333-"2015年9月14日")/(A333-"2015年1月1日"+1)</f>
        <v>3917.1163902439025</v>
      </c>
      <c r="AB333" s="33">
        <f>(Z333-3.98-1.98)*10000/AA333</f>
        <v>4007.2817440644421</v>
      </c>
      <c r="AC333" s="63">
        <f t="shared" ref="AC333" si="69">AC326+SUM(K327:K333)/10000</f>
        <v>36.203599999999994</v>
      </c>
      <c r="AD333" s="2">
        <f t="shared" ref="AD333" si="70">AD326+SUM(L327:L333)/10000</f>
        <v>22.854400000000002</v>
      </c>
      <c r="AF333" s="2">
        <f t="shared" ref="AF333" si="71">AF326+SUM(J327:J333)/10000</f>
        <v>1749.6773000000001</v>
      </c>
    </row>
    <row r="334" spans="1:32" ht="15" customHeight="1" x14ac:dyDescent="0.15">
      <c r="A334" s="20">
        <v>42333</v>
      </c>
      <c r="B334" s="20" t="s">
        <v>36</v>
      </c>
      <c r="C334" s="66">
        <v>58956</v>
      </c>
      <c r="D334" s="67">
        <v>23531</v>
      </c>
      <c r="E334" s="67">
        <v>84813</v>
      </c>
      <c r="F334" s="68">
        <v>4392</v>
      </c>
      <c r="G334" s="69">
        <v>2737</v>
      </c>
      <c r="H334" s="24">
        <v>1189</v>
      </c>
      <c r="I334" s="24">
        <v>741</v>
      </c>
      <c r="J334" s="70">
        <f t="shared" si="63"/>
        <v>61282</v>
      </c>
      <c r="K334" s="71">
        <f t="shared" si="68"/>
        <v>1536</v>
      </c>
      <c r="L334" s="71">
        <v>790</v>
      </c>
      <c r="M334" s="72">
        <f t="shared" si="67"/>
        <v>1340560</v>
      </c>
      <c r="N334" s="73">
        <f t="shared" si="67"/>
        <v>652864</v>
      </c>
      <c r="O334" s="73">
        <f t="shared" si="67"/>
        <v>2036721</v>
      </c>
      <c r="P334" s="72">
        <f t="shared" si="54"/>
        <v>16965145</v>
      </c>
      <c r="Q334" s="72">
        <f t="shared" si="54"/>
        <v>9653247</v>
      </c>
      <c r="R334" s="72">
        <f t="shared" si="54"/>
        <v>27211302</v>
      </c>
      <c r="S334" s="79">
        <f>M334/'[21]2014'!M334-1</f>
        <v>-0.16639461442268644</v>
      </c>
      <c r="T334" s="79">
        <f>N334/'[21]2014'!N334-1</f>
        <v>0.34884797196786876</v>
      </c>
      <c r="U334" s="79">
        <f>O334/'[21]2014'!O334-1</f>
        <v>-4.0193457906929853E-2</v>
      </c>
      <c r="V334" s="79">
        <f>P334/'[21]2014'!P334-1</f>
        <v>-6.0850707539009785E-2</v>
      </c>
      <c r="W334" s="79">
        <f>Q334/'[21]2014'!Q334-1</f>
        <v>0.15700509827909337</v>
      </c>
      <c r="X334" s="79">
        <f>R334/'[21]2014'!R334-1</f>
        <v>7.0811430179940071E-3</v>
      </c>
      <c r="Y334" s="85"/>
      <c r="Z334" s="97"/>
      <c r="AA334" s="85"/>
      <c r="AB334" s="71"/>
    </row>
    <row r="335" spans="1:32" ht="15" customHeight="1" x14ac:dyDescent="0.15">
      <c r="A335" s="20">
        <v>42334</v>
      </c>
      <c r="B335" s="20" t="s">
        <v>37</v>
      </c>
      <c r="C335" s="21">
        <v>61810</v>
      </c>
      <c r="D335" s="7">
        <f>14922+7802</f>
        <v>22724</v>
      </c>
      <c r="E335" s="7">
        <v>86616</v>
      </c>
      <c r="F335" s="22">
        <v>4397</v>
      </c>
      <c r="G335" s="23">
        <v>2793</v>
      </c>
      <c r="H335" s="24"/>
      <c r="I335" s="36"/>
      <c r="J335" s="8">
        <f t="shared" si="63"/>
        <v>63892</v>
      </c>
      <c r="K335" s="37">
        <f t="shared" si="68"/>
        <v>1292</v>
      </c>
      <c r="L335" s="37">
        <v>790</v>
      </c>
      <c r="M335" s="74">
        <f t="shared" si="67"/>
        <v>1402370</v>
      </c>
      <c r="N335" s="75">
        <f t="shared" si="67"/>
        <v>675588</v>
      </c>
      <c r="O335" s="75">
        <f t="shared" si="67"/>
        <v>2123337</v>
      </c>
      <c r="P335" s="76">
        <f t="shared" si="54"/>
        <v>17026955</v>
      </c>
      <c r="Q335" s="76">
        <f t="shared" si="54"/>
        <v>9675971</v>
      </c>
      <c r="R335" s="76">
        <f t="shared" si="54"/>
        <v>27297918</v>
      </c>
      <c r="S335" s="80">
        <f>M335/'[21]2014'!M335-1</f>
        <v>-0.16171168936282387</v>
      </c>
      <c r="T335" s="80">
        <f>N335/'[21]2014'!N335-1</f>
        <v>0.33962043413515008</v>
      </c>
      <c r="U335" s="80">
        <f>O335/'[21]2014'!O335-1</f>
        <v>-3.8380333356883178E-2</v>
      </c>
      <c r="V335" s="81">
        <f>P335/'[21]2014'!P335-1</f>
        <v>-6.0795543083298265E-2</v>
      </c>
      <c r="W335" s="81">
        <f>Q335/'[21]2014'!Q335-1</f>
        <v>0.15691426033219535</v>
      </c>
      <c r="X335" s="81">
        <f>R335/'[21]2014'!R335-1</f>
        <v>7.078727020022102E-3</v>
      </c>
      <c r="Y335" s="93">
        <v>116.76</v>
      </c>
      <c r="Z335" s="50">
        <f>P335/10000-Y335</f>
        <v>1585.9355</v>
      </c>
      <c r="AA335" s="37">
        <f>3890.092+(12*(A335-"2015年6月30日")+100*(A335-"2015年9月14日")+66*(A335-"2015年11月17日"))/(A335-"2015年1月1日"+1)</f>
        <v>3919.4313939393942</v>
      </c>
      <c r="AB335" s="37">
        <f>(Z335-3.98-3.08)*10000/AA335</f>
        <v>4028.3279417555591</v>
      </c>
    </row>
    <row r="336" spans="1:32" ht="15" customHeight="1" x14ac:dyDescent="0.15">
      <c r="A336" s="20">
        <v>42335</v>
      </c>
      <c r="B336" s="20" t="s">
        <v>38</v>
      </c>
      <c r="C336" s="21">
        <v>66490</v>
      </c>
      <c r="D336" s="7">
        <v>21600</v>
      </c>
      <c r="E336" s="7">
        <v>90010</v>
      </c>
      <c r="F336" s="22">
        <v>4581</v>
      </c>
      <c r="G336" s="23">
        <v>2867</v>
      </c>
      <c r="H336" s="24"/>
      <c r="I336" s="36"/>
      <c r="J336" s="8">
        <f t="shared" si="63"/>
        <v>68410</v>
      </c>
      <c r="K336" s="37">
        <f t="shared" si="68"/>
        <v>1130</v>
      </c>
      <c r="L336" s="37">
        <v>790</v>
      </c>
      <c r="M336" s="74">
        <f t="shared" si="67"/>
        <v>1468860</v>
      </c>
      <c r="N336" s="75">
        <f t="shared" si="67"/>
        <v>697188</v>
      </c>
      <c r="O336" s="75">
        <f t="shared" si="67"/>
        <v>2213347</v>
      </c>
      <c r="P336" s="76">
        <f t="shared" si="54"/>
        <v>17093445</v>
      </c>
      <c r="Q336" s="76">
        <f t="shared" si="54"/>
        <v>9697571</v>
      </c>
      <c r="R336" s="76">
        <f t="shared" si="54"/>
        <v>27387928</v>
      </c>
      <c r="S336" s="80">
        <f>M336/'[21]2014'!M336-1</f>
        <v>-0.1541611865214918</v>
      </c>
      <c r="T336" s="80">
        <f>N336/'[21]2014'!N336-1</f>
        <v>0.3258910742336818</v>
      </c>
      <c r="U336" s="80">
        <f>O336/'[21]2014'!O336-1</f>
        <v>-3.522594970448889E-2</v>
      </c>
      <c r="V336" s="81">
        <f>P336/'[21]2014'!P336-1</f>
        <v>-6.0428026472010954E-2</v>
      </c>
      <c r="W336" s="81">
        <f>Q336/'[21]2014'!Q336-1</f>
        <v>0.15652205387033735</v>
      </c>
      <c r="X336" s="81">
        <f>R336/'[21]2014'!R336-1</f>
        <v>7.2009567163286992E-3</v>
      </c>
      <c r="Y336" s="93"/>
      <c r="Z336" s="50"/>
      <c r="AA336" s="37"/>
      <c r="AB336" s="37"/>
    </row>
    <row r="337" spans="1:32" ht="15" customHeight="1" x14ac:dyDescent="0.15">
      <c r="A337" s="20">
        <v>42336</v>
      </c>
      <c r="B337" s="20" t="s">
        <v>39</v>
      </c>
      <c r="C337" s="21">
        <v>65116</v>
      </c>
      <c r="D337" s="7">
        <v>20496</v>
      </c>
      <c r="E337" s="7">
        <v>87897</v>
      </c>
      <c r="F337" s="22">
        <v>4438</v>
      </c>
      <c r="G337" s="23">
        <v>2929</v>
      </c>
      <c r="H337" s="24"/>
      <c r="I337" s="36"/>
      <c r="J337" s="8">
        <f t="shared" si="63"/>
        <v>67401</v>
      </c>
      <c r="K337" s="37">
        <f t="shared" si="68"/>
        <v>1495</v>
      </c>
      <c r="L337" s="37">
        <v>790</v>
      </c>
      <c r="M337" s="74">
        <f t="shared" si="67"/>
        <v>1533976</v>
      </c>
      <c r="N337" s="75">
        <f t="shared" si="67"/>
        <v>717684</v>
      </c>
      <c r="O337" s="75">
        <f t="shared" si="67"/>
        <v>2301244</v>
      </c>
      <c r="P337" s="76">
        <f t="shared" si="54"/>
        <v>17158561</v>
      </c>
      <c r="Q337" s="76">
        <f t="shared" si="54"/>
        <v>9718067</v>
      </c>
      <c r="R337" s="76">
        <f t="shared" si="54"/>
        <v>27475825</v>
      </c>
      <c r="S337" s="80">
        <f>M337/'[21]2014'!M337-1</f>
        <v>-0.14794779404453962</v>
      </c>
      <c r="T337" s="80">
        <f>N337/'[21]2014'!N337-1</f>
        <v>0.31221168455753689</v>
      </c>
      <c r="U337" s="80">
        <f>O337/'[21]2014'!O337-1</f>
        <v>-3.3110662847697703E-2</v>
      </c>
      <c r="V337" s="81">
        <f>P337/'[21]2014'!P337-1</f>
        <v>-6.014265886578074E-2</v>
      </c>
      <c r="W337" s="81">
        <f>Q337/'[21]2014'!Q337-1</f>
        <v>0.15605718696395687</v>
      </c>
      <c r="X337" s="81">
        <f>R337/'[21]2014'!R337-1</f>
        <v>7.2519327368023578E-3</v>
      </c>
      <c r="Y337" s="93"/>
      <c r="Z337" s="50"/>
      <c r="AA337" s="37"/>
      <c r="AB337" s="37"/>
    </row>
    <row r="338" spans="1:32" ht="15" customHeight="1" x14ac:dyDescent="0.15">
      <c r="A338" s="20">
        <v>42337</v>
      </c>
      <c r="B338" s="20" t="s">
        <v>1</v>
      </c>
      <c r="C338" s="21">
        <v>59882</v>
      </c>
      <c r="D338" s="7">
        <v>20796</v>
      </c>
      <c r="E338" s="7">
        <v>82452</v>
      </c>
      <c r="F338" s="22">
        <v>4131</v>
      </c>
      <c r="G338" s="23">
        <v>2822</v>
      </c>
      <c r="H338" s="24"/>
      <c r="I338" s="36"/>
      <c r="J338" s="8">
        <f t="shared" si="63"/>
        <v>61656</v>
      </c>
      <c r="K338" s="37">
        <f t="shared" si="68"/>
        <v>984</v>
      </c>
      <c r="L338" s="37">
        <v>790</v>
      </c>
      <c r="M338" s="74">
        <f t="shared" si="67"/>
        <v>1593858</v>
      </c>
      <c r="N338" s="75">
        <f t="shared" si="67"/>
        <v>738480</v>
      </c>
      <c r="O338" s="75">
        <f t="shared" si="67"/>
        <v>2383696</v>
      </c>
      <c r="P338" s="76">
        <f t="shared" si="54"/>
        <v>17218443</v>
      </c>
      <c r="Q338" s="76">
        <f t="shared" si="54"/>
        <v>9738863</v>
      </c>
      <c r="R338" s="76">
        <f t="shared" si="54"/>
        <v>27558277</v>
      </c>
      <c r="S338" s="80">
        <f>M338/'[21]2014'!M338-1</f>
        <v>-0.14465431081115887</v>
      </c>
      <c r="T338" s="80">
        <f>N338/'[21]2014'!N338-1</f>
        <v>0.29819127261348721</v>
      </c>
      <c r="U338" s="80">
        <f>O338/'[21]2014'!O338-1</f>
        <v>-3.3429989144975192E-2</v>
      </c>
      <c r="V338" s="81">
        <f>P338/'[21]2014'!P338-1</f>
        <v>-6.0109982534587436E-2</v>
      </c>
      <c r="W338" s="81">
        <f>Q338/'[21]2014'!Q338-1</f>
        <v>0.15551712610459534</v>
      </c>
      <c r="X338" s="81">
        <f>R338/'[21]2014'!R338-1</f>
        <v>7.0961695507791855E-3</v>
      </c>
      <c r="Y338" s="93"/>
      <c r="Z338" s="50"/>
      <c r="AA338" s="37"/>
      <c r="AB338" s="37"/>
    </row>
    <row r="339" spans="1:32" ht="15" customHeight="1" x14ac:dyDescent="0.15">
      <c r="A339" s="25">
        <v>42338</v>
      </c>
      <c r="B339" s="20" t="s">
        <v>34</v>
      </c>
      <c r="C339" s="21">
        <v>63106</v>
      </c>
      <c r="D339" s="7">
        <v>20925</v>
      </c>
      <c r="E339" s="7">
        <v>85536</v>
      </c>
      <c r="F339" s="22">
        <v>4448</v>
      </c>
      <c r="G339" s="23">
        <v>2706</v>
      </c>
      <c r="H339" s="24"/>
      <c r="I339" s="36"/>
      <c r="J339" s="8">
        <f t="shared" si="63"/>
        <v>64611</v>
      </c>
      <c r="K339" s="37">
        <f t="shared" si="68"/>
        <v>715</v>
      </c>
      <c r="L339" s="37">
        <v>790</v>
      </c>
      <c r="M339" s="74">
        <v>1656965</v>
      </c>
      <c r="N339" s="75">
        <v>759246</v>
      </c>
      <c r="O339" s="75">
        <v>2469233</v>
      </c>
      <c r="P339" s="76">
        <f t="shared" si="54"/>
        <v>17281550</v>
      </c>
      <c r="Q339" s="76">
        <f t="shared" si="54"/>
        <v>9759629</v>
      </c>
      <c r="R339" s="76">
        <f t="shared" si="54"/>
        <v>27643814</v>
      </c>
      <c r="S339" s="80">
        <f>M339/'[21]2014'!M339-1</f>
        <v>-0.13716771533119243</v>
      </c>
      <c r="T339" s="80">
        <f>N339/'[21]2014'!N339-1</f>
        <v>0.2879818824906486</v>
      </c>
      <c r="U339" s="80">
        <f>O339/'[21]2014'!O339-1</f>
        <v>-2.9626034535608414E-2</v>
      </c>
      <c r="V339" s="81">
        <f>P339/'[21]2014'!P339-1</f>
        <v>-5.9589727309290574E-2</v>
      </c>
      <c r="W339" s="81">
        <f>Q339/'[21]2014'!Q339-1</f>
        <v>0.15515321186522368</v>
      </c>
      <c r="X339" s="81">
        <f>R339/'[21]2014'!R339-1</f>
        <v>7.3329944431572702E-3</v>
      </c>
      <c r="Y339" s="93">
        <v>122.03830000000001</v>
      </c>
      <c r="Z339" s="50">
        <f>P339/10000-Y339</f>
        <v>1606.1167</v>
      </c>
      <c r="AA339" s="37">
        <f>3890.092+(12*(A339-"2015年6月30日")+100*(A339-"2015年9月14日")+66*(A339-"2015年11月17日"))/(A339-"2015年1月1日"+1)</f>
        <v>3921.2117604790419</v>
      </c>
      <c r="AB339" s="37">
        <f>(Z339-3.98-2.7544)*10000/AA339</f>
        <v>4078.7960398359323</v>
      </c>
      <c r="AC339" s="63">
        <f>AC333+SUM(K333:K339)/10000</f>
        <v>37.052999999999997</v>
      </c>
      <c r="AD339" s="2">
        <f>AD333+SUM(L333:L339)/10000</f>
        <v>23.407400000000003</v>
      </c>
      <c r="AF339" s="2">
        <f>AF333+SUM(J333:J339)/10000</f>
        <v>1794.2435</v>
      </c>
    </row>
    <row r="340" spans="1:32" ht="15" customHeight="1" x14ac:dyDescent="0.15">
      <c r="A340" s="20">
        <v>42339</v>
      </c>
      <c r="B340" s="14" t="s">
        <v>35</v>
      </c>
      <c r="C340" s="15">
        <v>60708</v>
      </c>
      <c r="D340" s="16">
        <v>22148</v>
      </c>
      <c r="E340" s="16">
        <v>83795</v>
      </c>
      <c r="F340" s="17">
        <v>4241</v>
      </c>
      <c r="G340" s="18">
        <v>2794</v>
      </c>
      <c r="H340" s="19"/>
      <c r="I340" s="19"/>
      <c r="J340" s="32">
        <f t="shared" si="63"/>
        <v>61647</v>
      </c>
      <c r="K340" s="33">
        <f t="shared" si="68"/>
        <v>149</v>
      </c>
      <c r="L340" s="33">
        <v>790</v>
      </c>
      <c r="M340" s="77">
        <f>C340</f>
        <v>60708</v>
      </c>
      <c r="N340" s="78">
        <f>D340</f>
        <v>22148</v>
      </c>
      <c r="O340" s="78">
        <f>E340</f>
        <v>83795</v>
      </c>
      <c r="P340" s="77">
        <f>P$339+M340</f>
        <v>17342258</v>
      </c>
      <c r="Q340" s="77">
        <f>Q$339+N340</f>
        <v>9781777</v>
      </c>
      <c r="R340" s="77">
        <f>R$339+O340</f>
        <v>27727609</v>
      </c>
      <c r="S340" s="82">
        <f>M340/'[21]2014'!M340-1</f>
        <v>6.9311116199601841E-2</v>
      </c>
      <c r="T340" s="82">
        <f>N340/'[21]2014'!N340-1</f>
        <v>-6.7609665740506864E-2</v>
      </c>
      <c r="U340" s="82">
        <f>O340/'[21]2014'!O340-1</f>
        <v>2.7680345360445502E-2</v>
      </c>
      <c r="V340" s="82">
        <f>P340/'[21]2014'!P340-1</f>
        <v>-5.9192725371038812E-2</v>
      </c>
      <c r="W340" s="82">
        <f>Q340/'[21]2014'!Q340-1</f>
        <v>0.15452866284250333</v>
      </c>
      <c r="X340" s="82">
        <f>R340/'[21]2014'!R340-1</f>
        <v>7.3932718491733773E-3</v>
      </c>
      <c r="Y340" s="96">
        <f>Y339+(Y342-Y339)/3</f>
        <v>122.93886666666667</v>
      </c>
      <c r="Z340" s="49">
        <f>P340/10000-Y340</f>
        <v>1611.2869333333333</v>
      </c>
      <c r="AA340" s="33">
        <f>3890.092+(12*(A340-"2015年6月30日")+100*(A340-"2015年9月14日")+66*(A340-"2015年11月17日"))/(A340-"2015年1月1日"+1)</f>
        <v>3921.6502089552241</v>
      </c>
      <c r="AB340" s="33">
        <f>(Z340-3.98-2.7544)*10000/AA340</f>
        <v>4091.5238428692132</v>
      </c>
      <c r="AC340" s="63">
        <f t="shared" ref="AC340" si="72">AC333+SUM(K334:K340)/10000</f>
        <v>36.933699999999995</v>
      </c>
      <c r="AD340" s="2">
        <f t="shared" ref="AD340" si="73">AD333+SUM(L334:L340)/10000</f>
        <v>23.407400000000003</v>
      </c>
      <c r="AF340" s="2">
        <f t="shared" ref="AF340" si="74">AF333+SUM(J334:J340)/10000</f>
        <v>1794.5672</v>
      </c>
    </row>
    <row r="341" spans="1:32" ht="15" customHeight="1" x14ac:dyDescent="0.15">
      <c r="A341" s="20">
        <v>42340</v>
      </c>
      <c r="B341" s="20" t="s">
        <v>36</v>
      </c>
      <c r="C341" s="66">
        <v>63143</v>
      </c>
      <c r="D341" s="67">
        <f>14384+7666</f>
        <v>22050</v>
      </c>
      <c r="E341" s="67">
        <v>86145</v>
      </c>
      <c r="F341" s="68">
        <v>4456</v>
      </c>
      <c r="G341" s="69">
        <v>2778</v>
      </c>
      <c r="H341" s="24"/>
      <c r="I341" s="24"/>
      <c r="J341" s="70">
        <f t="shared" si="63"/>
        <v>64095</v>
      </c>
      <c r="K341" s="71">
        <f t="shared" si="68"/>
        <v>162</v>
      </c>
      <c r="L341" s="71">
        <v>790</v>
      </c>
      <c r="M341" s="72">
        <f t="shared" ref="M341:O356" si="75">M340+C341</f>
        <v>123851</v>
      </c>
      <c r="N341" s="73">
        <f t="shared" si="75"/>
        <v>44198</v>
      </c>
      <c r="O341" s="73">
        <f t="shared" si="75"/>
        <v>169940</v>
      </c>
      <c r="P341" s="72">
        <f t="shared" ref="P341:R369" si="76">P$339+M341</f>
        <v>17405401</v>
      </c>
      <c r="Q341" s="72">
        <f t="shared" si="76"/>
        <v>9803827</v>
      </c>
      <c r="R341" s="72">
        <f t="shared" si="76"/>
        <v>27813754</v>
      </c>
      <c r="S341" s="79">
        <f>M341/'[21]2014'!M341-1</f>
        <v>2.8090680435305826E-2</v>
      </c>
      <c r="T341" s="79">
        <f>N341/'[21]2014'!N341-1</f>
        <v>-4.4739344687472982E-2</v>
      </c>
      <c r="U341" s="79">
        <f>O341/'[21]2014'!O341-1</f>
        <v>6.3004808261684087E-3</v>
      </c>
      <c r="V341" s="79">
        <f>P341/'[21]2014'!P341-1</f>
        <v>-5.9018685874317245E-2</v>
      </c>
      <c r="W341" s="79">
        <f>Q341/'[21]2014'!Q341-1</f>
        <v>0.15406450291449403</v>
      </c>
      <c r="X341" s="79">
        <f>R341/'[21]2014'!R341-1</f>
        <v>7.3266794272479618E-3</v>
      </c>
      <c r="Y341" s="85"/>
      <c r="Z341" s="97"/>
      <c r="AA341" s="85"/>
      <c r="AB341" s="71"/>
    </row>
    <row r="342" spans="1:32" ht="15" customHeight="1" x14ac:dyDescent="0.15">
      <c r="A342" s="20">
        <v>42341</v>
      </c>
      <c r="B342" s="20" t="s">
        <v>37</v>
      </c>
      <c r="C342" s="21">
        <v>64370</v>
      </c>
      <c r="D342" s="7">
        <f>13750+7467</f>
        <v>21217</v>
      </c>
      <c r="E342" s="7">
        <v>86529</v>
      </c>
      <c r="F342" s="22">
        <v>4412</v>
      </c>
      <c r="G342" s="23">
        <v>2815</v>
      </c>
      <c r="H342" s="24">
        <v>1070</v>
      </c>
      <c r="I342" s="36">
        <v>736</v>
      </c>
      <c r="J342" s="8">
        <f t="shared" si="63"/>
        <v>65312</v>
      </c>
      <c r="K342" s="37">
        <f t="shared" si="68"/>
        <v>152</v>
      </c>
      <c r="L342" s="37">
        <v>790</v>
      </c>
      <c r="M342" s="74">
        <f t="shared" si="75"/>
        <v>188221</v>
      </c>
      <c r="N342" s="75">
        <f t="shared" si="75"/>
        <v>65415</v>
      </c>
      <c r="O342" s="75">
        <f t="shared" si="75"/>
        <v>256469</v>
      </c>
      <c r="P342" s="76">
        <f t="shared" si="76"/>
        <v>17469771</v>
      </c>
      <c r="Q342" s="76">
        <f t="shared" si="76"/>
        <v>9825044</v>
      </c>
      <c r="R342" s="76">
        <f t="shared" si="76"/>
        <v>27900283</v>
      </c>
      <c r="S342" s="80">
        <f>M342/'[21]2014'!M342-1</f>
        <v>-1.3351295814811759E-2</v>
      </c>
      <c r="T342" s="80">
        <f>N342/'[21]2014'!N342-1</f>
        <v>-4.2785324633654032E-4</v>
      </c>
      <c r="U342" s="80">
        <f>O342/'[21]2014'!O342-1</f>
        <v>-1.2445081074004327E-2</v>
      </c>
      <c r="V342" s="81">
        <f>P342/'[21]2014'!P342-1</f>
        <v>-5.9114656756811379E-2</v>
      </c>
      <c r="W342" s="81">
        <f>Q342/'[21]2014'!Q342-1</f>
        <v>0.15395736601748777</v>
      </c>
      <c r="X342" s="81">
        <f>R342/'[21]2014'!R342-1</f>
        <v>7.1475805990490748E-3</v>
      </c>
      <c r="Y342" s="93">
        <v>124.74</v>
      </c>
      <c r="Z342" s="50">
        <f>P342/10000-Y342</f>
        <v>1622.2371000000001</v>
      </c>
      <c r="AA342" s="37">
        <f>3890.092+(12*(A342-"2015年6月30日")+100*(A342-"2015年9月14日")+66*(A342-"2015年11月17日"))/(A342-"2015年1月1日"+1)</f>
        <v>3922.5192997032641</v>
      </c>
      <c r="AB342" s="37">
        <f>(Z342-3.98-2.7544)*10000/AA342</f>
        <v>4118.5334642514354</v>
      </c>
    </row>
    <row r="343" spans="1:32" ht="15" customHeight="1" x14ac:dyDescent="0.15">
      <c r="A343" s="20">
        <v>42342</v>
      </c>
      <c r="B343" s="20" t="s">
        <v>38</v>
      </c>
      <c r="C343" s="21">
        <v>67753</v>
      </c>
      <c r="D343" s="7">
        <v>21328</v>
      </c>
      <c r="E343" s="7">
        <v>89976</v>
      </c>
      <c r="F343" s="22">
        <v>4653</v>
      </c>
      <c r="G343" s="23">
        <v>2851</v>
      </c>
      <c r="H343" s="24">
        <v>1061</v>
      </c>
      <c r="I343" s="36">
        <v>736</v>
      </c>
      <c r="J343" s="8">
        <f t="shared" si="63"/>
        <v>68648</v>
      </c>
      <c r="K343" s="37">
        <f t="shared" si="68"/>
        <v>105</v>
      </c>
      <c r="L343" s="37">
        <v>790</v>
      </c>
      <c r="M343" s="74">
        <f t="shared" si="75"/>
        <v>255974</v>
      </c>
      <c r="N343" s="75">
        <f t="shared" si="75"/>
        <v>86743</v>
      </c>
      <c r="O343" s="75">
        <f t="shared" si="75"/>
        <v>346445</v>
      </c>
      <c r="P343" s="76">
        <f t="shared" si="76"/>
        <v>17537524</v>
      </c>
      <c r="Q343" s="76">
        <f t="shared" si="76"/>
        <v>9846372</v>
      </c>
      <c r="R343" s="76">
        <f t="shared" si="76"/>
        <v>27990259</v>
      </c>
      <c r="S343" s="80">
        <f>M343/'[21]2014'!M343-1</f>
        <v>-2.1143160881519574E-2</v>
      </c>
      <c r="T343" s="80">
        <f>N343/'[21]2014'!N343-1</f>
        <v>2.0049860062560265E-2</v>
      </c>
      <c r="U343" s="80">
        <f>O343/'[21]2014'!O343-1</f>
        <v>-1.4653139816323768E-2</v>
      </c>
      <c r="V343" s="81">
        <f>P343/'[21]2014'!P343-1</f>
        <v>-5.9050300701090408E-2</v>
      </c>
      <c r="W343" s="81">
        <f>Q343/'[21]2014'!Q343-1</f>
        <v>0.15380692978665755</v>
      </c>
      <c r="X343" s="81">
        <f>R343/'[21]2014'!R343-1</f>
        <v>7.054869299226052E-3</v>
      </c>
      <c r="Y343" s="93"/>
      <c r="Z343" s="50"/>
      <c r="AA343" s="37"/>
      <c r="AB343" s="37"/>
    </row>
    <row r="344" spans="1:32" ht="15" customHeight="1" x14ac:dyDescent="0.15">
      <c r="A344" s="20">
        <v>42343</v>
      </c>
      <c r="B344" s="20" t="s">
        <v>39</v>
      </c>
      <c r="C344" s="21">
        <v>70499</v>
      </c>
      <c r="D344" s="7">
        <v>20344</v>
      </c>
      <c r="E344" s="7">
        <v>92110</v>
      </c>
      <c r="F344" s="22">
        <v>4654</v>
      </c>
      <c r="G344" s="23">
        <v>2915</v>
      </c>
      <c r="H344" s="24"/>
      <c r="I344" s="36"/>
      <c r="J344" s="8">
        <f t="shared" si="63"/>
        <v>71766</v>
      </c>
      <c r="K344" s="37">
        <f t="shared" si="68"/>
        <v>477</v>
      </c>
      <c r="L344" s="37">
        <v>790</v>
      </c>
      <c r="M344" s="74">
        <f t="shared" si="75"/>
        <v>326473</v>
      </c>
      <c r="N344" s="75">
        <f t="shared" si="75"/>
        <v>107087</v>
      </c>
      <c r="O344" s="75">
        <f t="shared" si="75"/>
        <v>438555</v>
      </c>
      <c r="P344" s="76">
        <f t="shared" si="76"/>
        <v>17608023</v>
      </c>
      <c r="Q344" s="76">
        <f t="shared" si="76"/>
        <v>9866716</v>
      </c>
      <c r="R344" s="76">
        <f t="shared" si="76"/>
        <v>28082369</v>
      </c>
      <c r="S344" s="80">
        <f>M344/'[21]2014'!M344-1</f>
        <v>-1.8377256941834452E-2</v>
      </c>
      <c r="T344" s="80">
        <f>N344/'[21]2014'!N344-1</f>
        <v>1.6478248901291792E-2</v>
      </c>
      <c r="U344" s="80">
        <f>O344/'[21]2014'!O344-1</f>
        <v>-1.225016554277758E-2</v>
      </c>
      <c r="V344" s="81">
        <f>P344/'[21]2014'!P344-1</f>
        <v>-5.885711152036921E-2</v>
      </c>
      <c r="W344" s="81">
        <f>Q344/'[21]2014'!Q344-1</f>
        <v>0.15344531711628506</v>
      </c>
      <c r="X344" s="81">
        <f>R344/'[21]2014'!R344-1</f>
        <v>7.0212026023035445E-3</v>
      </c>
      <c r="Y344" s="93"/>
      <c r="Z344" s="50"/>
      <c r="AA344" s="37"/>
      <c r="AB344" s="37"/>
    </row>
    <row r="345" spans="1:32" ht="15" customHeight="1" x14ac:dyDescent="0.15">
      <c r="A345" s="20">
        <v>42344</v>
      </c>
      <c r="B345" s="20" t="s">
        <v>1</v>
      </c>
      <c r="C345" s="21">
        <v>61692</v>
      </c>
      <c r="D345" s="7">
        <v>20881</v>
      </c>
      <c r="E345" s="7">
        <v>84371</v>
      </c>
      <c r="F345" s="22">
        <v>4230</v>
      </c>
      <c r="G345" s="23">
        <v>2796</v>
      </c>
      <c r="H345" s="24"/>
      <c r="I345" s="36"/>
      <c r="J345" s="8">
        <f t="shared" si="63"/>
        <v>63490</v>
      </c>
      <c r="K345" s="37">
        <f t="shared" si="68"/>
        <v>1008</v>
      </c>
      <c r="L345" s="37">
        <v>790</v>
      </c>
      <c r="M345" s="74">
        <f t="shared" si="75"/>
        <v>388165</v>
      </c>
      <c r="N345" s="75">
        <f t="shared" si="75"/>
        <v>127968</v>
      </c>
      <c r="O345" s="75">
        <f t="shared" si="75"/>
        <v>522926</v>
      </c>
      <c r="P345" s="76">
        <f t="shared" si="76"/>
        <v>17669715</v>
      </c>
      <c r="Q345" s="76">
        <f t="shared" si="76"/>
        <v>9887597</v>
      </c>
      <c r="R345" s="76">
        <f t="shared" si="76"/>
        <v>28166740</v>
      </c>
      <c r="S345" s="80">
        <f>M345/'[21]2014'!M345-1</f>
        <v>-3.637622946343011E-2</v>
      </c>
      <c r="T345" s="80">
        <f>N345/'[21]2014'!N345-1</f>
        <v>1.8367022123189525E-2</v>
      </c>
      <c r="U345" s="80">
        <f>O345/'[21]2014'!O345-1</f>
        <v>-2.381992435867275E-2</v>
      </c>
      <c r="V345" s="81">
        <f>P345/'[21]2014'!P345-1</f>
        <v>-5.9091798604057333E-2</v>
      </c>
      <c r="W345" s="81">
        <f>Q345/'[21]2014'!Q345-1</f>
        <v>0.15314858373458917</v>
      </c>
      <c r="X345" s="81">
        <f>R345/'[21]2014'!R345-1</f>
        <v>6.7365248901383179E-3</v>
      </c>
      <c r="Y345" s="93"/>
      <c r="Z345" s="50"/>
      <c r="AA345" s="37"/>
      <c r="AB345" s="37"/>
    </row>
    <row r="346" spans="1:32" ht="15" customHeight="1" x14ac:dyDescent="0.15">
      <c r="A346" s="20">
        <v>42345</v>
      </c>
      <c r="B346" s="20" t="s">
        <v>34</v>
      </c>
      <c r="C346" s="21">
        <v>66823</v>
      </c>
      <c r="D346" s="7">
        <v>20968</v>
      </c>
      <c r="E346" s="7">
        <v>89353</v>
      </c>
      <c r="F346" s="22">
        <v>4698</v>
      </c>
      <c r="G346" s="23">
        <v>2720</v>
      </c>
      <c r="H346" s="24">
        <v>1065</v>
      </c>
      <c r="I346" s="36">
        <v>711</v>
      </c>
      <c r="J346" s="8">
        <f t="shared" si="63"/>
        <v>68385</v>
      </c>
      <c r="K346" s="37">
        <f t="shared" si="68"/>
        <v>772</v>
      </c>
      <c r="L346" s="37">
        <v>790</v>
      </c>
      <c r="M346" s="74">
        <f t="shared" si="75"/>
        <v>454988</v>
      </c>
      <c r="N346" s="75">
        <f t="shared" si="75"/>
        <v>148936</v>
      </c>
      <c r="O346" s="75">
        <f t="shared" si="75"/>
        <v>612279</v>
      </c>
      <c r="P346" s="76">
        <f t="shared" si="76"/>
        <v>17736538</v>
      </c>
      <c r="Q346" s="76">
        <f t="shared" si="76"/>
        <v>9908565</v>
      </c>
      <c r="R346" s="76">
        <f t="shared" si="76"/>
        <v>28256093</v>
      </c>
      <c r="S346" s="80">
        <f>M346/'[21]2014'!M346-1</f>
        <v>-2.6372102578149037E-2</v>
      </c>
      <c r="T346" s="80">
        <f>N346/'[21]2014'!N346-1</f>
        <v>1.4211877506826731E-2</v>
      </c>
      <c r="U346" s="80">
        <f>O346/'[21]2014'!O346-1</f>
        <v>-1.6550403721270923E-2</v>
      </c>
      <c r="V346" s="81">
        <f>P346/'[21]2014'!P346-1</f>
        <v>-5.8765960520208105E-2</v>
      </c>
      <c r="W346" s="81">
        <f>Q346/'[21]2014'!Q346-1</f>
        <v>0.15274534767605874</v>
      </c>
      <c r="X346" s="81">
        <f>R346/'[21]2014'!R346-1</f>
        <v>6.8031774995644945E-3</v>
      </c>
      <c r="Y346" s="93"/>
      <c r="Z346" s="50"/>
      <c r="AA346" s="37"/>
      <c r="AB346" s="37"/>
    </row>
    <row r="347" spans="1:32" ht="15" customHeight="1" x14ac:dyDescent="0.15">
      <c r="A347" s="20">
        <v>42346</v>
      </c>
      <c r="B347" s="14" t="s">
        <v>35</v>
      </c>
      <c r="C347" s="15">
        <v>64482</v>
      </c>
      <c r="D347" s="16">
        <v>23210</v>
      </c>
      <c r="E347" s="16">
        <v>89052</v>
      </c>
      <c r="F347" s="17">
        <v>4576</v>
      </c>
      <c r="G347" s="18">
        <v>2915</v>
      </c>
      <c r="H347" s="19"/>
      <c r="I347" s="19"/>
      <c r="J347" s="32">
        <f t="shared" si="63"/>
        <v>65842</v>
      </c>
      <c r="K347" s="33">
        <f t="shared" si="68"/>
        <v>570</v>
      </c>
      <c r="L347" s="33">
        <v>790</v>
      </c>
      <c r="M347" s="77">
        <f t="shared" si="75"/>
        <v>519470</v>
      </c>
      <c r="N347" s="78">
        <f t="shared" si="75"/>
        <v>172146</v>
      </c>
      <c r="O347" s="78">
        <f t="shared" si="75"/>
        <v>701331</v>
      </c>
      <c r="P347" s="77">
        <f t="shared" si="76"/>
        <v>17801020</v>
      </c>
      <c r="Q347" s="77">
        <f t="shared" si="76"/>
        <v>9931775</v>
      </c>
      <c r="R347" s="77">
        <f t="shared" si="76"/>
        <v>28345145</v>
      </c>
      <c r="S347" s="82">
        <f>M347/'[21]2014'!M347-1</f>
        <v>-3.1782480494742082E-2</v>
      </c>
      <c r="T347" s="82">
        <f>N347/'[21]2014'!N347-1</f>
        <v>2.8203841743119185E-2</v>
      </c>
      <c r="U347" s="82">
        <f>O347/'[21]2014'!O347-1</f>
        <v>-1.7109085838335369E-2</v>
      </c>
      <c r="V347" s="82">
        <f>P347/'[21]2014'!P347-1</f>
        <v>-5.8800899629035452E-2</v>
      </c>
      <c r="W347" s="82">
        <f>Q347/'[21]2014'!Q347-1</f>
        <v>0.15268641965479324</v>
      </c>
      <c r="X347" s="82">
        <f>R347/'[21]2014'!R347-1</f>
        <v>6.7135774372817369E-3</v>
      </c>
      <c r="Y347" s="96">
        <f>Y342+(Y349-Y342)/7*5</f>
        <v>129.89514285714284</v>
      </c>
      <c r="Z347" s="49">
        <f>P347/10000-Y347</f>
        <v>1650.2068571428572</v>
      </c>
      <c r="AA347" s="33">
        <f>3890.092+(12*(A347-"2015年6月30日")+100*(A347-"2015年9月14日")+66*(A347-"2015年11月17日"))/(A347-"2015年1月1日"+1)</f>
        <v>3924.6475555555558</v>
      </c>
      <c r="AB347" s="33">
        <f>(Z347-3.98-2.7544)*10000/AA347</f>
        <v>4187.5669951979025</v>
      </c>
      <c r="AC347" s="63">
        <f t="shared" ref="AC347" si="77">AC340+SUM(K341:K347)/10000</f>
        <v>37.258299999999991</v>
      </c>
      <c r="AD347" s="2">
        <f t="shared" ref="AD347" si="78">AD340+SUM(L341:L347)/10000</f>
        <v>23.960400000000003</v>
      </c>
      <c r="AF347" s="2">
        <f t="shared" ref="AF347" si="79">AF340+SUM(J341:J347)/10000</f>
        <v>1841.3209999999999</v>
      </c>
    </row>
    <row r="348" spans="1:32" ht="15" customHeight="1" x14ac:dyDescent="0.15">
      <c r="A348" s="20">
        <v>42347</v>
      </c>
      <c r="B348" s="20" t="s">
        <v>36</v>
      </c>
      <c r="C348" s="66">
        <v>65107</v>
      </c>
      <c r="D348" s="67">
        <v>22430</v>
      </c>
      <c r="E348" s="67">
        <v>88879</v>
      </c>
      <c r="F348" s="68">
        <v>4544</v>
      </c>
      <c r="G348" s="69">
        <v>2827</v>
      </c>
      <c r="H348" s="24">
        <v>1151</v>
      </c>
      <c r="I348" s="24">
        <v>735</v>
      </c>
      <c r="J348" s="70">
        <f t="shared" si="63"/>
        <v>66449</v>
      </c>
      <c r="K348" s="71">
        <f t="shared" si="68"/>
        <v>552</v>
      </c>
      <c r="L348" s="71">
        <v>790</v>
      </c>
      <c r="M348" s="72">
        <f t="shared" si="75"/>
        <v>584577</v>
      </c>
      <c r="N348" s="73">
        <f t="shared" si="75"/>
        <v>194576</v>
      </c>
      <c r="O348" s="73">
        <f t="shared" si="75"/>
        <v>790210</v>
      </c>
      <c r="P348" s="72">
        <f t="shared" si="76"/>
        <v>17866127</v>
      </c>
      <c r="Q348" s="72">
        <f t="shared" si="76"/>
        <v>9954205</v>
      </c>
      <c r="R348" s="72">
        <f t="shared" si="76"/>
        <v>28434024</v>
      </c>
      <c r="S348" s="79">
        <f>M348/'[21]2014'!M348-1</f>
        <v>-4.0543002466850164E-2</v>
      </c>
      <c r="T348" s="79">
        <f>N348/'[21]2014'!N348-1</f>
        <v>4.0018386970906983E-2</v>
      </c>
      <c r="U348" s="79">
        <f>O348/'[21]2014'!O348-1</f>
        <v>-2.1147504837219167E-2</v>
      </c>
      <c r="V348" s="79">
        <f>P348/'[21]2014'!P348-1</f>
        <v>-5.8978495920601226E-2</v>
      </c>
      <c r="W348" s="79">
        <f>Q348/'[21]2014'!Q348-1</f>
        <v>0.1526589089788184</v>
      </c>
      <c r="X348" s="79">
        <f>R348/'[21]2014'!R348-1</f>
        <v>6.5191215729976104E-3</v>
      </c>
      <c r="Y348" s="85"/>
      <c r="Z348" s="97"/>
      <c r="AA348" s="85"/>
      <c r="AB348" s="71"/>
    </row>
    <row r="349" spans="1:32" ht="15" customHeight="1" x14ac:dyDescent="0.15">
      <c r="A349" s="20">
        <v>42348</v>
      </c>
      <c r="B349" s="20" t="s">
        <v>37</v>
      </c>
      <c r="C349" s="21">
        <v>63769</v>
      </c>
      <c r="D349" s="7">
        <v>20902</v>
      </c>
      <c r="E349" s="7">
        <v>86233</v>
      </c>
      <c r="F349" s="22">
        <v>4436</v>
      </c>
      <c r="G349" s="23">
        <v>2751</v>
      </c>
      <c r="H349" s="24"/>
      <c r="I349" s="36"/>
      <c r="J349" s="8">
        <f t="shared" si="63"/>
        <v>65331</v>
      </c>
      <c r="K349" s="37">
        <f t="shared" si="68"/>
        <v>772</v>
      </c>
      <c r="L349" s="37">
        <v>790</v>
      </c>
      <c r="M349" s="74">
        <f t="shared" si="75"/>
        <v>648346</v>
      </c>
      <c r="N349" s="75">
        <f t="shared" si="75"/>
        <v>215478</v>
      </c>
      <c r="O349" s="75">
        <f t="shared" si="75"/>
        <v>876443</v>
      </c>
      <c r="P349" s="76">
        <f t="shared" si="76"/>
        <v>17929896</v>
      </c>
      <c r="Q349" s="76">
        <f t="shared" si="76"/>
        <v>9975107</v>
      </c>
      <c r="R349" s="76">
        <f t="shared" si="76"/>
        <v>28520257</v>
      </c>
      <c r="S349" s="80">
        <f>M349/'[21]2014'!M349-1</f>
        <v>-4.8313419252561385E-2</v>
      </c>
      <c r="T349" s="80">
        <f>N349/'[21]2014'!N349-1</f>
        <v>4.3279961653731158E-2</v>
      </c>
      <c r="U349" s="80">
        <f>O349/'[21]2014'!O349-1</f>
        <v>-2.6330231607387233E-2</v>
      </c>
      <c r="V349" s="81">
        <f>P349/'[21]2014'!P349-1</f>
        <v>-5.9186634055112264E-2</v>
      </c>
      <c r="W349" s="81">
        <f>Q349/'[21]2014'!Q349-1</f>
        <v>0.15248361598918403</v>
      </c>
      <c r="X349" s="81">
        <f>R349/'[21]2014'!R349-1</f>
        <v>6.2638751384305191E-3</v>
      </c>
      <c r="Y349" s="93">
        <v>131.9572</v>
      </c>
      <c r="Z349" s="50">
        <f>P349/10000-Y349</f>
        <v>1661.0324000000001</v>
      </c>
      <c r="AA349" s="37">
        <f>3890.092+(12*(A349-"2015年6月30日")+100*(A349-"2015年9月14日")+66*(A349-"2015年11月17日"))/(A349-"2015年1月1日"+1)</f>
        <v>3925.481534883721</v>
      </c>
      <c r="AB349" s="37">
        <f>(Z349-4.9818-3.3319)*10000/AA349</f>
        <v>4210.231751985445</v>
      </c>
    </row>
    <row r="350" spans="1:32" ht="15" customHeight="1" x14ac:dyDescent="0.15">
      <c r="A350" s="20">
        <v>42349</v>
      </c>
      <c r="B350" s="20" t="s">
        <v>38</v>
      </c>
      <c r="C350" s="21">
        <v>63044</v>
      </c>
      <c r="D350" s="7">
        <f>15001+5680</f>
        <v>20681</v>
      </c>
      <c r="E350" s="7">
        <v>85961</v>
      </c>
      <c r="F350" s="22">
        <v>4428</v>
      </c>
      <c r="G350" s="23">
        <v>2692</v>
      </c>
      <c r="H350" s="24"/>
      <c r="I350" s="36"/>
      <c r="J350" s="8">
        <f t="shared" si="63"/>
        <v>65280</v>
      </c>
      <c r="K350" s="37">
        <f t="shared" si="68"/>
        <v>1446</v>
      </c>
      <c r="L350" s="37">
        <v>790</v>
      </c>
      <c r="M350" s="74">
        <f t="shared" si="75"/>
        <v>711390</v>
      </c>
      <c r="N350" s="75">
        <f t="shared" si="75"/>
        <v>236159</v>
      </c>
      <c r="O350" s="75">
        <f t="shared" si="75"/>
        <v>962404</v>
      </c>
      <c r="P350" s="76">
        <f t="shared" si="76"/>
        <v>17992940</v>
      </c>
      <c r="Q350" s="76">
        <f t="shared" si="76"/>
        <v>9995788</v>
      </c>
      <c r="R350" s="76">
        <f t="shared" si="76"/>
        <v>28606218</v>
      </c>
      <c r="S350" s="80">
        <f>M350/'[21]2014'!M350-1</f>
        <v>-5.8819949487265322E-2</v>
      </c>
      <c r="T350" s="80">
        <f>N350/'[21]2014'!N350-1</f>
        <v>4.5265832197298295E-2</v>
      </c>
      <c r="U350" s="80">
        <f>O350/'[21]2014'!O350-1</f>
        <v>-3.3221326502423487E-2</v>
      </c>
      <c r="V350" s="81">
        <f>P350/'[21]2014'!P350-1</f>
        <v>-5.9559316378409499E-2</v>
      </c>
      <c r="W350" s="81">
        <f>Q350/'[21]2014'!Q350-1</f>
        <v>0.15229120431913179</v>
      </c>
      <c r="X350" s="81">
        <f>R350/'[21]2014'!R350-1</f>
        <v>5.9133890634712749E-3</v>
      </c>
      <c r="Y350" s="93"/>
      <c r="Z350" s="50"/>
      <c r="AA350" s="37"/>
      <c r="AB350" s="37"/>
    </row>
    <row r="351" spans="1:32" ht="15" customHeight="1" x14ac:dyDescent="0.15">
      <c r="A351" s="20">
        <v>42350</v>
      </c>
      <c r="B351" s="20" t="s">
        <v>39</v>
      </c>
      <c r="C351" s="21">
        <v>61762</v>
      </c>
      <c r="D351" s="7">
        <f>15865+5972</f>
        <v>21837</v>
      </c>
      <c r="E351" s="7">
        <v>85456</v>
      </c>
      <c r="F351" s="22">
        <v>4277</v>
      </c>
      <c r="G351" s="23">
        <v>2789</v>
      </c>
      <c r="H351" s="24"/>
      <c r="I351" s="36"/>
      <c r="J351" s="8">
        <f t="shared" si="63"/>
        <v>63619</v>
      </c>
      <c r="K351" s="37">
        <f t="shared" si="68"/>
        <v>1067</v>
      </c>
      <c r="L351" s="37">
        <v>790</v>
      </c>
      <c r="M351" s="74">
        <f t="shared" si="75"/>
        <v>773152</v>
      </c>
      <c r="N351" s="75">
        <f t="shared" si="75"/>
        <v>257996</v>
      </c>
      <c r="O351" s="75">
        <f t="shared" si="75"/>
        <v>1047860</v>
      </c>
      <c r="P351" s="76">
        <f t="shared" si="76"/>
        <v>18054702</v>
      </c>
      <c r="Q351" s="76">
        <f t="shared" si="76"/>
        <v>10017625</v>
      </c>
      <c r="R351" s="76">
        <f t="shared" si="76"/>
        <v>28691674</v>
      </c>
      <c r="S351" s="80">
        <f>M351/'[21]2014'!M351-1</f>
        <v>-6.7478150954410676E-2</v>
      </c>
      <c r="T351" s="80">
        <f>N351/'[21]2014'!N351-1</f>
        <v>4.6293104497102444E-2</v>
      </c>
      <c r="U351" s="80">
        <f>O351/'[21]2014'!O351-1</f>
        <v>-3.912159578477481E-2</v>
      </c>
      <c r="V351" s="81">
        <f>P351/'[21]2014'!P351-1</f>
        <v>-5.9930265512252778E-2</v>
      </c>
      <c r="W351" s="81">
        <f>Q351/'[21]2014'!Q351-1</f>
        <v>0.15206618061791732</v>
      </c>
      <c r="X351" s="81">
        <f>R351/'[21]2014'!R351-1</f>
        <v>5.5575197207107241E-3</v>
      </c>
      <c r="Y351" s="93"/>
      <c r="Z351" s="50"/>
      <c r="AA351" s="37"/>
      <c r="AB351" s="37"/>
    </row>
    <row r="352" spans="1:32" ht="15" customHeight="1" x14ac:dyDescent="0.15">
      <c r="A352" s="20">
        <v>42351</v>
      </c>
      <c r="B352" s="20" t="s">
        <v>1</v>
      </c>
      <c r="C352" s="21">
        <v>59443</v>
      </c>
      <c r="D352" s="7">
        <f>15287+6375</f>
        <v>21662</v>
      </c>
      <c r="E352" s="7">
        <v>82440</v>
      </c>
      <c r="F352" s="22">
        <v>4080</v>
      </c>
      <c r="G352" s="23">
        <v>2751</v>
      </c>
      <c r="H352" s="24"/>
      <c r="I352" s="36"/>
      <c r="J352" s="8">
        <f t="shared" si="63"/>
        <v>60778</v>
      </c>
      <c r="K352" s="37">
        <f t="shared" si="68"/>
        <v>545</v>
      </c>
      <c r="L352" s="37">
        <v>790</v>
      </c>
      <c r="M352" s="74">
        <f t="shared" si="75"/>
        <v>832595</v>
      </c>
      <c r="N352" s="75">
        <f t="shared" si="75"/>
        <v>279658</v>
      </c>
      <c r="O352" s="75">
        <f t="shared" si="75"/>
        <v>1130300</v>
      </c>
      <c r="P352" s="76">
        <f t="shared" si="76"/>
        <v>18114145</v>
      </c>
      <c r="Q352" s="76">
        <f t="shared" si="76"/>
        <v>10039287</v>
      </c>
      <c r="R352" s="76">
        <f t="shared" si="76"/>
        <v>28774114</v>
      </c>
      <c r="S352" s="80">
        <f>M352/'[21]2014'!M352-1</f>
        <v>-7.6838212874004164E-2</v>
      </c>
      <c r="T352" s="80">
        <f>N352/'[21]2014'!N352-1</f>
        <v>4.9377295974844193E-2</v>
      </c>
      <c r="U352" s="80">
        <f>O352/'[21]2014'!O352-1</f>
        <v>-4.5492585108062977E-2</v>
      </c>
      <c r="V352" s="81">
        <f>P352/'[21]2014'!P352-1</f>
        <v>-6.039665322544252E-2</v>
      </c>
      <c r="W352" s="81">
        <f>Q352/'[21]2014'!Q352-1</f>
        <v>0.15191875504538088</v>
      </c>
      <c r="X352" s="81">
        <f>R352/'[21]2014'!R352-1</f>
        <v>5.1478172177326087E-3</v>
      </c>
      <c r="Y352" s="93"/>
      <c r="Z352" s="50"/>
      <c r="AA352" s="37"/>
      <c r="AB352" s="37"/>
    </row>
    <row r="353" spans="1:32" ht="15" customHeight="1" x14ac:dyDescent="0.15">
      <c r="A353" s="20">
        <v>42352</v>
      </c>
      <c r="B353" s="20" t="s">
        <v>34</v>
      </c>
      <c r="C353" s="21">
        <v>63132</v>
      </c>
      <c r="D353" s="7">
        <f>15486+6637</f>
        <v>22123</v>
      </c>
      <c r="E353" s="7">
        <v>86988</v>
      </c>
      <c r="F353" s="22">
        <v>4477</v>
      </c>
      <c r="G353" s="23">
        <v>2653</v>
      </c>
      <c r="H353" s="24"/>
      <c r="I353" s="36"/>
      <c r="J353" s="8">
        <f t="shared" si="63"/>
        <v>64865</v>
      </c>
      <c r="K353" s="37">
        <f t="shared" si="68"/>
        <v>943</v>
      </c>
      <c r="L353" s="37">
        <v>790</v>
      </c>
      <c r="M353" s="74">
        <f t="shared" si="75"/>
        <v>895727</v>
      </c>
      <c r="N353" s="75">
        <f t="shared" si="75"/>
        <v>301781</v>
      </c>
      <c r="O353" s="75">
        <f t="shared" si="75"/>
        <v>1217288</v>
      </c>
      <c r="P353" s="76">
        <f t="shared" si="76"/>
        <v>18177277</v>
      </c>
      <c r="Q353" s="76">
        <f t="shared" si="76"/>
        <v>10061410</v>
      </c>
      <c r="R353" s="76">
        <f t="shared" si="76"/>
        <v>28861102</v>
      </c>
      <c r="S353" s="80">
        <f>M353/'[21]2014'!M353-1</f>
        <v>-7.5509321520466299E-2</v>
      </c>
      <c r="T353" s="80">
        <f>N353/'[21]2014'!N353-1</f>
        <v>5.0458603825469517E-2</v>
      </c>
      <c r="U353" s="80">
        <f>O353/'[21]2014'!O353-1</f>
        <v>-4.3643383020162019E-2</v>
      </c>
      <c r="V353" s="81">
        <f>P353/'[21]2014'!P353-1</f>
        <v>-6.0387033797120959E-2</v>
      </c>
      <c r="W353" s="81">
        <f>Q353/'[21]2014'!Q353-1</f>
        <v>0.15171033347472052</v>
      </c>
      <c r="X353" s="81">
        <f>R353/'[21]2014'!R353-1</f>
        <v>5.073416533349473E-3</v>
      </c>
      <c r="Y353" s="93"/>
      <c r="Z353" s="50"/>
      <c r="AA353" s="37"/>
      <c r="AB353" s="37"/>
    </row>
    <row r="354" spans="1:32" ht="14.25" customHeight="1" x14ac:dyDescent="0.15">
      <c r="A354" s="20">
        <v>42353</v>
      </c>
      <c r="B354" s="14" t="s">
        <v>35</v>
      </c>
      <c r="C354" s="15">
        <v>63478</v>
      </c>
      <c r="D354" s="16">
        <v>22580</v>
      </c>
      <c r="E354" s="16">
        <v>87762</v>
      </c>
      <c r="F354" s="17">
        <v>4473</v>
      </c>
      <c r="G354" s="18">
        <v>2795</v>
      </c>
      <c r="H354" s="19"/>
      <c r="I354" s="19"/>
      <c r="J354" s="32">
        <f t="shared" si="63"/>
        <v>65182</v>
      </c>
      <c r="K354" s="33">
        <f t="shared" si="68"/>
        <v>914</v>
      </c>
      <c r="L354" s="33">
        <v>790</v>
      </c>
      <c r="M354" s="77">
        <f t="shared" si="75"/>
        <v>959205</v>
      </c>
      <c r="N354" s="78">
        <f t="shared" si="75"/>
        <v>324361</v>
      </c>
      <c r="O354" s="78">
        <f t="shared" si="75"/>
        <v>1305050</v>
      </c>
      <c r="P354" s="77">
        <f t="shared" si="76"/>
        <v>18240755</v>
      </c>
      <c r="Q354" s="77">
        <f t="shared" si="76"/>
        <v>10083990</v>
      </c>
      <c r="R354" s="77">
        <f t="shared" si="76"/>
        <v>28948864</v>
      </c>
      <c r="S354" s="82">
        <f>M354/'[21]2014'!M354-1</f>
        <v>-7.7957906575475411E-2</v>
      </c>
      <c r="T354" s="82">
        <f>N354/'[21]2014'!N354-1</f>
        <v>5.2887674149862951E-2</v>
      </c>
      <c r="U354" s="82">
        <f>O354/'[21]2014'!O354-1</f>
        <v>-4.4788551369376761E-2</v>
      </c>
      <c r="V354" s="82">
        <f>P354/'[21]2014'!P354-1</f>
        <v>-6.0573844079841344E-2</v>
      </c>
      <c r="W354" s="82">
        <f>Q354/'[21]2014'!Q354-1</f>
        <v>0.15155548361181559</v>
      </c>
      <c r="X354" s="82">
        <f>R354/'[21]2014'!R354-1</f>
        <v>4.8611595793410789E-3</v>
      </c>
      <c r="Y354" s="96">
        <f>Y349+(Y356-Y349)/7*5</f>
        <v>136.95920000000001</v>
      </c>
      <c r="Z354" s="49">
        <f>P354/10000-Y354</f>
        <v>1687.1162999999999</v>
      </c>
      <c r="AA354" s="33">
        <f>3890.092+(12*(A354-"2015年6月30日")+100*(A354-"2015年9月14日")+66*(A354-"2015年11月17日"))/(A354-"2015年1月1日"+1)</f>
        <v>3927.5246647564472</v>
      </c>
      <c r="AB354" s="33">
        <f>(Z354-3.98-2.7544)*10000/AA354</f>
        <v>4278.4757409135291</v>
      </c>
      <c r="AC354" s="63">
        <f t="shared" ref="AC354" si="80">AC347+SUM(K348:K354)/10000</f>
        <v>37.88219999999999</v>
      </c>
      <c r="AD354" s="2">
        <f t="shared" ref="AD354" si="81">AD347+SUM(L348:L354)/10000</f>
        <v>24.513400000000004</v>
      </c>
      <c r="AF354" s="2">
        <f t="shared" ref="AF354" si="82">AF347+SUM(J348:J354)/10000</f>
        <v>1886.4713999999999</v>
      </c>
    </row>
    <row r="355" spans="1:32" ht="15" customHeight="1" x14ac:dyDescent="0.15">
      <c r="A355" s="20">
        <v>42354</v>
      </c>
      <c r="B355" s="20" t="s">
        <v>36</v>
      </c>
      <c r="C355" s="66">
        <v>63904</v>
      </c>
      <c r="D355" s="67">
        <f>15743+7254</f>
        <v>22997</v>
      </c>
      <c r="E355" s="67">
        <v>88174</v>
      </c>
      <c r="F355" s="68">
        <v>4419</v>
      </c>
      <c r="G355" s="69">
        <v>2778</v>
      </c>
      <c r="H355" s="24"/>
      <c r="I355" s="24"/>
      <c r="J355" s="70">
        <f t="shared" si="63"/>
        <v>65177</v>
      </c>
      <c r="K355" s="71">
        <f t="shared" si="68"/>
        <v>483</v>
      </c>
      <c r="L355" s="71">
        <v>790</v>
      </c>
      <c r="M355" s="72">
        <f t="shared" si="75"/>
        <v>1023109</v>
      </c>
      <c r="N355" s="73">
        <f t="shared" si="75"/>
        <v>347358</v>
      </c>
      <c r="O355" s="73">
        <f t="shared" si="75"/>
        <v>1393224</v>
      </c>
      <c r="P355" s="72">
        <f t="shared" si="76"/>
        <v>18304659</v>
      </c>
      <c r="Q355" s="72">
        <f t="shared" si="76"/>
        <v>10106987</v>
      </c>
      <c r="R355" s="72">
        <f t="shared" si="76"/>
        <v>29037038</v>
      </c>
      <c r="S355" s="79">
        <f>M355/'[21]2014'!M355-1</f>
        <v>-8.1202122978276337E-2</v>
      </c>
      <c r="T355" s="79">
        <f>N355/'[21]2014'!N355-1</f>
        <v>5.8024781607514786E-2</v>
      </c>
      <c r="U355" s="79">
        <f>O355/'[21]2014'!O355-1</f>
        <v>-4.6412988052989879E-2</v>
      </c>
      <c r="V355" s="79">
        <f>P355/'[21]2014'!P355-1</f>
        <v>-6.0824508314128334E-2</v>
      </c>
      <c r="W355" s="79">
        <f>Q355/'[21]2014'!Q355-1</f>
        <v>0.15152010933017901</v>
      </c>
      <c r="X355" s="79">
        <f>R355/'[21]2014'!R355-1</f>
        <v>4.6162142859571542E-3</v>
      </c>
      <c r="Y355" s="85"/>
      <c r="Z355" s="97"/>
      <c r="AA355" s="85"/>
      <c r="AB355" s="71"/>
    </row>
    <row r="356" spans="1:32" ht="15" customHeight="1" x14ac:dyDescent="0.15">
      <c r="A356" s="20">
        <v>42355</v>
      </c>
      <c r="B356" s="20" t="s">
        <v>37</v>
      </c>
      <c r="C356" s="21">
        <v>65495</v>
      </c>
      <c r="D356" s="7">
        <f>15901+7639</f>
        <v>23540</v>
      </c>
      <c r="E356" s="7">
        <v>91749</v>
      </c>
      <c r="F356" s="22">
        <v>4634</v>
      </c>
      <c r="G356" s="23">
        <v>2824</v>
      </c>
      <c r="H356" s="24">
        <v>1233</v>
      </c>
      <c r="I356" s="36">
        <v>737</v>
      </c>
      <c r="J356" s="8">
        <f t="shared" si="63"/>
        <v>68209</v>
      </c>
      <c r="K356" s="37">
        <f t="shared" si="68"/>
        <v>1924</v>
      </c>
      <c r="L356" s="37">
        <v>790</v>
      </c>
      <c r="M356" s="74">
        <f t="shared" si="75"/>
        <v>1088604</v>
      </c>
      <c r="N356" s="75">
        <f t="shared" si="75"/>
        <v>370898</v>
      </c>
      <c r="O356" s="75">
        <f t="shared" si="75"/>
        <v>1484973</v>
      </c>
      <c r="P356" s="76">
        <f t="shared" si="76"/>
        <v>18370154</v>
      </c>
      <c r="Q356" s="76">
        <f t="shared" si="76"/>
        <v>10130527</v>
      </c>
      <c r="R356" s="76">
        <v>29132400</v>
      </c>
      <c r="S356" s="80">
        <f>M356/'[21]2014'!M356-1</f>
        <v>-8.4767564940824602E-2</v>
      </c>
      <c r="T356" s="80">
        <f>N356/'[21]2014'!N356-1</f>
        <v>6.5853980953037849E-2</v>
      </c>
      <c r="U356" s="80">
        <f>O356/'[21]2014'!O356-1</f>
        <v>-4.6588941386304095E-2</v>
      </c>
      <c r="V356" s="81">
        <f>P356/'[21]2014'!P356-1</f>
        <v>-6.1120300504404645E-2</v>
      </c>
      <c r="W356" s="81">
        <f>Q356/'[21]2014'!Q356-1</f>
        <v>0.15162071383924292</v>
      </c>
      <c r="X356" s="81">
        <f>R356/'[21]2014'!R356-1</f>
        <v>4.5615429880749847E-3</v>
      </c>
      <c r="Y356" s="93">
        <v>138.96</v>
      </c>
      <c r="Z356" s="50">
        <f>P356/10000-Y356</f>
        <v>1698.0554</v>
      </c>
      <c r="AA356" s="37">
        <f>3890.092+(12*(A356-"2015年6月30日")+100*(A356-"2015年9月14日")+66*(A356-"2015年11月17日")+100*(A356-"2015年12月14日"))/(A356-"2015年1月1日"+1)</f>
        <v>3929.1803190883193</v>
      </c>
      <c r="AB356" s="37">
        <f>(Z356-4.9818-3.3319-0.95-0.84)*10000/AA356</f>
        <v>4295.9384984185517</v>
      </c>
    </row>
    <row r="357" spans="1:32" ht="15" customHeight="1" x14ac:dyDescent="0.15">
      <c r="A357" s="20">
        <v>42356</v>
      </c>
      <c r="B357" s="20" t="s">
        <v>38</v>
      </c>
      <c r="C357" s="21">
        <v>68105</v>
      </c>
      <c r="D357" s="7">
        <v>23708</v>
      </c>
      <c r="E357" s="7">
        <v>94212</v>
      </c>
      <c r="F357" s="22">
        <v>4782</v>
      </c>
      <c r="G357" s="23">
        <v>2945</v>
      </c>
      <c r="H357" s="24">
        <v>1230</v>
      </c>
      <c r="I357" s="36">
        <v>743</v>
      </c>
      <c r="J357" s="8">
        <f t="shared" si="63"/>
        <v>70504</v>
      </c>
      <c r="K357" s="37">
        <f t="shared" si="68"/>
        <v>1609</v>
      </c>
      <c r="L357" s="37">
        <v>790</v>
      </c>
      <c r="M357" s="74">
        <f t="shared" ref="M357:O370" si="83">M356+C357</f>
        <v>1156709</v>
      </c>
      <c r="N357" s="75">
        <f t="shared" si="83"/>
        <v>394606</v>
      </c>
      <c r="O357" s="75">
        <f t="shared" si="83"/>
        <v>1579185</v>
      </c>
      <c r="P357" s="76">
        <f t="shared" si="76"/>
        <v>18438259</v>
      </c>
      <c r="Q357" s="76">
        <f t="shared" si="76"/>
        <v>10154235</v>
      </c>
      <c r="R357" s="76">
        <f t="shared" si="76"/>
        <v>29222999</v>
      </c>
      <c r="S357" s="80">
        <f>M357/'[21]2014'!M357-1</f>
        <v>-8.483505876488906E-2</v>
      </c>
      <c r="T357" s="80">
        <f>N357/'[21]2014'!N357-1</f>
        <v>6.4666871718496166E-2</v>
      </c>
      <c r="U357" s="80">
        <f>O357/'[21]2014'!O357-1</f>
        <v>-4.579237085868626E-2</v>
      </c>
      <c r="V357" s="81">
        <f>P357/'[21]2014'!P357-1</f>
        <v>-6.1214349379971278E-2</v>
      </c>
      <c r="W357" s="81">
        <f>Q357/'[21]2014'!Q357-1</f>
        <v>0.15135050095457037</v>
      </c>
      <c r="X357" s="81">
        <f>R357/'[21]2014'!R357-1</f>
        <v>4.3114035300870768E-3</v>
      </c>
      <c r="Y357" s="93"/>
      <c r="Z357" s="50"/>
      <c r="AA357" s="37"/>
      <c r="AB357" s="37"/>
    </row>
    <row r="358" spans="1:32" ht="15" customHeight="1" x14ac:dyDescent="0.15">
      <c r="A358" s="20">
        <v>42357</v>
      </c>
      <c r="B358" s="20" t="s">
        <v>39</v>
      </c>
      <c r="C358" s="21">
        <v>66316</v>
      </c>
      <c r="D358" s="7">
        <v>23930</v>
      </c>
      <c r="E358" s="7">
        <v>91672</v>
      </c>
      <c r="F358" s="22">
        <v>4676</v>
      </c>
      <c r="G358" s="23">
        <v>2975</v>
      </c>
      <c r="H358" s="24"/>
      <c r="I358" s="36"/>
      <c r="J358" s="8">
        <f t="shared" si="63"/>
        <v>67742</v>
      </c>
      <c r="K358" s="37">
        <f t="shared" si="68"/>
        <v>636</v>
      </c>
      <c r="L358" s="37">
        <v>790</v>
      </c>
      <c r="M358" s="74">
        <f t="shared" si="83"/>
        <v>1223025</v>
      </c>
      <c r="N358" s="75">
        <f t="shared" si="83"/>
        <v>418536</v>
      </c>
      <c r="O358" s="75">
        <f t="shared" si="83"/>
        <v>1670857</v>
      </c>
      <c r="P358" s="76">
        <f t="shared" si="76"/>
        <v>18504575</v>
      </c>
      <c r="Q358" s="76">
        <f t="shared" si="76"/>
        <v>10178165</v>
      </c>
      <c r="R358" s="76">
        <f t="shared" si="76"/>
        <v>29314671</v>
      </c>
      <c r="S358" s="80">
        <f>M358/'[21]2014'!M358-1</f>
        <v>-8.483270290595224E-2</v>
      </c>
      <c r="T358" s="80">
        <f>N358/'[21]2014'!N358-1</f>
        <v>6.1264025356576823E-2</v>
      </c>
      <c r="U358" s="80">
        <f>O358/'[21]2014'!O358-1</f>
        <v>-4.6281836135940724E-2</v>
      </c>
      <c r="V358" s="81">
        <f>P358/'[21]2014'!P358-1</f>
        <v>-6.1301013412366157E-2</v>
      </c>
      <c r="W358" s="81">
        <f>Q358/'[21]2014'!Q358-1</f>
        <v>0.15096606701040161</v>
      </c>
      <c r="X358" s="81">
        <f>R358/'[21]2014'!R358-1</f>
        <v>4.1156107153821342E-3</v>
      </c>
      <c r="Y358" s="93"/>
      <c r="Z358" s="50"/>
      <c r="AA358" s="37"/>
      <c r="AB358" s="37"/>
    </row>
    <row r="359" spans="1:32" ht="15" customHeight="1" x14ac:dyDescent="0.15">
      <c r="A359" s="20">
        <v>42358</v>
      </c>
      <c r="B359" s="20" t="s">
        <v>1</v>
      </c>
      <c r="C359" s="21">
        <v>63450</v>
      </c>
      <c r="D359" s="7">
        <v>22996</v>
      </c>
      <c r="E359" s="7">
        <v>88270</v>
      </c>
      <c r="F359" s="22">
        <v>4396</v>
      </c>
      <c r="G359" s="23">
        <v>2905</v>
      </c>
      <c r="H359" s="24"/>
      <c r="I359" s="36"/>
      <c r="J359" s="8">
        <f t="shared" si="63"/>
        <v>65274</v>
      </c>
      <c r="K359" s="37">
        <f t="shared" si="68"/>
        <v>1034</v>
      </c>
      <c r="L359" s="37">
        <v>790</v>
      </c>
      <c r="M359" s="74">
        <f t="shared" si="83"/>
        <v>1286475</v>
      </c>
      <c r="N359" s="75">
        <f t="shared" si="83"/>
        <v>441532</v>
      </c>
      <c r="O359" s="75">
        <f t="shared" si="83"/>
        <v>1759127</v>
      </c>
      <c r="P359" s="76">
        <f t="shared" si="76"/>
        <v>18568025</v>
      </c>
      <c r="Q359" s="76">
        <f t="shared" si="76"/>
        <v>10201161</v>
      </c>
      <c r="R359" s="76">
        <f t="shared" si="76"/>
        <v>29402941</v>
      </c>
      <c r="S359" s="80">
        <f>M359/'[21]2014'!M359-1</f>
        <v>-8.4423944504977921E-2</v>
      </c>
      <c r="T359" s="80">
        <f>N359/'[21]2014'!N359-1</f>
        <v>5.480024749577761E-2</v>
      </c>
      <c r="U359" s="80">
        <f>O359/'[21]2014'!O359-1</f>
        <v>-4.6796269173102645E-2</v>
      </c>
      <c r="V359" s="81">
        <f>P359/'[21]2014'!P359-1</f>
        <v>-6.1353707309167338E-2</v>
      </c>
      <c r="W359" s="81">
        <f>Q359/'[21]2014'!Q359-1</f>
        <v>0.15041594926566426</v>
      </c>
      <c r="X359" s="81">
        <f>R359/'[21]2014'!R359-1</f>
        <v>3.9222209871003777E-3</v>
      </c>
      <c r="Y359" s="93">
        <v>141.0617</v>
      </c>
      <c r="Z359" s="50">
        <f>P359/10000-Y359</f>
        <v>1715.7408</v>
      </c>
      <c r="AA359" s="37">
        <f>3890.092+(12*(A359-"2015年6月30日")+100*(A359-"2015年9月14日")+66*(A359-"2015年11月17日")+100*(A359-"2015年12月14日")+66*(A359-"2015年12月19日"))/(A359-"2015年1月1日"+1)</f>
        <v>3931.3914350282489</v>
      </c>
      <c r="AB359" s="37">
        <f>(Z359-4.9818-4.63)*10000/AA359</f>
        <v>4339.7586533830881</v>
      </c>
    </row>
    <row r="360" spans="1:32" ht="15" customHeight="1" x14ac:dyDescent="0.15">
      <c r="A360" s="20">
        <v>42359</v>
      </c>
      <c r="B360" s="20" t="s">
        <v>34</v>
      </c>
      <c r="C360" s="21">
        <v>65811</v>
      </c>
      <c r="D360" s="7">
        <f>15659+7659</f>
        <v>23318</v>
      </c>
      <c r="E360" s="7">
        <v>92035</v>
      </c>
      <c r="F360" s="22">
        <v>4779</v>
      </c>
      <c r="G360" s="23">
        <v>2786</v>
      </c>
      <c r="H360" s="24"/>
      <c r="I360" s="36"/>
      <c r="J360" s="8">
        <f t="shared" si="63"/>
        <v>68717</v>
      </c>
      <c r="K360" s="37">
        <f t="shared" si="68"/>
        <v>2116</v>
      </c>
      <c r="L360" s="37">
        <v>790</v>
      </c>
      <c r="M360" s="74">
        <f t="shared" si="83"/>
        <v>1352286</v>
      </c>
      <c r="N360" s="75">
        <f t="shared" si="83"/>
        <v>464850</v>
      </c>
      <c r="O360" s="75">
        <f t="shared" si="83"/>
        <v>1851162</v>
      </c>
      <c r="P360" s="76">
        <f t="shared" si="76"/>
        <v>18633836</v>
      </c>
      <c r="Q360" s="76">
        <f t="shared" si="76"/>
        <v>10224479</v>
      </c>
      <c r="R360" s="76">
        <f t="shared" si="76"/>
        <v>29494976</v>
      </c>
      <c r="S360" s="80">
        <f>M360/'[21]2014'!M360-1</f>
        <v>-8.3548843563969966E-2</v>
      </c>
      <c r="T360" s="80">
        <f>N360/'[21]2014'!N360-1</f>
        <v>5.983743915368045E-2</v>
      </c>
      <c r="U360" s="80">
        <f>O360/'[21]2014'!O360-1</f>
        <v>-4.3977326014968621E-2</v>
      </c>
      <c r="V360" s="81">
        <f>P360/'[21]2014'!P360-1</f>
        <v>-6.1370555115497383E-2</v>
      </c>
      <c r="W360" s="81">
        <f>Q360/'[21]2014'!Q360-1</f>
        <v>0.15044924097142465</v>
      </c>
      <c r="X360" s="81">
        <f>R360/'[21]2014'!R360-1</f>
        <v>3.9512131078462964E-3</v>
      </c>
      <c r="Y360" s="93"/>
      <c r="Z360" s="50"/>
      <c r="AA360" s="37"/>
      <c r="AB360" s="37"/>
    </row>
    <row r="361" spans="1:32" ht="15" customHeight="1" x14ac:dyDescent="0.15">
      <c r="A361" s="20">
        <v>42360</v>
      </c>
      <c r="B361" s="14" t="s">
        <v>35</v>
      </c>
      <c r="C361" s="15">
        <v>65764</v>
      </c>
      <c r="D361" s="16">
        <v>24022</v>
      </c>
      <c r="E361" s="16">
        <v>91333</v>
      </c>
      <c r="F361" s="17">
        <v>4645</v>
      </c>
      <c r="G361" s="18">
        <v>2964</v>
      </c>
      <c r="H361" s="19">
        <v>1232</v>
      </c>
      <c r="I361" s="19">
        <v>752</v>
      </c>
      <c r="J361" s="32">
        <f t="shared" si="63"/>
        <v>67311</v>
      </c>
      <c r="K361" s="33">
        <f t="shared" si="68"/>
        <v>757</v>
      </c>
      <c r="L361" s="33">
        <v>790</v>
      </c>
      <c r="M361" s="77">
        <f t="shared" si="83"/>
        <v>1418050</v>
      </c>
      <c r="N361" s="78">
        <f t="shared" si="83"/>
        <v>488872</v>
      </c>
      <c r="O361" s="78">
        <f t="shared" si="83"/>
        <v>1942495</v>
      </c>
      <c r="P361" s="77">
        <f t="shared" si="76"/>
        <v>18699600</v>
      </c>
      <c r="Q361" s="77">
        <f t="shared" si="76"/>
        <v>10248501</v>
      </c>
      <c r="R361" s="77">
        <f t="shared" si="76"/>
        <v>29586309</v>
      </c>
      <c r="S361" s="82">
        <f>M361/'[21]2014'!M361-1</f>
        <v>-8.3968923223411318E-2</v>
      </c>
      <c r="T361" s="82">
        <f>N361/'[21]2014'!N361-1</f>
        <v>6.0273574491249926E-2</v>
      </c>
      <c r="U361" s="82">
        <f>O361/'[21]2014'!O361-1</f>
        <v>-4.3968223735143308E-2</v>
      </c>
      <c r="V361" s="82">
        <f>P361/'[21]2014'!P361-1</f>
        <v>-6.1483858883501274E-2</v>
      </c>
      <c r="W361" s="82">
        <f>Q361/'[21]2014'!Q361-1</f>
        <v>0.15024323346209156</v>
      </c>
      <c r="X361" s="82">
        <f>R361/'[21]2014'!R361-1</f>
        <v>3.796522977782546E-3</v>
      </c>
      <c r="Y361" s="96">
        <f>Y359+(Y363-Y359)/4</f>
        <v>141.67127500000001</v>
      </c>
      <c r="Z361" s="49">
        <f>P361/10000-Y361</f>
        <v>1728.2887250000001</v>
      </c>
      <c r="AA361" s="33">
        <f>3890.092+(12*(A361-"2015年6月30日")+100*(A361-"2015年9月14日")+66*(A361-"2015年11月17日")+100*(A361-"2015年12月14日")+66*(A361-"2015年12月19日"))/(A361-"2015年1月1日"+1)</f>
        <v>3933.0920000000001</v>
      </c>
      <c r="AB361" s="33">
        <f>(Z361-4.9818-4.63)*10000/AA361</f>
        <v>4369.7857182084726</v>
      </c>
      <c r="AC361" s="63">
        <f t="shared" ref="AC361" si="84">AC354+SUM(K355:K361)/10000</f>
        <v>38.738099999999989</v>
      </c>
      <c r="AD361" s="2">
        <f t="shared" ref="AD361" si="85">AD354+SUM(L355:L361)/10000</f>
        <v>25.066400000000005</v>
      </c>
      <c r="AF361" s="2">
        <f t="shared" ref="AF361" si="86">AF354+SUM(J355:J361)/10000</f>
        <v>1933.7647999999999</v>
      </c>
    </row>
    <row r="362" spans="1:32" ht="15" customHeight="1" x14ac:dyDescent="0.15">
      <c r="A362" s="20">
        <v>42361</v>
      </c>
      <c r="B362" s="20" t="s">
        <v>36</v>
      </c>
      <c r="C362" s="66">
        <v>62513</v>
      </c>
      <c r="D362" s="67">
        <v>23992</v>
      </c>
      <c r="E362" s="67">
        <v>89191</v>
      </c>
      <c r="F362" s="68">
        <v>4586</v>
      </c>
      <c r="G362" s="69">
        <v>2839</v>
      </c>
      <c r="H362" s="24"/>
      <c r="I362" s="24"/>
      <c r="J362" s="70">
        <f t="shared" si="63"/>
        <v>65199</v>
      </c>
      <c r="K362" s="71">
        <f t="shared" si="68"/>
        <v>1896</v>
      </c>
      <c r="L362" s="71">
        <v>790</v>
      </c>
      <c r="M362" s="72">
        <f t="shared" si="83"/>
        <v>1480563</v>
      </c>
      <c r="N362" s="73">
        <f t="shared" si="83"/>
        <v>512864</v>
      </c>
      <c r="O362" s="73">
        <f t="shared" si="83"/>
        <v>2031686</v>
      </c>
      <c r="P362" s="72">
        <f t="shared" si="76"/>
        <v>18762113</v>
      </c>
      <c r="Q362" s="72">
        <f t="shared" si="76"/>
        <v>10272493</v>
      </c>
      <c r="R362" s="72">
        <f t="shared" si="76"/>
        <v>29675500</v>
      </c>
      <c r="S362" s="79">
        <f>M362/'[21]2014'!M362-1</f>
        <v>-8.6521067426128861E-2</v>
      </c>
      <c r="T362" s="79">
        <f>N362/'[21]2014'!N362-1</f>
        <v>6.1116226141830099E-2</v>
      </c>
      <c r="U362" s="79">
        <f>O362/'[21]2014'!O362-1</f>
        <v>-4.4946175903727736E-2</v>
      </c>
      <c r="V362" s="79">
        <f>P362/'[21]2014'!P362-1</f>
        <v>-6.1772521161872818E-2</v>
      </c>
      <c r="W362" s="79">
        <f>Q362/'[21]2014'!Q362-1</f>
        <v>0.15006477480462466</v>
      </c>
      <c r="X362" s="79">
        <f>R362/'[21]2014'!R362-1</f>
        <v>3.571954911833819E-3</v>
      </c>
      <c r="Y362" s="85"/>
      <c r="Z362" s="97"/>
      <c r="AA362" s="85"/>
      <c r="AB362" s="71"/>
    </row>
    <row r="363" spans="1:32" ht="15" customHeight="1" x14ac:dyDescent="0.15">
      <c r="A363" s="20">
        <v>42362</v>
      </c>
      <c r="B363" s="20" t="s">
        <v>37</v>
      </c>
      <c r="C363" s="21">
        <v>62191</v>
      </c>
      <c r="D363" s="7">
        <v>24274</v>
      </c>
      <c r="E363" s="7">
        <v>89120</v>
      </c>
      <c r="F363" s="22">
        <v>4622</v>
      </c>
      <c r="G363" s="23">
        <v>2825</v>
      </c>
      <c r="H363" s="24"/>
      <c r="I363" s="36"/>
      <c r="J363" s="8">
        <f t="shared" si="63"/>
        <v>64846</v>
      </c>
      <c r="K363" s="37">
        <f t="shared" si="68"/>
        <v>1865</v>
      </c>
      <c r="L363" s="37">
        <v>790</v>
      </c>
      <c r="M363" s="74">
        <f t="shared" si="83"/>
        <v>1542754</v>
      </c>
      <c r="N363" s="75">
        <f t="shared" si="83"/>
        <v>537138</v>
      </c>
      <c r="O363" s="75">
        <f t="shared" si="83"/>
        <v>2120806</v>
      </c>
      <c r="P363" s="76">
        <f t="shared" si="76"/>
        <v>18824304</v>
      </c>
      <c r="Q363" s="76">
        <f t="shared" si="76"/>
        <v>10296767</v>
      </c>
      <c r="R363" s="76">
        <f t="shared" si="76"/>
        <v>29764620</v>
      </c>
      <c r="S363" s="80">
        <f>M363/'[21]2014'!M363-1</f>
        <v>-8.7303869194463091E-2</v>
      </c>
      <c r="T363" s="80">
        <f>N363/'[21]2014'!N363-1</f>
        <v>6.1118135124456741E-2</v>
      </c>
      <c r="U363" s="80">
        <f>O363/'[21]2014'!O363-1</f>
        <v>-4.4933654870225603E-2</v>
      </c>
      <c r="V363" s="81">
        <f>P363/'[21]2014'!P363-1</f>
        <v>-6.1924211338125312E-2</v>
      </c>
      <c r="W363" s="81">
        <f>Q363/'[21]2014'!Q363-1</f>
        <v>0.1498376684378051</v>
      </c>
      <c r="X363" s="81">
        <f>R363/'[21]2014'!R363-1</f>
        <v>3.4203119513411817E-3</v>
      </c>
      <c r="Y363" s="93">
        <v>143.5</v>
      </c>
      <c r="Z363" s="50">
        <f>P363/10000-Y363</f>
        <v>1738.9304</v>
      </c>
      <c r="AA363" s="37">
        <f>3890.092+(12*(A363-"2015年6月30日")+100*(A363-"2015年9月14日")+66*(A363-"2015年11月17日")+100*(A363-"2015年12月14日")+66*(A363-"2015年12月19日"))/(A363-"2015年1月1日"+1)</f>
        <v>3934.7735642458101</v>
      </c>
      <c r="AB363" s="37">
        <f>(Z363-4.9818-4.63)*10000/AA363</f>
        <v>4394.963450282974</v>
      </c>
    </row>
    <row r="364" spans="1:32" ht="15" customHeight="1" x14ac:dyDescent="0.15">
      <c r="A364" s="20">
        <v>42363</v>
      </c>
      <c r="B364" s="20" t="s">
        <v>38</v>
      </c>
      <c r="C364" s="21">
        <v>59538</v>
      </c>
      <c r="D364" s="7">
        <v>25064</v>
      </c>
      <c r="E364" s="7">
        <v>89642</v>
      </c>
      <c r="F364" s="22">
        <v>4608</v>
      </c>
      <c r="G364" s="23">
        <v>2729</v>
      </c>
      <c r="H364" s="24"/>
      <c r="I364" s="36"/>
      <c r="J364" s="8">
        <f t="shared" si="63"/>
        <v>64578</v>
      </c>
      <c r="K364" s="37">
        <f t="shared" si="68"/>
        <v>4250</v>
      </c>
      <c r="L364" s="37">
        <v>790</v>
      </c>
      <c r="M364" s="74">
        <f t="shared" si="83"/>
        <v>1602292</v>
      </c>
      <c r="N364" s="75">
        <f t="shared" si="83"/>
        <v>562202</v>
      </c>
      <c r="O364" s="75">
        <f t="shared" si="83"/>
        <v>2210448</v>
      </c>
      <c r="P364" s="76">
        <f t="shared" si="76"/>
        <v>18883842</v>
      </c>
      <c r="Q364" s="76">
        <f t="shared" si="76"/>
        <v>10321831</v>
      </c>
      <c r="R364" s="76">
        <f t="shared" si="76"/>
        <v>29854262</v>
      </c>
      <c r="S364" s="80">
        <f>M364/'[21]2014'!M364-1</f>
        <v>-9.0753708390552856E-2</v>
      </c>
      <c r="T364" s="80">
        <f>N364/'[21]2014'!N364-1</f>
        <v>6.5919148177781439E-2</v>
      </c>
      <c r="U364" s="80">
        <f>O364/'[21]2014'!O364-1</f>
        <v>-4.5111291106431195E-2</v>
      </c>
      <c r="V364" s="81">
        <f>P364/'[21]2014'!P364-1</f>
        <v>-6.2316688057353131E-2</v>
      </c>
      <c r="W364" s="81">
        <f>Q364/'[21]2014'!Q364-1</f>
        <v>0.14990989792627918</v>
      </c>
      <c r="X364" s="81">
        <f>R364/'[21]2014'!R364-1</f>
        <v>3.2532781242529119E-3</v>
      </c>
      <c r="Y364" s="93"/>
      <c r="Z364" s="50"/>
      <c r="AA364" s="37"/>
      <c r="AB364" s="37"/>
    </row>
    <row r="365" spans="1:32" ht="15" customHeight="1" x14ac:dyDescent="0.15">
      <c r="A365" s="20">
        <v>42364</v>
      </c>
      <c r="B365" s="20" t="s">
        <v>39</v>
      </c>
      <c r="C365" s="21">
        <v>59367</v>
      </c>
      <c r="D365" s="7">
        <v>25011</v>
      </c>
      <c r="E365" s="7">
        <v>87294</v>
      </c>
      <c r="F365" s="22">
        <v>4460</v>
      </c>
      <c r="G365" s="23">
        <v>2836</v>
      </c>
      <c r="H365" s="24"/>
      <c r="I365" s="36"/>
      <c r="J365" s="8">
        <f t="shared" si="63"/>
        <v>62283</v>
      </c>
      <c r="K365" s="37">
        <f t="shared" si="68"/>
        <v>2126</v>
      </c>
      <c r="L365" s="37">
        <v>790</v>
      </c>
      <c r="M365" s="74">
        <f t="shared" si="83"/>
        <v>1661659</v>
      </c>
      <c r="N365" s="75">
        <f t="shared" si="83"/>
        <v>587213</v>
      </c>
      <c r="O365" s="75">
        <f t="shared" si="83"/>
        <v>2297742</v>
      </c>
      <c r="P365" s="76">
        <f t="shared" si="76"/>
        <v>18943209</v>
      </c>
      <c r="Q365" s="76">
        <f t="shared" si="76"/>
        <v>10346842</v>
      </c>
      <c r="R365" s="76">
        <f t="shared" si="76"/>
        <v>29941556</v>
      </c>
      <c r="S365" s="80">
        <f>M365/'[21]2014'!M365-1</f>
        <v>-9.4251513978752532E-2</v>
      </c>
      <c r="T365" s="80">
        <f>N365/'[21]2014'!N365-1</f>
        <v>6.9947742810081204E-2</v>
      </c>
      <c r="U365" s="80">
        <f>O365/'[21]2014'!O365-1</f>
        <v>-4.6430914711554472E-2</v>
      </c>
      <c r="V365" s="81">
        <f>P365/'[21]2014'!P365-1</f>
        <v>-6.2735980195512631E-2</v>
      </c>
      <c r="W365" s="81">
        <f>Q365/'[21]2014'!Q365-1</f>
        <v>0.14995595769248871</v>
      </c>
      <c r="X365" s="81">
        <f>R365/'[21]2014'!R365-1</f>
        <v>2.9932557002472215E-3</v>
      </c>
      <c r="Y365" s="93"/>
      <c r="Z365" s="50"/>
      <c r="AA365" s="37"/>
      <c r="AB365" s="37"/>
    </row>
    <row r="366" spans="1:32" ht="15" customHeight="1" x14ac:dyDescent="0.15">
      <c r="A366" s="20">
        <v>42365</v>
      </c>
      <c r="B366" s="20" t="s">
        <v>1</v>
      </c>
      <c r="C366" s="21">
        <v>56573</v>
      </c>
      <c r="D366" s="7">
        <v>25275</v>
      </c>
      <c r="E366" s="7">
        <v>83724</v>
      </c>
      <c r="F366" s="22">
        <v>4212</v>
      </c>
      <c r="G366" s="23">
        <v>2787</v>
      </c>
      <c r="H366" s="24"/>
      <c r="I366" s="36"/>
      <c r="J366" s="8">
        <f t="shared" si="63"/>
        <v>58449</v>
      </c>
      <c r="K366" s="37">
        <f t="shared" si="68"/>
        <v>1086</v>
      </c>
      <c r="L366" s="37">
        <v>790</v>
      </c>
      <c r="M366" s="74">
        <f t="shared" si="83"/>
        <v>1718232</v>
      </c>
      <c r="N366" s="75">
        <f t="shared" si="83"/>
        <v>612488</v>
      </c>
      <c r="O366" s="75">
        <f t="shared" si="83"/>
        <v>2381466</v>
      </c>
      <c r="P366" s="76">
        <f t="shared" si="76"/>
        <v>18999782</v>
      </c>
      <c r="Q366" s="76">
        <f t="shared" si="76"/>
        <v>10372117</v>
      </c>
      <c r="R366" s="76">
        <f t="shared" si="76"/>
        <v>30025280</v>
      </c>
      <c r="S366" s="80">
        <f>M366/'[21]2014'!M366-1</f>
        <v>-9.82336057335782E-2</v>
      </c>
      <c r="T366" s="80">
        <f>N366/'[21]2014'!N366-1</f>
        <v>7.4868468620245432E-2</v>
      </c>
      <c r="U366" s="80">
        <f>O366/'[21]2014'!O366-1</f>
        <v>-4.8356108110527374E-2</v>
      </c>
      <c r="V366" s="81">
        <f>P366/'[21]2014'!P366-1</f>
        <v>-6.3220151608218034E-2</v>
      </c>
      <c r="W366" s="81">
        <f>Q366/'[21]2014'!Q366-1</f>
        <v>0.15008054741974663</v>
      </c>
      <c r="X366" s="81">
        <f>R366/'[21]2014'!R366-1</f>
        <v>2.6791159142127707E-3</v>
      </c>
      <c r="Y366" s="93"/>
      <c r="Z366" s="50"/>
      <c r="AA366" s="37"/>
      <c r="AB366" s="37"/>
    </row>
    <row r="367" spans="1:32" ht="15" customHeight="1" x14ac:dyDescent="0.15">
      <c r="A367" s="20">
        <v>42366</v>
      </c>
      <c r="B367" s="20" t="s">
        <v>34</v>
      </c>
      <c r="C367" s="21">
        <v>63019</v>
      </c>
      <c r="D367" s="7">
        <v>25105</v>
      </c>
      <c r="E367" s="7">
        <v>91151</v>
      </c>
      <c r="F367" s="22">
        <v>4669</v>
      </c>
      <c r="G367" s="23">
        <v>2734</v>
      </c>
      <c r="H367" s="24"/>
      <c r="I367" s="36"/>
      <c r="J367" s="8">
        <f t="shared" si="63"/>
        <v>66046</v>
      </c>
      <c r="K367" s="37">
        <f t="shared" si="68"/>
        <v>2237</v>
      </c>
      <c r="L367" s="37">
        <v>790</v>
      </c>
      <c r="M367" s="74">
        <f t="shared" si="83"/>
        <v>1781251</v>
      </c>
      <c r="N367" s="75">
        <f t="shared" si="83"/>
        <v>637593</v>
      </c>
      <c r="O367" s="75">
        <f t="shared" si="83"/>
        <v>2472617</v>
      </c>
      <c r="P367" s="76">
        <f t="shared" si="76"/>
        <v>19062801</v>
      </c>
      <c r="Q367" s="76">
        <f t="shared" si="76"/>
        <v>10397222</v>
      </c>
      <c r="R367" s="76">
        <f t="shared" si="76"/>
        <v>30116431</v>
      </c>
      <c r="S367" s="80">
        <f>M367/'[21]2014'!M367-1</f>
        <v>-9.6746107326532216E-2</v>
      </c>
      <c r="T367" s="80">
        <f>N367/'[21]2014'!N367-1</f>
        <v>7.8720747668611146E-2</v>
      </c>
      <c r="U367" s="80">
        <f>O367/'[21]2014'!O367-1</f>
        <v>-4.5801668118317318E-2</v>
      </c>
      <c r="V367" s="81">
        <f>P367/'[21]2014'!P367-1</f>
        <v>-6.319064488077708E-2</v>
      </c>
      <c r="W367" s="81">
        <f>Q367/'[21]2014'!Q367-1</f>
        <v>0.1501557245740619</v>
      </c>
      <c r="X367" s="81">
        <f>R367/'[21]2014'!R367-1</f>
        <v>2.7485715463184679E-3</v>
      </c>
      <c r="Y367" s="93"/>
      <c r="Z367" s="50"/>
      <c r="AA367" s="37"/>
      <c r="AB367" s="37"/>
    </row>
    <row r="368" spans="1:32" ht="15" customHeight="1" x14ac:dyDescent="0.15">
      <c r="A368" s="20">
        <v>42367</v>
      </c>
      <c r="B368" s="14" t="s">
        <v>35</v>
      </c>
      <c r="C368" s="15">
        <v>65315</v>
      </c>
      <c r="D368" s="16">
        <v>24592</v>
      </c>
      <c r="E368" s="16">
        <v>92046</v>
      </c>
      <c r="F368" s="17">
        <v>4910</v>
      </c>
      <c r="G368" s="18">
        <v>2947</v>
      </c>
      <c r="H368" s="19"/>
      <c r="I368" s="19"/>
      <c r="J368" s="32">
        <f t="shared" si="63"/>
        <v>67454</v>
      </c>
      <c r="K368" s="33">
        <f t="shared" si="68"/>
        <v>1349</v>
      </c>
      <c r="L368" s="33">
        <v>790</v>
      </c>
      <c r="M368" s="77">
        <f t="shared" si="83"/>
        <v>1846566</v>
      </c>
      <c r="N368" s="78">
        <f t="shared" si="83"/>
        <v>662185</v>
      </c>
      <c r="O368" s="78">
        <f t="shared" si="83"/>
        <v>2564663</v>
      </c>
      <c r="P368" s="77">
        <f t="shared" si="76"/>
        <v>19128116</v>
      </c>
      <c r="Q368" s="77">
        <f t="shared" si="76"/>
        <v>10421814</v>
      </c>
      <c r="R368" s="77">
        <f t="shared" si="76"/>
        <v>30208477</v>
      </c>
      <c r="S368" s="82">
        <f>M368/'[21]2014'!M368-1</f>
        <v>-9.4571151464275971E-2</v>
      </c>
      <c r="T368" s="82">
        <f>N368/'[21]2014'!N368-1</f>
        <v>8.0123771743243699E-2</v>
      </c>
      <c r="U368" s="82">
        <f>O368/'[21]2014'!O368-1</f>
        <v>-4.3750883201845836E-2</v>
      </c>
      <c r="V368" s="82">
        <f>P368/'[21]2014'!P368-1</f>
        <v>-6.3084157582920741E-2</v>
      </c>
      <c r="W368" s="82">
        <f>Q368/'[21]2014'!Q368-1</f>
        <v>0.15007721667076712</v>
      </c>
      <c r="X368" s="82">
        <f>R368/'[21]2014'!R368-1</f>
        <v>2.7849771836476744E-3</v>
      </c>
      <c r="Y368" s="96">
        <f>Y363+(Y370-Y363)/7*5</f>
        <v>147.26164285714285</v>
      </c>
      <c r="Z368" s="49">
        <f>P368/10000-Y368</f>
        <v>1765.5499571428572</v>
      </c>
      <c r="AA368" s="33">
        <f>3890.092+(12*(A368-"2015年6月30日")+100*(A368-"2015年9月14日")+66*(A368-"2015年11月17日")+100*(A368-"2015年12月14日")+66*(A368-"2015年12月19日"))/(A368-"2015年1月1日"+1)</f>
        <v>3938.8964077134988</v>
      </c>
      <c r="AB368" s="33">
        <f>(Z368-4.9818-4.63)*10000/AA368</f>
        <v>4457.9444986271337</v>
      </c>
      <c r="AC368" s="63">
        <f t="shared" ref="AC368" si="87">AC361+SUM(K362:K368)/10000</f>
        <v>40.218999999999987</v>
      </c>
      <c r="AD368" s="2">
        <f t="shared" ref="AD368" si="88">AD361+SUM(L362:L368)/10000</f>
        <v>25.619400000000006</v>
      </c>
      <c r="AF368" s="2">
        <f t="shared" ref="AF368" si="89">AF361+SUM(J362:J368)/10000</f>
        <v>1978.6503</v>
      </c>
    </row>
    <row r="369" spans="1:32" ht="15" customHeight="1" x14ac:dyDescent="0.15">
      <c r="A369" s="20">
        <v>42368</v>
      </c>
      <c r="B369" s="20" t="s">
        <v>36</v>
      </c>
      <c r="C369" s="66">
        <v>63694</v>
      </c>
      <c r="D369" s="67">
        <v>24731</v>
      </c>
      <c r="E369" s="67">
        <v>90411</v>
      </c>
      <c r="F369" s="68">
        <v>4615</v>
      </c>
      <c r="G369" s="69">
        <v>2951</v>
      </c>
      <c r="H369" s="24"/>
      <c r="I369" s="24"/>
      <c r="J369" s="70">
        <f t="shared" si="63"/>
        <v>65680</v>
      </c>
      <c r="K369" s="71">
        <f t="shared" si="68"/>
        <v>1196</v>
      </c>
      <c r="L369" s="71">
        <v>790</v>
      </c>
      <c r="M369" s="72">
        <f t="shared" si="83"/>
        <v>1910260</v>
      </c>
      <c r="N369" s="73">
        <f t="shared" si="83"/>
        <v>686916</v>
      </c>
      <c r="O369" s="73">
        <f t="shared" si="83"/>
        <v>2655074</v>
      </c>
      <c r="P369" s="72">
        <f t="shared" si="76"/>
        <v>19191810</v>
      </c>
      <c r="Q369" s="72">
        <f t="shared" si="76"/>
        <v>10446545</v>
      </c>
      <c r="R369" s="72">
        <f t="shared" si="76"/>
        <v>30298888</v>
      </c>
      <c r="S369" s="79">
        <f>M369/'[21]2014'!M369-1</f>
        <v>-9.3299589050068632E-2</v>
      </c>
      <c r="T369" s="79">
        <f>N369/'[21]2014'!N369-1</f>
        <v>8.1301120157162066E-2</v>
      </c>
      <c r="U369" s="79">
        <f>O369/'[21]2014'!O369-1</f>
        <v>-4.244535689104556E-2</v>
      </c>
      <c r="V369" s="79">
        <f>P369/'[21]2014'!P369-1</f>
        <v>-6.3056959250922473E-2</v>
      </c>
      <c r="W369" s="79">
        <f>Q369/'[21]2014'!Q369-1</f>
        <v>0.14998856511294401</v>
      </c>
      <c r="X369" s="79">
        <f>R369/'[21]2014'!R369-1</f>
        <v>2.7649949479822133E-3</v>
      </c>
      <c r="Y369" s="85"/>
      <c r="Z369" s="97"/>
      <c r="AA369" s="85"/>
      <c r="AB369" s="71"/>
    </row>
    <row r="370" spans="1:32" ht="15" customHeight="1" x14ac:dyDescent="0.15">
      <c r="A370" s="25">
        <v>42369</v>
      </c>
      <c r="B370" s="20" t="s">
        <v>37</v>
      </c>
      <c r="C370" s="21">
        <v>62659</v>
      </c>
      <c r="D370" s="7">
        <v>23729</v>
      </c>
      <c r="E370" s="7">
        <v>88033</v>
      </c>
      <c r="F370" s="22">
        <v>4530</v>
      </c>
      <c r="G370" s="23">
        <v>2872</v>
      </c>
      <c r="H370" s="24"/>
      <c r="I370" s="36"/>
      <c r="J370" s="8">
        <f t="shared" si="63"/>
        <v>64304</v>
      </c>
      <c r="K370" s="37">
        <f t="shared" si="68"/>
        <v>855</v>
      </c>
      <c r="L370" s="37">
        <v>790</v>
      </c>
      <c r="M370" s="74">
        <f t="shared" si="83"/>
        <v>1972919</v>
      </c>
      <c r="N370" s="75">
        <f t="shared" si="83"/>
        <v>710645</v>
      </c>
      <c r="O370" s="75">
        <f t="shared" si="83"/>
        <v>2743107</v>
      </c>
      <c r="P370" s="76">
        <v>19258132</v>
      </c>
      <c r="Q370" s="76">
        <v>10496234</v>
      </c>
      <c r="R370" s="76">
        <v>30416541</v>
      </c>
      <c r="S370" s="80">
        <f>M370/'[21]2014'!M370-1</f>
        <v>-9.0345369423468269E-2</v>
      </c>
      <c r="T370" s="80">
        <f>N370/'[21]2014'!N370-1</f>
        <v>7.8622437750912599E-2</v>
      </c>
      <c r="U370" s="80">
        <f>O370/'[21]2014'!O370-1</f>
        <v>-4.0636533639888617E-2</v>
      </c>
      <c r="V370" s="81">
        <f>P370/'[21]2014'!P370-1</f>
        <v>-6.26581339840655E-2</v>
      </c>
      <c r="W370" s="81">
        <f>Q370/'[21]2014'!Q370-1</f>
        <v>0.15246733792512956</v>
      </c>
      <c r="X370" s="81">
        <f>R370/'[21]2014'!R370-1</f>
        <v>3.7840649614444555E-3</v>
      </c>
      <c r="Y370" s="93">
        <v>148.7663</v>
      </c>
      <c r="Z370" s="50">
        <f>P370/10000-Y370</f>
        <v>1777.0469000000001</v>
      </c>
      <c r="AA370" s="37">
        <v>3940.7336529680401</v>
      </c>
      <c r="AB370" s="37">
        <v>4480</v>
      </c>
      <c r="AC370" s="63">
        <f>AC368+SUM(K369:K370)/10000</f>
        <v>40.424099999999989</v>
      </c>
      <c r="AD370" s="2">
        <f>AD368+SUM(L369:L370)/10000</f>
        <v>25.777400000000007</v>
      </c>
      <c r="AF370" s="2">
        <f>AF368+SUM(J369:J370)/10000</f>
        <v>1991.6487</v>
      </c>
    </row>
    <row r="371" spans="1:32" ht="15" customHeight="1" x14ac:dyDescent="0.15">
      <c r="A371" s="20"/>
      <c r="B371" s="20"/>
      <c r="C371" s="21">
        <f>MAX(C5:C370)</f>
        <v>75646</v>
      </c>
      <c r="D371" s="7">
        <f>MAX(D5:D370)</f>
        <v>45613</v>
      </c>
      <c r="E371" s="7">
        <f>MAX(E5:E370)</f>
        <v>116518</v>
      </c>
      <c r="F371" s="22">
        <f>MAX(F5:F370)</f>
        <v>5850</v>
      </c>
      <c r="G371" s="23"/>
      <c r="H371" s="24"/>
      <c r="I371" s="36"/>
      <c r="J371" s="8"/>
      <c r="K371" s="37"/>
      <c r="L371" s="37"/>
      <c r="M371" s="38"/>
      <c r="N371" s="39"/>
      <c r="O371" s="39"/>
      <c r="P371" s="40"/>
      <c r="Q371" s="39"/>
      <c r="R371" s="39"/>
      <c r="S371" s="39"/>
      <c r="T371" s="39"/>
      <c r="U371" s="39"/>
      <c r="V371" s="39"/>
      <c r="W371" s="39"/>
      <c r="X371" s="39"/>
      <c r="Y371" s="37"/>
      <c r="Z371" s="37"/>
      <c r="AA371" s="37"/>
      <c r="AB371" s="37"/>
      <c r="AC371" s="2"/>
    </row>
    <row r="372" spans="1:32" x14ac:dyDescent="0.15">
      <c r="F372" s="61"/>
      <c r="G372" s="61"/>
      <c r="H372" s="61"/>
      <c r="I372" s="61"/>
      <c r="J372" s="62"/>
      <c r="K372" s="62"/>
      <c r="Z372" s="100">
        <f>Z370-Z339</f>
        <v>170.93020000000001</v>
      </c>
      <c r="AC372" s="2"/>
    </row>
    <row r="374" spans="1:32" x14ac:dyDescent="0.15">
      <c r="G374" s="2" t="e">
        <f>G372/F372</f>
        <v>#DIV/0!</v>
      </c>
      <c r="I374" s="2" t="e">
        <f>I372/H372</f>
        <v>#DIV/0!</v>
      </c>
      <c r="AC374" s="2"/>
    </row>
  </sheetData>
  <mergeCells count="7">
    <mergeCell ref="S2:U2"/>
    <mergeCell ref="V2:X2"/>
    <mergeCell ref="F1:G1"/>
    <mergeCell ref="A2:B2"/>
    <mergeCell ref="C2:L2"/>
    <mergeCell ref="M2:O2"/>
    <mergeCell ref="P2:R2"/>
  </mergeCells>
  <phoneticPr fontId="16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74"/>
  <sheetViews>
    <sheetView workbookViewId="0">
      <pane xSplit="2" ySplit="4" topLeftCell="C353" activePane="bottomRight" state="frozen"/>
      <selection pane="topRight"/>
      <selection pane="bottomLeft"/>
      <selection pane="bottomRight" activeCell="F379" sqref="F379"/>
    </sheetView>
  </sheetViews>
  <sheetFormatPr defaultColWidth="9" defaultRowHeight="14.25" x14ac:dyDescent="0.15"/>
  <cols>
    <col min="1" max="1" width="9.625" style="2" customWidth="1"/>
    <col min="2" max="2" width="6" style="2" customWidth="1"/>
    <col min="3" max="3" width="10.625" style="2" customWidth="1"/>
    <col min="4" max="4" width="8.75" style="2" customWidth="1"/>
    <col min="5" max="6" width="9.5" style="2" customWidth="1"/>
    <col min="7" max="7" width="8.625" style="2" customWidth="1"/>
    <col min="8" max="8" width="7.375" style="2" customWidth="1"/>
    <col min="9" max="9" width="8.75" style="2" customWidth="1"/>
    <col min="10" max="10" width="11.25" style="2" customWidth="1"/>
    <col min="11" max="12" width="9" style="2"/>
    <col min="13" max="13" width="8.875" style="2" customWidth="1"/>
    <col min="14" max="14" width="9" style="2"/>
    <col min="15" max="15" width="10.625" style="2" customWidth="1"/>
    <col min="16" max="16" width="10" style="3" customWidth="1"/>
    <col min="17" max="17" width="9" style="2"/>
    <col min="18" max="18" width="10.625" style="2" customWidth="1"/>
    <col min="19" max="19" width="8.625" style="2" customWidth="1"/>
    <col min="20" max="20" width="9.625" style="2" customWidth="1"/>
    <col min="21" max="22" width="8.125" style="2" customWidth="1"/>
    <col min="23" max="16384" width="9" style="2"/>
  </cols>
  <sheetData>
    <row r="1" spans="1:22" ht="15" customHeight="1" x14ac:dyDescent="0.15">
      <c r="A1" s="4" t="s">
        <v>66</v>
      </c>
      <c r="B1" s="4"/>
      <c r="C1" s="5"/>
      <c r="D1" s="5"/>
      <c r="E1" s="5"/>
      <c r="F1" s="482"/>
      <c r="G1" s="482"/>
      <c r="H1" s="6"/>
      <c r="I1" s="31"/>
      <c r="M1" s="6"/>
      <c r="N1" s="5"/>
      <c r="O1" s="6"/>
      <c r="P1" s="5"/>
      <c r="Q1" s="5"/>
      <c r="R1" s="6"/>
      <c r="S1" s="31"/>
      <c r="T1" s="31"/>
      <c r="U1" s="31"/>
      <c r="V1" s="31"/>
    </row>
    <row r="2" spans="1:22" ht="15" customHeight="1" x14ac:dyDescent="0.15">
      <c r="A2" s="479"/>
      <c r="B2" s="479"/>
      <c r="C2" s="481" t="s">
        <v>1</v>
      </c>
      <c r="D2" s="481"/>
      <c r="E2" s="481"/>
      <c r="F2" s="481"/>
      <c r="G2" s="481"/>
      <c r="H2" s="481"/>
      <c r="I2" s="481"/>
      <c r="J2" s="481"/>
      <c r="K2" s="481"/>
      <c r="L2" s="481"/>
      <c r="M2" s="481" t="s">
        <v>2</v>
      </c>
      <c r="N2" s="481"/>
      <c r="O2" s="481"/>
      <c r="P2" s="481" t="s">
        <v>3</v>
      </c>
      <c r="Q2" s="481"/>
      <c r="R2" s="481"/>
      <c r="S2" s="484"/>
      <c r="T2" s="485"/>
      <c r="U2" s="485"/>
      <c r="V2" s="486"/>
    </row>
    <row r="3" spans="1:22" ht="24.75" customHeight="1" x14ac:dyDescent="0.15">
      <c r="A3" s="8" t="s">
        <v>6</v>
      </c>
      <c r="B3" s="9" t="s">
        <v>7</v>
      </c>
      <c r="C3" s="7" t="s">
        <v>8</v>
      </c>
      <c r="D3" s="7" t="s">
        <v>9</v>
      </c>
      <c r="E3" s="7" t="s">
        <v>10</v>
      </c>
      <c r="F3" s="10" t="s">
        <v>11</v>
      </c>
      <c r="G3" s="7" t="s">
        <v>12</v>
      </c>
      <c r="H3" s="11" t="s">
        <v>13</v>
      </c>
      <c r="I3" s="11" t="s">
        <v>14</v>
      </c>
      <c r="J3" s="7" t="s">
        <v>15</v>
      </c>
      <c r="K3" s="7" t="s">
        <v>16</v>
      </c>
      <c r="L3" s="7" t="s">
        <v>17</v>
      </c>
      <c r="M3" s="7" t="s">
        <v>8</v>
      </c>
      <c r="N3" s="7" t="s">
        <v>9</v>
      </c>
      <c r="O3" s="7" t="s">
        <v>10</v>
      </c>
      <c r="P3" s="7" t="s">
        <v>8</v>
      </c>
      <c r="Q3" s="7" t="s">
        <v>9</v>
      </c>
      <c r="R3" s="7" t="s">
        <v>10</v>
      </c>
      <c r="S3" s="47" t="s">
        <v>19</v>
      </c>
      <c r="T3" s="47" t="s">
        <v>20</v>
      </c>
      <c r="U3" s="48" t="s">
        <v>21</v>
      </c>
      <c r="V3" s="48" t="s">
        <v>22</v>
      </c>
    </row>
    <row r="4" spans="1:22" ht="15" customHeight="1" x14ac:dyDescent="0.15">
      <c r="A4" s="8"/>
      <c r="B4" s="8"/>
      <c r="C4" s="7" t="s">
        <v>29</v>
      </c>
      <c r="D4" s="7" t="s">
        <v>29</v>
      </c>
      <c r="E4" s="7" t="s">
        <v>29</v>
      </c>
      <c r="F4" s="12" t="s">
        <v>30</v>
      </c>
      <c r="G4" s="8" t="s">
        <v>30</v>
      </c>
      <c r="H4" s="8" t="s">
        <v>30</v>
      </c>
      <c r="I4" s="8" t="s">
        <v>30</v>
      </c>
      <c r="J4" s="8" t="s">
        <v>29</v>
      </c>
      <c r="K4" s="8" t="s">
        <v>29</v>
      </c>
      <c r="L4" s="8" t="s">
        <v>29</v>
      </c>
      <c r="M4" s="7" t="s">
        <v>29</v>
      </c>
      <c r="N4" s="7" t="s">
        <v>29</v>
      </c>
      <c r="O4" s="7" t="s">
        <v>29</v>
      </c>
      <c r="P4" s="7" t="s">
        <v>29</v>
      </c>
      <c r="Q4" s="7" t="s">
        <v>29</v>
      </c>
      <c r="R4" s="7" t="s">
        <v>29</v>
      </c>
      <c r="S4" s="7" t="s">
        <v>29</v>
      </c>
      <c r="T4" s="7" t="s">
        <v>29</v>
      </c>
      <c r="U4" s="8" t="s">
        <v>30</v>
      </c>
      <c r="V4" s="8" t="s">
        <v>33</v>
      </c>
    </row>
    <row r="5" spans="1:22" ht="15" customHeight="1" x14ac:dyDescent="0.15">
      <c r="A5" s="13">
        <v>40909</v>
      </c>
      <c r="B5" s="14" t="s">
        <v>36</v>
      </c>
      <c r="C5" s="15">
        <v>53508</v>
      </c>
      <c r="D5" s="16">
        <v>16795</v>
      </c>
      <c r="E5" s="16">
        <v>71301</v>
      </c>
      <c r="F5" s="17">
        <v>3240</v>
      </c>
      <c r="G5" s="18">
        <v>2715</v>
      </c>
      <c r="H5" s="19">
        <v>1008</v>
      </c>
      <c r="I5" s="19">
        <v>570</v>
      </c>
      <c r="J5" s="32">
        <f t="shared" ref="J5:J36" si="0">E5-D5</f>
        <v>54506</v>
      </c>
      <c r="K5" s="33">
        <f t="shared" ref="K5:K36" si="1">J5-C5-L5</f>
        <v>203</v>
      </c>
      <c r="L5" s="33">
        <v>795</v>
      </c>
      <c r="M5" s="34">
        <f>C5</f>
        <v>53508</v>
      </c>
      <c r="N5" s="35">
        <f>D5</f>
        <v>16795</v>
      </c>
      <c r="O5" s="35">
        <f>E5</f>
        <v>71301</v>
      </c>
      <c r="P5" s="34">
        <f>M5</f>
        <v>53508</v>
      </c>
      <c r="Q5" s="34">
        <f>N5</f>
        <v>16795</v>
      </c>
      <c r="R5" s="34">
        <f>O5</f>
        <v>71301</v>
      </c>
      <c r="S5" s="49"/>
      <c r="T5" s="33"/>
      <c r="U5" s="33"/>
      <c r="V5" s="33"/>
    </row>
    <row r="6" spans="1:22" ht="15" customHeight="1" x14ac:dyDescent="0.15">
      <c r="A6" s="20">
        <v>40910</v>
      </c>
      <c r="B6" s="20" t="s">
        <v>37</v>
      </c>
      <c r="C6" s="21">
        <v>64509</v>
      </c>
      <c r="D6" s="7">
        <v>18252</v>
      </c>
      <c r="E6" s="7">
        <v>83767</v>
      </c>
      <c r="F6" s="22">
        <v>4430</v>
      </c>
      <c r="G6" s="23">
        <v>2433</v>
      </c>
      <c r="H6" s="24">
        <v>1044</v>
      </c>
      <c r="I6" s="36">
        <v>460</v>
      </c>
      <c r="J6" s="8">
        <f t="shared" si="0"/>
        <v>65515</v>
      </c>
      <c r="K6" s="37">
        <f t="shared" si="1"/>
        <v>211</v>
      </c>
      <c r="L6" s="37">
        <v>795</v>
      </c>
      <c r="M6" s="38">
        <f t="shared" ref="M6:M33" si="2">M5+C6</f>
        <v>118017</v>
      </c>
      <c r="N6" s="39">
        <f t="shared" ref="N6:N23" si="3">N5+D6</f>
        <v>35047</v>
      </c>
      <c r="O6" s="39">
        <f t="shared" ref="O6:O23" si="4">O5+E6</f>
        <v>155068</v>
      </c>
      <c r="P6" s="40">
        <f t="shared" ref="P6:P35" si="5">M6</f>
        <v>118017</v>
      </c>
      <c r="Q6" s="40">
        <f t="shared" ref="Q6:Q35" si="6">N6</f>
        <v>35047</v>
      </c>
      <c r="R6" s="40">
        <f t="shared" ref="R6:R35" si="7">O6</f>
        <v>155068</v>
      </c>
      <c r="S6" s="50">
        <v>1</v>
      </c>
      <c r="T6" s="50">
        <f>P6/10000-S6</f>
        <v>10.8017</v>
      </c>
      <c r="U6" s="37">
        <v>3298.5920000000001</v>
      </c>
      <c r="V6" s="37">
        <f>T6*10000/3298.592</f>
        <v>32.746396038067147</v>
      </c>
    </row>
    <row r="7" spans="1:22" ht="15" customHeight="1" x14ac:dyDescent="0.15">
      <c r="A7" s="20">
        <v>40911</v>
      </c>
      <c r="B7" s="20" t="s">
        <v>38</v>
      </c>
      <c r="C7" s="21">
        <v>63998</v>
      </c>
      <c r="D7" s="7">
        <v>21223</v>
      </c>
      <c r="E7" s="7">
        <v>86208</v>
      </c>
      <c r="F7" s="22">
        <v>4403</v>
      </c>
      <c r="G7" s="23">
        <v>2787</v>
      </c>
      <c r="H7" s="24">
        <v>1145</v>
      </c>
      <c r="I7" s="36">
        <v>701</v>
      </c>
      <c r="J7" s="8">
        <f t="shared" si="0"/>
        <v>64985</v>
      </c>
      <c r="K7" s="37">
        <f t="shared" si="1"/>
        <v>191</v>
      </c>
      <c r="L7" s="37">
        <v>796</v>
      </c>
      <c r="M7" s="38">
        <f t="shared" si="2"/>
        <v>182015</v>
      </c>
      <c r="N7" s="39">
        <f t="shared" si="3"/>
        <v>56270</v>
      </c>
      <c r="O7" s="39">
        <f t="shared" si="4"/>
        <v>241276</v>
      </c>
      <c r="P7" s="40">
        <f t="shared" si="5"/>
        <v>182015</v>
      </c>
      <c r="Q7" s="40">
        <f t="shared" si="6"/>
        <v>56270</v>
      </c>
      <c r="R7" s="40">
        <f t="shared" si="7"/>
        <v>241276</v>
      </c>
      <c r="S7" s="50"/>
      <c r="T7" s="37"/>
      <c r="U7" s="37"/>
      <c r="V7" s="8"/>
    </row>
    <row r="8" spans="1:22" ht="15" customHeight="1" x14ac:dyDescent="0.15">
      <c r="A8" s="20">
        <v>40912</v>
      </c>
      <c r="B8" s="20" t="s">
        <v>39</v>
      </c>
      <c r="C8" s="21">
        <v>66208</v>
      </c>
      <c r="D8" s="7">
        <v>20121</v>
      </c>
      <c r="E8" s="7">
        <v>87278</v>
      </c>
      <c r="F8" s="22">
        <v>4432</v>
      </c>
      <c r="G8" s="23">
        <v>2813</v>
      </c>
      <c r="H8" s="24">
        <v>1085</v>
      </c>
      <c r="I8" s="36">
        <v>598</v>
      </c>
      <c r="J8" s="8">
        <f t="shared" si="0"/>
        <v>67157</v>
      </c>
      <c r="K8" s="37">
        <f t="shared" si="1"/>
        <v>152</v>
      </c>
      <c r="L8" s="37">
        <v>797</v>
      </c>
      <c r="M8" s="38">
        <f t="shared" si="2"/>
        <v>248223</v>
      </c>
      <c r="N8" s="39">
        <f t="shared" si="3"/>
        <v>76391</v>
      </c>
      <c r="O8" s="39">
        <f t="shared" si="4"/>
        <v>328554</v>
      </c>
      <c r="P8" s="40">
        <f t="shared" si="5"/>
        <v>248223</v>
      </c>
      <c r="Q8" s="40">
        <f t="shared" si="6"/>
        <v>76391</v>
      </c>
      <c r="R8" s="40">
        <f t="shared" si="7"/>
        <v>328554</v>
      </c>
      <c r="S8" s="50"/>
      <c r="T8" s="37"/>
      <c r="U8" s="37"/>
      <c r="V8" s="8"/>
    </row>
    <row r="9" spans="1:22" ht="15" customHeight="1" x14ac:dyDescent="0.15">
      <c r="A9" s="20">
        <v>40913</v>
      </c>
      <c r="B9" s="20" t="s">
        <v>1</v>
      </c>
      <c r="C9" s="21">
        <v>66025</v>
      </c>
      <c r="D9" s="7">
        <v>19073</v>
      </c>
      <c r="E9" s="7">
        <v>86138</v>
      </c>
      <c r="F9" s="22">
        <v>4353</v>
      </c>
      <c r="G9" s="23">
        <v>2866</v>
      </c>
      <c r="H9" s="24">
        <v>1028</v>
      </c>
      <c r="I9" s="36">
        <v>483</v>
      </c>
      <c r="J9" s="8">
        <f t="shared" si="0"/>
        <v>67065</v>
      </c>
      <c r="K9" s="37">
        <f t="shared" si="1"/>
        <v>245</v>
      </c>
      <c r="L9" s="37">
        <v>795</v>
      </c>
      <c r="M9" s="38">
        <f t="shared" si="2"/>
        <v>314248</v>
      </c>
      <c r="N9" s="39">
        <f t="shared" si="3"/>
        <v>95464</v>
      </c>
      <c r="O9" s="39">
        <f t="shared" si="4"/>
        <v>414692</v>
      </c>
      <c r="P9" s="40">
        <f t="shared" si="5"/>
        <v>314248</v>
      </c>
      <c r="Q9" s="40">
        <f t="shared" si="6"/>
        <v>95464</v>
      </c>
      <c r="R9" s="40">
        <f t="shared" si="7"/>
        <v>414692</v>
      </c>
      <c r="S9" s="50"/>
      <c r="T9" s="37"/>
      <c r="U9" s="37"/>
      <c r="V9" s="8"/>
    </row>
    <row r="10" spans="1:22" ht="15" customHeight="1" x14ac:dyDescent="0.15">
      <c r="A10" s="20">
        <v>40914</v>
      </c>
      <c r="B10" s="20" t="s">
        <v>34</v>
      </c>
      <c r="C10" s="21">
        <v>66691</v>
      </c>
      <c r="D10" s="7">
        <v>20566</v>
      </c>
      <c r="E10" s="7">
        <v>88473</v>
      </c>
      <c r="F10" s="22">
        <v>4559</v>
      </c>
      <c r="G10" s="23">
        <v>2824</v>
      </c>
      <c r="H10" s="24">
        <v>1073</v>
      </c>
      <c r="I10" s="36">
        <v>646</v>
      </c>
      <c r="J10" s="8">
        <f t="shared" si="0"/>
        <v>67907</v>
      </c>
      <c r="K10" s="37">
        <f t="shared" si="1"/>
        <v>421</v>
      </c>
      <c r="L10" s="37">
        <v>795</v>
      </c>
      <c r="M10" s="38">
        <f t="shared" si="2"/>
        <v>380939</v>
      </c>
      <c r="N10" s="39">
        <f t="shared" si="3"/>
        <v>116030</v>
      </c>
      <c r="O10" s="39">
        <f t="shared" si="4"/>
        <v>503165</v>
      </c>
      <c r="P10" s="40">
        <f t="shared" si="5"/>
        <v>380939</v>
      </c>
      <c r="Q10" s="40">
        <f t="shared" si="6"/>
        <v>116030</v>
      </c>
      <c r="R10" s="40">
        <f t="shared" si="7"/>
        <v>503165</v>
      </c>
      <c r="S10" s="50"/>
      <c r="T10" s="37"/>
      <c r="U10" s="37"/>
      <c r="V10" s="8"/>
    </row>
    <row r="11" spans="1:22" ht="15" customHeight="1" x14ac:dyDescent="0.15">
      <c r="A11" s="20">
        <v>40915</v>
      </c>
      <c r="B11" s="20" t="s">
        <v>35</v>
      </c>
      <c r="C11" s="21">
        <v>65670</v>
      </c>
      <c r="D11" s="7">
        <v>22544</v>
      </c>
      <c r="E11" s="7">
        <v>89157</v>
      </c>
      <c r="F11" s="22">
        <v>4555</v>
      </c>
      <c r="G11" s="23">
        <v>2834</v>
      </c>
      <c r="H11" s="24">
        <v>1169</v>
      </c>
      <c r="I11" s="36">
        <v>740</v>
      </c>
      <c r="J11" s="8">
        <f t="shared" si="0"/>
        <v>66613</v>
      </c>
      <c r="K11" s="37">
        <f t="shared" si="1"/>
        <v>149</v>
      </c>
      <c r="L11" s="37">
        <v>794</v>
      </c>
      <c r="M11" s="38">
        <f t="shared" si="2"/>
        <v>446609</v>
      </c>
      <c r="N11" s="39">
        <f t="shared" si="3"/>
        <v>138574</v>
      </c>
      <c r="O11" s="39">
        <f t="shared" si="4"/>
        <v>592322</v>
      </c>
      <c r="P11" s="40">
        <f t="shared" si="5"/>
        <v>446609</v>
      </c>
      <c r="Q11" s="40">
        <f t="shared" si="6"/>
        <v>138574</v>
      </c>
      <c r="R11" s="40">
        <f t="shared" si="7"/>
        <v>592322</v>
      </c>
      <c r="S11" s="50"/>
      <c r="T11" s="37"/>
      <c r="U11" s="37"/>
      <c r="V11" s="8"/>
    </row>
    <row r="12" spans="1:22" ht="15" customHeight="1" x14ac:dyDescent="0.15">
      <c r="A12" s="14">
        <v>40916</v>
      </c>
      <c r="B12" s="14" t="s">
        <v>36</v>
      </c>
      <c r="C12" s="15">
        <v>65455</v>
      </c>
      <c r="D12" s="16">
        <v>22138</v>
      </c>
      <c r="E12" s="16">
        <v>88466</v>
      </c>
      <c r="F12" s="17">
        <v>4502</v>
      </c>
      <c r="G12" s="18">
        <v>2773</v>
      </c>
      <c r="H12" s="19">
        <v>1177</v>
      </c>
      <c r="I12" s="19">
        <v>735</v>
      </c>
      <c r="J12" s="32">
        <f t="shared" si="0"/>
        <v>66328</v>
      </c>
      <c r="K12" s="33">
        <f t="shared" si="1"/>
        <v>76</v>
      </c>
      <c r="L12" s="33">
        <v>797</v>
      </c>
      <c r="M12" s="34">
        <f t="shared" si="2"/>
        <v>512064</v>
      </c>
      <c r="N12" s="35">
        <f t="shared" si="3"/>
        <v>160712</v>
      </c>
      <c r="O12" s="35">
        <f t="shared" si="4"/>
        <v>680788</v>
      </c>
      <c r="P12" s="34">
        <f t="shared" si="5"/>
        <v>512064</v>
      </c>
      <c r="Q12" s="34">
        <f t="shared" si="6"/>
        <v>160712</v>
      </c>
      <c r="R12" s="34">
        <f t="shared" si="7"/>
        <v>680788</v>
      </c>
      <c r="S12" s="49"/>
      <c r="T12" s="32"/>
      <c r="U12" s="32"/>
      <c r="V12" s="32"/>
    </row>
    <row r="13" spans="1:22" ht="15" customHeight="1" x14ac:dyDescent="0.15">
      <c r="A13" s="20">
        <v>40917</v>
      </c>
      <c r="B13" s="20" t="s">
        <v>37</v>
      </c>
      <c r="C13" s="21">
        <v>66661</v>
      </c>
      <c r="D13" s="7">
        <v>22456</v>
      </c>
      <c r="E13" s="7">
        <v>90007</v>
      </c>
      <c r="F13" s="22">
        <v>4575</v>
      </c>
      <c r="G13" s="23">
        <v>2834</v>
      </c>
      <c r="H13" s="24"/>
      <c r="I13" s="36"/>
      <c r="J13" s="8">
        <f t="shared" si="0"/>
        <v>67551</v>
      </c>
      <c r="K13" s="37">
        <f t="shared" si="1"/>
        <v>95</v>
      </c>
      <c r="L13" s="37">
        <v>795</v>
      </c>
      <c r="M13" s="38">
        <f t="shared" si="2"/>
        <v>578725</v>
      </c>
      <c r="N13" s="39">
        <f t="shared" si="3"/>
        <v>183168</v>
      </c>
      <c r="O13" s="39">
        <f t="shared" si="4"/>
        <v>770795</v>
      </c>
      <c r="P13" s="40">
        <f t="shared" si="5"/>
        <v>578725</v>
      </c>
      <c r="Q13" s="40">
        <f t="shared" si="6"/>
        <v>183168</v>
      </c>
      <c r="R13" s="40">
        <f t="shared" si="7"/>
        <v>770795</v>
      </c>
      <c r="S13" s="50">
        <v>4.5</v>
      </c>
      <c r="T13" s="50">
        <f>P13/10000-S13</f>
        <v>53.372500000000002</v>
      </c>
      <c r="U13" s="37"/>
      <c r="V13" s="37">
        <f>T13*10000/3298.592</f>
        <v>161.80388480903366</v>
      </c>
    </row>
    <row r="14" spans="1:22" ht="15" customHeight="1" x14ac:dyDescent="0.15">
      <c r="A14" s="20">
        <v>40918</v>
      </c>
      <c r="B14" s="20" t="s">
        <v>38</v>
      </c>
      <c r="C14" s="21">
        <v>66447</v>
      </c>
      <c r="D14" s="7">
        <v>22447</v>
      </c>
      <c r="E14" s="7">
        <v>89787</v>
      </c>
      <c r="F14" s="22">
        <v>4582</v>
      </c>
      <c r="G14" s="23">
        <v>2902</v>
      </c>
      <c r="H14" s="24"/>
      <c r="I14" s="36"/>
      <c r="J14" s="8">
        <f t="shared" si="0"/>
        <v>67340</v>
      </c>
      <c r="K14" s="37">
        <f t="shared" si="1"/>
        <v>97</v>
      </c>
      <c r="L14" s="37">
        <v>796</v>
      </c>
      <c r="M14" s="38">
        <f t="shared" si="2"/>
        <v>645172</v>
      </c>
      <c r="N14" s="39">
        <f t="shared" si="3"/>
        <v>205615</v>
      </c>
      <c r="O14" s="39">
        <f t="shared" si="4"/>
        <v>860582</v>
      </c>
      <c r="P14" s="40">
        <f t="shared" si="5"/>
        <v>645172</v>
      </c>
      <c r="Q14" s="40">
        <f t="shared" si="6"/>
        <v>205615</v>
      </c>
      <c r="R14" s="40">
        <f t="shared" si="7"/>
        <v>860582</v>
      </c>
      <c r="S14" s="50">
        <v>5.0595999999999997</v>
      </c>
      <c r="T14" s="50">
        <f>P14/10000-S14</f>
        <v>59.457599999999999</v>
      </c>
      <c r="U14" s="37"/>
      <c r="V14" s="51">
        <f>T14*10000/3298.592</f>
        <v>180.2514527410483</v>
      </c>
    </row>
    <row r="15" spans="1:22" ht="15" customHeight="1" x14ac:dyDescent="0.15">
      <c r="A15" s="20">
        <v>40919</v>
      </c>
      <c r="B15" s="20" t="s">
        <v>39</v>
      </c>
      <c r="C15" s="21">
        <v>65560</v>
      </c>
      <c r="D15" s="7">
        <v>22223</v>
      </c>
      <c r="E15" s="7">
        <v>88675</v>
      </c>
      <c r="F15" s="22">
        <v>4517</v>
      </c>
      <c r="G15" s="23">
        <v>2827</v>
      </c>
      <c r="H15" s="24"/>
      <c r="I15" s="36"/>
      <c r="J15" s="8">
        <f t="shared" si="0"/>
        <v>66452</v>
      </c>
      <c r="K15" s="37">
        <f t="shared" si="1"/>
        <v>97</v>
      </c>
      <c r="L15" s="37">
        <v>795</v>
      </c>
      <c r="M15" s="38">
        <f t="shared" si="2"/>
        <v>710732</v>
      </c>
      <c r="N15" s="39">
        <f t="shared" si="3"/>
        <v>227838</v>
      </c>
      <c r="O15" s="39">
        <f t="shared" si="4"/>
        <v>949257</v>
      </c>
      <c r="P15" s="40">
        <f t="shared" si="5"/>
        <v>710732</v>
      </c>
      <c r="Q15" s="40">
        <f t="shared" si="6"/>
        <v>227838</v>
      </c>
      <c r="R15" s="40">
        <f t="shared" si="7"/>
        <v>949257</v>
      </c>
      <c r="S15" s="50"/>
      <c r="T15" s="37"/>
      <c r="U15" s="37"/>
      <c r="V15" s="8"/>
    </row>
    <row r="16" spans="1:22" ht="15" customHeight="1" x14ac:dyDescent="0.15">
      <c r="A16" s="20">
        <v>40920</v>
      </c>
      <c r="B16" s="20" t="s">
        <v>1</v>
      </c>
      <c r="C16" s="21">
        <v>62238</v>
      </c>
      <c r="D16" s="7">
        <v>21055</v>
      </c>
      <c r="E16" s="7">
        <v>84371</v>
      </c>
      <c r="F16" s="22">
        <v>4248</v>
      </c>
      <c r="G16" s="23">
        <v>2747</v>
      </c>
      <c r="H16" s="24"/>
      <c r="I16" s="36"/>
      <c r="J16" s="8">
        <f t="shared" si="0"/>
        <v>63316</v>
      </c>
      <c r="K16" s="37">
        <f t="shared" si="1"/>
        <v>286</v>
      </c>
      <c r="L16" s="37">
        <v>792</v>
      </c>
      <c r="M16" s="38">
        <f t="shared" si="2"/>
        <v>772970</v>
      </c>
      <c r="N16" s="39">
        <f t="shared" si="3"/>
        <v>248893</v>
      </c>
      <c r="O16" s="39">
        <f t="shared" si="4"/>
        <v>1033628</v>
      </c>
      <c r="P16" s="40">
        <f t="shared" si="5"/>
        <v>772970</v>
      </c>
      <c r="Q16" s="40">
        <f t="shared" si="6"/>
        <v>248893</v>
      </c>
      <c r="R16" s="40">
        <f t="shared" si="7"/>
        <v>1033628</v>
      </c>
      <c r="S16" s="50"/>
      <c r="T16" s="37"/>
      <c r="U16" s="37"/>
      <c r="V16" s="8"/>
    </row>
    <row r="17" spans="1:22" ht="15" customHeight="1" x14ac:dyDescent="0.15">
      <c r="A17" s="20">
        <v>40921</v>
      </c>
      <c r="B17" s="20" t="s">
        <v>34</v>
      </c>
      <c r="C17" s="21">
        <v>63272</v>
      </c>
      <c r="D17" s="7">
        <v>22761</v>
      </c>
      <c r="E17" s="7">
        <v>87098</v>
      </c>
      <c r="F17" s="22">
        <v>4483</v>
      </c>
      <c r="G17" s="23">
        <v>2648</v>
      </c>
      <c r="H17" s="24"/>
      <c r="I17" s="36"/>
      <c r="J17" s="8">
        <f t="shared" si="0"/>
        <v>64337</v>
      </c>
      <c r="K17" s="37">
        <f t="shared" si="1"/>
        <v>266</v>
      </c>
      <c r="L17" s="37">
        <v>799</v>
      </c>
      <c r="M17" s="38">
        <f t="shared" si="2"/>
        <v>836242</v>
      </c>
      <c r="N17" s="39">
        <f t="shared" si="3"/>
        <v>271654</v>
      </c>
      <c r="O17" s="39">
        <f t="shared" si="4"/>
        <v>1120726</v>
      </c>
      <c r="P17" s="40">
        <f t="shared" si="5"/>
        <v>836242</v>
      </c>
      <c r="Q17" s="40">
        <f t="shared" si="6"/>
        <v>271654</v>
      </c>
      <c r="R17" s="40">
        <f t="shared" si="7"/>
        <v>1120726</v>
      </c>
      <c r="S17" s="50"/>
      <c r="T17" s="37"/>
      <c r="U17" s="37"/>
      <c r="V17" s="8"/>
    </row>
    <row r="18" spans="1:22" ht="15" customHeight="1" x14ac:dyDescent="0.15">
      <c r="A18" s="20">
        <v>40922</v>
      </c>
      <c r="B18" s="20" t="s">
        <v>35</v>
      </c>
      <c r="C18" s="21">
        <v>62433</v>
      </c>
      <c r="D18" s="7">
        <v>22132</v>
      </c>
      <c r="E18" s="7">
        <v>85774</v>
      </c>
      <c r="F18" s="22">
        <v>4357</v>
      </c>
      <c r="G18" s="23">
        <v>2754</v>
      </c>
      <c r="H18" s="24"/>
      <c r="I18" s="36"/>
      <c r="J18" s="8">
        <f t="shared" si="0"/>
        <v>63642</v>
      </c>
      <c r="K18" s="37">
        <f t="shared" si="1"/>
        <v>413</v>
      </c>
      <c r="L18" s="37">
        <v>796</v>
      </c>
      <c r="M18" s="38">
        <f t="shared" si="2"/>
        <v>898675</v>
      </c>
      <c r="N18" s="39">
        <f t="shared" si="3"/>
        <v>293786</v>
      </c>
      <c r="O18" s="39">
        <f t="shared" si="4"/>
        <v>1206500</v>
      </c>
      <c r="P18" s="40">
        <f t="shared" si="5"/>
        <v>898675</v>
      </c>
      <c r="Q18" s="40">
        <f t="shared" si="6"/>
        <v>293786</v>
      </c>
      <c r="R18" s="40">
        <f t="shared" si="7"/>
        <v>1206500</v>
      </c>
      <c r="S18" s="50"/>
      <c r="T18" s="37"/>
      <c r="U18" s="37"/>
      <c r="V18" s="8"/>
    </row>
    <row r="19" spans="1:22" ht="15" customHeight="1" x14ac:dyDescent="0.15">
      <c r="A19" s="14">
        <v>40923</v>
      </c>
      <c r="B19" s="14" t="s">
        <v>36</v>
      </c>
      <c r="C19" s="15">
        <v>60564</v>
      </c>
      <c r="D19" s="16">
        <v>22409</v>
      </c>
      <c r="E19" s="16">
        <v>84240</v>
      </c>
      <c r="F19" s="17">
        <v>4272</v>
      </c>
      <c r="G19" s="18">
        <v>2703</v>
      </c>
      <c r="H19" s="19"/>
      <c r="I19" s="19"/>
      <c r="J19" s="32">
        <f t="shared" si="0"/>
        <v>61831</v>
      </c>
      <c r="K19" s="33">
        <f t="shared" si="1"/>
        <v>470</v>
      </c>
      <c r="L19" s="33">
        <v>797</v>
      </c>
      <c r="M19" s="34">
        <f t="shared" si="2"/>
        <v>959239</v>
      </c>
      <c r="N19" s="35">
        <f t="shared" si="3"/>
        <v>316195</v>
      </c>
      <c r="O19" s="35">
        <f t="shared" si="4"/>
        <v>1290740</v>
      </c>
      <c r="P19" s="34">
        <f t="shared" si="5"/>
        <v>959239</v>
      </c>
      <c r="Q19" s="34">
        <f t="shared" si="6"/>
        <v>316195</v>
      </c>
      <c r="R19" s="34">
        <f t="shared" si="7"/>
        <v>1290740</v>
      </c>
      <c r="S19" s="49"/>
      <c r="T19" s="32"/>
      <c r="U19" s="32"/>
      <c r="V19" s="32"/>
    </row>
    <row r="20" spans="1:22" ht="15" customHeight="1" x14ac:dyDescent="0.15">
      <c r="A20" s="20">
        <v>40924</v>
      </c>
      <c r="B20" s="20" t="s">
        <v>37</v>
      </c>
      <c r="C20" s="21">
        <v>58424</v>
      </c>
      <c r="D20" s="7">
        <v>21889</v>
      </c>
      <c r="E20" s="7">
        <v>81355</v>
      </c>
      <c r="F20" s="22">
        <v>4148</v>
      </c>
      <c r="G20" s="23">
        <v>2648</v>
      </c>
      <c r="H20" s="24">
        <v>1090</v>
      </c>
      <c r="I20" s="36"/>
      <c r="J20" s="8">
        <f t="shared" si="0"/>
        <v>59466</v>
      </c>
      <c r="K20" s="37">
        <f t="shared" si="1"/>
        <v>245</v>
      </c>
      <c r="L20" s="37">
        <v>797</v>
      </c>
      <c r="M20" s="38">
        <f t="shared" si="2"/>
        <v>1017663</v>
      </c>
      <c r="N20" s="39">
        <f t="shared" si="3"/>
        <v>338084</v>
      </c>
      <c r="O20" s="39">
        <f t="shared" si="4"/>
        <v>1372095</v>
      </c>
      <c r="P20" s="40">
        <f t="shared" si="5"/>
        <v>1017663</v>
      </c>
      <c r="Q20" s="40">
        <f t="shared" si="6"/>
        <v>338084</v>
      </c>
      <c r="R20" s="40">
        <f t="shared" si="7"/>
        <v>1372095</v>
      </c>
      <c r="S20" s="50">
        <v>8.0595999999999997</v>
      </c>
      <c r="T20" s="50">
        <f>P20/10000-S20</f>
        <v>93.706699999999998</v>
      </c>
      <c r="U20" s="37"/>
      <c r="V20" s="37">
        <f>T20*10000/3298.592</f>
        <v>284.08090482242119</v>
      </c>
    </row>
    <row r="21" spans="1:22" ht="15" customHeight="1" x14ac:dyDescent="0.15">
      <c r="A21" s="20">
        <v>40925</v>
      </c>
      <c r="B21" s="20" t="s">
        <v>38</v>
      </c>
      <c r="C21" s="21">
        <v>54722</v>
      </c>
      <c r="D21" s="7">
        <v>22090</v>
      </c>
      <c r="E21" s="7">
        <v>77728</v>
      </c>
      <c r="F21" s="22">
        <v>3955</v>
      </c>
      <c r="G21" s="23">
        <v>2534</v>
      </c>
      <c r="H21" s="24"/>
      <c r="I21" s="36"/>
      <c r="J21" s="8">
        <f t="shared" si="0"/>
        <v>55638</v>
      </c>
      <c r="K21" s="37">
        <f t="shared" si="1"/>
        <v>121</v>
      </c>
      <c r="L21" s="37">
        <v>795</v>
      </c>
      <c r="M21" s="38">
        <f t="shared" si="2"/>
        <v>1072385</v>
      </c>
      <c r="N21" s="39">
        <f t="shared" si="3"/>
        <v>360174</v>
      </c>
      <c r="O21" s="39">
        <f t="shared" si="4"/>
        <v>1449823</v>
      </c>
      <c r="P21" s="40">
        <f t="shared" si="5"/>
        <v>1072385</v>
      </c>
      <c r="Q21" s="40">
        <f t="shared" si="6"/>
        <v>360174</v>
      </c>
      <c r="R21" s="40">
        <f t="shared" si="7"/>
        <v>1449823</v>
      </c>
      <c r="S21" s="50"/>
      <c r="T21" s="37"/>
      <c r="U21" s="37"/>
      <c r="V21" s="8"/>
    </row>
    <row r="22" spans="1:22" ht="15" customHeight="1" x14ac:dyDescent="0.15">
      <c r="A22" s="20">
        <v>40926</v>
      </c>
      <c r="B22" s="20" t="s">
        <v>39</v>
      </c>
      <c r="C22" s="21">
        <v>51558</v>
      </c>
      <c r="D22" s="7">
        <v>22300</v>
      </c>
      <c r="E22" s="7">
        <v>74893</v>
      </c>
      <c r="F22" s="22">
        <v>3745</v>
      </c>
      <c r="G22" s="23">
        <v>2408</v>
      </c>
      <c r="H22" s="24"/>
      <c r="I22" s="36"/>
      <c r="J22" s="8">
        <f t="shared" si="0"/>
        <v>52593</v>
      </c>
      <c r="K22" s="37">
        <f t="shared" si="1"/>
        <v>240</v>
      </c>
      <c r="L22" s="37">
        <v>795</v>
      </c>
      <c r="M22" s="38">
        <f t="shared" si="2"/>
        <v>1123943</v>
      </c>
      <c r="N22" s="39">
        <f t="shared" si="3"/>
        <v>382474</v>
      </c>
      <c r="O22" s="39">
        <f t="shared" si="4"/>
        <v>1524716</v>
      </c>
      <c r="P22" s="40">
        <f t="shared" si="5"/>
        <v>1123943</v>
      </c>
      <c r="Q22" s="40">
        <f t="shared" si="6"/>
        <v>382474</v>
      </c>
      <c r="R22" s="40">
        <f t="shared" si="7"/>
        <v>1524716</v>
      </c>
      <c r="S22" s="50"/>
      <c r="T22" s="37"/>
      <c r="U22" s="37"/>
      <c r="V22" s="8"/>
    </row>
    <row r="23" spans="1:22" ht="15" customHeight="1" x14ac:dyDescent="0.15">
      <c r="A23" s="20">
        <v>40927</v>
      </c>
      <c r="B23" s="20" t="s">
        <v>1</v>
      </c>
      <c r="C23" s="21">
        <v>46941</v>
      </c>
      <c r="D23" s="7">
        <v>21891</v>
      </c>
      <c r="E23" s="7">
        <v>69890</v>
      </c>
      <c r="F23" s="22">
        <v>3512</v>
      </c>
      <c r="G23" s="23">
        <v>2360</v>
      </c>
      <c r="H23" s="24"/>
      <c r="I23" s="36"/>
      <c r="J23" s="8">
        <f t="shared" si="0"/>
        <v>47999</v>
      </c>
      <c r="K23" s="37">
        <f t="shared" si="1"/>
        <v>263</v>
      </c>
      <c r="L23" s="37">
        <v>795</v>
      </c>
      <c r="M23" s="38">
        <f t="shared" si="2"/>
        <v>1170884</v>
      </c>
      <c r="N23" s="39">
        <f t="shared" si="3"/>
        <v>404365</v>
      </c>
      <c r="O23" s="39">
        <f t="shared" si="4"/>
        <v>1594606</v>
      </c>
      <c r="P23" s="40">
        <f t="shared" si="5"/>
        <v>1170884</v>
      </c>
      <c r="Q23" s="40">
        <f t="shared" si="6"/>
        <v>404365</v>
      </c>
      <c r="R23" s="40">
        <f t="shared" si="7"/>
        <v>1594606</v>
      </c>
      <c r="S23" s="50"/>
      <c r="T23" s="37"/>
      <c r="U23" s="37"/>
      <c r="V23" s="8"/>
    </row>
    <row r="24" spans="1:22" ht="15" customHeight="1" x14ac:dyDescent="0.15">
      <c r="A24" s="20">
        <v>40928</v>
      </c>
      <c r="B24" s="20" t="s">
        <v>34</v>
      </c>
      <c r="C24" s="21">
        <v>44797</v>
      </c>
      <c r="D24" s="7">
        <v>22271</v>
      </c>
      <c r="E24" s="7">
        <v>68012</v>
      </c>
      <c r="F24" s="22">
        <v>3478</v>
      </c>
      <c r="G24" s="23">
        <v>2192</v>
      </c>
      <c r="H24" s="24"/>
      <c r="I24" s="36"/>
      <c r="J24" s="8">
        <f t="shared" si="0"/>
        <v>45741</v>
      </c>
      <c r="K24" s="37">
        <f t="shared" si="1"/>
        <v>185</v>
      </c>
      <c r="L24" s="37">
        <v>759</v>
      </c>
      <c r="M24" s="38">
        <v>1215690</v>
      </c>
      <c r="N24" s="39">
        <v>426635</v>
      </c>
      <c r="O24" s="39">
        <v>1662618</v>
      </c>
      <c r="P24" s="40">
        <f t="shared" si="5"/>
        <v>1215690</v>
      </c>
      <c r="Q24" s="40">
        <f t="shared" si="6"/>
        <v>426635</v>
      </c>
      <c r="R24" s="40">
        <f t="shared" si="7"/>
        <v>1662618</v>
      </c>
      <c r="S24" s="50">
        <v>10.0053</v>
      </c>
      <c r="T24" s="50">
        <f>P24/10000-S24</f>
        <v>111.5637</v>
      </c>
      <c r="U24" s="37"/>
      <c r="V24" s="51">
        <f>T24*10000/3298.592</f>
        <v>338.21612372794209</v>
      </c>
    </row>
    <row r="25" spans="1:22" ht="15" customHeight="1" x14ac:dyDescent="0.15">
      <c r="A25" s="20">
        <v>40929</v>
      </c>
      <c r="B25" s="20" t="s">
        <v>35</v>
      </c>
      <c r="C25" s="21">
        <v>42021</v>
      </c>
      <c r="D25" s="7">
        <v>22084</v>
      </c>
      <c r="E25" s="7">
        <v>65337</v>
      </c>
      <c r="F25" s="22">
        <v>3282</v>
      </c>
      <c r="G25" s="23">
        <v>2097</v>
      </c>
      <c r="H25" s="24"/>
      <c r="I25" s="36"/>
      <c r="J25" s="8">
        <f t="shared" si="0"/>
        <v>43253</v>
      </c>
      <c r="K25" s="37">
        <f t="shared" si="1"/>
        <v>437</v>
      </c>
      <c r="L25" s="37">
        <v>795</v>
      </c>
      <c r="M25" s="38">
        <f t="shared" si="2"/>
        <v>1257711</v>
      </c>
      <c r="N25" s="39">
        <f t="shared" ref="N25:N33" si="8">N24+D25</f>
        <v>448719</v>
      </c>
      <c r="O25" s="39">
        <f t="shared" ref="O25:O33" si="9">O24+E25</f>
        <v>1727955</v>
      </c>
      <c r="P25" s="40">
        <f t="shared" si="5"/>
        <v>1257711</v>
      </c>
      <c r="Q25" s="40">
        <f t="shared" si="6"/>
        <v>448719</v>
      </c>
      <c r="R25" s="40">
        <f t="shared" si="7"/>
        <v>1727955</v>
      </c>
      <c r="S25" s="50"/>
      <c r="T25" s="37"/>
      <c r="U25" s="37"/>
      <c r="V25" s="8"/>
    </row>
    <row r="26" spans="1:22" ht="15" customHeight="1" x14ac:dyDescent="0.15">
      <c r="A26" s="14">
        <v>40930</v>
      </c>
      <c r="B26" s="14" t="s">
        <v>36</v>
      </c>
      <c r="C26" s="15">
        <v>42396</v>
      </c>
      <c r="D26" s="16">
        <v>19080</v>
      </c>
      <c r="E26" s="16">
        <v>62683</v>
      </c>
      <c r="F26" s="17">
        <v>3140</v>
      </c>
      <c r="G26" s="18">
        <v>2026</v>
      </c>
      <c r="H26" s="19">
        <v>1013</v>
      </c>
      <c r="I26" s="19">
        <v>570</v>
      </c>
      <c r="J26" s="32">
        <f t="shared" si="0"/>
        <v>43603</v>
      </c>
      <c r="K26" s="33">
        <f t="shared" si="1"/>
        <v>414</v>
      </c>
      <c r="L26" s="33">
        <v>793</v>
      </c>
      <c r="M26" s="34">
        <f t="shared" si="2"/>
        <v>1300107</v>
      </c>
      <c r="N26" s="35">
        <f t="shared" si="8"/>
        <v>467799</v>
      </c>
      <c r="O26" s="35">
        <f t="shared" si="9"/>
        <v>1790638</v>
      </c>
      <c r="P26" s="34">
        <f t="shared" si="5"/>
        <v>1300107</v>
      </c>
      <c r="Q26" s="34">
        <f t="shared" si="6"/>
        <v>467799</v>
      </c>
      <c r="R26" s="34">
        <f t="shared" si="7"/>
        <v>1790638</v>
      </c>
      <c r="S26" s="49"/>
      <c r="T26" s="32"/>
      <c r="U26" s="32"/>
      <c r="V26" s="32"/>
    </row>
    <row r="27" spans="1:22" ht="15" customHeight="1" x14ac:dyDescent="0.15">
      <c r="A27" s="20">
        <v>40931</v>
      </c>
      <c r="B27" s="20" t="s">
        <v>37</v>
      </c>
      <c r="C27" s="21">
        <v>38282</v>
      </c>
      <c r="D27" s="7">
        <v>18747</v>
      </c>
      <c r="E27" s="7">
        <v>58109</v>
      </c>
      <c r="F27" s="22">
        <v>2923</v>
      </c>
      <c r="G27" s="23">
        <v>1913</v>
      </c>
      <c r="H27" s="24">
        <v>993.8</v>
      </c>
      <c r="I27" s="36">
        <v>569</v>
      </c>
      <c r="J27" s="8">
        <f t="shared" si="0"/>
        <v>39362</v>
      </c>
      <c r="K27" s="37">
        <f t="shared" si="1"/>
        <v>287</v>
      </c>
      <c r="L27" s="37">
        <v>793</v>
      </c>
      <c r="M27" s="38">
        <f t="shared" si="2"/>
        <v>1338389</v>
      </c>
      <c r="N27" s="39">
        <f t="shared" si="8"/>
        <v>486546</v>
      </c>
      <c r="O27" s="39">
        <f t="shared" si="9"/>
        <v>1848747</v>
      </c>
      <c r="P27" s="40">
        <f t="shared" si="5"/>
        <v>1338389</v>
      </c>
      <c r="Q27" s="40">
        <f t="shared" si="6"/>
        <v>486546</v>
      </c>
      <c r="R27" s="40">
        <f t="shared" si="7"/>
        <v>1848747</v>
      </c>
      <c r="S27" s="50">
        <v>11.205299999999999</v>
      </c>
      <c r="T27" s="50">
        <f>P27/10000-S27</f>
        <v>122.6336</v>
      </c>
      <c r="U27" s="37"/>
      <c r="V27" s="37">
        <f>T27*10000/3298.592</f>
        <v>371.7755939503885</v>
      </c>
    </row>
    <row r="28" spans="1:22" ht="15" customHeight="1" x14ac:dyDescent="0.15">
      <c r="A28" s="20">
        <v>40932</v>
      </c>
      <c r="B28" s="20" t="s">
        <v>38</v>
      </c>
      <c r="C28" s="21">
        <v>32400</v>
      </c>
      <c r="D28" s="7">
        <v>18223</v>
      </c>
      <c r="E28" s="7">
        <v>51713</v>
      </c>
      <c r="F28" s="22">
        <v>2574.4</v>
      </c>
      <c r="G28" s="23">
        <v>1741.4</v>
      </c>
      <c r="H28" s="24">
        <v>921.3</v>
      </c>
      <c r="I28" s="36">
        <v>554.70000000000005</v>
      </c>
      <c r="J28" s="8">
        <f t="shared" si="0"/>
        <v>33490</v>
      </c>
      <c r="K28" s="37">
        <f t="shared" si="1"/>
        <v>297</v>
      </c>
      <c r="L28" s="37">
        <v>793</v>
      </c>
      <c r="M28" s="38">
        <f t="shared" si="2"/>
        <v>1370789</v>
      </c>
      <c r="N28" s="39">
        <f t="shared" si="8"/>
        <v>504769</v>
      </c>
      <c r="O28" s="39">
        <f t="shared" si="9"/>
        <v>1900460</v>
      </c>
      <c r="P28" s="40">
        <f t="shared" si="5"/>
        <v>1370789</v>
      </c>
      <c r="Q28" s="40">
        <f t="shared" si="6"/>
        <v>504769</v>
      </c>
      <c r="R28" s="40">
        <f t="shared" si="7"/>
        <v>1900460</v>
      </c>
      <c r="S28" s="50"/>
      <c r="T28" s="37"/>
      <c r="U28" s="37"/>
      <c r="V28" s="8"/>
    </row>
    <row r="29" spans="1:22" ht="15" customHeight="1" x14ac:dyDescent="0.15">
      <c r="A29" s="20">
        <v>40933</v>
      </c>
      <c r="B29" s="20" t="s">
        <v>39</v>
      </c>
      <c r="C29" s="21">
        <v>26760</v>
      </c>
      <c r="D29" s="7">
        <v>16693</v>
      </c>
      <c r="E29" s="7">
        <v>45412</v>
      </c>
      <c r="F29" s="22">
        <v>2195</v>
      </c>
      <c r="G29" s="23">
        <v>1534</v>
      </c>
      <c r="H29" s="24"/>
      <c r="I29" s="36"/>
      <c r="J29" s="8">
        <f t="shared" si="0"/>
        <v>28719</v>
      </c>
      <c r="K29" s="37">
        <f t="shared" si="1"/>
        <v>1166</v>
      </c>
      <c r="L29" s="37">
        <v>793</v>
      </c>
      <c r="M29" s="38">
        <f t="shared" si="2"/>
        <v>1397549</v>
      </c>
      <c r="N29" s="39">
        <f t="shared" si="8"/>
        <v>521462</v>
      </c>
      <c r="O29" s="39">
        <f t="shared" si="9"/>
        <v>1945872</v>
      </c>
      <c r="P29" s="40">
        <f t="shared" si="5"/>
        <v>1397549</v>
      </c>
      <c r="Q29" s="40">
        <f t="shared" si="6"/>
        <v>521462</v>
      </c>
      <c r="R29" s="40">
        <f t="shared" si="7"/>
        <v>1945872</v>
      </c>
      <c r="S29" s="50"/>
      <c r="T29" s="37"/>
      <c r="U29" s="37"/>
      <c r="V29" s="8"/>
    </row>
    <row r="30" spans="1:22" ht="15" customHeight="1" x14ac:dyDescent="0.15">
      <c r="A30" s="20">
        <v>40934</v>
      </c>
      <c r="B30" s="20" t="s">
        <v>1</v>
      </c>
      <c r="C30" s="21">
        <v>24652</v>
      </c>
      <c r="D30" s="7">
        <v>16967</v>
      </c>
      <c r="E30" s="7">
        <v>42498</v>
      </c>
      <c r="F30" s="22">
        <v>2042</v>
      </c>
      <c r="G30" s="23">
        <v>1394</v>
      </c>
      <c r="H30" s="24"/>
      <c r="I30" s="36"/>
      <c r="J30" s="8">
        <f t="shared" si="0"/>
        <v>25531</v>
      </c>
      <c r="K30" s="37">
        <f t="shared" si="1"/>
        <v>86</v>
      </c>
      <c r="L30" s="37">
        <v>793</v>
      </c>
      <c r="M30" s="38">
        <f t="shared" si="2"/>
        <v>1422201</v>
      </c>
      <c r="N30" s="39">
        <f t="shared" si="8"/>
        <v>538429</v>
      </c>
      <c r="O30" s="39">
        <f t="shared" si="9"/>
        <v>1988370</v>
      </c>
      <c r="P30" s="40">
        <f t="shared" si="5"/>
        <v>1422201</v>
      </c>
      <c r="Q30" s="40">
        <f t="shared" si="6"/>
        <v>538429</v>
      </c>
      <c r="R30" s="40">
        <f t="shared" si="7"/>
        <v>1988370</v>
      </c>
      <c r="S30" s="50"/>
      <c r="T30" s="37"/>
      <c r="U30" s="37"/>
      <c r="V30" s="8"/>
    </row>
    <row r="31" spans="1:22" ht="15" customHeight="1" x14ac:dyDescent="0.15">
      <c r="A31" s="20">
        <v>40935</v>
      </c>
      <c r="B31" s="20" t="s">
        <v>34</v>
      </c>
      <c r="C31" s="21">
        <v>22104</v>
      </c>
      <c r="D31" s="7">
        <v>16864</v>
      </c>
      <c r="E31" s="7">
        <v>39919</v>
      </c>
      <c r="F31" s="22">
        <v>1899</v>
      </c>
      <c r="G31" s="23">
        <v>1331</v>
      </c>
      <c r="H31" s="24"/>
      <c r="I31" s="36"/>
      <c r="J31" s="8">
        <f t="shared" si="0"/>
        <v>23055</v>
      </c>
      <c r="K31" s="37">
        <f t="shared" si="1"/>
        <v>158</v>
      </c>
      <c r="L31" s="37">
        <v>793</v>
      </c>
      <c r="M31" s="38">
        <f t="shared" si="2"/>
        <v>1444305</v>
      </c>
      <c r="N31" s="39">
        <f t="shared" si="8"/>
        <v>555293</v>
      </c>
      <c r="O31" s="39">
        <f t="shared" si="9"/>
        <v>2028289</v>
      </c>
      <c r="P31" s="40">
        <f t="shared" si="5"/>
        <v>1444305</v>
      </c>
      <c r="Q31" s="40">
        <f t="shared" si="6"/>
        <v>555293</v>
      </c>
      <c r="R31" s="40">
        <f t="shared" si="7"/>
        <v>2028289</v>
      </c>
      <c r="S31" s="50"/>
      <c r="T31" s="37"/>
      <c r="U31" s="37"/>
      <c r="V31" s="8"/>
    </row>
    <row r="32" spans="1:22" ht="15" customHeight="1" x14ac:dyDescent="0.15">
      <c r="A32" s="20">
        <v>40936</v>
      </c>
      <c r="B32" s="20" t="s">
        <v>35</v>
      </c>
      <c r="C32" s="21">
        <v>20465</v>
      </c>
      <c r="D32" s="7">
        <v>15842</v>
      </c>
      <c r="E32" s="7">
        <v>37207</v>
      </c>
      <c r="F32" s="22">
        <v>1832.5</v>
      </c>
      <c r="G32" s="23">
        <v>1223</v>
      </c>
      <c r="H32" s="24">
        <v>836</v>
      </c>
      <c r="I32" s="36">
        <v>480</v>
      </c>
      <c r="J32" s="8">
        <f t="shared" si="0"/>
        <v>21365</v>
      </c>
      <c r="K32" s="37">
        <f t="shared" si="1"/>
        <v>107</v>
      </c>
      <c r="L32" s="37">
        <v>793</v>
      </c>
      <c r="M32" s="38">
        <f t="shared" si="2"/>
        <v>1464770</v>
      </c>
      <c r="N32" s="39">
        <f t="shared" si="8"/>
        <v>571135</v>
      </c>
      <c r="O32" s="39">
        <f t="shared" si="9"/>
        <v>2065496</v>
      </c>
      <c r="P32" s="40">
        <f t="shared" si="5"/>
        <v>1464770</v>
      </c>
      <c r="Q32" s="40">
        <f t="shared" si="6"/>
        <v>571135</v>
      </c>
      <c r="R32" s="40">
        <f t="shared" si="7"/>
        <v>2065496</v>
      </c>
      <c r="S32" s="50"/>
      <c r="T32" s="37"/>
      <c r="U32" s="37"/>
      <c r="V32" s="8"/>
    </row>
    <row r="33" spans="1:22" ht="15" customHeight="1" x14ac:dyDescent="0.15">
      <c r="A33" s="14">
        <v>40937</v>
      </c>
      <c r="B33" s="14" t="s">
        <v>36</v>
      </c>
      <c r="C33" s="15">
        <v>19376</v>
      </c>
      <c r="D33" s="16">
        <v>14214</v>
      </c>
      <c r="E33" s="16">
        <v>34438</v>
      </c>
      <c r="F33" s="17">
        <v>1726.7</v>
      </c>
      <c r="G33" s="18">
        <v>1120</v>
      </c>
      <c r="H33" s="19">
        <v>801</v>
      </c>
      <c r="I33" s="19">
        <v>392.3</v>
      </c>
      <c r="J33" s="32">
        <f t="shared" si="0"/>
        <v>20224</v>
      </c>
      <c r="K33" s="33">
        <f t="shared" si="1"/>
        <v>58</v>
      </c>
      <c r="L33" s="33">
        <v>790</v>
      </c>
      <c r="M33" s="34">
        <f t="shared" si="2"/>
        <v>1484146</v>
      </c>
      <c r="N33" s="35">
        <f t="shared" si="8"/>
        <v>585349</v>
      </c>
      <c r="O33" s="35">
        <f t="shared" si="9"/>
        <v>2099934</v>
      </c>
      <c r="P33" s="34">
        <f t="shared" si="5"/>
        <v>1484146</v>
      </c>
      <c r="Q33" s="34">
        <f t="shared" si="6"/>
        <v>585349</v>
      </c>
      <c r="R33" s="34">
        <f t="shared" si="7"/>
        <v>2099934</v>
      </c>
      <c r="S33" s="49"/>
      <c r="T33" s="32"/>
      <c r="U33" s="32"/>
      <c r="V33" s="32"/>
    </row>
    <row r="34" spans="1:22" ht="15" customHeight="1" x14ac:dyDescent="0.15">
      <c r="A34" s="20">
        <v>40938</v>
      </c>
      <c r="B34" s="20" t="s">
        <v>37</v>
      </c>
      <c r="C34" s="21">
        <v>17222</v>
      </c>
      <c r="D34" s="7">
        <v>14258</v>
      </c>
      <c r="E34" s="7">
        <v>32182</v>
      </c>
      <c r="F34" s="22">
        <v>1704.3</v>
      </c>
      <c r="G34" s="23">
        <v>1033.7</v>
      </c>
      <c r="H34" s="24">
        <v>864.5</v>
      </c>
      <c r="I34" s="36">
        <v>390.5</v>
      </c>
      <c r="J34" s="8">
        <f t="shared" si="0"/>
        <v>17924</v>
      </c>
      <c r="K34" s="37">
        <f t="shared" si="1"/>
        <v>67</v>
      </c>
      <c r="L34" s="37">
        <v>635</v>
      </c>
      <c r="M34" s="38">
        <v>1502306</v>
      </c>
      <c r="N34" s="41">
        <v>599607.5</v>
      </c>
      <c r="O34" s="39">
        <v>2132116</v>
      </c>
      <c r="P34" s="40">
        <f t="shared" si="5"/>
        <v>1502306</v>
      </c>
      <c r="Q34" s="40">
        <f t="shared" si="6"/>
        <v>599607.5</v>
      </c>
      <c r="R34" s="40">
        <f t="shared" si="7"/>
        <v>2132116</v>
      </c>
      <c r="S34" s="50">
        <v>12.380699999999999</v>
      </c>
      <c r="T34" s="50">
        <f>P34/10000-S34</f>
        <v>137.84990000000002</v>
      </c>
      <c r="U34" s="37"/>
      <c r="V34" s="37">
        <f>T34*10000/(3298.592+19.3)</f>
        <v>415.4743433481259</v>
      </c>
    </row>
    <row r="35" spans="1:22" s="1" customFormat="1" ht="15" customHeight="1" x14ac:dyDescent="0.15">
      <c r="A35" s="13">
        <v>40939</v>
      </c>
      <c r="B35" s="25" t="s">
        <v>38</v>
      </c>
      <c r="C35" s="26">
        <v>15853</v>
      </c>
      <c r="D35" s="27">
        <v>11945</v>
      </c>
      <c r="E35" s="27">
        <v>28651</v>
      </c>
      <c r="F35" s="28">
        <v>1444.3</v>
      </c>
      <c r="G35" s="29">
        <v>1024.8</v>
      </c>
      <c r="H35" s="30">
        <v>683.2</v>
      </c>
      <c r="I35" s="30">
        <v>388</v>
      </c>
      <c r="J35" s="42">
        <f t="shared" si="0"/>
        <v>16706</v>
      </c>
      <c r="K35" s="43">
        <f t="shared" si="1"/>
        <v>250</v>
      </c>
      <c r="L35" s="43">
        <v>603</v>
      </c>
      <c r="M35" s="44">
        <v>1518159</v>
      </c>
      <c r="N35" s="45">
        <v>611552.5</v>
      </c>
      <c r="O35" s="46">
        <v>2160767</v>
      </c>
      <c r="P35" s="44">
        <f t="shared" si="5"/>
        <v>1518159</v>
      </c>
      <c r="Q35" s="44">
        <f t="shared" si="6"/>
        <v>611552.5</v>
      </c>
      <c r="R35" s="44">
        <f t="shared" si="7"/>
        <v>2160767</v>
      </c>
      <c r="S35" s="52">
        <v>12.427849999999999</v>
      </c>
      <c r="T35" s="52">
        <f>P35/10000-S35</f>
        <v>139.38804999999999</v>
      </c>
      <c r="U35" s="43"/>
      <c r="V35" s="43">
        <f>(T35-2.515)*10000/(3298.592+22.6)</f>
        <v>412.12025682345376</v>
      </c>
    </row>
    <row r="36" spans="1:22" ht="15" customHeight="1" x14ac:dyDescent="0.15">
      <c r="A36" s="13">
        <v>40940</v>
      </c>
      <c r="B36" s="20" t="s">
        <v>39</v>
      </c>
      <c r="C36" s="21">
        <v>15318</v>
      </c>
      <c r="D36" s="7">
        <v>11730</v>
      </c>
      <c r="E36" s="7">
        <v>27871</v>
      </c>
      <c r="F36" s="22">
        <v>1452</v>
      </c>
      <c r="G36" s="23">
        <v>922.7</v>
      </c>
      <c r="H36" s="24">
        <v>658.7</v>
      </c>
      <c r="I36" s="36">
        <v>360.2</v>
      </c>
      <c r="J36" s="8">
        <f t="shared" si="0"/>
        <v>16141</v>
      </c>
      <c r="K36" s="37">
        <f t="shared" si="1"/>
        <v>218</v>
      </c>
      <c r="L36" s="37">
        <v>605</v>
      </c>
      <c r="M36" s="38">
        <f>C36</f>
        <v>15318</v>
      </c>
      <c r="N36" s="39">
        <f>D36</f>
        <v>11730</v>
      </c>
      <c r="O36" s="39">
        <f>E36</f>
        <v>27871</v>
      </c>
      <c r="P36" s="40">
        <f>M36+P$35</f>
        <v>1533477</v>
      </c>
      <c r="Q36" s="40">
        <f t="shared" ref="Q36:Q63" si="10">Q$35+N36</f>
        <v>623282.5</v>
      </c>
      <c r="R36" s="40">
        <f t="shared" ref="R36:R63" si="11">R$35+O36</f>
        <v>2188638</v>
      </c>
      <c r="S36" s="50"/>
      <c r="T36" s="37"/>
      <c r="U36" s="37"/>
      <c r="V36" s="8"/>
    </row>
    <row r="37" spans="1:22" ht="15" customHeight="1" x14ac:dyDescent="0.15">
      <c r="A37" s="13">
        <v>40941</v>
      </c>
      <c r="B37" s="20" t="s">
        <v>1</v>
      </c>
      <c r="C37" s="21">
        <v>16057</v>
      </c>
      <c r="D37" s="7">
        <v>11659</v>
      </c>
      <c r="E37" s="7">
        <v>28491</v>
      </c>
      <c r="F37" s="22">
        <v>1491.6</v>
      </c>
      <c r="G37" s="23">
        <v>941.2</v>
      </c>
      <c r="H37" s="24">
        <v>639.4</v>
      </c>
      <c r="I37" s="36">
        <v>360.9</v>
      </c>
      <c r="J37" s="8">
        <f t="shared" ref="J37:J63" si="12">E37-D37</f>
        <v>16832</v>
      </c>
      <c r="K37" s="37">
        <f t="shared" ref="K37:K63" si="13">J37-C37-L37</f>
        <v>29</v>
      </c>
      <c r="L37" s="37">
        <v>746</v>
      </c>
      <c r="M37" s="38">
        <f t="shared" ref="M37:M62" si="14">M36+C37</f>
        <v>31375</v>
      </c>
      <c r="N37" s="39">
        <f t="shared" ref="N37:N63" si="15">N36+D37</f>
        <v>23389</v>
      </c>
      <c r="O37" s="39">
        <f t="shared" ref="O37:O62" si="16">O36+E37</f>
        <v>56362</v>
      </c>
      <c r="P37" s="40">
        <f t="shared" ref="P37:P63" si="17">M37+P$35</f>
        <v>1549534</v>
      </c>
      <c r="Q37" s="40">
        <f t="shared" si="10"/>
        <v>634941.5</v>
      </c>
      <c r="R37" s="40">
        <f t="shared" si="11"/>
        <v>2217129</v>
      </c>
      <c r="S37" s="50"/>
      <c r="T37" s="37"/>
      <c r="U37" s="37"/>
      <c r="V37" s="8"/>
    </row>
    <row r="38" spans="1:22" ht="15" customHeight="1" x14ac:dyDescent="0.15">
      <c r="A38" s="13">
        <v>40942</v>
      </c>
      <c r="B38" s="20" t="s">
        <v>34</v>
      </c>
      <c r="C38" s="21">
        <v>16559</v>
      </c>
      <c r="D38" s="7">
        <v>12666</v>
      </c>
      <c r="E38" s="7">
        <v>30179</v>
      </c>
      <c r="F38" s="22">
        <v>1571.9</v>
      </c>
      <c r="G38" s="23">
        <v>962.7</v>
      </c>
      <c r="H38" s="24">
        <v>763.2</v>
      </c>
      <c r="I38" s="36">
        <v>356.4</v>
      </c>
      <c r="J38" s="8">
        <f t="shared" si="12"/>
        <v>17513</v>
      </c>
      <c r="K38" s="37">
        <f t="shared" si="13"/>
        <v>159</v>
      </c>
      <c r="L38" s="37">
        <v>795</v>
      </c>
      <c r="M38" s="38">
        <f t="shared" si="14"/>
        <v>47934</v>
      </c>
      <c r="N38" s="39">
        <f t="shared" si="15"/>
        <v>36055</v>
      </c>
      <c r="O38" s="39">
        <f t="shared" si="16"/>
        <v>86541</v>
      </c>
      <c r="P38" s="40">
        <f t="shared" si="17"/>
        <v>1566093</v>
      </c>
      <c r="Q38" s="40">
        <f t="shared" si="10"/>
        <v>647607.5</v>
      </c>
      <c r="R38" s="40">
        <f t="shared" si="11"/>
        <v>2247308</v>
      </c>
      <c r="S38" s="50"/>
      <c r="T38" s="37"/>
      <c r="U38" s="37"/>
      <c r="V38" s="8"/>
    </row>
    <row r="39" spans="1:22" ht="15" customHeight="1" x14ac:dyDescent="0.15">
      <c r="A39" s="13">
        <v>40943</v>
      </c>
      <c r="B39" s="20" t="s">
        <v>35</v>
      </c>
      <c r="C39" s="21">
        <v>18278</v>
      </c>
      <c r="D39" s="7">
        <v>13340</v>
      </c>
      <c r="E39" s="7">
        <v>32697</v>
      </c>
      <c r="F39" s="22">
        <v>1737.3</v>
      </c>
      <c r="G39" s="23">
        <v>1013.9</v>
      </c>
      <c r="H39" s="24">
        <v>779.2</v>
      </c>
      <c r="I39" s="36">
        <v>392.5</v>
      </c>
      <c r="J39" s="8">
        <f t="shared" si="12"/>
        <v>19357</v>
      </c>
      <c r="K39" s="37">
        <f t="shared" si="13"/>
        <v>284</v>
      </c>
      <c r="L39" s="37">
        <v>795</v>
      </c>
      <c r="M39" s="38">
        <f t="shared" si="14"/>
        <v>66212</v>
      </c>
      <c r="N39" s="39">
        <f t="shared" si="15"/>
        <v>49395</v>
      </c>
      <c r="O39" s="39">
        <f t="shared" si="16"/>
        <v>119238</v>
      </c>
      <c r="P39" s="40">
        <f t="shared" si="17"/>
        <v>1584371</v>
      </c>
      <c r="Q39" s="40">
        <f t="shared" si="10"/>
        <v>660947.5</v>
      </c>
      <c r="R39" s="40">
        <f t="shared" si="11"/>
        <v>2280005</v>
      </c>
      <c r="S39" s="50"/>
      <c r="T39" s="37"/>
      <c r="U39" s="37"/>
      <c r="V39" s="8"/>
    </row>
    <row r="40" spans="1:22" ht="15" customHeight="1" x14ac:dyDescent="0.15">
      <c r="A40" s="13">
        <v>40944</v>
      </c>
      <c r="B40" s="14" t="s">
        <v>36</v>
      </c>
      <c r="C40" s="15">
        <v>21971</v>
      </c>
      <c r="D40" s="16">
        <v>12171</v>
      </c>
      <c r="E40" s="16">
        <v>35226</v>
      </c>
      <c r="F40" s="17">
        <v>1800.6</v>
      </c>
      <c r="G40" s="18">
        <v>1090.5999999999999</v>
      </c>
      <c r="H40" s="19">
        <v>722.6</v>
      </c>
      <c r="I40" s="19">
        <v>357.8</v>
      </c>
      <c r="J40" s="32">
        <f t="shared" si="12"/>
        <v>23055</v>
      </c>
      <c r="K40" s="33">
        <f t="shared" si="13"/>
        <v>289</v>
      </c>
      <c r="L40" s="33">
        <v>795</v>
      </c>
      <c r="M40" s="34">
        <f t="shared" si="14"/>
        <v>88183</v>
      </c>
      <c r="N40" s="35">
        <f t="shared" si="15"/>
        <v>61566</v>
      </c>
      <c r="O40" s="35">
        <f t="shared" si="16"/>
        <v>154464</v>
      </c>
      <c r="P40" s="34">
        <f t="shared" si="17"/>
        <v>1606342</v>
      </c>
      <c r="Q40" s="34">
        <f t="shared" si="10"/>
        <v>673118.5</v>
      </c>
      <c r="R40" s="34">
        <f t="shared" si="11"/>
        <v>2315231</v>
      </c>
      <c r="S40" s="49"/>
      <c r="T40" s="32"/>
      <c r="U40" s="32"/>
      <c r="V40" s="32"/>
    </row>
    <row r="41" spans="1:22" ht="15" customHeight="1" x14ac:dyDescent="0.15">
      <c r="A41" s="13">
        <v>40945</v>
      </c>
      <c r="B41" s="20" t="s">
        <v>37</v>
      </c>
      <c r="C41" s="21">
        <v>23100</v>
      </c>
      <c r="D41" s="7">
        <v>12660</v>
      </c>
      <c r="E41" s="7">
        <v>36642</v>
      </c>
      <c r="F41" s="22">
        <v>1890.7</v>
      </c>
      <c r="G41" s="23">
        <v>1128.5</v>
      </c>
      <c r="H41" s="24">
        <v>743</v>
      </c>
      <c r="I41" s="36">
        <v>374.7</v>
      </c>
      <c r="J41" s="8">
        <f t="shared" si="12"/>
        <v>23982</v>
      </c>
      <c r="K41" s="37">
        <f t="shared" si="13"/>
        <v>87</v>
      </c>
      <c r="L41" s="37">
        <v>795</v>
      </c>
      <c r="M41" s="38">
        <f t="shared" si="14"/>
        <v>111283</v>
      </c>
      <c r="N41" s="39">
        <f t="shared" si="15"/>
        <v>74226</v>
      </c>
      <c r="O41" s="39">
        <f t="shared" si="16"/>
        <v>191106</v>
      </c>
      <c r="P41" s="40">
        <f t="shared" si="17"/>
        <v>1629442</v>
      </c>
      <c r="Q41" s="40">
        <f t="shared" si="10"/>
        <v>685778.5</v>
      </c>
      <c r="R41" s="40">
        <f t="shared" si="11"/>
        <v>2351873</v>
      </c>
      <c r="S41" s="50">
        <v>13.62785</v>
      </c>
      <c r="T41" s="50">
        <f>P41/10000-S41</f>
        <v>149.31635</v>
      </c>
      <c r="U41" s="37"/>
      <c r="V41" s="37">
        <f>V$34+(T41-T$34)*10000/(3298.592+100)</f>
        <v>449.21316813203634</v>
      </c>
    </row>
    <row r="42" spans="1:22" ht="15" customHeight="1" x14ac:dyDescent="0.15">
      <c r="A42" s="20">
        <v>40946</v>
      </c>
      <c r="B42" s="20" t="s">
        <v>38</v>
      </c>
      <c r="C42" s="21">
        <v>26277</v>
      </c>
      <c r="D42" s="7">
        <v>14300</v>
      </c>
      <c r="E42" s="7">
        <v>41967</v>
      </c>
      <c r="F42" s="22">
        <v>2155</v>
      </c>
      <c r="G42" s="23">
        <v>1159</v>
      </c>
      <c r="H42" s="24">
        <v>776</v>
      </c>
      <c r="I42" s="36">
        <v>389</v>
      </c>
      <c r="J42" s="8">
        <f t="shared" si="12"/>
        <v>27667</v>
      </c>
      <c r="K42" s="37">
        <f t="shared" si="13"/>
        <v>597</v>
      </c>
      <c r="L42" s="37">
        <v>793</v>
      </c>
      <c r="M42" s="38">
        <f t="shared" si="14"/>
        <v>137560</v>
      </c>
      <c r="N42" s="39">
        <f t="shared" si="15"/>
        <v>88526</v>
      </c>
      <c r="O42" s="39">
        <f t="shared" si="16"/>
        <v>233073</v>
      </c>
      <c r="P42" s="40">
        <f t="shared" si="17"/>
        <v>1655719</v>
      </c>
      <c r="Q42" s="40">
        <f t="shared" si="10"/>
        <v>700078.5</v>
      </c>
      <c r="R42" s="40">
        <f t="shared" si="11"/>
        <v>2393840</v>
      </c>
      <c r="S42" s="50"/>
      <c r="T42" s="37"/>
      <c r="U42" s="37"/>
      <c r="V42" s="8"/>
    </row>
    <row r="43" spans="1:22" ht="15" customHeight="1" x14ac:dyDescent="0.15">
      <c r="A43" s="20">
        <v>40947</v>
      </c>
      <c r="B43" s="20" t="s">
        <v>39</v>
      </c>
      <c r="C43" s="21">
        <v>33479</v>
      </c>
      <c r="D43" s="7">
        <v>12461</v>
      </c>
      <c r="E43" s="7">
        <v>47845</v>
      </c>
      <c r="F43" s="22">
        <v>2470.4</v>
      </c>
      <c r="G43" s="23">
        <v>1325</v>
      </c>
      <c r="H43" s="24"/>
      <c r="I43" s="36"/>
      <c r="J43" s="8">
        <f t="shared" si="12"/>
        <v>35384</v>
      </c>
      <c r="K43" s="37">
        <f t="shared" si="13"/>
        <v>1112</v>
      </c>
      <c r="L43" s="37">
        <v>793</v>
      </c>
      <c r="M43" s="38">
        <f t="shared" si="14"/>
        <v>171039</v>
      </c>
      <c r="N43" s="39">
        <f t="shared" si="15"/>
        <v>100987</v>
      </c>
      <c r="O43" s="39">
        <f t="shared" si="16"/>
        <v>280918</v>
      </c>
      <c r="P43" s="40">
        <f t="shared" si="17"/>
        <v>1689198</v>
      </c>
      <c r="Q43" s="40">
        <f t="shared" si="10"/>
        <v>712539.5</v>
      </c>
      <c r="R43" s="40">
        <f t="shared" si="11"/>
        <v>2441685</v>
      </c>
      <c r="S43" s="50"/>
      <c r="T43" s="37"/>
      <c r="U43" s="37"/>
      <c r="V43" s="8"/>
    </row>
    <row r="44" spans="1:22" ht="15" customHeight="1" x14ac:dyDescent="0.15">
      <c r="A44" s="20">
        <v>40948</v>
      </c>
      <c r="B44" s="20" t="s">
        <v>1</v>
      </c>
      <c r="C44" s="21">
        <v>39423</v>
      </c>
      <c r="D44" s="7">
        <v>13071</v>
      </c>
      <c r="E44" s="7">
        <v>53398</v>
      </c>
      <c r="F44" s="22">
        <v>2727.6</v>
      </c>
      <c r="G44" s="23">
        <v>1489.3</v>
      </c>
      <c r="H44" s="24">
        <v>718</v>
      </c>
      <c r="I44" s="36">
        <v>334</v>
      </c>
      <c r="J44" s="8">
        <f t="shared" si="12"/>
        <v>40327</v>
      </c>
      <c r="K44" s="37">
        <f t="shared" si="13"/>
        <v>111</v>
      </c>
      <c r="L44" s="37">
        <v>793</v>
      </c>
      <c r="M44" s="38">
        <f t="shared" si="14"/>
        <v>210462</v>
      </c>
      <c r="N44" s="39">
        <f t="shared" si="15"/>
        <v>114058</v>
      </c>
      <c r="O44" s="39">
        <f t="shared" si="16"/>
        <v>334316</v>
      </c>
      <c r="P44" s="40">
        <f t="shared" si="17"/>
        <v>1728621</v>
      </c>
      <c r="Q44" s="40">
        <f t="shared" si="10"/>
        <v>725610.5</v>
      </c>
      <c r="R44" s="40">
        <f t="shared" si="11"/>
        <v>2495083</v>
      </c>
      <c r="S44" s="50"/>
      <c r="T44" s="37"/>
      <c r="U44" s="37"/>
      <c r="V44" s="8"/>
    </row>
    <row r="45" spans="1:22" ht="15" customHeight="1" x14ac:dyDescent="0.15">
      <c r="A45" s="20">
        <v>40949</v>
      </c>
      <c r="B45" s="20" t="s">
        <v>34</v>
      </c>
      <c r="C45" s="21">
        <v>45318</v>
      </c>
      <c r="D45" s="7">
        <v>13542</v>
      </c>
      <c r="E45" s="7">
        <v>60161</v>
      </c>
      <c r="F45" s="22">
        <v>3160</v>
      </c>
      <c r="G45" s="23">
        <v>1668</v>
      </c>
      <c r="H45" s="24">
        <v>760</v>
      </c>
      <c r="I45" s="36">
        <v>336</v>
      </c>
      <c r="J45" s="8">
        <f t="shared" si="12"/>
        <v>46619</v>
      </c>
      <c r="K45" s="37">
        <f t="shared" si="13"/>
        <v>508</v>
      </c>
      <c r="L45" s="37">
        <v>793</v>
      </c>
      <c r="M45" s="38">
        <v>255782.5</v>
      </c>
      <c r="N45" s="39">
        <f t="shared" si="15"/>
        <v>127600</v>
      </c>
      <c r="O45" s="39">
        <f t="shared" si="16"/>
        <v>394477</v>
      </c>
      <c r="P45" s="40">
        <f t="shared" si="17"/>
        <v>1773941.5</v>
      </c>
      <c r="Q45" s="40">
        <f t="shared" si="10"/>
        <v>739152.5</v>
      </c>
      <c r="R45" s="40">
        <f t="shared" si="11"/>
        <v>2555244</v>
      </c>
      <c r="S45" s="50">
        <v>13.2614</v>
      </c>
      <c r="T45" s="50">
        <f>P45/10000-S45</f>
        <v>164.13274999999999</v>
      </c>
      <c r="U45" s="37"/>
      <c r="V45" s="51">
        <f>V$34+(T45-T$34)*10000/(3298.592+100)</f>
        <v>492.80886893990026</v>
      </c>
    </row>
    <row r="46" spans="1:22" ht="15" customHeight="1" x14ac:dyDescent="0.15">
      <c r="A46" s="20">
        <v>40950</v>
      </c>
      <c r="B46" s="20" t="s">
        <v>35</v>
      </c>
      <c r="C46" s="21">
        <v>47754</v>
      </c>
      <c r="D46" s="7">
        <v>15766</v>
      </c>
      <c r="E46" s="7">
        <v>64387</v>
      </c>
      <c r="F46" s="22">
        <v>3371.3</v>
      </c>
      <c r="G46" s="23">
        <v>1843.5</v>
      </c>
      <c r="H46" s="24">
        <v>890</v>
      </c>
      <c r="I46" s="36">
        <v>441</v>
      </c>
      <c r="J46" s="8">
        <f t="shared" si="12"/>
        <v>48621</v>
      </c>
      <c r="K46" s="37">
        <f t="shared" si="13"/>
        <v>75</v>
      </c>
      <c r="L46" s="37">
        <v>792</v>
      </c>
      <c r="M46" s="38">
        <f t="shared" si="14"/>
        <v>303536.5</v>
      </c>
      <c r="N46" s="39">
        <f t="shared" si="15"/>
        <v>143366</v>
      </c>
      <c r="O46" s="39">
        <f t="shared" si="16"/>
        <v>458864</v>
      </c>
      <c r="P46" s="40">
        <f t="shared" si="17"/>
        <v>1821695.5</v>
      </c>
      <c r="Q46" s="40">
        <f t="shared" si="10"/>
        <v>754918.5</v>
      </c>
      <c r="R46" s="40">
        <f t="shared" si="11"/>
        <v>2619631</v>
      </c>
      <c r="S46" s="50"/>
      <c r="T46" s="37"/>
      <c r="U46" s="37"/>
      <c r="V46" s="8"/>
    </row>
    <row r="47" spans="1:22" ht="15" customHeight="1" x14ac:dyDescent="0.15">
      <c r="A47" s="14">
        <v>40951</v>
      </c>
      <c r="B47" s="14" t="s">
        <v>36</v>
      </c>
      <c r="C47" s="15">
        <v>51541</v>
      </c>
      <c r="D47" s="16">
        <v>16566</v>
      </c>
      <c r="E47" s="16">
        <v>69442</v>
      </c>
      <c r="F47" s="17">
        <v>3637.9</v>
      </c>
      <c r="G47" s="18">
        <v>1934.3</v>
      </c>
      <c r="H47" s="19">
        <v>947.2</v>
      </c>
      <c r="I47" s="19">
        <v>450.8</v>
      </c>
      <c r="J47" s="32">
        <f t="shared" si="12"/>
        <v>52876</v>
      </c>
      <c r="K47" s="33">
        <f t="shared" si="13"/>
        <v>542</v>
      </c>
      <c r="L47" s="33">
        <v>793</v>
      </c>
      <c r="M47" s="34">
        <f t="shared" si="14"/>
        <v>355077.5</v>
      </c>
      <c r="N47" s="35">
        <f t="shared" si="15"/>
        <v>159932</v>
      </c>
      <c r="O47" s="35">
        <f t="shared" si="16"/>
        <v>528306</v>
      </c>
      <c r="P47" s="34">
        <f t="shared" si="17"/>
        <v>1873236.5</v>
      </c>
      <c r="Q47" s="34">
        <f t="shared" si="10"/>
        <v>771484.5</v>
      </c>
      <c r="R47" s="34">
        <f t="shared" si="11"/>
        <v>2689073</v>
      </c>
      <c r="S47" s="49"/>
      <c r="T47" s="32"/>
      <c r="U47" s="32"/>
      <c r="V47" s="32"/>
    </row>
    <row r="48" spans="1:22" ht="15" customHeight="1" x14ac:dyDescent="0.15">
      <c r="A48" s="20">
        <v>40952</v>
      </c>
      <c r="B48" s="20" t="s">
        <v>37</v>
      </c>
      <c r="C48" s="21">
        <v>53544</v>
      </c>
      <c r="D48" s="7">
        <v>16722</v>
      </c>
      <c r="E48" s="7">
        <v>71303</v>
      </c>
      <c r="F48" s="22">
        <v>3774</v>
      </c>
      <c r="G48" s="23">
        <v>2063</v>
      </c>
      <c r="H48" s="24"/>
      <c r="I48" s="36"/>
      <c r="J48" s="8">
        <f t="shared" si="12"/>
        <v>54581</v>
      </c>
      <c r="K48" s="37">
        <f t="shared" si="13"/>
        <v>244</v>
      </c>
      <c r="L48" s="37">
        <v>793</v>
      </c>
      <c r="M48" s="38">
        <f t="shared" si="14"/>
        <v>408621.5</v>
      </c>
      <c r="N48" s="39">
        <f t="shared" si="15"/>
        <v>176654</v>
      </c>
      <c r="O48" s="39">
        <f t="shared" si="16"/>
        <v>599609</v>
      </c>
      <c r="P48" s="40">
        <f t="shared" si="17"/>
        <v>1926780.5</v>
      </c>
      <c r="Q48" s="40">
        <f t="shared" si="10"/>
        <v>788206.5</v>
      </c>
      <c r="R48" s="40">
        <f t="shared" si="11"/>
        <v>2760376</v>
      </c>
      <c r="S48" s="50">
        <v>13.711399999999999</v>
      </c>
      <c r="T48" s="50">
        <f>P48/10000-S48</f>
        <v>178.96665000000002</v>
      </c>
      <c r="U48" s="37"/>
      <c r="V48" s="37">
        <f>V$34+(T48-T$34)*10000/(3298.592+100)</f>
        <v>536.45606165970901</v>
      </c>
    </row>
    <row r="49" spans="1:22" ht="15" customHeight="1" x14ac:dyDescent="0.15">
      <c r="A49" s="20">
        <v>40953</v>
      </c>
      <c r="B49" s="20" t="s">
        <v>38</v>
      </c>
      <c r="C49" s="21">
        <v>49942</v>
      </c>
      <c r="D49" s="7">
        <v>18280</v>
      </c>
      <c r="E49" s="7">
        <v>69151</v>
      </c>
      <c r="F49" s="22">
        <v>3636.7</v>
      </c>
      <c r="G49" s="23">
        <v>2090.1999999999998</v>
      </c>
      <c r="H49" s="24">
        <v>1011.6</v>
      </c>
      <c r="I49" s="36">
        <v>531</v>
      </c>
      <c r="J49" s="8">
        <f t="shared" si="12"/>
        <v>50871</v>
      </c>
      <c r="K49" s="37">
        <f t="shared" si="13"/>
        <v>136</v>
      </c>
      <c r="L49" s="37">
        <v>793</v>
      </c>
      <c r="M49" s="38">
        <f t="shared" si="14"/>
        <v>458563.5</v>
      </c>
      <c r="N49" s="39">
        <f t="shared" si="15"/>
        <v>194934</v>
      </c>
      <c r="O49" s="39">
        <f t="shared" si="16"/>
        <v>668760</v>
      </c>
      <c r="P49" s="40">
        <f t="shared" si="17"/>
        <v>1976722.5</v>
      </c>
      <c r="Q49" s="40">
        <f t="shared" si="10"/>
        <v>806486.5</v>
      </c>
      <c r="R49" s="40">
        <f t="shared" si="11"/>
        <v>2829527</v>
      </c>
      <c r="S49" s="50"/>
      <c r="T49" s="37"/>
      <c r="U49" s="37"/>
      <c r="V49" s="8"/>
    </row>
    <row r="50" spans="1:22" ht="15" customHeight="1" x14ac:dyDescent="0.15">
      <c r="A50" s="20">
        <v>40954</v>
      </c>
      <c r="B50" s="20" t="s">
        <v>39</v>
      </c>
      <c r="C50" s="21">
        <v>52277</v>
      </c>
      <c r="D50" s="7">
        <v>16547</v>
      </c>
      <c r="E50" s="7">
        <v>69702</v>
      </c>
      <c r="F50" s="22">
        <v>3637.3</v>
      </c>
      <c r="G50" s="23">
        <v>2117.5</v>
      </c>
      <c r="H50" s="24">
        <v>906.7</v>
      </c>
      <c r="I50" s="36">
        <v>490.7</v>
      </c>
      <c r="J50" s="8">
        <f t="shared" si="12"/>
        <v>53155</v>
      </c>
      <c r="K50" s="37">
        <f t="shared" si="13"/>
        <v>85</v>
      </c>
      <c r="L50" s="37">
        <v>793</v>
      </c>
      <c r="M50" s="38">
        <f t="shared" si="14"/>
        <v>510840.5</v>
      </c>
      <c r="N50" s="39">
        <f t="shared" si="15"/>
        <v>211481</v>
      </c>
      <c r="O50" s="39">
        <f t="shared" si="16"/>
        <v>738462</v>
      </c>
      <c r="P50" s="40">
        <f t="shared" si="17"/>
        <v>2028999.5</v>
      </c>
      <c r="Q50" s="40">
        <f t="shared" si="10"/>
        <v>823033.5</v>
      </c>
      <c r="R50" s="40">
        <f t="shared" si="11"/>
        <v>2899229</v>
      </c>
      <c r="S50" s="50"/>
      <c r="T50" s="37"/>
      <c r="U50" s="37"/>
      <c r="V50" s="8"/>
    </row>
    <row r="51" spans="1:22" ht="15" customHeight="1" x14ac:dyDescent="0.15">
      <c r="A51" s="20">
        <v>40955</v>
      </c>
      <c r="B51" s="20" t="s">
        <v>1</v>
      </c>
      <c r="C51" s="21">
        <v>53632</v>
      </c>
      <c r="D51" s="7">
        <v>16055</v>
      </c>
      <c r="E51" s="7">
        <v>70538</v>
      </c>
      <c r="F51" s="22">
        <v>3597.9</v>
      </c>
      <c r="G51" s="23">
        <v>2173.5</v>
      </c>
      <c r="H51" s="24">
        <v>849.1</v>
      </c>
      <c r="I51" s="36">
        <v>470.4</v>
      </c>
      <c r="J51" s="8">
        <f t="shared" si="12"/>
        <v>54483</v>
      </c>
      <c r="K51" s="37">
        <f t="shared" si="13"/>
        <v>58</v>
      </c>
      <c r="L51" s="37">
        <v>793</v>
      </c>
      <c r="M51" s="38">
        <f t="shared" si="14"/>
        <v>564472.5</v>
      </c>
      <c r="N51" s="39">
        <f t="shared" si="15"/>
        <v>227536</v>
      </c>
      <c r="O51" s="39">
        <f t="shared" si="16"/>
        <v>809000</v>
      </c>
      <c r="P51" s="40">
        <f t="shared" si="17"/>
        <v>2082631.5</v>
      </c>
      <c r="Q51" s="40">
        <f t="shared" si="10"/>
        <v>839088.5</v>
      </c>
      <c r="R51" s="40">
        <f t="shared" si="11"/>
        <v>2969767</v>
      </c>
      <c r="S51" s="50"/>
      <c r="T51" s="37"/>
      <c r="U51" s="37"/>
      <c r="V51" s="8"/>
    </row>
    <row r="52" spans="1:22" ht="15" customHeight="1" x14ac:dyDescent="0.15">
      <c r="A52" s="20">
        <v>40956</v>
      </c>
      <c r="B52" s="20" t="s">
        <v>34</v>
      </c>
      <c r="C52" s="21">
        <v>57432</v>
      </c>
      <c r="D52" s="7">
        <v>15214</v>
      </c>
      <c r="E52" s="7">
        <v>73668</v>
      </c>
      <c r="F52" s="22">
        <v>3878.2</v>
      </c>
      <c r="G52" s="23">
        <v>2220</v>
      </c>
      <c r="H52" s="24">
        <v>858.1</v>
      </c>
      <c r="I52" s="36">
        <v>444.4</v>
      </c>
      <c r="J52" s="8">
        <f t="shared" si="12"/>
        <v>58454</v>
      </c>
      <c r="K52" s="37">
        <f t="shared" si="13"/>
        <v>229</v>
      </c>
      <c r="L52" s="37">
        <v>793</v>
      </c>
      <c r="M52" s="38">
        <f t="shared" si="14"/>
        <v>621904.5</v>
      </c>
      <c r="N52" s="39">
        <f t="shared" si="15"/>
        <v>242750</v>
      </c>
      <c r="O52" s="39">
        <f t="shared" si="16"/>
        <v>882668</v>
      </c>
      <c r="P52" s="40">
        <f t="shared" si="17"/>
        <v>2140063.5</v>
      </c>
      <c r="Q52" s="40">
        <f t="shared" si="10"/>
        <v>854302.5</v>
      </c>
      <c r="R52" s="40">
        <f t="shared" si="11"/>
        <v>3043435</v>
      </c>
      <c r="S52" s="50"/>
      <c r="T52" s="37"/>
      <c r="U52" s="37"/>
      <c r="V52" s="8"/>
    </row>
    <row r="53" spans="1:22" ht="15" customHeight="1" x14ac:dyDescent="0.15">
      <c r="A53" s="20">
        <v>40957</v>
      </c>
      <c r="B53" s="20" t="s">
        <v>35</v>
      </c>
      <c r="C53" s="21">
        <v>60053</v>
      </c>
      <c r="D53" s="7">
        <v>16601</v>
      </c>
      <c r="E53" s="7">
        <v>78301</v>
      </c>
      <c r="F53" s="22">
        <v>4139.1000000000004</v>
      </c>
      <c r="G53" s="23">
        <v>2307.8000000000002</v>
      </c>
      <c r="H53" s="24">
        <v>941.5</v>
      </c>
      <c r="I53" s="36">
        <v>487.5</v>
      </c>
      <c r="J53" s="8">
        <f t="shared" si="12"/>
        <v>61700</v>
      </c>
      <c r="K53" s="37">
        <f t="shared" si="13"/>
        <v>854</v>
      </c>
      <c r="L53" s="37">
        <v>793</v>
      </c>
      <c r="M53" s="38">
        <f t="shared" si="14"/>
        <v>681957.5</v>
      </c>
      <c r="N53" s="39">
        <f t="shared" si="15"/>
        <v>259351</v>
      </c>
      <c r="O53" s="39">
        <f t="shared" si="16"/>
        <v>960969</v>
      </c>
      <c r="P53" s="40">
        <f t="shared" si="17"/>
        <v>2200116.5</v>
      </c>
      <c r="Q53" s="40">
        <f t="shared" si="10"/>
        <v>870903.5</v>
      </c>
      <c r="R53" s="40">
        <f t="shared" si="11"/>
        <v>3121736</v>
      </c>
      <c r="S53" s="50"/>
      <c r="T53" s="37"/>
      <c r="U53" s="37"/>
      <c r="V53" s="8"/>
    </row>
    <row r="54" spans="1:22" ht="15" customHeight="1" x14ac:dyDescent="0.15">
      <c r="A54" s="14">
        <v>40958</v>
      </c>
      <c r="B54" s="14" t="s">
        <v>36</v>
      </c>
      <c r="C54" s="15">
        <v>59299</v>
      </c>
      <c r="D54" s="16">
        <v>19455</v>
      </c>
      <c r="E54" s="16">
        <v>80192</v>
      </c>
      <c r="F54" s="17">
        <v>4271.5</v>
      </c>
      <c r="G54" s="18">
        <v>2381.1999999999998</v>
      </c>
      <c r="H54" s="19">
        <v>1078.7</v>
      </c>
      <c r="I54" s="19">
        <v>584.6</v>
      </c>
      <c r="J54" s="32">
        <f t="shared" si="12"/>
        <v>60737</v>
      </c>
      <c r="K54" s="33">
        <f t="shared" si="13"/>
        <v>643</v>
      </c>
      <c r="L54" s="33">
        <v>795</v>
      </c>
      <c r="M54" s="34">
        <f t="shared" si="14"/>
        <v>741256.5</v>
      </c>
      <c r="N54" s="35">
        <f t="shared" si="15"/>
        <v>278806</v>
      </c>
      <c r="O54" s="35">
        <f t="shared" si="16"/>
        <v>1041161</v>
      </c>
      <c r="P54" s="34">
        <f t="shared" si="17"/>
        <v>2259415.5</v>
      </c>
      <c r="Q54" s="34">
        <f t="shared" si="10"/>
        <v>890358.5</v>
      </c>
      <c r="R54" s="34">
        <f t="shared" si="11"/>
        <v>3201928</v>
      </c>
      <c r="S54" s="49"/>
      <c r="T54" s="32"/>
      <c r="U54" s="32"/>
      <c r="V54" s="32"/>
    </row>
    <row r="55" spans="1:22" ht="15" customHeight="1" x14ac:dyDescent="0.15">
      <c r="A55" s="20">
        <v>40959</v>
      </c>
      <c r="B55" s="20" t="s">
        <v>37</v>
      </c>
      <c r="C55" s="21">
        <v>59804</v>
      </c>
      <c r="D55" s="7">
        <v>19328</v>
      </c>
      <c r="E55" s="7">
        <v>80301</v>
      </c>
      <c r="F55" s="22">
        <v>4193</v>
      </c>
      <c r="G55" s="23">
        <v>2489</v>
      </c>
      <c r="H55" s="24">
        <v>1061</v>
      </c>
      <c r="I55" s="36">
        <v>589</v>
      </c>
      <c r="J55" s="8">
        <f t="shared" si="12"/>
        <v>60973</v>
      </c>
      <c r="K55" s="37">
        <f t="shared" si="13"/>
        <v>374</v>
      </c>
      <c r="L55" s="37">
        <v>795</v>
      </c>
      <c r="M55" s="38">
        <f t="shared" si="14"/>
        <v>801060.5</v>
      </c>
      <c r="N55" s="39">
        <f t="shared" si="15"/>
        <v>298134</v>
      </c>
      <c r="O55" s="39">
        <f t="shared" si="16"/>
        <v>1121462</v>
      </c>
      <c r="P55" s="40">
        <f t="shared" si="17"/>
        <v>2319219.5</v>
      </c>
      <c r="Q55" s="40">
        <f t="shared" si="10"/>
        <v>909686.5</v>
      </c>
      <c r="R55" s="40">
        <f t="shared" si="11"/>
        <v>3282229</v>
      </c>
      <c r="S55" s="50">
        <v>17.8262</v>
      </c>
      <c r="T55" s="50">
        <f>P55/10000-S55</f>
        <v>214.09575000000001</v>
      </c>
      <c r="U55" s="37"/>
      <c r="V55" s="51">
        <f>V$34+(T55-T$34)*10000/(3298.592+100)</f>
        <v>639.81974873953504</v>
      </c>
    </row>
    <row r="56" spans="1:22" ht="15" customHeight="1" x14ac:dyDescent="0.15">
      <c r="A56" s="20">
        <v>40960</v>
      </c>
      <c r="B56" s="20" t="s">
        <v>38</v>
      </c>
      <c r="C56" s="21">
        <v>60134</v>
      </c>
      <c r="D56" s="7">
        <v>20410</v>
      </c>
      <c r="E56" s="7">
        <v>81867</v>
      </c>
      <c r="F56" s="22">
        <v>4269</v>
      </c>
      <c r="G56" s="23">
        <v>2574.1</v>
      </c>
      <c r="H56" s="24"/>
      <c r="I56" s="36"/>
      <c r="J56" s="8">
        <f t="shared" si="12"/>
        <v>61457</v>
      </c>
      <c r="K56" s="37">
        <f t="shared" si="13"/>
        <v>528</v>
      </c>
      <c r="L56" s="37">
        <v>795</v>
      </c>
      <c r="M56" s="38">
        <f t="shared" si="14"/>
        <v>861194.5</v>
      </c>
      <c r="N56" s="39">
        <f t="shared" si="15"/>
        <v>318544</v>
      </c>
      <c r="O56" s="39">
        <f t="shared" si="16"/>
        <v>1203329</v>
      </c>
      <c r="P56" s="40">
        <f t="shared" si="17"/>
        <v>2379353.5</v>
      </c>
      <c r="Q56" s="40">
        <f t="shared" si="10"/>
        <v>930096.5</v>
      </c>
      <c r="R56" s="40">
        <f t="shared" si="11"/>
        <v>3364096</v>
      </c>
      <c r="S56" s="50"/>
      <c r="T56" s="37"/>
      <c r="U56" s="37"/>
      <c r="V56" s="8"/>
    </row>
    <row r="57" spans="1:22" ht="15" customHeight="1" x14ac:dyDescent="0.15">
      <c r="A57" s="20">
        <v>40961</v>
      </c>
      <c r="B57" s="20" t="s">
        <v>39</v>
      </c>
      <c r="C57" s="21">
        <v>59154</v>
      </c>
      <c r="D57" s="7">
        <v>20138</v>
      </c>
      <c r="E57" s="7">
        <v>80376</v>
      </c>
      <c r="F57" s="22">
        <v>4142.3</v>
      </c>
      <c r="G57" s="23">
        <v>2611</v>
      </c>
      <c r="H57" s="24"/>
      <c r="I57" s="36"/>
      <c r="J57" s="8">
        <f t="shared" si="12"/>
        <v>60238</v>
      </c>
      <c r="K57" s="37">
        <f t="shared" si="13"/>
        <v>289</v>
      </c>
      <c r="L57" s="37">
        <v>795</v>
      </c>
      <c r="M57" s="38">
        <f t="shared" si="14"/>
        <v>920348.5</v>
      </c>
      <c r="N57" s="39">
        <f t="shared" si="15"/>
        <v>338682</v>
      </c>
      <c r="O57" s="39">
        <f t="shared" si="16"/>
        <v>1283705</v>
      </c>
      <c r="P57" s="40">
        <f t="shared" si="17"/>
        <v>2438507.5</v>
      </c>
      <c r="Q57" s="40">
        <f t="shared" si="10"/>
        <v>950234.5</v>
      </c>
      <c r="R57" s="40">
        <f t="shared" si="11"/>
        <v>3444472</v>
      </c>
      <c r="S57" s="50"/>
      <c r="T57" s="37"/>
      <c r="U57" s="37"/>
      <c r="V57" s="8"/>
    </row>
    <row r="58" spans="1:22" ht="15" customHeight="1" x14ac:dyDescent="0.15">
      <c r="A58" s="20">
        <v>40962</v>
      </c>
      <c r="B58" s="20" t="s">
        <v>1</v>
      </c>
      <c r="C58" s="21">
        <v>56571</v>
      </c>
      <c r="D58" s="7">
        <v>19797</v>
      </c>
      <c r="E58" s="7">
        <v>77422</v>
      </c>
      <c r="F58" s="22">
        <v>3929.5</v>
      </c>
      <c r="G58" s="23">
        <v>2581</v>
      </c>
      <c r="H58" s="24"/>
      <c r="I58" s="36"/>
      <c r="J58" s="8">
        <f t="shared" si="12"/>
        <v>57625</v>
      </c>
      <c r="K58" s="37">
        <f t="shared" si="13"/>
        <v>259</v>
      </c>
      <c r="L58" s="37">
        <v>795</v>
      </c>
      <c r="M58" s="38">
        <f t="shared" si="14"/>
        <v>976919.5</v>
      </c>
      <c r="N58" s="39">
        <f t="shared" si="15"/>
        <v>358479</v>
      </c>
      <c r="O58" s="39">
        <f t="shared" si="16"/>
        <v>1361127</v>
      </c>
      <c r="P58" s="40">
        <f t="shared" si="17"/>
        <v>2495078.5</v>
      </c>
      <c r="Q58" s="40">
        <f t="shared" si="10"/>
        <v>970031.5</v>
      </c>
      <c r="R58" s="40">
        <f t="shared" si="11"/>
        <v>3521894</v>
      </c>
      <c r="S58" s="50"/>
      <c r="T58" s="37"/>
      <c r="U58" s="37"/>
      <c r="V58" s="8"/>
    </row>
    <row r="59" spans="1:22" ht="15" customHeight="1" x14ac:dyDescent="0.15">
      <c r="A59" s="20">
        <v>40963</v>
      </c>
      <c r="B59" s="20" t="s">
        <v>34</v>
      </c>
      <c r="C59" s="21">
        <v>60968</v>
      </c>
      <c r="D59" s="7">
        <v>20435</v>
      </c>
      <c r="E59" s="7">
        <v>82699</v>
      </c>
      <c r="F59" s="22">
        <v>4348.3999999999996</v>
      </c>
      <c r="G59" s="23">
        <v>2548.3000000000002</v>
      </c>
      <c r="H59" s="24"/>
      <c r="I59" s="36"/>
      <c r="J59" s="8">
        <f t="shared" si="12"/>
        <v>62264</v>
      </c>
      <c r="K59" s="37">
        <f t="shared" si="13"/>
        <v>500</v>
      </c>
      <c r="L59" s="37">
        <v>796</v>
      </c>
      <c r="M59" s="38">
        <f t="shared" si="14"/>
        <v>1037887.5</v>
      </c>
      <c r="N59" s="39">
        <f t="shared" si="15"/>
        <v>378914</v>
      </c>
      <c r="O59" s="39">
        <f t="shared" si="16"/>
        <v>1443826</v>
      </c>
      <c r="P59" s="40">
        <f t="shared" si="17"/>
        <v>2556046.5</v>
      </c>
      <c r="Q59" s="40">
        <f t="shared" si="10"/>
        <v>990466.5</v>
      </c>
      <c r="R59" s="40">
        <f t="shared" si="11"/>
        <v>3604593</v>
      </c>
      <c r="S59" s="50"/>
      <c r="T59" s="37"/>
      <c r="U59" s="37"/>
      <c r="V59" s="8"/>
    </row>
    <row r="60" spans="1:22" ht="15" customHeight="1" x14ac:dyDescent="0.15">
      <c r="A60" s="20">
        <v>40964</v>
      </c>
      <c r="B60" s="20" t="s">
        <v>35</v>
      </c>
      <c r="C60" s="21">
        <v>60951</v>
      </c>
      <c r="D60" s="7">
        <v>20568</v>
      </c>
      <c r="E60" s="7">
        <v>82667</v>
      </c>
      <c r="F60" s="22">
        <v>4292</v>
      </c>
      <c r="G60" s="23">
        <v>2632.3</v>
      </c>
      <c r="H60" s="24"/>
      <c r="I60" s="36"/>
      <c r="J60" s="8">
        <f t="shared" si="12"/>
        <v>62099</v>
      </c>
      <c r="K60" s="37">
        <f t="shared" si="13"/>
        <v>353</v>
      </c>
      <c r="L60" s="37">
        <v>795</v>
      </c>
      <c r="M60" s="38">
        <f t="shared" si="14"/>
        <v>1098838.5</v>
      </c>
      <c r="N60" s="39">
        <f t="shared" si="15"/>
        <v>399482</v>
      </c>
      <c r="O60" s="39">
        <f t="shared" si="16"/>
        <v>1526493</v>
      </c>
      <c r="P60" s="40">
        <f t="shared" si="17"/>
        <v>2616997.5</v>
      </c>
      <c r="Q60" s="40">
        <f t="shared" si="10"/>
        <v>1011034.5</v>
      </c>
      <c r="R60" s="40">
        <f t="shared" si="11"/>
        <v>3687260</v>
      </c>
      <c r="S60" s="50"/>
      <c r="T60" s="37"/>
      <c r="U60" s="37"/>
      <c r="V60" s="8"/>
    </row>
    <row r="61" spans="1:22" ht="15" customHeight="1" x14ac:dyDescent="0.15">
      <c r="A61" s="14">
        <v>40965</v>
      </c>
      <c r="B61" s="14" t="s">
        <v>36</v>
      </c>
      <c r="C61" s="15">
        <v>59520</v>
      </c>
      <c r="D61" s="16">
        <v>20158</v>
      </c>
      <c r="E61" s="16">
        <v>80935</v>
      </c>
      <c r="F61" s="17">
        <v>4190</v>
      </c>
      <c r="G61" s="18">
        <v>2595.5</v>
      </c>
      <c r="H61" s="19"/>
      <c r="I61" s="19"/>
      <c r="J61" s="32">
        <f t="shared" si="12"/>
        <v>60777</v>
      </c>
      <c r="K61" s="33">
        <f t="shared" si="13"/>
        <v>461</v>
      </c>
      <c r="L61" s="33">
        <v>796</v>
      </c>
      <c r="M61" s="34">
        <f t="shared" si="14"/>
        <v>1158358.5</v>
      </c>
      <c r="N61" s="35">
        <f t="shared" si="15"/>
        <v>419640</v>
      </c>
      <c r="O61" s="35">
        <f t="shared" si="16"/>
        <v>1607428</v>
      </c>
      <c r="P61" s="34">
        <f t="shared" si="17"/>
        <v>2676517.5</v>
      </c>
      <c r="Q61" s="34">
        <f t="shared" si="10"/>
        <v>1031192.5</v>
      </c>
      <c r="R61" s="34">
        <f t="shared" si="11"/>
        <v>3768195</v>
      </c>
      <c r="S61" s="49"/>
      <c r="T61" s="32"/>
      <c r="U61" s="32"/>
      <c r="V61" s="32"/>
    </row>
    <row r="62" spans="1:22" ht="15" customHeight="1" x14ac:dyDescent="0.15">
      <c r="A62" s="20">
        <v>40966</v>
      </c>
      <c r="B62" s="20" t="s">
        <v>37</v>
      </c>
      <c r="C62" s="21">
        <v>59699</v>
      </c>
      <c r="D62" s="7">
        <v>20190</v>
      </c>
      <c r="E62" s="7">
        <v>81059</v>
      </c>
      <c r="F62" s="22">
        <v>4173</v>
      </c>
      <c r="G62" s="23">
        <v>2627.3</v>
      </c>
      <c r="H62" s="24"/>
      <c r="I62" s="36"/>
      <c r="J62" s="8">
        <f t="shared" si="12"/>
        <v>60869</v>
      </c>
      <c r="K62" s="37">
        <f t="shared" si="13"/>
        <v>375</v>
      </c>
      <c r="L62" s="37">
        <v>795</v>
      </c>
      <c r="M62" s="38">
        <f t="shared" si="14"/>
        <v>1218057.5</v>
      </c>
      <c r="N62" s="39">
        <f t="shared" si="15"/>
        <v>439830</v>
      </c>
      <c r="O62" s="39">
        <f t="shared" si="16"/>
        <v>1688487</v>
      </c>
      <c r="P62" s="40">
        <f t="shared" si="17"/>
        <v>2736216.5</v>
      </c>
      <c r="Q62" s="40">
        <f t="shared" si="10"/>
        <v>1051382.5</v>
      </c>
      <c r="R62" s="40">
        <f t="shared" si="11"/>
        <v>3849254</v>
      </c>
      <c r="S62" s="50">
        <v>21.3262</v>
      </c>
      <c r="T62" s="50">
        <f>P62/10000-S62</f>
        <v>252.29544999999999</v>
      </c>
      <c r="U62" s="37"/>
      <c r="V62" s="37">
        <f>V$34+(T62-T$34)*10000/(3298.592+100)</f>
        <v>752.21835380892844</v>
      </c>
    </row>
    <row r="63" spans="1:22" s="1" customFormat="1" ht="15" customHeight="1" x14ac:dyDescent="0.15">
      <c r="A63" s="25">
        <v>40967</v>
      </c>
      <c r="B63" s="25" t="s">
        <v>38</v>
      </c>
      <c r="C63" s="26">
        <v>59863</v>
      </c>
      <c r="D63" s="27">
        <v>21358</v>
      </c>
      <c r="E63" s="27">
        <v>82535</v>
      </c>
      <c r="F63" s="28">
        <v>4243</v>
      </c>
      <c r="G63" s="29">
        <v>2665.6</v>
      </c>
      <c r="H63" s="30"/>
      <c r="I63" s="30"/>
      <c r="J63" s="42">
        <f t="shared" si="12"/>
        <v>61177</v>
      </c>
      <c r="K63" s="43">
        <f t="shared" si="13"/>
        <v>519</v>
      </c>
      <c r="L63" s="43">
        <v>795</v>
      </c>
      <c r="M63" s="44">
        <v>1277962</v>
      </c>
      <c r="N63" s="46">
        <f t="shared" si="15"/>
        <v>461188</v>
      </c>
      <c r="O63" s="46">
        <v>1771062</v>
      </c>
      <c r="P63" s="44">
        <f t="shared" si="17"/>
        <v>2796121</v>
      </c>
      <c r="Q63" s="44">
        <f t="shared" si="10"/>
        <v>1072740.5</v>
      </c>
      <c r="R63" s="44">
        <f t="shared" si="11"/>
        <v>3931829</v>
      </c>
      <c r="S63" s="52">
        <v>20.7681</v>
      </c>
      <c r="T63" s="52">
        <f>P63/10000-S63</f>
        <v>258.84399999999999</v>
      </c>
      <c r="U63" s="43"/>
      <c r="V63" s="43">
        <f>V$34+(T63-T$34)*10000/(3298.592+100)</f>
        <v>771.48677437838774</v>
      </c>
    </row>
    <row r="64" spans="1:22" ht="15" customHeight="1" x14ac:dyDescent="0.15">
      <c r="A64" s="20"/>
      <c r="B64" s="20"/>
      <c r="C64" s="21"/>
      <c r="D64" s="7"/>
      <c r="E64" s="7"/>
      <c r="F64" s="22"/>
      <c r="G64" s="23"/>
      <c r="H64" s="24"/>
      <c r="I64" s="36"/>
      <c r="J64" s="8"/>
      <c r="K64" s="37"/>
      <c r="L64" s="37"/>
      <c r="M64" s="38"/>
      <c r="N64" s="39"/>
      <c r="O64" s="39"/>
      <c r="P64" s="40"/>
      <c r="Q64" s="40"/>
      <c r="R64" s="40"/>
      <c r="S64" s="50"/>
      <c r="T64" s="37"/>
      <c r="U64" s="37"/>
      <c r="V64" s="8"/>
    </row>
    <row r="65" spans="1:22" ht="15" customHeight="1" x14ac:dyDescent="0.15">
      <c r="A65" s="20">
        <v>40969</v>
      </c>
      <c r="B65" s="20" t="s">
        <v>39</v>
      </c>
      <c r="C65" s="21">
        <v>61965</v>
      </c>
      <c r="D65" s="7">
        <v>17993</v>
      </c>
      <c r="E65" s="7">
        <v>81370</v>
      </c>
      <c r="F65" s="22">
        <v>4131.7</v>
      </c>
      <c r="G65" s="23">
        <v>2686.3</v>
      </c>
      <c r="H65" s="24"/>
      <c r="I65" s="36"/>
      <c r="J65" s="8">
        <f t="shared" ref="J65:J128" si="18">E65-D65</f>
        <v>63377</v>
      </c>
      <c r="K65" s="37">
        <f t="shared" ref="K65:K128" si="19">J65-C65-L65</f>
        <v>617</v>
      </c>
      <c r="L65" s="37">
        <v>795</v>
      </c>
      <c r="M65" s="38">
        <f>C65</f>
        <v>61965</v>
      </c>
      <c r="N65" s="39">
        <f>D65</f>
        <v>17993</v>
      </c>
      <c r="O65" s="39">
        <f>E65</f>
        <v>81370</v>
      </c>
      <c r="P65" s="40">
        <f>P$63+M65</f>
        <v>2858086</v>
      </c>
      <c r="Q65" s="40">
        <f>Q$63+N65</f>
        <v>1090733.5</v>
      </c>
      <c r="R65" s="40">
        <f>R$63+O65</f>
        <v>4013199</v>
      </c>
      <c r="S65" s="50"/>
      <c r="T65" s="37"/>
      <c r="U65" s="37"/>
      <c r="V65" s="8"/>
    </row>
    <row r="66" spans="1:22" ht="15" customHeight="1" x14ac:dyDescent="0.15">
      <c r="A66" s="20">
        <v>40970</v>
      </c>
      <c r="B66" s="20" t="s">
        <v>1</v>
      </c>
      <c r="C66" s="21">
        <v>58720</v>
      </c>
      <c r="D66" s="7">
        <v>17677</v>
      </c>
      <c r="E66" s="7">
        <v>77869</v>
      </c>
      <c r="F66" s="22">
        <v>3936.2</v>
      </c>
      <c r="G66" s="23">
        <v>2590.3000000000002</v>
      </c>
      <c r="H66" s="24"/>
      <c r="I66" s="36"/>
      <c r="J66" s="8">
        <f t="shared" si="18"/>
        <v>60192</v>
      </c>
      <c r="K66" s="37">
        <f t="shared" si="19"/>
        <v>676</v>
      </c>
      <c r="L66" s="37">
        <v>796</v>
      </c>
      <c r="M66" s="38">
        <f t="shared" ref="M66:M94" si="20">M65+C66</f>
        <v>120685</v>
      </c>
      <c r="N66" s="39">
        <f t="shared" ref="N66:N94" si="21">D66+N65</f>
        <v>35670</v>
      </c>
      <c r="O66" s="39">
        <f t="shared" ref="O66:O94" si="22">O65+E66</f>
        <v>159239</v>
      </c>
      <c r="P66" s="40">
        <f t="shared" ref="P66:P95" si="23">P$63+M66</f>
        <v>2916806</v>
      </c>
      <c r="Q66" s="40">
        <f t="shared" ref="Q66:Q95" si="24">Q$63+N66</f>
        <v>1108410.5</v>
      </c>
      <c r="R66" s="40">
        <f t="shared" ref="R66:R95" si="25">R$63+O66</f>
        <v>4091068</v>
      </c>
      <c r="S66" s="50"/>
      <c r="T66" s="37"/>
      <c r="U66" s="37"/>
      <c r="V66" s="8"/>
    </row>
    <row r="67" spans="1:22" ht="15" customHeight="1" x14ac:dyDescent="0.15">
      <c r="A67" s="20">
        <v>40971</v>
      </c>
      <c r="B67" s="20" t="s">
        <v>34</v>
      </c>
      <c r="C67" s="21">
        <v>60588</v>
      </c>
      <c r="D67" s="7">
        <v>19858</v>
      </c>
      <c r="E67" s="7">
        <v>81978</v>
      </c>
      <c r="F67" s="22">
        <v>4240</v>
      </c>
      <c r="G67" s="23">
        <v>2576</v>
      </c>
      <c r="H67" s="24"/>
      <c r="I67" s="36"/>
      <c r="J67" s="8">
        <f t="shared" si="18"/>
        <v>62120</v>
      </c>
      <c r="K67" s="37">
        <f t="shared" si="19"/>
        <v>737</v>
      </c>
      <c r="L67" s="37">
        <v>795</v>
      </c>
      <c r="M67" s="38">
        <f t="shared" si="20"/>
        <v>181273</v>
      </c>
      <c r="N67" s="39">
        <f t="shared" si="21"/>
        <v>55528</v>
      </c>
      <c r="O67" s="39">
        <f t="shared" si="22"/>
        <v>241217</v>
      </c>
      <c r="P67" s="40">
        <f t="shared" si="23"/>
        <v>2977394</v>
      </c>
      <c r="Q67" s="40">
        <f t="shared" si="24"/>
        <v>1128268.5</v>
      </c>
      <c r="R67" s="40">
        <f t="shared" si="25"/>
        <v>4173046</v>
      </c>
      <c r="S67" s="50"/>
      <c r="T67" s="37"/>
      <c r="U67" s="37"/>
      <c r="V67" s="8"/>
    </row>
    <row r="68" spans="1:22" ht="15" customHeight="1" x14ac:dyDescent="0.15">
      <c r="A68" s="20">
        <v>40972</v>
      </c>
      <c r="B68" s="20" t="s">
        <v>35</v>
      </c>
      <c r="C68" s="21">
        <v>63630</v>
      </c>
      <c r="D68" s="7">
        <v>19959</v>
      </c>
      <c r="E68" s="7">
        <v>84910</v>
      </c>
      <c r="F68" s="22">
        <v>4358</v>
      </c>
      <c r="G68" s="23">
        <v>2755.6</v>
      </c>
      <c r="H68" s="24"/>
      <c r="I68" s="36"/>
      <c r="J68" s="8">
        <f t="shared" si="18"/>
        <v>64951</v>
      </c>
      <c r="K68" s="37">
        <f t="shared" si="19"/>
        <v>526</v>
      </c>
      <c r="L68" s="37">
        <v>795</v>
      </c>
      <c r="M68" s="38">
        <f t="shared" si="20"/>
        <v>244903</v>
      </c>
      <c r="N68" s="39">
        <f t="shared" si="21"/>
        <v>75487</v>
      </c>
      <c r="O68" s="39">
        <f t="shared" si="22"/>
        <v>326127</v>
      </c>
      <c r="P68" s="40">
        <f t="shared" si="23"/>
        <v>3041024</v>
      </c>
      <c r="Q68" s="40">
        <f t="shared" si="24"/>
        <v>1148227.5</v>
      </c>
      <c r="R68" s="40">
        <f t="shared" si="25"/>
        <v>4257956</v>
      </c>
      <c r="S68" s="50"/>
      <c r="T68" s="37"/>
      <c r="U68" s="37"/>
      <c r="V68" s="8"/>
    </row>
    <row r="69" spans="1:22" ht="15" customHeight="1" x14ac:dyDescent="0.15">
      <c r="A69" s="14">
        <v>40973</v>
      </c>
      <c r="B69" s="14" t="s">
        <v>36</v>
      </c>
      <c r="C69" s="15">
        <v>63921</v>
      </c>
      <c r="D69" s="16">
        <v>19622</v>
      </c>
      <c r="E69" s="16">
        <v>85730</v>
      </c>
      <c r="F69" s="17">
        <v>4409.8</v>
      </c>
      <c r="G69" s="18">
        <v>2794.3</v>
      </c>
      <c r="H69" s="19"/>
      <c r="I69" s="19"/>
      <c r="J69" s="32">
        <f t="shared" si="18"/>
        <v>66108</v>
      </c>
      <c r="K69" s="33">
        <f t="shared" si="19"/>
        <v>1392</v>
      </c>
      <c r="L69" s="33">
        <v>795</v>
      </c>
      <c r="M69" s="34">
        <f t="shared" si="20"/>
        <v>308824</v>
      </c>
      <c r="N69" s="35">
        <f t="shared" si="21"/>
        <v>95109</v>
      </c>
      <c r="O69" s="35">
        <f t="shared" si="22"/>
        <v>411857</v>
      </c>
      <c r="P69" s="34">
        <f t="shared" si="23"/>
        <v>3104945</v>
      </c>
      <c r="Q69" s="34">
        <f t="shared" si="24"/>
        <v>1167849.5</v>
      </c>
      <c r="R69" s="34">
        <f t="shared" si="25"/>
        <v>4343686</v>
      </c>
      <c r="S69" s="49"/>
      <c r="T69" s="32"/>
      <c r="U69" s="32"/>
      <c r="V69" s="32"/>
    </row>
    <row r="70" spans="1:22" ht="15" customHeight="1" x14ac:dyDescent="0.15">
      <c r="A70" s="20">
        <v>40974</v>
      </c>
      <c r="B70" s="20" t="s">
        <v>37</v>
      </c>
      <c r="C70" s="21">
        <v>67906</v>
      </c>
      <c r="D70" s="7">
        <v>19908</v>
      </c>
      <c r="E70" s="7">
        <v>89780</v>
      </c>
      <c r="F70" s="22">
        <v>4640</v>
      </c>
      <c r="G70" s="23">
        <v>2850.5</v>
      </c>
      <c r="H70" s="24"/>
      <c r="I70" s="36"/>
      <c r="J70" s="8">
        <f t="shared" si="18"/>
        <v>69872</v>
      </c>
      <c r="K70" s="37">
        <f t="shared" si="19"/>
        <v>1171</v>
      </c>
      <c r="L70" s="37">
        <v>795</v>
      </c>
      <c r="M70" s="38">
        <f t="shared" si="20"/>
        <v>376730</v>
      </c>
      <c r="N70" s="39">
        <f t="shared" si="21"/>
        <v>115017</v>
      </c>
      <c r="O70" s="39">
        <f t="shared" si="22"/>
        <v>501637</v>
      </c>
      <c r="P70" s="40">
        <f t="shared" si="23"/>
        <v>3172851</v>
      </c>
      <c r="Q70" s="40">
        <f t="shared" si="24"/>
        <v>1187757.5</v>
      </c>
      <c r="R70" s="40">
        <f t="shared" si="25"/>
        <v>4433466</v>
      </c>
      <c r="S70" s="50">
        <v>23.7681</v>
      </c>
      <c r="T70" s="50">
        <f>P70/10000-S70</f>
        <v>293.517</v>
      </c>
      <c r="U70" s="37"/>
      <c r="V70" s="37">
        <f>V$34+(T70-T$34)*10000/(3298.592+100)</f>
        <v>873.50843511318612</v>
      </c>
    </row>
    <row r="71" spans="1:22" ht="15" customHeight="1" x14ac:dyDescent="0.15">
      <c r="A71" s="20">
        <v>40975</v>
      </c>
      <c r="B71" s="20" t="s">
        <v>38</v>
      </c>
      <c r="C71" s="21">
        <v>65367</v>
      </c>
      <c r="D71" s="7">
        <v>21296</v>
      </c>
      <c r="E71" s="7">
        <v>89087</v>
      </c>
      <c r="F71" s="22">
        <v>4517</v>
      </c>
      <c r="G71" s="23">
        <v>2890</v>
      </c>
      <c r="H71" s="24"/>
      <c r="I71" s="36"/>
      <c r="J71" s="8">
        <f t="shared" si="18"/>
        <v>67791</v>
      </c>
      <c r="K71" s="37">
        <f t="shared" si="19"/>
        <v>1628</v>
      </c>
      <c r="L71" s="37">
        <v>796</v>
      </c>
      <c r="M71" s="38">
        <f t="shared" si="20"/>
        <v>442097</v>
      </c>
      <c r="N71" s="39">
        <f t="shared" si="21"/>
        <v>136313</v>
      </c>
      <c r="O71" s="39">
        <f t="shared" si="22"/>
        <v>590724</v>
      </c>
      <c r="P71" s="40">
        <f t="shared" si="23"/>
        <v>3238218</v>
      </c>
      <c r="Q71" s="40">
        <f t="shared" si="24"/>
        <v>1209053.5</v>
      </c>
      <c r="R71" s="40">
        <f t="shared" si="25"/>
        <v>4522553</v>
      </c>
      <c r="S71" s="50"/>
      <c r="T71" s="37"/>
      <c r="U71" s="37"/>
      <c r="V71" s="8"/>
    </row>
    <row r="72" spans="1:22" ht="15" customHeight="1" x14ac:dyDescent="0.15">
      <c r="A72" s="20">
        <v>40976</v>
      </c>
      <c r="B72" s="20" t="s">
        <v>39</v>
      </c>
      <c r="C72" s="21">
        <v>65979</v>
      </c>
      <c r="D72" s="7">
        <v>20828</v>
      </c>
      <c r="E72" s="7">
        <v>88833</v>
      </c>
      <c r="F72" s="22">
        <v>4541</v>
      </c>
      <c r="G72" s="23">
        <v>2917</v>
      </c>
      <c r="H72" s="24"/>
      <c r="I72" s="36"/>
      <c r="J72" s="8">
        <f t="shared" si="18"/>
        <v>68005</v>
      </c>
      <c r="K72" s="37">
        <f t="shared" si="19"/>
        <v>1231</v>
      </c>
      <c r="L72" s="37">
        <v>795</v>
      </c>
      <c r="M72" s="38">
        <f t="shared" si="20"/>
        <v>508076</v>
      </c>
      <c r="N72" s="39">
        <f t="shared" si="21"/>
        <v>157141</v>
      </c>
      <c r="O72" s="39">
        <f t="shared" si="22"/>
        <v>679557</v>
      </c>
      <c r="P72" s="40">
        <f t="shared" si="23"/>
        <v>3304197</v>
      </c>
      <c r="Q72" s="40">
        <f t="shared" si="24"/>
        <v>1229881.5</v>
      </c>
      <c r="R72" s="40">
        <f t="shared" si="25"/>
        <v>4611386</v>
      </c>
      <c r="S72" s="50"/>
      <c r="T72" s="37"/>
      <c r="U72" s="37"/>
      <c r="V72" s="8"/>
    </row>
    <row r="73" spans="1:22" ht="15" customHeight="1" x14ac:dyDescent="0.15">
      <c r="A73" s="20">
        <v>40977</v>
      </c>
      <c r="B73" s="20" t="s">
        <v>1</v>
      </c>
      <c r="C73" s="21">
        <v>60762</v>
      </c>
      <c r="D73" s="7">
        <v>20729</v>
      </c>
      <c r="E73" s="7">
        <v>83270</v>
      </c>
      <c r="F73" s="22">
        <v>4231</v>
      </c>
      <c r="G73" s="23">
        <v>2803.6</v>
      </c>
      <c r="H73" s="24"/>
      <c r="I73" s="36"/>
      <c r="J73" s="8">
        <f t="shared" si="18"/>
        <v>62541</v>
      </c>
      <c r="K73" s="37">
        <f t="shared" si="19"/>
        <v>984</v>
      </c>
      <c r="L73" s="37">
        <v>795</v>
      </c>
      <c r="M73" s="38">
        <f t="shared" si="20"/>
        <v>568838</v>
      </c>
      <c r="N73" s="39">
        <f t="shared" si="21"/>
        <v>177870</v>
      </c>
      <c r="O73" s="39">
        <f t="shared" si="22"/>
        <v>762827</v>
      </c>
      <c r="P73" s="40">
        <f t="shared" si="23"/>
        <v>3364959</v>
      </c>
      <c r="Q73" s="40">
        <f t="shared" si="24"/>
        <v>1250610.5</v>
      </c>
      <c r="R73" s="40">
        <f t="shared" si="25"/>
        <v>4694656</v>
      </c>
      <c r="S73" s="50"/>
      <c r="T73" s="37"/>
      <c r="U73" s="37"/>
      <c r="V73" s="8"/>
    </row>
    <row r="74" spans="1:22" ht="15" customHeight="1" x14ac:dyDescent="0.15">
      <c r="A74" s="20">
        <v>40978</v>
      </c>
      <c r="B74" s="20" t="s">
        <v>34</v>
      </c>
      <c r="C74" s="21">
        <v>63329</v>
      </c>
      <c r="D74" s="7">
        <v>20918</v>
      </c>
      <c r="E74" s="7">
        <v>86031</v>
      </c>
      <c r="F74" s="22">
        <v>4456</v>
      </c>
      <c r="G74" s="23">
        <v>2782</v>
      </c>
      <c r="H74" s="24"/>
      <c r="I74" s="36"/>
      <c r="J74" s="8">
        <f t="shared" si="18"/>
        <v>65113</v>
      </c>
      <c r="K74" s="37">
        <f t="shared" si="19"/>
        <v>989</v>
      </c>
      <c r="L74" s="37">
        <v>795</v>
      </c>
      <c r="M74" s="38">
        <f t="shared" si="20"/>
        <v>632167</v>
      </c>
      <c r="N74" s="39">
        <f t="shared" si="21"/>
        <v>198788</v>
      </c>
      <c r="O74" s="39">
        <f t="shared" si="22"/>
        <v>848858</v>
      </c>
      <c r="P74" s="40">
        <f t="shared" si="23"/>
        <v>3428288</v>
      </c>
      <c r="Q74" s="40">
        <f t="shared" si="24"/>
        <v>1271528.5</v>
      </c>
      <c r="R74" s="40">
        <f t="shared" si="25"/>
        <v>4780687</v>
      </c>
      <c r="S74" s="50">
        <v>25.2822</v>
      </c>
      <c r="T74" s="50">
        <f>P74/10000-S74</f>
        <v>317.54660000000001</v>
      </c>
      <c r="U74" s="37"/>
      <c r="V74" s="51">
        <f>V$34+(T74-T$34)*10000/(3298.592+100)</f>
        <v>944.21300924270815</v>
      </c>
    </row>
    <row r="75" spans="1:22" ht="15" customHeight="1" x14ac:dyDescent="0.15">
      <c r="A75" s="20">
        <v>40979</v>
      </c>
      <c r="B75" s="20" t="s">
        <v>35</v>
      </c>
      <c r="C75" s="21">
        <v>62413</v>
      </c>
      <c r="D75" s="7">
        <v>21438</v>
      </c>
      <c r="E75" s="7">
        <v>85894</v>
      </c>
      <c r="F75" s="22">
        <v>4337</v>
      </c>
      <c r="G75" s="23">
        <v>2881</v>
      </c>
      <c r="H75" s="24"/>
      <c r="I75" s="36"/>
      <c r="J75" s="8">
        <f t="shared" si="18"/>
        <v>64456</v>
      </c>
      <c r="K75" s="37">
        <f t="shared" si="19"/>
        <v>1248</v>
      </c>
      <c r="L75" s="37">
        <v>795</v>
      </c>
      <c r="M75" s="38">
        <f t="shared" si="20"/>
        <v>694580</v>
      </c>
      <c r="N75" s="39">
        <f t="shared" si="21"/>
        <v>220226</v>
      </c>
      <c r="O75" s="39">
        <f t="shared" si="22"/>
        <v>934752</v>
      </c>
      <c r="P75" s="40">
        <f t="shared" si="23"/>
        <v>3490701</v>
      </c>
      <c r="Q75" s="40">
        <f t="shared" si="24"/>
        <v>1292966.5</v>
      </c>
      <c r="R75" s="40">
        <f t="shared" si="25"/>
        <v>4866581</v>
      </c>
      <c r="S75" s="50"/>
      <c r="T75" s="37"/>
      <c r="U75" s="37"/>
      <c r="V75" s="8"/>
    </row>
    <row r="76" spans="1:22" ht="15" customHeight="1" x14ac:dyDescent="0.15">
      <c r="A76" s="14">
        <v>40980</v>
      </c>
      <c r="B76" s="14" t="s">
        <v>36</v>
      </c>
      <c r="C76" s="15">
        <v>62207</v>
      </c>
      <c r="D76" s="16">
        <v>20212</v>
      </c>
      <c r="E76" s="16">
        <v>85221</v>
      </c>
      <c r="F76" s="17">
        <v>4337.6000000000004</v>
      </c>
      <c r="G76" s="18">
        <v>2822.4</v>
      </c>
      <c r="H76" s="19"/>
      <c r="I76" s="19"/>
      <c r="J76" s="32">
        <f t="shared" si="18"/>
        <v>65009</v>
      </c>
      <c r="K76" s="33">
        <f t="shared" si="19"/>
        <v>2007</v>
      </c>
      <c r="L76" s="33">
        <v>795</v>
      </c>
      <c r="M76" s="34">
        <f t="shared" si="20"/>
        <v>756787</v>
      </c>
      <c r="N76" s="35">
        <f t="shared" si="21"/>
        <v>240438</v>
      </c>
      <c r="O76" s="35">
        <f t="shared" si="22"/>
        <v>1019973</v>
      </c>
      <c r="P76" s="34">
        <f t="shared" si="23"/>
        <v>3552908</v>
      </c>
      <c r="Q76" s="34">
        <f t="shared" si="24"/>
        <v>1313178.5</v>
      </c>
      <c r="R76" s="34">
        <f t="shared" si="25"/>
        <v>4951802</v>
      </c>
      <c r="S76" s="49"/>
      <c r="T76" s="32"/>
      <c r="U76" s="32"/>
      <c r="V76" s="32"/>
    </row>
    <row r="77" spans="1:22" ht="15" customHeight="1" x14ac:dyDescent="0.15">
      <c r="A77" s="20">
        <v>40981</v>
      </c>
      <c r="B77" s="20" t="s">
        <v>37</v>
      </c>
      <c r="C77" s="21">
        <v>60881</v>
      </c>
      <c r="D77" s="7">
        <v>21579</v>
      </c>
      <c r="E77" s="7">
        <v>85438</v>
      </c>
      <c r="F77" s="22">
        <v>4414</v>
      </c>
      <c r="G77" s="23">
        <v>2775</v>
      </c>
      <c r="H77" s="24"/>
      <c r="I77" s="36"/>
      <c r="J77" s="8">
        <f t="shared" si="18"/>
        <v>63859</v>
      </c>
      <c r="K77" s="37">
        <f t="shared" si="19"/>
        <v>2183</v>
      </c>
      <c r="L77" s="37">
        <v>795</v>
      </c>
      <c r="M77" s="38">
        <f t="shared" si="20"/>
        <v>817668</v>
      </c>
      <c r="N77" s="39">
        <f t="shared" si="21"/>
        <v>262017</v>
      </c>
      <c r="O77" s="39">
        <f t="shared" si="22"/>
        <v>1105411</v>
      </c>
      <c r="P77" s="40">
        <f t="shared" si="23"/>
        <v>3613789</v>
      </c>
      <c r="Q77" s="40">
        <f t="shared" si="24"/>
        <v>1334757.5</v>
      </c>
      <c r="R77" s="40">
        <f t="shared" si="25"/>
        <v>5037240</v>
      </c>
      <c r="S77" s="50">
        <v>26.6785</v>
      </c>
      <c r="T77" s="50">
        <f>P77/10000-S77</f>
        <v>334.7004</v>
      </c>
      <c r="U77" s="37"/>
      <c r="V77" s="37">
        <f>V$34+(T77-T$34)*10000/(3298.592+100)</f>
        <v>994.68626404940449</v>
      </c>
    </row>
    <row r="78" spans="1:22" ht="15" customHeight="1" x14ac:dyDescent="0.15">
      <c r="A78" s="20">
        <v>40982</v>
      </c>
      <c r="B78" s="20" t="s">
        <v>38</v>
      </c>
      <c r="C78" s="21">
        <v>60765</v>
      </c>
      <c r="D78" s="7">
        <v>21446</v>
      </c>
      <c r="E78" s="7">
        <v>85134</v>
      </c>
      <c r="F78" s="22">
        <v>4342.6000000000004</v>
      </c>
      <c r="G78" s="23">
        <v>2828.7</v>
      </c>
      <c r="H78" s="24"/>
      <c r="I78" s="36"/>
      <c r="J78" s="8">
        <f t="shared" si="18"/>
        <v>63688</v>
      </c>
      <c r="K78" s="37">
        <f t="shared" si="19"/>
        <v>2128</v>
      </c>
      <c r="L78" s="37">
        <v>795</v>
      </c>
      <c r="M78" s="38">
        <f t="shared" si="20"/>
        <v>878433</v>
      </c>
      <c r="N78" s="39">
        <f t="shared" si="21"/>
        <v>283463</v>
      </c>
      <c r="O78" s="39">
        <f t="shared" si="22"/>
        <v>1190545</v>
      </c>
      <c r="P78" s="40">
        <f t="shared" si="23"/>
        <v>3674554</v>
      </c>
      <c r="Q78" s="40">
        <f t="shared" si="24"/>
        <v>1356203.5</v>
      </c>
      <c r="R78" s="40">
        <f t="shared" si="25"/>
        <v>5122374</v>
      </c>
      <c r="S78" s="50"/>
      <c r="T78" s="37"/>
      <c r="U78" s="37"/>
      <c r="V78" s="8"/>
    </row>
    <row r="79" spans="1:22" ht="15" customHeight="1" x14ac:dyDescent="0.15">
      <c r="A79" s="20">
        <v>40983</v>
      </c>
      <c r="B79" s="20" t="s">
        <v>39</v>
      </c>
      <c r="C79" s="21">
        <v>60310</v>
      </c>
      <c r="D79" s="7">
        <v>21828</v>
      </c>
      <c r="E79" s="7">
        <v>83195</v>
      </c>
      <c r="F79" s="22">
        <v>4249.3</v>
      </c>
      <c r="G79" s="23">
        <v>2832</v>
      </c>
      <c r="H79" s="24"/>
      <c r="I79" s="36"/>
      <c r="J79" s="8">
        <f t="shared" si="18"/>
        <v>61367</v>
      </c>
      <c r="K79" s="37">
        <f t="shared" si="19"/>
        <v>262</v>
      </c>
      <c r="L79" s="37">
        <v>795</v>
      </c>
      <c r="M79" s="38">
        <f t="shared" si="20"/>
        <v>938743</v>
      </c>
      <c r="N79" s="39">
        <f t="shared" si="21"/>
        <v>305291</v>
      </c>
      <c r="O79" s="39">
        <f t="shared" si="22"/>
        <v>1273740</v>
      </c>
      <c r="P79" s="40">
        <f t="shared" si="23"/>
        <v>3734864</v>
      </c>
      <c r="Q79" s="40">
        <f t="shared" si="24"/>
        <v>1378031.5</v>
      </c>
      <c r="R79" s="40">
        <f t="shared" si="25"/>
        <v>5205569</v>
      </c>
      <c r="S79" s="50"/>
      <c r="T79" s="37"/>
      <c r="U79" s="37"/>
      <c r="V79" s="8"/>
    </row>
    <row r="80" spans="1:22" ht="15" customHeight="1" x14ac:dyDescent="0.15">
      <c r="A80" s="20">
        <v>40984</v>
      </c>
      <c r="B80" s="20" t="s">
        <v>1</v>
      </c>
      <c r="C80" s="21">
        <v>56442</v>
      </c>
      <c r="D80" s="7">
        <v>21075</v>
      </c>
      <c r="E80" s="7">
        <v>78976</v>
      </c>
      <c r="F80" s="22">
        <v>3943.4</v>
      </c>
      <c r="G80" s="23">
        <v>2798.3</v>
      </c>
      <c r="H80" s="24"/>
      <c r="I80" s="36"/>
      <c r="J80" s="8">
        <f t="shared" si="18"/>
        <v>57901</v>
      </c>
      <c r="K80" s="37">
        <f t="shared" si="19"/>
        <v>663</v>
      </c>
      <c r="L80" s="37">
        <v>796</v>
      </c>
      <c r="M80" s="38">
        <f t="shared" si="20"/>
        <v>995185</v>
      </c>
      <c r="N80" s="39">
        <f t="shared" si="21"/>
        <v>326366</v>
      </c>
      <c r="O80" s="39">
        <f t="shared" si="22"/>
        <v>1352716</v>
      </c>
      <c r="P80" s="40">
        <f t="shared" si="23"/>
        <v>3791306</v>
      </c>
      <c r="Q80" s="40">
        <f t="shared" si="24"/>
        <v>1399106.5</v>
      </c>
      <c r="R80" s="40">
        <f t="shared" si="25"/>
        <v>5284545</v>
      </c>
      <c r="S80" s="50"/>
      <c r="T80" s="37"/>
      <c r="U80" s="37"/>
      <c r="V80" s="8"/>
    </row>
    <row r="81" spans="1:22" ht="15" customHeight="1" x14ac:dyDescent="0.15">
      <c r="A81" s="20">
        <v>40985</v>
      </c>
      <c r="B81" s="20" t="s">
        <v>34</v>
      </c>
      <c r="C81" s="21">
        <v>58672</v>
      </c>
      <c r="D81" s="7">
        <v>20798</v>
      </c>
      <c r="E81" s="7">
        <v>82777</v>
      </c>
      <c r="F81" s="22">
        <v>4200</v>
      </c>
      <c r="G81" s="23">
        <v>2800</v>
      </c>
      <c r="H81" s="24"/>
      <c r="I81" s="36"/>
      <c r="J81" s="8">
        <f t="shared" si="18"/>
        <v>61979</v>
      </c>
      <c r="K81" s="37">
        <f t="shared" si="19"/>
        <v>2512</v>
      </c>
      <c r="L81" s="37">
        <v>795</v>
      </c>
      <c r="M81" s="38">
        <f t="shared" si="20"/>
        <v>1053857</v>
      </c>
      <c r="N81" s="39">
        <f t="shared" si="21"/>
        <v>347164</v>
      </c>
      <c r="O81" s="39">
        <f t="shared" si="22"/>
        <v>1435493</v>
      </c>
      <c r="P81" s="40">
        <f t="shared" si="23"/>
        <v>3849978</v>
      </c>
      <c r="Q81" s="40">
        <f t="shared" si="24"/>
        <v>1419904.5</v>
      </c>
      <c r="R81" s="40">
        <f t="shared" si="25"/>
        <v>5367322</v>
      </c>
      <c r="S81" s="50"/>
      <c r="T81" s="37"/>
      <c r="U81" s="37"/>
      <c r="V81" s="8"/>
    </row>
    <row r="82" spans="1:22" ht="15" customHeight="1" x14ac:dyDescent="0.15">
      <c r="A82" s="20">
        <v>40986</v>
      </c>
      <c r="B82" s="20" t="s">
        <v>35</v>
      </c>
      <c r="C82" s="21">
        <v>61987</v>
      </c>
      <c r="D82" s="7">
        <v>19498</v>
      </c>
      <c r="E82" s="7">
        <v>83155</v>
      </c>
      <c r="F82" s="22">
        <v>4211</v>
      </c>
      <c r="G82" s="23">
        <v>2820</v>
      </c>
      <c r="H82" s="24">
        <v>1027</v>
      </c>
      <c r="I82" s="36">
        <v>699</v>
      </c>
      <c r="J82" s="8">
        <f t="shared" si="18"/>
        <v>63657</v>
      </c>
      <c r="K82" s="37">
        <f t="shared" si="19"/>
        <v>875</v>
      </c>
      <c r="L82" s="37">
        <v>795</v>
      </c>
      <c r="M82" s="38">
        <f t="shared" si="20"/>
        <v>1115844</v>
      </c>
      <c r="N82" s="39">
        <f t="shared" si="21"/>
        <v>366662</v>
      </c>
      <c r="O82" s="39">
        <f t="shared" si="22"/>
        <v>1518648</v>
      </c>
      <c r="P82" s="40">
        <f t="shared" si="23"/>
        <v>3911965</v>
      </c>
      <c r="Q82" s="40">
        <f t="shared" si="24"/>
        <v>1439402.5</v>
      </c>
      <c r="R82" s="40">
        <f t="shared" si="25"/>
        <v>5450477</v>
      </c>
      <c r="S82" s="50"/>
      <c r="T82" s="37"/>
      <c r="U82" s="37"/>
      <c r="V82" s="8"/>
    </row>
    <row r="83" spans="1:22" ht="15" customHeight="1" x14ac:dyDescent="0.15">
      <c r="A83" s="14">
        <v>40987</v>
      </c>
      <c r="B83" s="14" t="s">
        <v>36</v>
      </c>
      <c r="C83" s="15">
        <v>63546</v>
      </c>
      <c r="D83" s="16">
        <v>20130</v>
      </c>
      <c r="E83" s="16">
        <v>85603</v>
      </c>
      <c r="F83" s="17">
        <v>4355</v>
      </c>
      <c r="G83" s="18">
        <v>2868</v>
      </c>
      <c r="H83" s="19"/>
      <c r="I83" s="19"/>
      <c r="J83" s="32">
        <f t="shared" si="18"/>
        <v>65473</v>
      </c>
      <c r="K83" s="33">
        <f t="shared" si="19"/>
        <v>1131</v>
      </c>
      <c r="L83" s="33">
        <v>796</v>
      </c>
      <c r="M83" s="34">
        <f t="shared" si="20"/>
        <v>1179390</v>
      </c>
      <c r="N83" s="35">
        <f t="shared" si="21"/>
        <v>386792</v>
      </c>
      <c r="O83" s="35">
        <f t="shared" si="22"/>
        <v>1604251</v>
      </c>
      <c r="P83" s="34">
        <f t="shared" si="23"/>
        <v>3975511</v>
      </c>
      <c r="Q83" s="34">
        <f t="shared" si="24"/>
        <v>1459532.5</v>
      </c>
      <c r="R83" s="34">
        <f t="shared" si="25"/>
        <v>5536080</v>
      </c>
      <c r="S83" s="49"/>
      <c r="T83" s="32"/>
      <c r="U83" s="32"/>
      <c r="V83" s="32"/>
    </row>
    <row r="84" spans="1:22" ht="15" customHeight="1" x14ac:dyDescent="0.15">
      <c r="A84" s="20">
        <v>40988</v>
      </c>
      <c r="B84" s="20" t="s">
        <v>37</v>
      </c>
      <c r="C84" s="21">
        <v>61811</v>
      </c>
      <c r="D84" s="7">
        <v>22052</v>
      </c>
      <c r="E84" s="7">
        <v>85915</v>
      </c>
      <c r="F84" s="22">
        <v>4362</v>
      </c>
      <c r="G84" s="23">
        <v>2847</v>
      </c>
      <c r="H84" s="24"/>
      <c r="I84" s="36"/>
      <c r="J84" s="8">
        <f t="shared" si="18"/>
        <v>63863</v>
      </c>
      <c r="K84" s="37">
        <f t="shared" si="19"/>
        <v>1257</v>
      </c>
      <c r="L84" s="37">
        <v>795</v>
      </c>
      <c r="M84" s="38">
        <f t="shared" si="20"/>
        <v>1241201</v>
      </c>
      <c r="N84" s="39">
        <f t="shared" si="21"/>
        <v>408844</v>
      </c>
      <c r="O84" s="39">
        <f t="shared" si="22"/>
        <v>1690166</v>
      </c>
      <c r="P84" s="40">
        <f t="shared" si="23"/>
        <v>4037322</v>
      </c>
      <c r="Q84" s="40">
        <f t="shared" si="24"/>
        <v>1481584.5</v>
      </c>
      <c r="R84" s="40">
        <f t="shared" si="25"/>
        <v>5621995</v>
      </c>
      <c r="S84" s="50">
        <v>29.585799999999999</v>
      </c>
      <c r="T84" s="50">
        <f>P84/10000-S84</f>
        <v>374.14639999999997</v>
      </c>
      <c r="U84" s="37"/>
      <c r="V84" s="51">
        <f>V$34+(T84-T$34)*10000/(3298.592+100)</f>
        <v>1110.7519759677516</v>
      </c>
    </row>
    <row r="85" spans="1:22" ht="15" customHeight="1" x14ac:dyDescent="0.15">
      <c r="A85" s="20">
        <v>40989</v>
      </c>
      <c r="B85" s="20" t="s">
        <v>38</v>
      </c>
      <c r="C85" s="21">
        <v>62260</v>
      </c>
      <c r="D85" s="7">
        <v>21910</v>
      </c>
      <c r="E85" s="7">
        <v>86065</v>
      </c>
      <c r="F85" s="22">
        <v>4343</v>
      </c>
      <c r="G85" s="23">
        <v>2901</v>
      </c>
      <c r="H85" s="24"/>
      <c r="I85" s="36"/>
      <c r="J85" s="8">
        <f t="shared" si="18"/>
        <v>64155</v>
      </c>
      <c r="K85" s="37">
        <f t="shared" si="19"/>
        <v>1100</v>
      </c>
      <c r="L85" s="37">
        <v>795</v>
      </c>
      <c r="M85" s="38">
        <f t="shared" si="20"/>
        <v>1303461</v>
      </c>
      <c r="N85" s="39">
        <f t="shared" si="21"/>
        <v>430754</v>
      </c>
      <c r="O85" s="39">
        <f t="shared" si="22"/>
        <v>1776231</v>
      </c>
      <c r="P85" s="40">
        <f t="shared" si="23"/>
        <v>4099582</v>
      </c>
      <c r="Q85" s="40">
        <f t="shared" si="24"/>
        <v>1503494.5</v>
      </c>
      <c r="R85" s="40">
        <f t="shared" si="25"/>
        <v>5708060</v>
      </c>
      <c r="S85" s="50"/>
      <c r="T85" s="37"/>
      <c r="U85" s="37"/>
      <c r="V85" s="8"/>
    </row>
    <row r="86" spans="1:22" ht="15" customHeight="1" x14ac:dyDescent="0.15">
      <c r="A86" s="20">
        <v>40990</v>
      </c>
      <c r="B86" s="20" t="s">
        <v>39</v>
      </c>
      <c r="C86" s="21">
        <v>58923</v>
      </c>
      <c r="D86" s="7">
        <v>23714</v>
      </c>
      <c r="E86" s="7">
        <v>84857</v>
      </c>
      <c r="F86" s="22">
        <v>4293</v>
      </c>
      <c r="G86" s="23">
        <v>2922</v>
      </c>
      <c r="H86" s="24"/>
      <c r="I86" s="36"/>
      <c r="J86" s="8">
        <f t="shared" si="18"/>
        <v>61143</v>
      </c>
      <c r="K86" s="37">
        <f t="shared" si="19"/>
        <v>1425</v>
      </c>
      <c r="L86" s="37">
        <v>795</v>
      </c>
      <c r="M86" s="38">
        <f t="shared" si="20"/>
        <v>1362384</v>
      </c>
      <c r="N86" s="39">
        <f t="shared" si="21"/>
        <v>454468</v>
      </c>
      <c r="O86" s="39">
        <f t="shared" si="22"/>
        <v>1861088</v>
      </c>
      <c r="P86" s="40">
        <f t="shared" si="23"/>
        <v>4158505</v>
      </c>
      <c r="Q86" s="40">
        <f t="shared" si="24"/>
        <v>1527208.5</v>
      </c>
      <c r="R86" s="40">
        <f t="shared" si="25"/>
        <v>5792917</v>
      </c>
      <c r="S86" s="50"/>
      <c r="T86" s="37"/>
      <c r="U86" s="37"/>
      <c r="V86" s="8"/>
    </row>
    <row r="87" spans="1:22" ht="15" customHeight="1" x14ac:dyDescent="0.15">
      <c r="A87" s="20">
        <v>40991</v>
      </c>
      <c r="B87" s="20" t="s">
        <v>1</v>
      </c>
      <c r="C87" s="21">
        <v>56295</v>
      </c>
      <c r="D87" s="7">
        <v>22855</v>
      </c>
      <c r="E87" s="7">
        <v>80966</v>
      </c>
      <c r="F87" s="22">
        <v>4029</v>
      </c>
      <c r="G87" s="23">
        <v>2851</v>
      </c>
      <c r="H87" s="24"/>
      <c r="I87" s="36"/>
      <c r="J87" s="8">
        <f t="shared" si="18"/>
        <v>58111</v>
      </c>
      <c r="K87" s="37">
        <f t="shared" si="19"/>
        <v>1021</v>
      </c>
      <c r="L87" s="37">
        <v>795</v>
      </c>
      <c r="M87" s="38">
        <f t="shared" si="20"/>
        <v>1418679</v>
      </c>
      <c r="N87" s="39">
        <f t="shared" si="21"/>
        <v>477323</v>
      </c>
      <c r="O87" s="39">
        <f t="shared" si="22"/>
        <v>1942054</v>
      </c>
      <c r="P87" s="40">
        <f t="shared" si="23"/>
        <v>4214800</v>
      </c>
      <c r="Q87" s="40">
        <f t="shared" si="24"/>
        <v>1550063.5</v>
      </c>
      <c r="R87" s="40">
        <f t="shared" si="25"/>
        <v>5873883</v>
      </c>
      <c r="S87" s="50"/>
      <c r="T87" s="37"/>
      <c r="U87" s="37"/>
      <c r="V87" s="8"/>
    </row>
    <row r="88" spans="1:22" ht="15" customHeight="1" x14ac:dyDescent="0.15">
      <c r="A88" s="20">
        <v>40992</v>
      </c>
      <c r="B88" s="20" t="s">
        <v>34</v>
      </c>
      <c r="C88" s="21">
        <v>58176</v>
      </c>
      <c r="D88" s="7">
        <v>23249</v>
      </c>
      <c r="E88" s="7">
        <v>84029</v>
      </c>
      <c r="F88" s="22">
        <v>4292</v>
      </c>
      <c r="G88" s="23">
        <v>2758</v>
      </c>
      <c r="H88" s="24"/>
      <c r="I88" s="36"/>
      <c r="J88" s="8">
        <f t="shared" si="18"/>
        <v>60780</v>
      </c>
      <c r="K88" s="37">
        <f t="shared" si="19"/>
        <v>1809</v>
      </c>
      <c r="L88" s="37">
        <v>795</v>
      </c>
      <c r="M88" s="38">
        <f t="shared" si="20"/>
        <v>1476855</v>
      </c>
      <c r="N88" s="39">
        <f t="shared" si="21"/>
        <v>500572</v>
      </c>
      <c r="O88" s="39">
        <f t="shared" si="22"/>
        <v>2026083</v>
      </c>
      <c r="P88" s="40">
        <f t="shared" si="23"/>
        <v>4272976</v>
      </c>
      <c r="Q88" s="40">
        <f t="shared" si="24"/>
        <v>1573312.5</v>
      </c>
      <c r="R88" s="40">
        <f t="shared" si="25"/>
        <v>5957912</v>
      </c>
      <c r="S88" s="50"/>
      <c r="T88" s="37"/>
      <c r="U88" s="37"/>
      <c r="V88" s="8"/>
    </row>
    <row r="89" spans="1:22" ht="15" customHeight="1" x14ac:dyDescent="0.15">
      <c r="A89" s="20">
        <v>40993</v>
      </c>
      <c r="B89" s="20" t="s">
        <v>35</v>
      </c>
      <c r="C89" s="21">
        <v>59144</v>
      </c>
      <c r="D89" s="7">
        <v>24100</v>
      </c>
      <c r="E89" s="7">
        <v>85051</v>
      </c>
      <c r="F89" s="22">
        <v>4309</v>
      </c>
      <c r="G89" s="23">
        <v>2849</v>
      </c>
      <c r="H89" s="24"/>
      <c r="I89" s="36"/>
      <c r="J89" s="8">
        <f t="shared" si="18"/>
        <v>60951</v>
      </c>
      <c r="K89" s="37">
        <f t="shared" si="19"/>
        <v>1012</v>
      </c>
      <c r="L89" s="37">
        <v>795</v>
      </c>
      <c r="M89" s="38">
        <f t="shared" si="20"/>
        <v>1535999</v>
      </c>
      <c r="N89" s="39">
        <f t="shared" si="21"/>
        <v>524672</v>
      </c>
      <c r="O89" s="39">
        <f t="shared" si="22"/>
        <v>2111134</v>
      </c>
      <c r="P89" s="40">
        <f t="shared" si="23"/>
        <v>4332120</v>
      </c>
      <c r="Q89" s="40">
        <f t="shared" si="24"/>
        <v>1597412.5</v>
      </c>
      <c r="R89" s="40">
        <f t="shared" si="25"/>
        <v>6042963</v>
      </c>
      <c r="S89" s="50"/>
      <c r="T89" s="37"/>
      <c r="U89" s="37"/>
      <c r="V89" s="8"/>
    </row>
    <row r="90" spans="1:22" ht="15" customHeight="1" x14ac:dyDescent="0.15">
      <c r="A90" s="14">
        <v>40994</v>
      </c>
      <c r="B90" s="14" t="s">
        <v>36</v>
      </c>
      <c r="C90" s="15">
        <v>59812</v>
      </c>
      <c r="D90" s="16">
        <v>23252</v>
      </c>
      <c r="E90" s="16">
        <v>84984</v>
      </c>
      <c r="F90" s="17">
        <v>4274</v>
      </c>
      <c r="G90" s="18">
        <v>2867</v>
      </c>
      <c r="H90" s="19"/>
      <c r="I90" s="19"/>
      <c r="J90" s="32">
        <f t="shared" si="18"/>
        <v>61732</v>
      </c>
      <c r="K90" s="33">
        <f t="shared" si="19"/>
        <v>1125</v>
      </c>
      <c r="L90" s="33">
        <v>795</v>
      </c>
      <c r="M90" s="34">
        <f t="shared" si="20"/>
        <v>1595811</v>
      </c>
      <c r="N90" s="35">
        <f t="shared" si="21"/>
        <v>547924</v>
      </c>
      <c r="O90" s="35">
        <f t="shared" si="22"/>
        <v>2196118</v>
      </c>
      <c r="P90" s="34">
        <f t="shared" si="23"/>
        <v>4391932</v>
      </c>
      <c r="Q90" s="34">
        <f t="shared" si="24"/>
        <v>1620664.5</v>
      </c>
      <c r="R90" s="34">
        <f t="shared" si="25"/>
        <v>6127947</v>
      </c>
      <c r="S90" s="49"/>
      <c r="T90" s="32"/>
      <c r="U90" s="32"/>
      <c r="V90" s="32"/>
    </row>
    <row r="91" spans="1:22" ht="15" customHeight="1" x14ac:dyDescent="0.15">
      <c r="A91" s="20">
        <v>40995</v>
      </c>
      <c r="B91" s="20" t="s">
        <v>37</v>
      </c>
      <c r="C91" s="21">
        <v>59653</v>
      </c>
      <c r="D91" s="7">
        <v>23259</v>
      </c>
      <c r="E91" s="7">
        <v>85048</v>
      </c>
      <c r="F91" s="22">
        <v>4274</v>
      </c>
      <c r="G91" s="23">
        <v>2884</v>
      </c>
      <c r="H91" s="24"/>
      <c r="I91" s="36"/>
      <c r="J91" s="8">
        <f t="shared" si="18"/>
        <v>61789</v>
      </c>
      <c r="K91" s="37">
        <f t="shared" si="19"/>
        <v>1341</v>
      </c>
      <c r="L91" s="37">
        <v>795</v>
      </c>
      <c r="M91" s="38">
        <f t="shared" si="20"/>
        <v>1655464</v>
      </c>
      <c r="N91" s="39">
        <f t="shared" si="21"/>
        <v>571183</v>
      </c>
      <c r="O91" s="39">
        <f t="shared" si="22"/>
        <v>2281166</v>
      </c>
      <c r="P91" s="40">
        <f t="shared" si="23"/>
        <v>4451585</v>
      </c>
      <c r="Q91" s="40">
        <f t="shared" si="24"/>
        <v>1643923.5</v>
      </c>
      <c r="R91" s="40">
        <f t="shared" si="25"/>
        <v>6212995</v>
      </c>
      <c r="S91" s="50">
        <v>32.735799999999998</v>
      </c>
      <c r="T91" s="50">
        <f>P91/10000-S91</f>
        <v>412.42270000000002</v>
      </c>
      <c r="U91" s="37"/>
      <c r="V91" s="37">
        <f>V$34+(T91-T$34)*10000/(3298.592+100)</f>
        <v>1223.375968491715</v>
      </c>
    </row>
    <row r="92" spans="1:22" ht="15" customHeight="1" x14ac:dyDescent="0.15">
      <c r="A92" s="20">
        <v>40996</v>
      </c>
      <c r="B92" s="20" t="s">
        <v>38</v>
      </c>
      <c r="C92" s="21">
        <v>58154</v>
      </c>
      <c r="D92" s="7">
        <v>24535</v>
      </c>
      <c r="E92" s="7">
        <v>84815</v>
      </c>
      <c r="F92" s="22">
        <v>4292</v>
      </c>
      <c r="G92" s="23">
        <v>2887</v>
      </c>
      <c r="H92" s="24"/>
      <c r="I92" s="36"/>
      <c r="J92" s="8">
        <f t="shared" si="18"/>
        <v>60280</v>
      </c>
      <c r="K92" s="37">
        <f t="shared" si="19"/>
        <v>1331</v>
      </c>
      <c r="L92" s="37">
        <v>795</v>
      </c>
      <c r="M92" s="38">
        <f t="shared" si="20"/>
        <v>1713618</v>
      </c>
      <c r="N92" s="39">
        <f t="shared" si="21"/>
        <v>595718</v>
      </c>
      <c r="O92" s="39">
        <f t="shared" si="22"/>
        <v>2365981</v>
      </c>
      <c r="P92" s="40">
        <f t="shared" si="23"/>
        <v>4509739</v>
      </c>
      <c r="Q92" s="40">
        <f t="shared" si="24"/>
        <v>1668458.5</v>
      </c>
      <c r="R92" s="40">
        <f t="shared" si="25"/>
        <v>6297810</v>
      </c>
      <c r="S92" s="50"/>
      <c r="T92" s="37"/>
      <c r="U92" s="37"/>
      <c r="V92" s="8"/>
    </row>
    <row r="93" spans="1:22" ht="15" customHeight="1" x14ac:dyDescent="0.15">
      <c r="A93" s="20">
        <v>40997</v>
      </c>
      <c r="B93" s="20" t="s">
        <v>39</v>
      </c>
      <c r="C93" s="21">
        <v>55078</v>
      </c>
      <c r="D93" s="7">
        <v>25966</v>
      </c>
      <c r="E93" s="7">
        <v>82393</v>
      </c>
      <c r="F93" s="22">
        <v>4186</v>
      </c>
      <c r="G93" s="23">
        <v>2800</v>
      </c>
      <c r="H93" s="24"/>
      <c r="I93" s="36"/>
      <c r="J93" s="8">
        <f t="shared" si="18"/>
        <v>56427</v>
      </c>
      <c r="K93" s="37">
        <f t="shared" si="19"/>
        <v>554</v>
      </c>
      <c r="L93" s="37">
        <v>795</v>
      </c>
      <c r="M93" s="38">
        <f t="shared" si="20"/>
        <v>1768696</v>
      </c>
      <c r="N93" s="39">
        <f t="shared" si="21"/>
        <v>621684</v>
      </c>
      <c r="O93" s="39">
        <f t="shared" si="22"/>
        <v>2448374</v>
      </c>
      <c r="P93" s="40">
        <f t="shared" si="23"/>
        <v>4564817</v>
      </c>
      <c r="Q93" s="40">
        <f t="shared" si="24"/>
        <v>1694424.5</v>
      </c>
      <c r="R93" s="40">
        <f t="shared" si="25"/>
        <v>6380203</v>
      </c>
      <c r="S93" s="50"/>
      <c r="T93" s="37"/>
      <c r="U93" s="37"/>
      <c r="V93" s="8"/>
    </row>
    <row r="94" spans="1:22" ht="15" customHeight="1" x14ac:dyDescent="0.15">
      <c r="A94" s="20">
        <v>40998</v>
      </c>
      <c r="B94" s="20" t="s">
        <v>1</v>
      </c>
      <c r="C94" s="21">
        <v>50788</v>
      </c>
      <c r="D94" s="7">
        <v>26903</v>
      </c>
      <c r="E94" s="7">
        <v>78752</v>
      </c>
      <c r="F94" s="22">
        <v>3921</v>
      </c>
      <c r="G94" s="23">
        <v>2747</v>
      </c>
      <c r="H94" s="24"/>
      <c r="I94" s="36"/>
      <c r="J94" s="8">
        <f t="shared" si="18"/>
        <v>51849</v>
      </c>
      <c r="K94" s="37">
        <f t="shared" si="19"/>
        <v>266</v>
      </c>
      <c r="L94" s="37">
        <v>795</v>
      </c>
      <c r="M94" s="38">
        <f t="shared" si="20"/>
        <v>1819484</v>
      </c>
      <c r="N94" s="39">
        <f t="shared" si="21"/>
        <v>648587</v>
      </c>
      <c r="O94" s="39">
        <f t="shared" si="22"/>
        <v>2527126</v>
      </c>
      <c r="P94" s="40">
        <f t="shared" si="23"/>
        <v>4615605</v>
      </c>
      <c r="Q94" s="40">
        <f t="shared" si="24"/>
        <v>1721327.5</v>
      </c>
      <c r="R94" s="40">
        <f t="shared" si="25"/>
        <v>6458955</v>
      </c>
      <c r="S94" s="50"/>
      <c r="T94" s="37"/>
      <c r="U94" s="37"/>
      <c r="V94" s="8"/>
    </row>
    <row r="95" spans="1:22" s="1" customFormat="1" ht="15" customHeight="1" x14ac:dyDescent="0.15">
      <c r="A95" s="25">
        <v>40999</v>
      </c>
      <c r="B95" s="25" t="s">
        <v>34</v>
      </c>
      <c r="C95" s="26">
        <v>52946</v>
      </c>
      <c r="D95" s="27">
        <v>27540</v>
      </c>
      <c r="E95" s="27">
        <v>81821</v>
      </c>
      <c r="F95" s="28">
        <v>4189</v>
      </c>
      <c r="G95" s="29">
        <v>2692</v>
      </c>
      <c r="H95" s="30">
        <v>1341</v>
      </c>
      <c r="I95" s="30">
        <v>932</v>
      </c>
      <c r="J95" s="42">
        <f t="shared" si="18"/>
        <v>54281</v>
      </c>
      <c r="K95" s="43">
        <f t="shared" si="19"/>
        <v>540</v>
      </c>
      <c r="L95" s="43">
        <v>795</v>
      </c>
      <c r="M95" s="44">
        <v>1872431.77</v>
      </c>
      <c r="N95" s="46">
        <v>676126.6</v>
      </c>
      <c r="O95" s="46">
        <v>2608951.16</v>
      </c>
      <c r="P95" s="44">
        <f t="shared" si="23"/>
        <v>4668552.7699999996</v>
      </c>
      <c r="Q95" s="44">
        <f t="shared" si="24"/>
        <v>1748867.1</v>
      </c>
      <c r="R95" s="44">
        <f t="shared" si="25"/>
        <v>6540780.1600000001</v>
      </c>
      <c r="S95" s="52">
        <v>34.414299999999997</v>
      </c>
      <c r="T95" s="52">
        <f>P95/10000-S95</f>
        <v>432.44097699999998</v>
      </c>
      <c r="U95" s="43"/>
      <c r="V95" s="43">
        <v>1275</v>
      </c>
    </row>
    <row r="96" spans="1:22" ht="15" customHeight="1" x14ac:dyDescent="0.15">
      <c r="A96" s="20">
        <v>41000</v>
      </c>
      <c r="B96" s="20" t="s">
        <v>35</v>
      </c>
      <c r="C96" s="21">
        <v>57029</v>
      </c>
      <c r="D96" s="7">
        <v>23138</v>
      </c>
      <c r="E96" s="7">
        <v>81663</v>
      </c>
      <c r="F96" s="22">
        <v>4130</v>
      </c>
      <c r="G96" s="23">
        <v>2720</v>
      </c>
      <c r="H96" s="24">
        <v>1150</v>
      </c>
      <c r="I96" s="36">
        <v>838</v>
      </c>
      <c r="J96" s="8">
        <f t="shared" si="18"/>
        <v>58525</v>
      </c>
      <c r="K96" s="37">
        <f t="shared" si="19"/>
        <v>701</v>
      </c>
      <c r="L96" s="37">
        <v>795</v>
      </c>
      <c r="M96" s="38">
        <f>C96</f>
        <v>57029</v>
      </c>
      <c r="N96" s="39">
        <f>D96</f>
        <v>23138</v>
      </c>
      <c r="O96" s="39">
        <f>E96</f>
        <v>81663</v>
      </c>
      <c r="P96" s="40">
        <f>M96+P$95</f>
        <v>4725581.7699999996</v>
      </c>
      <c r="Q96" s="40">
        <f t="shared" ref="Q96:Q125" si="26">Q$95+N96</f>
        <v>1772005.1</v>
      </c>
      <c r="R96" s="40">
        <f t="shared" ref="R96:R125" si="27">R$95+O96</f>
        <v>6622443.1600000001</v>
      </c>
      <c r="S96" s="50"/>
      <c r="T96" s="37"/>
      <c r="U96" s="37"/>
      <c r="V96" s="53">
        <f>V95-V63</f>
        <v>503.51322562161226</v>
      </c>
    </row>
    <row r="97" spans="1:22" ht="15" customHeight="1" x14ac:dyDescent="0.15">
      <c r="A97" s="14">
        <v>41001</v>
      </c>
      <c r="B97" s="14" t="s">
        <v>36</v>
      </c>
      <c r="C97" s="15">
        <v>59551</v>
      </c>
      <c r="D97" s="16">
        <v>21947</v>
      </c>
      <c r="E97" s="16">
        <v>83113</v>
      </c>
      <c r="F97" s="17">
        <v>4222</v>
      </c>
      <c r="G97" s="18">
        <v>2771</v>
      </c>
      <c r="H97" s="19">
        <v>1108</v>
      </c>
      <c r="I97" s="19">
        <v>788</v>
      </c>
      <c r="J97" s="32">
        <f t="shared" si="18"/>
        <v>61166</v>
      </c>
      <c r="K97" s="33">
        <f t="shared" si="19"/>
        <v>820</v>
      </c>
      <c r="L97" s="33">
        <v>795</v>
      </c>
      <c r="M97" s="34">
        <f t="shared" ref="M97:M124" si="28">M96+C97</f>
        <v>116580</v>
      </c>
      <c r="N97" s="35">
        <f t="shared" ref="N97:N114" si="29">N96+D97</f>
        <v>45085</v>
      </c>
      <c r="O97" s="35">
        <f t="shared" ref="O97:O114" si="30">O96+E97</f>
        <v>164776</v>
      </c>
      <c r="P97" s="34">
        <f t="shared" ref="P97:P125" si="31">M97+P$95</f>
        <v>4785132.7699999996</v>
      </c>
      <c r="Q97" s="34">
        <f t="shared" si="26"/>
        <v>1793952.1</v>
      </c>
      <c r="R97" s="34">
        <f t="shared" si="27"/>
        <v>6705556.1600000001</v>
      </c>
      <c r="S97" s="49"/>
      <c r="T97" s="32"/>
      <c r="U97" s="32"/>
      <c r="V97" s="32"/>
    </row>
    <row r="98" spans="1:22" ht="15" customHeight="1" x14ac:dyDescent="0.15">
      <c r="A98" s="20">
        <v>41002</v>
      </c>
      <c r="B98" s="20" t="s">
        <v>37</v>
      </c>
      <c r="C98" s="21">
        <v>59704</v>
      </c>
      <c r="D98" s="7">
        <v>21046</v>
      </c>
      <c r="E98" s="7">
        <v>82739</v>
      </c>
      <c r="F98" s="22">
        <v>4241</v>
      </c>
      <c r="G98" s="23">
        <v>2851</v>
      </c>
      <c r="H98" s="24">
        <v>1120</v>
      </c>
      <c r="I98" s="36">
        <v>795</v>
      </c>
      <c r="J98" s="8">
        <f t="shared" si="18"/>
        <v>61693</v>
      </c>
      <c r="K98" s="37">
        <f t="shared" si="19"/>
        <v>1194</v>
      </c>
      <c r="L98" s="37">
        <v>795</v>
      </c>
      <c r="M98" s="38">
        <f t="shared" si="28"/>
        <v>176284</v>
      </c>
      <c r="N98" s="39">
        <f t="shared" si="29"/>
        <v>66131</v>
      </c>
      <c r="O98" s="39">
        <f t="shared" si="30"/>
        <v>247515</v>
      </c>
      <c r="P98" s="40">
        <f t="shared" si="31"/>
        <v>4844836.7699999996</v>
      </c>
      <c r="Q98" s="40">
        <f t="shared" si="26"/>
        <v>1814998.1</v>
      </c>
      <c r="R98" s="40">
        <f t="shared" si="27"/>
        <v>6788295.1600000001</v>
      </c>
      <c r="S98" s="50">
        <v>35.764299999999999</v>
      </c>
      <c r="T98" s="50">
        <f>P98/10000-S98</f>
        <v>448.71937699999995</v>
      </c>
      <c r="U98" s="37"/>
      <c r="V98" s="37">
        <f>V$94+(T98-T$94)*10000/(3298.592+100)</f>
        <v>1320.3096370496958</v>
      </c>
    </row>
    <row r="99" spans="1:22" ht="15" customHeight="1" x14ac:dyDescent="0.15">
      <c r="A99" s="20">
        <v>41003</v>
      </c>
      <c r="B99" s="20" t="s">
        <v>38</v>
      </c>
      <c r="C99" s="21">
        <v>57539</v>
      </c>
      <c r="D99" s="7">
        <v>22999</v>
      </c>
      <c r="E99" s="7">
        <v>82129</v>
      </c>
      <c r="F99" s="22">
        <v>4162</v>
      </c>
      <c r="G99" s="23">
        <v>2841</v>
      </c>
      <c r="H99" s="24"/>
      <c r="I99" s="36"/>
      <c r="J99" s="8">
        <f t="shared" si="18"/>
        <v>59130</v>
      </c>
      <c r="K99" s="37">
        <f t="shared" si="19"/>
        <v>796</v>
      </c>
      <c r="L99" s="37">
        <v>795</v>
      </c>
      <c r="M99" s="38">
        <f t="shared" si="28"/>
        <v>233823</v>
      </c>
      <c r="N99" s="39">
        <f t="shared" si="29"/>
        <v>89130</v>
      </c>
      <c r="O99" s="39">
        <f t="shared" si="30"/>
        <v>329644</v>
      </c>
      <c r="P99" s="40">
        <f t="shared" si="31"/>
        <v>4902375.7699999996</v>
      </c>
      <c r="Q99" s="40">
        <f t="shared" si="26"/>
        <v>1837997.1</v>
      </c>
      <c r="R99" s="40">
        <f t="shared" si="27"/>
        <v>6870424.1600000001</v>
      </c>
      <c r="S99" s="50"/>
      <c r="T99" s="37"/>
      <c r="U99" s="37"/>
      <c r="V99" s="8"/>
    </row>
    <row r="100" spans="1:22" ht="15" customHeight="1" x14ac:dyDescent="0.15">
      <c r="A100" s="20">
        <v>41004</v>
      </c>
      <c r="B100" s="20" t="s">
        <v>39</v>
      </c>
      <c r="C100" s="21">
        <v>47508</v>
      </c>
      <c r="D100" s="7">
        <v>16753</v>
      </c>
      <c r="E100" s="7">
        <v>65650</v>
      </c>
      <c r="F100" s="22">
        <v>2971</v>
      </c>
      <c r="G100" s="23">
        <v>2543</v>
      </c>
      <c r="H100" s="24"/>
      <c r="I100" s="36"/>
      <c r="J100" s="8">
        <f t="shared" si="18"/>
        <v>48897</v>
      </c>
      <c r="K100" s="37">
        <f t="shared" si="19"/>
        <v>594</v>
      </c>
      <c r="L100" s="37">
        <v>795</v>
      </c>
      <c r="M100" s="38">
        <f t="shared" si="28"/>
        <v>281331</v>
      </c>
      <c r="N100" s="39">
        <f t="shared" si="29"/>
        <v>105883</v>
      </c>
      <c r="O100" s="39">
        <f t="shared" si="30"/>
        <v>395294</v>
      </c>
      <c r="P100" s="40">
        <f t="shared" si="31"/>
        <v>4949883.7699999996</v>
      </c>
      <c r="Q100" s="40">
        <f t="shared" si="26"/>
        <v>1854750.1</v>
      </c>
      <c r="R100" s="40">
        <f t="shared" si="27"/>
        <v>6936074.1600000001</v>
      </c>
      <c r="S100" s="50"/>
      <c r="T100" s="37"/>
      <c r="U100" s="37"/>
      <c r="V100" s="8"/>
    </row>
    <row r="101" spans="1:22" ht="15" customHeight="1" x14ac:dyDescent="0.15">
      <c r="A101" s="20">
        <v>41005</v>
      </c>
      <c r="B101" s="20" t="s">
        <v>1</v>
      </c>
      <c r="C101" s="21">
        <v>53695</v>
      </c>
      <c r="D101" s="7">
        <v>18827</v>
      </c>
      <c r="E101" s="7">
        <v>74110</v>
      </c>
      <c r="F101" s="22">
        <v>3731</v>
      </c>
      <c r="G101" s="23">
        <v>2320</v>
      </c>
      <c r="H101" s="24"/>
      <c r="I101" s="36"/>
      <c r="J101" s="8">
        <f t="shared" si="18"/>
        <v>55283</v>
      </c>
      <c r="K101" s="37">
        <f t="shared" si="19"/>
        <v>793</v>
      </c>
      <c r="L101" s="37">
        <v>795</v>
      </c>
      <c r="M101" s="38">
        <f t="shared" si="28"/>
        <v>335026</v>
      </c>
      <c r="N101" s="39">
        <f t="shared" si="29"/>
        <v>124710</v>
      </c>
      <c r="O101" s="39">
        <f t="shared" si="30"/>
        <v>469404</v>
      </c>
      <c r="P101" s="40">
        <f t="shared" si="31"/>
        <v>5003578.7699999996</v>
      </c>
      <c r="Q101" s="40">
        <f t="shared" si="26"/>
        <v>1873577.1</v>
      </c>
      <c r="R101" s="40">
        <f t="shared" si="27"/>
        <v>7010184.1600000001</v>
      </c>
      <c r="S101" s="50"/>
      <c r="T101" s="37"/>
      <c r="U101" s="37"/>
      <c r="V101" s="8"/>
    </row>
    <row r="102" spans="1:22" ht="15" customHeight="1" x14ac:dyDescent="0.15">
      <c r="A102" s="20">
        <v>41006</v>
      </c>
      <c r="B102" s="20" t="s">
        <v>34</v>
      </c>
      <c r="C102" s="21">
        <v>56802</v>
      </c>
      <c r="D102" s="7">
        <v>23665</v>
      </c>
      <c r="E102" s="7">
        <v>82077</v>
      </c>
      <c r="F102" s="22">
        <v>4225</v>
      </c>
      <c r="G102" s="23">
        <v>2679</v>
      </c>
      <c r="H102" s="24"/>
      <c r="I102" s="36"/>
      <c r="J102" s="8">
        <f t="shared" si="18"/>
        <v>58412</v>
      </c>
      <c r="K102" s="37">
        <f t="shared" si="19"/>
        <v>815</v>
      </c>
      <c r="L102" s="37">
        <v>795</v>
      </c>
      <c r="M102" s="38">
        <f t="shared" si="28"/>
        <v>391828</v>
      </c>
      <c r="N102" s="39">
        <f t="shared" si="29"/>
        <v>148375</v>
      </c>
      <c r="O102" s="39">
        <f t="shared" si="30"/>
        <v>551481</v>
      </c>
      <c r="P102" s="40">
        <f t="shared" si="31"/>
        <v>5060380.7699999996</v>
      </c>
      <c r="Q102" s="40">
        <f t="shared" si="26"/>
        <v>1897242.1</v>
      </c>
      <c r="R102" s="40">
        <f t="shared" si="27"/>
        <v>7092261.1600000001</v>
      </c>
      <c r="S102" s="50"/>
      <c r="T102" s="37"/>
      <c r="U102" s="37"/>
      <c r="V102" s="8"/>
    </row>
    <row r="103" spans="1:22" ht="15" customHeight="1" x14ac:dyDescent="0.15">
      <c r="A103" s="20">
        <v>41007</v>
      </c>
      <c r="B103" s="20" t="s">
        <v>35</v>
      </c>
      <c r="C103" s="21">
        <v>60214</v>
      </c>
      <c r="D103" s="7">
        <v>22575</v>
      </c>
      <c r="E103" s="7">
        <v>84954</v>
      </c>
      <c r="F103" s="22">
        <v>4285</v>
      </c>
      <c r="G103" s="23">
        <v>2866</v>
      </c>
      <c r="H103" s="24"/>
      <c r="I103" s="36"/>
      <c r="J103" s="8">
        <f t="shared" si="18"/>
        <v>62379</v>
      </c>
      <c r="K103" s="37">
        <f t="shared" si="19"/>
        <v>1370</v>
      </c>
      <c r="L103" s="37">
        <v>795</v>
      </c>
      <c r="M103" s="38">
        <f t="shared" si="28"/>
        <v>452042</v>
      </c>
      <c r="N103" s="39">
        <f t="shared" si="29"/>
        <v>170950</v>
      </c>
      <c r="O103" s="39">
        <f t="shared" si="30"/>
        <v>636435</v>
      </c>
      <c r="P103" s="40">
        <f t="shared" si="31"/>
        <v>5120594.7699999996</v>
      </c>
      <c r="Q103" s="40">
        <f t="shared" si="26"/>
        <v>1919817.1</v>
      </c>
      <c r="R103" s="40">
        <f t="shared" si="27"/>
        <v>7177215.1600000001</v>
      </c>
      <c r="S103" s="50"/>
      <c r="T103" s="37"/>
      <c r="U103" s="37"/>
      <c r="V103" s="8"/>
    </row>
    <row r="104" spans="1:22" ht="15" customHeight="1" x14ac:dyDescent="0.15">
      <c r="A104" s="14">
        <v>41008</v>
      </c>
      <c r="B104" s="14" t="s">
        <v>36</v>
      </c>
      <c r="C104" s="15">
        <v>60631</v>
      </c>
      <c r="D104" s="16">
        <v>23768</v>
      </c>
      <c r="E104" s="16">
        <v>85826</v>
      </c>
      <c r="F104" s="17">
        <v>4321</v>
      </c>
      <c r="G104" s="18">
        <v>2924</v>
      </c>
      <c r="H104" s="19"/>
      <c r="I104" s="19"/>
      <c r="J104" s="32">
        <f t="shared" si="18"/>
        <v>62058</v>
      </c>
      <c r="K104" s="33">
        <f t="shared" si="19"/>
        <v>631</v>
      </c>
      <c r="L104" s="33">
        <v>796</v>
      </c>
      <c r="M104" s="34">
        <f t="shared" si="28"/>
        <v>512673</v>
      </c>
      <c r="N104" s="35">
        <f t="shared" si="29"/>
        <v>194718</v>
      </c>
      <c r="O104" s="35">
        <f t="shared" si="30"/>
        <v>722261</v>
      </c>
      <c r="P104" s="34">
        <f t="shared" si="31"/>
        <v>5181225.7699999996</v>
      </c>
      <c r="Q104" s="34">
        <f t="shared" si="26"/>
        <v>1943585.1</v>
      </c>
      <c r="R104" s="34">
        <f t="shared" si="27"/>
        <v>7263041.1600000001</v>
      </c>
      <c r="S104" s="49"/>
      <c r="T104" s="32"/>
      <c r="U104" s="32"/>
      <c r="V104" s="32"/>
    </row>
    <row r="105" spans="1:22" ht="15" customHeight="1" x14ac:dyDescent="0.15">
      <c r="A105" s="20">
        <v>41009</v>
      </c>
      <c r="B105" s="20" t="s">
        <v>37</v>
      </c>
      <c r="C105" s="21">
        <v>60770</v>
      </c>
      <c r="D105" s="7">
        <v>23145</v>
      </c>
      <c r="E105" s="7">
        <v>85904</v>
      </c>
      <c r="F105" s="22">
        <v>4323</v>
      </c>
      <c r="G105" s="23">
        <v>2915</v>
      </c>
      <c r="H105" s="24"/>
      <c r="I105" s="36"/>
      <c r="J105" s="8">
        <f t="shared" si="18"/>
        <v>62759</v>
      </c>
      <c r="K105" s="37">
        <f t="shared" si="19"/>
        <v>1194</v>
      </c>
      <c r="L105" s="37">
        <v>795</v>
      </c>
      <c r="M105" s="38">
        <f t="shared" si="28"/>
        <v>573443</v>
      </c>
      <c r="N105" s="39">
        <f t="shared" si="29"/>
        <v>217863</v>
      </c>
      <c r="O105" s="39">
        <f t="shared" si="30"/>
        <v>808165</v>
      </c>
      <c r="P105" s="40">
        <f t="shared" si="31"/>
        <v>5241995.7699999996</v>
      </c>
      <c r="Q105" s="40">
        <f t="shared" si="26"/>
        <v>1966730.1</v>
      </c>
      <c r="R105" s="40">
        <f t="shared" si="27"/>
        <v>7348945.1600000001</v>
      </c>
      <c r="S105" s="50">
        <v>39.084400000000002</v>
      </c>
      <c r="T105" s="50">
        <f>P105/10000-S105</f>
        <v>485.11517699999996</v>
      </c>
      <c r="U105" s="37"/>
      <c r="V105" s="51">
        <f>V$94+(T105-T$94)*10000/(3298.592+100)</f>
        <v>1427.4004558358283</v>
      </c>
    </row>
    <row r="106" spans="1:22" ht="15" customHeight="1" x14ac:dyDescent="0.15">
      <c r="A106" s="20">
        <v>41010</v>
      </c>
      <c r="B106" s="20" t="s">
        <v>38</v>
      </c>
      <c r="C106" s="21">
        <v>59606</v>
      </c>
      <c r="D106" s="7">
        <v>24593</v>
      </c>
      <c r="E106" s="7">
        <v>85704</v>
      </c>
      <c r="F106" s="22">
        <v>4305</v>
      </c>
      <c r="G106" s="23">
        <v>2917</v>
      </c>
      <c r="H106" s="24"/>
      <c r="I106" s="36"/>
      <c r="J106" s="8">
        <f t="shared" si="18"/>
        <v>61111</v>
      </c>
      <c r="K106" s="37">
        <f t="shared" si="19"/>
        <v>710</v>
      </c>
      <c r="L106" s="37">
        <v>795</v>
      </c>
      <c r="M106" s="38">
        <f t="shared" si="28"/>
        <v>633049</v>
      </c>
      <c r="N106" s="39">
        <f t="shared" si="29"/>
        <v>242456</v>
      </c>
      <c r="O106" s="39">
        <f t="shared" si="30"/>
        <v>893869</v>
      </c>
      <c r="P106" s="40">
        <f t="shared" si="31"/>
        <v>5301601.7699999996</v>
      </c>
      <c r="Q106" s="40">
        <f t="shared" si="26"/>
        <v>1991323.1</v>
      </c>
      <c r="R106" s="40">
        <f t="shared" si="27"/>
        <v>7434649.1600000001</v>
      </c>
      <c r="S106" s="50"/>
      <c r="T106" s="37"/>
      <c r="U106" s="37"/>
      <c r="V106" s="8"/>
    </row>
    <row r="107" spans="1:22" ht="15" customHeight="1" x14ac:dyDescent="0.15">
      <c r="A107" s="20">
        <v>41011</v>
      </c>
      <c r="B107" s="20" t="s">
        <v>39</v>
      </c>
      <c r="C107" s="21">
        <v>60048</v>
      </c>
      <c r="D107" s="7">
        <v>23928</v>
      </c>
      <c r="E107" s="7">
        <v>85409</v>
      </c>
      <c r="F107" s="22">
        <v>4331</v>
      </c>
      <c r="G107" s="23">
        <v>2918</v>
      </c>
      <c r="H107" s="24"/>
      <c r="I107" s="36"/>
      <c r="J107" s="8">
        <f t="shared" si="18"/>
        <v>61481</v>
      </c>
      <c r="K107" s="37">
        <f t="shared" si="19"/>
        <v>638</v>
      </c>
      <c r="L107" s="37">
        <v>795</v>
      </c>
      <c r="M107" s="38">
        <f t="shared" si="28"/>
        <v>693097</v>
      </c>
      <c r="N107" s="39">
        <f t="shared" si="29"/>
        <v>266384</v>
      </c>
      <c r="O107" s="39">
        <f t="shared" si="30"/>
        <v>979278</v>
      </c>
      <c r="P107" s="40">
        <f t="shared" si="31"/>
        <v>5361649.7699999996</v>
      </c>
      <c r="Q107" s="40">
        <f t="shared" si="26"/>
        <v>2015251.1</v>
      </c>
      <c r="R107" s="40">
        <f t="shared" si="27"/>
        <v>7520058.1600000001</v>
      </c>
      <c r="S107" s="50"/>
      <c r="T107" s="37"/>
      <c r="U107" s="37"/>
      <c r="V107" s="8"/>
    </row>
    <row r="108" spans="1:22" ht="15" customHeight="1" x14ac:dyDescent="0.15">
      <c r="A108" s="20">
        <v>41012</v>
      </c>
      <c r="B108" s="20" t="s">
        <v>1</v>
      </c>
      <c r="C108" s="21">
        <v>58425</v>
      </c>
      <c r="D108" s="7">
        <v>22486</v>
      </c>
      <c r="E108" s="7">
        <v>82041</v>
      </c>
      <c r="F108" s="22">
        <v>4096</v>
      </c>
      <c r="G108" s="23">
        <v>2877</v>
      </c>
      <c r="H108" s="24"/>
      <c r="I108" s="36"/>
      <c r="J108" s="8">
        <f t="shared" si="18"/>
        <v>59555</v>
      </c>
      <c r="K108" s="37">
        <f t="shared" si="19"/>
        <v>335</v>
      </c>
      <c r="L108" s="37">
        <v>795</v>
      </c>
      <c r="M108" s="38">
        <f t="shared" si="28"/>
        <v>751522</v>
      </c>
      <c r="N108" s="39">
        <f t="shared" si="29"/>
        <v>288870</v>
      </c>
      <c r="O108" s="39">
        <f t="shared" si="30"/>
        <v>1061319</v>
      </c>
      <c r="P108" s="40">
        <f t="shared" si="31"/>
        <v>5420074.7699999996</v>
      </c>
      <c r="Q108" s="40">
        <f t="shared" si="26"/>
        <v>2037737.1</v>
      </c>
      <c r="R108" s="40">
        <f t="shared" si="27"/>
        <v>7602099.1600000001</v>
      </c>
      <c r="S108" s="50"/>
      <c r="T108" s="37"/>
      <c r="U108" s="37"/>
      <c r="V108" s="37"/>
    </row>
    <row r="109" spans="1:22" ht="15" customHeight="1" x14ac:dyDescent="0.15">
      <c r="A109" s="20">
        <v>41013</v>
      </c>
      <c r="B109" s="20" t="s">
        <v>34</v>
      </c>
      <c r="C109" s="21">
        <v>59326</v>
      </c>
      <c r="D109" s="7">
        <v>23620</v>
      </c>
      <c r="E109" s="7">
        <v>84907</v>
      </c>
      <c r="F109" s="22">
        <v>4325</v>
      </c>
      <c r="G109" s="23">
        <v>2798</v>
      </c>
      <c r="H109" s="24"/>
      <c r="I109" s="36"/>
      <c r="J109" s="8">
        <f t="shared" si="18"/>
        <v>61287</v>
      </c>
      <c r="K109" s="37">
        <f t="shared" si="19"/>
        <v>1166</v>
      </c>
      <c r="L109" s="37">
        <v>795</v>
      </c>
      <c r="M109" s="38">
        <f t="shared" si="28"/>
        <v>810848</v>
      </c>
      <c r="N109" s="39">
        <f t="shared" si="29"/>
        <v>312490</v>
      </c>
      <c r="O109" s="39">
        <f t="shared" si="30"/>
        <v>1146226</v>
      </c>
      <c r="P109" s="40">
        <f t="shared" si="31"/>
        <v>5479400.7699999996</v>
      </c>
      <c r="Q109" s="40">
        <f t="shared" si="26"/>
        <v>2061357.1</v>
      </c>
      <c r="R109" s="40">
        <f t="shared" si="27"/>
        <v>7687006.1600000001</v>
      </c>
      <c r="S109" s="50"/>
      <c r="T109" s="37"/>
      <c r="U109" s="37"/>
      <c r="V109" s="8"/>
    </row>
    <row r="110" spans="1:22" ht="15" customHeight="1" x14ac:dyDescent="0.15">
      <c r="A110" s="20">
        <v>41014</v>
      </c>
      <c r="B110" s="20" t="s">
        <v>35</v>
      </c>
      <c r="C110" s="21">
        <v>61776</v>
      </c>
      <c r="D110" s="7">
        <v>22646</v>
      </c>
      <c r="E110" s="7">
        <v>85772</v>
      </c>
      <c r="F110" s="22">
        <v>4297.8999999999996</v>
      </c>
      <c r="G110" s="23">
        <v>2916.9</v>
      </c>
      <c r="H110" s="24"/>
      <c r="I110" s="36"/>
      <c r="J110" s="8">
        <f t="shared" si="18"/>
        <v>63126</v>
      </c>
      <c r="K110" s="37">
        <f t="shared" si="19"/>
        <v>555</v>
      </c>
      <c r="L110" s="37">
        <v>795</v>
      </c>
      <c r="M110" s="38">
        <f t="shared" si="28"/>
        <v>872624</v>
      </c>
      <c r="N110" s="39">
        <f t="shared" si="29"/>
        <v>335136</v>
      </c>
      <c r="O110" s="39">
        <f t="shared" si="30"/>
        <v>1231998</v>
      </c>
      <c r="P110" s="40">
        <f t="shared" si="31"/>
        <v>5541176.7699999996</v>
      </c>
      <c r="Q110" s="40">
        <f t="shared" si="26"/>
        <v>2084003.1</v>
      </c>
      <c r="R110" s="40">
        <f t="shared" si="27"/>
        <v>7772778.1600000001</v>
      </c>
      <c r="S110" s="50"/>
      <c r="T110" s="37"/>
      <c r="U110" s="37"/>
      <c r="V110" s="8"/>
    </row>
    <row r="111" spans="1:22" ht="15" customHeight="1" x14ac:dyDescent="0.15">
      <c r="A111" s="14">
        <v>41015</v>
      </c>
      <c r="B111" s="14" t="s">
        <v>36</v>
      </c>
      <c r="C111" s="15">
        <v>61093</v>
      </c>
      <c r="D111" s="16">
        <v>22494</v>
      </c>
      <c r="E111" s="16">
        <v>85533</v>
      </c>
      <c r="F111" s="17">
        <v>4329.8</v>
      </c>
      <c r="G111" s="18">
        <v>2887.9</v>
      </c>
      <c r="H111" s="19"/>
      <c r="I111" s="19"/>
      <c r="J111" s="32">
        <f t="shared" si="18"/>
        <v>63039</v>
      </c>
      <c r="K111" s="33">
        <f t="shared" si="19"/>
        <v>1149</v>
      </c>
      <c r="L111" s="33">
        <v>797</v>
      </c>
      <c r="M111" s="34">
        <f t="shared" si="28"/>
        <v>933717</v>
      </c>
      <c r="N111" s="35">
        <f t="shared" si="29"/>
        <v>357630</v>
      </c>
      <c r="O111" s="35">
        <f t="shared" si="30"/>
        <v>1317531</v>
      </c>
      <c r="P111" s="34">
        <f t="shared" si="31"/>
        <v>5602269.7699999996</v>
      </c>
      <c r="Q111" s="34">
        <f t="shared" si="26"/>
        <v>2106497.1</v>
      </c>
      <c r="R111" s="34">
        <f t="shared" si="27"/>
        <v>7858311.1600000001</v>
      </c>
      <c r="S111" s="49"/>
      <c r="T111" s="32"/>
      <c r="U111" s="32"/>
      <c r="V111" s="32"/>
    </row>
    <row r="112" spans="1:22" ht="15" customHeight="1" x14ac:dyDescent="0.15">
      <c r="A112" s="20">
        <v>41016</v>
      </c>
      <c r="B112" s="20" t="s">
        <v>37</v>
      </c>
      <c r="C112" s="21">
        <v>62789</v>
      </c>
      <c r="D112" s="7">
        <v>21877</v>
      </c>
      <c r="E112" s="7">
        <v>86492</v>
      </c>
      <c r="F112" s="22">
        <v>4387</v>
      </c>
      <c r="G112" s="23">
        <v>2905</v>
      </c>
      <c r="H112" s="24"/>
      <c r="I112" s="36"/>
      <c r="J112" s="8">
        <f t="shared" si="18"/>
        <v>64615</v>
      </c>
      <c r="K112" s="37">
        <f t="shared" si="19"/>
        <v>1031</v>
      </c>
      <c r="L112" s="37">
        <v>795</v>
      </c>
      <c r="M112" s="38">
        <f t="shared" si="28"/>
        <v>996506</v>
      </c>
      <c r="N112" s="39">
        <f t="shared" si="29"/>
        <v>379507</v>
      </c>
      <c r="O112" s="39">
        <f t="shared" si="30"/>
        <v>1404023</v>
      </c>
      <c r="P112" s="40">
        <f t="shared" si="31"/>
        <v>5665058.7699999996</v>
      </c>
      <c r="Q112" s="40">
        <f t="shared" si="26"/>
        <v>2128374.1</v>
      </c>
      <c r="R112" s="40">
        <f t="shared" si="27"/>
        <v>7944803.1600000001</v>
      </c>
      <c r="S112" s="50">
        <v>42.374400000000001</v>
      </c>
      <c r="T112" s="50">
        <f>P112/10000-S112</f>
        <v>524.1314769999999</v>
      </c>
      <c r="U112" s="37"/>
      <c r="V112" s="37">
        <f>V$94+(T112-T$94)*10000/(3298.592+100)</f>
        <v>1542.20182063631</v>
      </c>
    </row>
    <row r="113" spans="1:22" ht="15" customHeight="1" x14ac:dyDescent="0.15">
      <c r="A113" s="20">
        <v>41017</v>
      </c>
      <c r="B113" s="20" t="s">
        <v>38</v>
      </c>
      <c r="C113" s="21">
        <v>62315</v>
      </c>
      <c r="D113" s="7">
        <v>23002</v>
      </c>
      <c r="E113" s="7">
        <v>86948</v>
      </c>
      <c r="F113" s="22">
        <v>4393</v>
      </c>
      <c r="G113" s="23">
        <v>2901</v>
      </c>
      <c r="H113" s="24"/>
      <c r="I113" s="36"/>
      <c r="J113" s="8">
        <f t="shared" si="18"/>
        <v>63946</v>
      </c>
      <c r="K113" s="37">
        <f t="shared" si="19"/>
        <v>836</v>
      </c>
      <c r="L113" s="37">
        <v>795</v>
      </c>
      <c r="M113" s="38">
        <f t="shared" si="28"/>
        <v>1058821</v>
      </c>
      <c r="N113" s="39">
        <f t="shared" si="29"/>
        <v>402509</v>
      </c>
      <c r="O113" s="39">
        <f t="shared" si="30"/>
        <v>1490971</v>
      </c>
      <c r="P113" s="40">
        <f t="shared" si="31"/>
        <v>5727373.7699999996</v>
      </c>
      <c r="Q113" s="40">
        <f t="shared" si="26"/>
        <v>2151376.1</v>
      </c>
      <c r="R113" s="40">
        <f t="shared" si="27"/>
        <v>8031751.1600000001</v>
      </c>
      <c r="S113" s="50"/>
      <c r="T113" s="37"/>
      <c r="U113" s="37"/>
      <c r="V113" s="8"/>
    </row>
    <row r="114" spans="1:22" ht="15" customHeight="1" x14ac:dyDescent="0.15">
      <c r="A114" s="20">
        <v>41018</v>
      </c>
      <c r="B114" s="20" t="s">
        <v>39</v>
      </c>
      <c r="C114" s="21">
        <v>62217</v>
      </c>
      <c r="D114" s="7">
        <v>22339</v>
      </c>
      <c r="E114" s="7">
        <v>86055</v>
      </c>
      <c r="F114" s="22">
        <v>4371.6000000000004</v>
      </c>
      <c r="G114" s="23">
        <v>2926.1</v>
      </c>
      <c r="H114" s="24"/>
      <c r="I114" s="36"/>
      <c r="J114" s="8">
        <f t="shared" si="18"/>
        <v>63716</v>
      </c>
      <c r="K114" s="37">
        <f t="shared" si="19"/>
        <v>704</v>
      </c>
      <c r="L114" s="37">
        <v>795</v>
      </c>
      <c r="M114" s="38">
        <f t="shared" si="28"/>
        <v>1121038</v>
      </c>
      <c r="N114" s="39">
        <f t="shared" si="29"/>
        <v>424848</v>
      </c>
      <c r="O114" s="39">
        <f t="shared" si="30"/>
        <v>1577026</v>
      </c>
      <c r="P114" s="40">
        <f t="shared" si="31"/>
        <v>5789590.7699999996</v>
      </c>
      <c r="Q114" s="40">
        <f t="shared" si="26"/>
        <v>2173715.1</v>
      </c>
      <c r="R114" s="40">
        <f t="shared" si="27"/>
        <v>8117806.1600000001</v>
      </c>
      <c r="S114" s="50"/>
      <c r="T114" s="37"/>
      <c r="U114" s="37"/>
      <c r="V114" s="8"/>
    </row>
    <row r="115" spans="1:22" ht="15" customHeight="1" x14ac:dyDescent="0.15">
      <c r="A115" s="20">
        <v>41019</v>
      </c>
      <c r="B115" s="20" t="s">
        <v>1</v>
      </c>
      <c r="C115" s="21">
        <v>60039</v>
      </c>
      <c r="D115" s="7">
        <v>20116</v>
      </c>
      <c r="E115" s="7">
        <v>81224</v>
      </c>
      <c r="F115" s="22">
        <v>4090.3</v>
      </c>
      <c r="G115" s="23">
        <v>2868.3</v>
      </c>
      <c r="H115" s="24"/>
      <c r="I115" s="36"/>
      <c r="J115" s="8">
        <f t="shared" si="18"/>
        <v>61108</v>
      </c>
      <c r="K115" s="37">
        <f t="shared" si="19"/>
        <v>274</v>
      </c>
      <c r="L115" s="37">
        <v>795</v>
      </c>
      <c r="M115" s="38">
        <v>1181079</v>
      </c>
      <c r="N115" s="39">
        <f t="shared" ref="N115:N124" si="32">N114+D115</f>
        <v>444964</v>
      </c>
      <c r="O115" s="39">
        <v>1658264</v>
      </c>
      <c r="P115" s="40">
        <f t="shared" si="31"/>
        <v>5849631.7699999996</v>
      </c>
      <c r="Q115" s="40">
        <f t="shared" si="26"/>
        <v>2193831.1</v>
      </c>
      <c r="R115" s="40">
        <f t="shared" si="27"/>
        <v>8199044.1600000001</v>
      </c>
      <c r="S115" s="50">
        <v>43.936799999999998</v>
      </c>
      <c r="T115" s="50">
        <f>P115/10000-S115</f>
        <v>541.02637700000002</v>
      </c>
      <c r="U115" s="37"/>
      <c r="V115" s="51">
        <f>V$94+(T115-T$94-0.84)*10000/(3298.592+100)</f>
        <v>1589.4416776123758</v>
      </c>
    </row>
    <row r="116" spans="1:22" ht="15" customHeight="1" x14ac:dyDescent="0.15">
      <c r="A116" s="20">
        <v>41020</v>
      </c>
      <c r="B116" s="20" t="s">
        <v>34</v>
      </c>
      <c r="C116" s="21">
        <v>60919</v>
      </c>
      <c r="D116" s="7">
        <v>22355</v>
      </c>
      <c r="E116" s="7">
        <v>85695</v>
      </c>
      <c r="F116" s="22">
        <v>4406.7</v>
      </c>
      <c r="G116" s="23">
        <v>2776.6</v>
      </c>
      <c r="H116" s="24">
        <v>1159</v>
      </c>
      <c r="I116" s="36">
        <v>708.4</v>
      </c>
      <c r="J116" s="8">
        <f t="shared" si="18"/>
        <v>63340</v>
      </c>
      <c r="K116" s="37">
        <f t="shared" si="19"/>
        <v>1626</v>
      </c>
      <c r="L116" s="37">
        <v>795</v>
      </c>
      <c r="M116" s="38">
        <f t="shared" si="28"/>
        <v>1241998</v>
      </c>
      <c r="N116" s="39">
        <f t="shared" si="32"/>
        <v>467319</v>
      </c>
      <c r="O116" s="39">
        <f t="shared" ref="O116:O124" si="33">O115+E116</f>
        <v>1743959</v>
      </c>
      <c r="P116" s="40">
        <f t="shared" si="31"/>
        <v>5910550.7699999996</v>
      </c>
      <c r="Q116" s="40">
        <f t="shared" si="26"/>
        <v>2216186.1</v>
      </c>
      <c r="R116" s="40">
        <f t="shared" si="27"/>
        <v>8284739.1600000001</v>
      </c>
      <c r="S116" s="50"/>
      <c r="T116" s="37"/>
      <c r="U116" s="37"/>
      <c r="V116" s="8"/>
    </row>
    <row r="117" spans="1:22" ht="15" customHeight="1" x14ac:dyDescent="0.15">
      <c r="A117" s="20">
        <v>41021</v>
      </c>
      <c r="B117" s="20" t="s">
        <v>35</v>
      </c>
      <c r="C117" s="21">
        <v>61537</v>
      </c>
      <c r="D117" s="7">
        <v>22470</v>
      </c>
      <c r="E117" s="7">
        <v>85278</v>
      </c>
      <c r="F117" s="22">
        <v>4361</v>
      </c>
      <c r="G117" s="23">
        <v>2847.5</v>
      </c>
      <c r="H117" s="24">
        <v>1172.3</v>
      </c>
      <c r="I117" s="36">
        <v>731.2</v>
      </c>
      <c r="J117" s="8">
        <f t="shared" si="18"/>
        <v>62808</v>
      </c>
      <c r="K117" s="37">
        <f t="shared" si="19"/>
        <v>476</v>
      </c>
      <c r="L117" s="37">
        <v>795</v>
      </c>
      <c r="M117" s="38">
        <f t="shared" si="28"/>
        <v>1303535</v>
      </c>
      <c r="N117" s="39">
        <f t="shared" si="32"/>
        <v>489789</v>
      </c>
      <c r="O117" s="39">
        <f t="shared" si="33"/>
        <v>1829237</v>
      </c>
      <c r="P117" s="40">
        <f t="shared" si="31"/>
        <v>5972087.7699999996</v>
      </c>
      <c r="Q117" s="40">
        <f t="shared" si="26"/>
        <v>2238656.1</v>
      </c>
      <c r="R117" s="40">
        <f t="shared" si="27"/>
        <v>8370017.1600000001</v>
      </c>
      <c r="S117" s="50"/>
      <c r="T117" s="37"/>
      <c r="U117" s="37"/>
      <c r="V117" s="8"/>
    </row>
    <row r="118" spans="1:22" ht="15" customHeight="1" x14ac:dyDescent="0.15">
      <c r="A118" s="14">
        <v>41022</v>
      </c>
      <c r="B118" s="14" t="s">
        <v>36</v>
      </c>
      <c r="C118" s="15">
        <v>61725</v>
      </c>
      <c r="D118" s="16">
        <v>21921</v>
      </c>
      <c r="E118" s="16">
        <v>84921</v>
      </c>
      <c r="F118" s="17">
        <v>4285</v>
      </c>
      <c r="G118" s="18">
        <v>2892.5</v>
      </c>
      <c r="H118" s="19"/>
      <c r="I118" s="19"/>
      <c r="J118" s="32">
        <f t="shared" si="18"/>
        <v>63000</v>
      </c>
      <c r="K118" s="33">
        <f t="shared" si="19"/>
        <v>480</v>
      </c>
      <c r="L118" s="33">
        <v>795</v>
      </c>
      <c r="M118" s="34">
        <f t="shared" si="28"/>
        <v>1365260</v>
      </c>
      <c r="N118" s="35">
        <f t="shared" si="32"/>
        <v>511710</v>
      </c>
      <c r="O118" s="35">
        <f t="shared" si="33"/>
        <v>1914158</v>
      </c>
      <c r="P118" s="34">
        <f t="shared" si="31"/>
        <v>6033812.7699999996</v>
      </c>
      <c r="Q118" s="34">
        <f t="shared" si="26"/>
        <v>2260577.1</v>
      </c>
      <c r="R118" s="34">
        <f t="shared" si="27"/>
        <v>8454938.1600000001</v>
      </c>
      <c r="S118" s="49"/>
      <c r="T118" s="32"/>
      <c r="U118" s="32"/>
      <c r="V118" s="32"/>
    </row>
    <row r="119" spans="1:22" ht="15" customHeight="1" x14ac:dyDescent="0.15">
      <c r="A119" s="20">
        <v>41023</v>
      </c>
      <c r="B119" s="20" t="s">
        <v>37</v>
      </c>
      <c r="C119" s="21">
        <v>61213</v>
      </c>
      <c r="D119" s="7">
        <v>22164</v>
      </c>
      <c r="E119" s="7">
        <v>85167</v>
      </c>
      <c r="F119" s="22">
        <v>4320</v>
      </c>
      <c r="G119" s="23">
        <v>2866.5</v>
      </c>
      <c r="H119" s="24"/>
      <c r="I119" s="36"/>
      <c r="J119" s="8">
        <f t="shared" si="18"/>
        <v>63003</v>
      </c>
      <c r="K119" s="37">
        <f t="shared" si="19"/>
        <v>995</v>
      </c>
      <c r="L119" s="37">
        <v>795</v>
      </c>
      <c r="M119" s="38">
        <f t="shared" si="28"/>
        <v>1426473</v>
      </c>
      <c r="N119" s="39">
        <f t="shared" si="32"/>
        <v>533874</v>
      </c>
      <c r="O119" s="39">
        <f t="shared" si="33"/>
        <v>1999325</v>
      </c>
      <c r="P119" s="40">
        <f t="shared" si="31"/>
        <v>6095025.7699999996</v>
      </c>
      <c r="Q119" s="40">
        <f t="shared" si="26"/>
        <v>2282741.1</v>
      </c>
      <c r="R119" s="40">
        <f t="shared" si="27"/>
        <v>8540105.1600000001</v>
      </c>
      <c r="S119" s="50">
        <v>45.936799999999998</v>
      </c>
      <c r="T119" s="50">
        <f>P119/10000-S119</f>
        <v>563.56577700000003</v>
      </c>
      <c r="U119" s="37"/>
      <c r="V119" s="37">
        <f>V$94+(T119-T$94-0.84)*10000/(3298.592+100)</f>
        <v>1655.7614947601828</v>
      </c>
    </row>
    <row r="120" spans="1:22" ht="15" customHeight="1" x14ac:dyDescent="0.15">
      <c r="A120" s="20">
        <v>41024</v>
      </c>
      <c r="B120" s="20" t="s">
        <v>38</v>
      </c>
      <c r="C120" s="21">
        <v>61233</v>
      </c>
      <c r="D120" s="7">
        <v>21607</v>
      </c>
      <c r="E120" s="7">
        <v>84601</v>
      </c>
      <c r="F120" s="22">
        <v>4294</v>
      </c>
      <c r="G120" s="23">
        <v>2862</v>
      </c>
      <c r="H120" s="24"/>
      <c r="I120" s="36"/>
      <c r="J120" s="8">
        <f t="shared" si="18"/>
        <v>62994</v>
      </c>
      <c r="K120" s="37">
        <f t="shared" si="19"/>
        <v>966</v>
      </c>
      <c r="L120" s="37">
        <v>795</v>
      </c>
      <c r="M120" s="38">
        <f t="shared" si="28"/>
        <v>1487706</v>
      </c>
      <c r="N120" s="39">
        <f t="shared" si="32"/>
        <v>555481</v>
      </c>
      <c r="O120" s="39">
        <f t="shared" si="33"/>
        <v>2083926</v>
      </c>
      <c r="P120" s="40">
        <f t="shared" si="31"/>
        <v>6156258.7699999996</v>
      </c>
      <c r="Q120" s="40">
        <f t="shared" si="26"/>
        <v>2304348.1</v>
      </c>
      <c r="R120" s="40">
        <f t="shared" si="27"/>
        <v>8624706.1600000001</v>
      </c>
      <c r="S120" s="50"/>
      <c r="T120" s="37"/>
      <c r="U120" s="37"/>
      <c r="V120" s="8"/>
    </row>
    <row r="121" spans="1:22" ht="15" customHeight="1" x14ac:dyDescent="0.15">
      <c r="A121" s="20">
        <v>41025</v>
      </c>
      <c r="B121" s="20" t="s">
        <v>39</v>
      </c>
      <c r="C121" s="21">
        <v>60314</v>
      </c>
      <c r="D121" s="7">
        <v>21463</v>
      </c>
      <c r="E121" s="7">
        <v>83044</v>
      </c>
      <c r="F121" s="22">
        <v>4257</v>
      </c>
      <c r="G121" s="23">
        <v>2797</v>
      </c>
      <c r="H121" s="24"/>
      <c r="I121" s="36"/>
      <c r="J121" s="8">
        <f t="shared" si="18"/>
        <v>61581</v>
      </c>
      <c r="K121" s="37">
        <f t="shared" si="19"/>
        <v>472</v>
      </c>
      <c r="L121" s="37">
        <v>795</v>
      </c>
      <c r="M121" s="38">
        <f t="shared" si="28"/>
        <v>1548020</v>
      </c>
      <c r="N121" s="39">
        <f t="shared" si="32"/>
        <v>576944</v>
      </c>
      <c r="O121" s="39">
        <f t="shared" si="33"/>
        <v>2166970</v>
      </c>
      <c r="P121" s="40">
        <f t="shared" si="31"/>
        <v>6216572.7699999996</v>
      </c>
      <c r="Q121" s="40">
        <f t="shared" si="26"/>
        <v>2325811.1</v>
      </c>
      <c r="R121" s="40">
        <f t="shared" si="27"/>
        <v>8707750.1600000001</v>
      </c>
      <c r="S121" s="50"/>
      <c r="T121" s="37"/>
      <c r="U121" s="37"/>
      <c r="V121" s="8"/>
    </row>
    <row r="122" spans="1:22" ht="15" customHeight="1" x14ac:dyDescent="0.15">
      <c r="A122" s="20">
        <v>41026</v>
      </c>
      <c r="B122" s="20" t="s">
        <v>1</v>
      </c>
      <c r="C122" s="21">
        <v>60216</v>
      </c>
      <c r="D122" s="7">
        <v>18899</v>
      </c>
      <c r="E122" s="7">
        <v>80119</v>
      </c>
      <c r="F122" s="22">
        <v>4079</v>
      </c>
      <c r="G122" s="23">
        <v>2777</v>
      </c>
      <c r="H122" s="24"/>
      <c r="I122" s="36"/>
      <c r="J122" s="8">
        <f t="shared" si="18"/>
        <v>61220</v>
      </c>
      <c r="K122" s="37">
        <f t="shared" si="19"/>
        <v>209</v>
      </c>
      <c r="L122" s="37">
        <v>795</v>
      </c>
      <c r="M122" s="38">
        <f t="shared" si="28"/>
        <v>1608236</v>
      </c>
      <c r="N122" s="39">
        <f t="shared" si="32"/>
        <v>595843</v>
      </c>
      <c r="O122" s="39">
        <f t="shared" si="33"/>
        <v>2247089</v>
      </c>
      <c r="P122" s="40">
        <f t="shared" si="31"/>
        <v>6276788.7699999996</v>
      </c>
      <c r="Q122" s="40">
        <f t="shared" si="26"/>
        <v>2344710.1</v>
      </c>
      <c r="R122" s="40">
        <f t="shared" si="27"/>
        <v>8787869.1600000001</v>
      </c>
      <c r="S122" s="50"/>
      <c r="T122" s="37"/>
      <c r="U122" s="37"/>
      <c r="V122" s="8"/>
    </row>
    <row r="123" spans="1:22" ht="15" customHeight="1" x14ac:dyDescent="0.15">
      <c r="A123" s="20">
        <v>41027</v>
      </c>
      <c r="B123" s="20" t="s">
        <v>34</v>
      </c>
      <c r="C123" s="21">
        <v>59476</v>
      </c>
      <c r="D123" s="7">
        <v>21146</v>
      </c>
      <c r="E123" s="7">
        <v>82445</v>
      </c>
      <c r="F123" s="22">
        <v>4197</v>
      </c>
      <c r="G123" s="23">
        <v>2732</v>
      </c>
      <c r="H123" s="24"/>
      <c r="I123" s="36"/>
      <c r="J123" s="8">
        <f t="shared" si="18"/>
        <v>61299</v>
      </c>
      <c r="K123" s="37">
        <f t="shared" si="19"/>
        <v>1028</v>
      </c>
      <c r="L123" s="37">
        <v>795</v>
      </c>
      <c r="M123" s="38">
        <f t="shared" si="28"/>
        <v>1667712</v>
      </c>
      <c r="N123" s="39">
        <f t="shared" si="32"/>
        <v>616989</v>
      </c>
      <c r="O123" s="39">
        <f t="shared" si="33"/>
        <v>2329534</v>
      </c>
      <c r="P123" s="40">
        <f t="shared" si="31"/>
        <v>6336264.7699999996</v>
      </c>
      <c r="Q123" s="40">
        <f t="shared" si="26"/>
        <v>2365856.1</v>
      </c>
      <c r="R123" s="40">
        <f t="shared" si="27"/>
        <v>8870314.1600000001</v>
      </c>
      <c r="S123" s="50"/>
      <c r="T123" s="37"/>
      <c r="U123" s="37"/>
      <c r="V123" s="8"/>
    </row>
    <row r="124" spans="1:22" ht="15" customHeight="1" x14ac:dyDescent="0.15">
      <c r="A124" s="20">
        <v>41028</v>
      </c>
      <c r="B124" s="20" t="s">
        <v>35</v>
      </c>
      <c r="C124" s="21">
        <v>59503</v>
      </c>
      <c r="D124" s="7">
        <v>22348</v>
      </c>
      <c r="E124" s="7">
        <v>83332</v>
      </c>
      <c r="F124" s="22">
        <v>4207</v>
      </c>
      <c r="G124" s="23">
        <v>2879</v>
      </c>
      <c r="H124" s="24"/>
      <c r="I124" s="36"/>
      <c r="J124" s="8">
        <f t="shared" si="18"/>
        <v>60984</v>
      </c>
      <c r="K124" s="37">
        <f t="shared" si="19"/>
        <v>686</v>
      </c>
      <c r="L124" s="37">
        <v>795</v>
      </c>
      <c r="M124" s="38">
        <f t="shared" si="28"/>
        <v>1727215</v>
      </c>
      <c r="N124" s="39">
        <f t="shared" si="32"/>
        <v>639337</v>
      </c>
      <c r="O124" s="39">
        <f t="shared" si="33"/>
        <v>2412866</v>
      </c>
      <c r="P124" s="40">
        <f t="shared" si="31"/>
        <v>6395767.7699999996</v>
      </c>
      <c r="Q124" s="40">
        <f t="shared" si="26"/>
        <v>2388204.1</v>
      </c>
      <c r="R124" s="40">
        <f t="shared" si="27"/>
        <v>8953646.1600000001</v>
      </c>
      <c r="S124" s="50"/>
      <c r="T124" s="37"/>
      <c r="U124" s="37"/>
      <c r="V124" s="8"/>
    </row>
    <row r="125" spans="1:22" s="1" customFormat="1" ht="15" customHeight="1" x14ac:dyDescent="0.15">
      <c r="A125" s="25">
        <v>41029</v>
      </c>
      <c r="B125" s="25" t="s">
        <v>36</v>
      </c>
      <c r="C125" s="26">
        <v>57999</v>
      </c>
      <c r="D125" s="27">
        <v>19822</v>
      </c>
      <c r="E125" s="27">
        <v>80299</v>
      </c>
      <c r="F125" s="28">
        <v>4130</v>
      </c>
      <c r="G125" s="29">
        <v>2857</v>
      </c>
      <c r="H125" s="30"/>
      <c r="I125" s="30"/>
      <c r="J125" s="42">
        <f t="shared" si="18"/>
        <v>60477</v>
      </c>
      <c r="K125" s="43">
        <f t="shared" si="19"/>
        <v>1684</v>
      </c>
      <c r="L125" s="43">
        <v>794</v>
      </c>
      <c r="M125" s="44">
        <v>1785213</v>
      </c>
      <c r="N125" s="46">
        <v>659406</v>
      </c>
      <c r="O125" s="46">
        <v>2493386</v>
      </c>
      <c r="P125" s="44">
        <f t="shared" si="31"/>
        <v>6453765.7699999996</v>
      </c>
      <c r="Q125" s="44">
        <f t="shared" si="26"/>
        <v>2408273.1</v>
      </c>
      <c r="R125" s="44">
        <f t="shared" si="27"/>
        <v>9034166.1600000001</v>
      </c>
      <c r="S125" s="52">
        <v>49.0105</v>
      </c>
      <c r="T125" s="52">
        <f>P125/10000-S125</f>
        <v>596.36607700000002</v>
      </c>
      <c r="U125" s="42"/>
      <c r="V125" s="43">
        <f>V$94+(T125-T$94-0.7457)*10000/(3298.592+100)</f>
        <v>1752.5504002834114</v>
      </c>
    </row>
    <row r="126" spans="1:22" ht="15" customHeight="1" x14ac:dyDescent="0.15">
      <c r="A126" s="20">
        <v>41030</v>
      </c>
      <c r="B126" s="20" t="s">
        <v>37</v>
      </c>
      <c r="C126" s="21">
        <v>40647</v>
      </c>
      <c r="D126" s="7">
        <v>15094</v>
      </c>
      <c r="E126" s="7">
        <v>56694</v>
      </c>
      <c r="F126" s="22">
        <v>2862.5</v>
      </c>
      <c r="G126" s="23">
        <v>2066</v>
      </c>
      <c r="H126" s="24"/>
      <c r="I126" s="36"/>
      <c r="J126" s="8">
        <f t="shared" si="18"/>
        <v>41600</v>
      </c>
      <c r="K126" s="37">
        <f t="shared" si="19"/>
        <v>159</v>
      </c>
      <c r="L126" s="37">
        <v>794</v>
      </c>
      <c r="M126" s="38">
        <f>C126</f>
        <v>40647</v>
      </c>
      <c r="N126" s="39">
        <f>D126</f>
        <v>15094</v>
      </c>
      <c r="O126" s="39">
        <f>E126</f>
        <v>56694</v>
      </c>
      <c r="P126" s="40">
        <f>M126+P$125</f>
        <v>6494412.7699999996</v>
      </c>
      <c r="Q126" s="40">
        <f t="shared" ref="Q126:Q156" si="34">Q$125+N126</f>
        <v>2423367.1</v>
      </c>
      <c r="R126" s="40">
        <f t="shared" ref="R126:R156" si="35">R$125+O126</f>
        <v>9090860.1600000001</v>
      </c>
      <c r="S126" s="50">
        <v>49.110500000000002</v>
      </c>
      <c r="T126" s="50">
        <f>P126/10000-S126</f>
        <v>600.3307769999999</v>
      </c>
      <c r="U126" s="37"/>
      <c r="V126" s="37">
        <f>V$94+(T126-T$94-0.7457)*10000/(3298.592+100)</f>
        <v>1764.2161136141081</v>
      </c>
    </row>
    <row r="127" spans="1:22" ht="15" customHeight="1" x14ac:dyDescent="0.15">
      <c r="A127" s="20">
        <v>41031</v>
      </c>
      <c r="B127" s="20" t="s">
        <v>38</v>
      </c>
      <c r="C127" s="21">
        <v>46189</v>
      </c>
      <c r="D127" s="7">
        <v>15424</v>
      </c>
      <c r="E127" s="7">
        <v>62883</v>
      </c>
      <c r="F127" s="22">
        <v>3071.4</v>
      </c>
      <c r="G127" s="23">
        <v>1947.2</v>
      </c>
      <c r="H127" s="24"/>
      <c r="I127" s="36"/>
      <c r="J127" s="8">
        <f t="shared" si="18"/>
        <v>47459</v>
      </c>
      <c r="K127" s="37">
        <f t="shared" si="19"/>
        <v>475</v>
      </c>
      <c r="L127" s="37">
        <v>795</v>
      </c>
      <c r="M127" s="38">
        <f>M126+C127</f>
        <v>86836</v>
      </c>
      <c r="N127" s="39">
        <f>N126+D127</f>
        <v>30518</v>
      </c>
      <c r="O127" s="39">
        <f>O126+E127</f>
        <v>119577</v>
      </c>
      <c r="P127" s="40">
        <f t="shared" ref="P127:P156" si="36">M127+P$125</f>
        <v>6540601.7699999996</v>
      </c>
      <c r="Q127" s="40">
        <f t="shared" si="34"/>
        <v>2438791.1</v>
      </c>
      <c r="R127" s="40">
        <f t="shared" si="35"/>
        <v>9153743.1600000001</v>
      </c>
      <c r="S127" s="50"/>
      <c r="T127" s="37"/>
      <c r="U127" s="37"/>
      <c r="V127" s="54">
        <f>V125-V95</f>
        <v>477.55040028341136</v>
      </c>
    </row>
    <row r="128" spans="1:22" ht="15" customHeight="1" x14ac:dyDescent="0.15">
      <c r="A128" s="20">
        <v>41032</v>
      </c>
      <c r="B128" s="20" t="s">
        <v>39</v>
      </c>
      <c r="C128" s="21">
        <v>55826</v>
      </c>
      <c r="D128" s="7">
        <v>16854</v>
      </c>
      <c r="E128" s="7">
        <v>74759</v>
      </c>
      <c r="F128" s="22">
        <v>3858.4</v>
      </c>
      <c r="G128" s="23">
        <v>2351.9</v>
      </c>
      <c r="H128" s="24"/>
      <c r="I128" s="36"/>
      <c r="J128" s="8">
        <f t="shared" si="18"/>
        <v>57905</v>
      </c>
      <c r="K128" s="37">
        <f t="shared" si="19"/>
        <v>1284</v>
      </c>
      <c r="L128" s="37">
        <v>795</v>
      </c>
      <c r="M128" s="38">
        <f t="shared" ref="M128:M155" si="37">M127+C128</f>
        <v>142662</v>
      </c>
      <c r="N128" s="39">
        <f t="shared" ref="N128:O134" si="38">N127+D128</f>
        <v>47372</v>
      </c>
      <c r="O128" s="39">
        <f t="shared" si="38"/>
        <v>194336</v>
      </c>
      <c r="P128" s="40">
        <f t="shared" si="36"/>
        <v>6596427.7699999996</v>
      </c>
      <c r="Q128" s="40">
        <f t="shared" si="34"/>
        <v>2455645.1</v>
      </c>
      <c r="R128" s="40">
        <f t="shared" si="35"/>
        <v>9228502.1600000001</v>
      </c>
      <c r="S128" s="50"/>
      <c r="T128" s="37"/>
      <c r="U128" s="37"/>
      <c r="V128" s="8"/>
    </row>
    <row r="129" spans="1:22" ht="15" customHeight="1" x14ac:dyDescent="0.15">
      <c r="A129" s="20">
        <v>41033</v>
      </c>
      <c r="B129" s="20" t="s">
        <v>1</v>
      </c>
      <c r="C129" s="21">
        <v>60990</v>
      </c>
      <c r="D129" s="7">
        <v>17494</v>
      </c>
      <c r="E129" s="7">
        <v>80480</v>
      </c>
      <c r="F129" s="22">
        <v>4161.2</v>
      </c>
      <c r="G129" s="23">
        <v>2693.5</v>
      </c>
      <c r="H129" s="24">
        <v>944.7</v>
      </c>
      <c r="I129" s="36">
        <v>667.2</v>
      </c>
      <c r="J129" s="8">
        <f t="shared" ref="J129:J192" si="39">E129-D129</f>
        <v>62986</v>
      </c>
      <c r="K129" s="37">
        <f t="shared" ref="K129:K192" si="40">J129-C129-L129</f>
        <v>1201</v>
      </c>
      <c r="L129" s="37">
        <v>795</v>
      </c>
      <c r="M129" s="38">
        <f t="shared" si="37"/>
        <v>203652</v>
      </c>
      <c r="N129" s="39">
        <f t="shared" si="38"/>
        <v>64866</v>
      </c>
      <c r="O129" s="39">
        <f t="shared" si="38"/>
        <v>274816</v>
      </c>
      <c r="P129" s="40">
        <f t="shared" si="36"/>
        <v>6657417.7699999996</v>
      </c>
      <c r="Q129" s="40">
        <f t="shared" si="34"/>
        <v>2473139.1</v>
      </c>
      <c r="R129" s="40">
        <f t="shared" si="35"/>
        <v>9308982.1600000001</v>
      </c>
      <c r="S129" s="50"/>
      <c r="T129" s="37"/>
      <c r="U129" s="37"/>
      <c r="V129" s="8"/>
    </row>
    <row r="130" spans="1:22" ht="15" customHeight="1" x14ac:dyDescent="0.15">
      <c r="A130" s="20">
        <v>41034</v>
      </c>
      <c r="B130" s="20" t="s">
        <v>34</v>
      </c>
      <c r="C130" s="21">
        <v>61360</v>
      </c>
      <c r="D130" s="7">
        <v>18739</v>
      </c>
      <c r="E130" s="7">
        <v>82082</v>
      </c>
      <c r="F130" s="22">
        <v>4156.1000000000004</v>
      </c>
      <c r="G130" s="23">
        <v>2744.3</v>
      </c>
      <c r="H130" s="24">
        <v>953.2</v>
      </c>
      <c r="I130" s="36">
        <v>634.29999999999995</v>
      </c>
      <c r="J130" s="8">
        <f t="shared" si="39"/>
        <v>63343</v>
      </c>
      <c r="K130" s="37">
        <f t="shared" si="40"/>
        <v>1188</v>
      </c>
      <c r="L130" s="37">
        <v>795</v>
      </c>
      <c r="M130" s="38">
        <f t="shared" si="37"/>
        <v>265012</v>
      </c>
      <c r="N130" s="39">
        <f t="shared" si="38"/>
        <v>83605</v>
      </c>
      <c r="O130" s="39">
        <f t="shared" si="38"/>
        <v>356898</v>
      </c>
      <c r="P130" s="40">
        <f t="shared" si="36"/>
        <v>6718777.7699999996</v>
      </c>
      <c r="Q130" s="40">
        <f t="shared" si="34"/>
        <v>2491878.1</v>
      </c>
      <c r="R130" s="40">
        <f t="shared" si="35"/>
        <v>9391064.1600000001</v>
      </c>
      <c r="S130" s="50"/>
      <c r="T130" s="37"/>
      <c r="U130" s="37"/>
      <c r="V130" s="8"/>
    </row>
    <row r="131" spans="1:22" ht="15" customHeight="1" x14ac:dyDescent="0.15">
      <c r="A131" s="20">
        <v>41035</v>
      </c>
      <c r="B131" s="20" t="s">
        <v>35</v>
      </c>
      <c r="C131" s="21">
        <v>62513</v>
      </c>
      <c r="D131" s="7">
        <v>17716</v>
      </c>
      <c r="E131" s="7">
        <v>82847</v>
      </c>
      <c r="F131" s="22">
        <v>4192</v>
      </c>
      <c r="G131" s="23">
        <v>2840</v>
      </c>
      <c r="H131" s="24">
        <v>935.1</v>
      </c>
      <c r="I131" s="36">
        <v>563.29999999999995</v>
      </c>
      <c r="J131" s="8">
        <f t="shared" si="39"/>
        <v>65131</v>
      </c>
      <c r="K131" s="37">
        <f t="shared" si="40"/>
        <v>1823</v>
      </c>
      <c r="L131" s="37">
        <v>795</v>
      </c>
      <c r="M131" s="38">
        <f t="shared" si="37"/>
        <v>327525</v>
      </c>
      <c r="N131" s="39">
        <f t="shared" si="38"/>
        <v>101321</v>
      </c>
      <c r="O131" s="39">
        <f t="shared" si="38"/>
        <v>439745</v>
      </c>
      <c r="P131" s="40">
        <f t="shared" si="36"/>
        <v>6781290.7699999996</v>
      </c>
      <c r="Q131" s="40">
        <f t="shared" si="34"/>
        <v>2509594.1</v>
      </c>
      <c r="R131" s="40">
        <f t="shared" si="35"/>
        <v>9473911.1600000001</v>
      </c>
      <c r="S131" s="50"/>
      <c r="T131" s="37"/>
      <c r="U131" s="37"/>
      <c r="V131" s="8"/>
    </row>
    <row r="132" spans="1:22" ht="15" customHeight="1" x14ac:dyDescent="0.15">
      <c r="A132" s="14">
        <v>41036</v>
      </c>
      <c r="B132" s="14" t="s">
        <v>36</v>
      </c>
      <c r="C132" s="15">
        <v>62156</v>
      </c>
      <c r="D132" s="16">
        <v>18914</v>
      </c>
      <c r="E132" s="16">
        <v>83088</v>
      </c>
      <c r="F132" s="17">
        <v>4201.3999999999996</v>
      </c>
      <c r="G132" s="18">
        <v>2839.8</v>
      </c>
      <c r="H132" s="19">
        <v>968</v>
      </c>
      <c r="I132" s="19">
        <v>618.70000000000005</v>
      </c>
      <c r="J132" s="32">
        <f t="shared" si="39"/>
        <v>64174</v>
      </c>
      <c r="K132" s="33">
        <f t="shared" si="40"/>
        <v>1223</v>
      </c>
      <c r="L132" s="33">
        <v>795</v>
      </c>
      <c r="M132" s="34">
        <f t="shared" si="37"/>
        <v>389681</v>
      </c>
      <c r="N132" s="35">
        <f t="shared" si="38"/>
        <v>120235</v>
      </c>
      <c r="O132" s="35">
        <f t="shared" si="38"/>
        <v>522833</v>
      </c>
      <c r="P132" s="34">
        <f t="shared" si="36"/>
        <v>6843446.7699999996</v>
      </c>
      <c r="Q132" s="34">
        <f t="shared" si="34"/>
        <v>2528508.1</v>
      </c>
      <c r="R132" s="34">
        <f t="shared" si="35"/>
        <v>9556999.1600000001</v>
      </c>
      <c r="S132" s="49"/>
      <c r="T132" s="32"/>
      <c r="U132" s="32"/>
      <c r="V132" s="32"/>
    </row>
    <row r="133" spans="1:22" ht="15" customHeight="1" x14ac:dyDescent="0.15">
      <c r="A133" s="20">
        <v>41037</v>
      </c>
      <c r="B133" s="20" t="s">
        <v>37</v>
      </c>
      <c r="C133" s="21">
        <v>63320</v>
      </c>
      <c r="D133" s="7">
        <v>18767</v>
      </c>
      <c r="E133" s="7">
        <v>84003</v>
      </c>
      <c r="F133" s="22">
        <v>4269.8</v>
      </c>
      <c r="G133" s="23">
        <v>2862.6</v>
      </c>
      <c r="H133" s="24">
        <v>981.2</v>
      </c>
      <c r="I133" s="36">
        <v>605.29999999999995</v>
      </c>
      <c r="J133" s="8">
        <f t="shared" si="39"/>
        <v>65236</v>
      </c>
      <c r="K133" s="37">
        <f t="shared" si="40"/>
        <v>1121</v>
      </c>
      <c r="L133" s="37">
        <v>795</v>
      </c>
      <c r="M133" s="38">
        <f t="shared" si="37"/>
        <v>453001</v>
      </c>
      <c r="N133" s="39">
        <f t="shared" si="38"/>
        <v>139002</v>
      </c>
      <c r="O133" s="39">
        <f t="shared" si="38"/>
        <v>606836</v>
      </c>
      <c r="P133" s="40">
        <f t="shared" si="36"/>
        <v>6906766.7699999996</v>
      </c>
      <c r="Q133" s="40">
        <f t="shared" si="34"/>
        <v>2547275.1</v>
      </c>
      <c r="R133" s="40">
        <f t="shared" si="35"/>
        <v>9641002.1600000001</v>
      </c>
      <c r="S133" s="50">
        <v>52.610500000000002</v>
      </c>
      <c r="T133" s="50">
        <f>P133/10000-S133</f>
        <v>638.06617699999993</v>
      </c>
      <c r="U133" s="37"/>
      <c r="V133" s="37">
        <f>V$94+(T133-T$94-0.7457)*10000/(3298.592+100)</f>
        <v>1875.2485646997341</v>
      </c>
    </row>
    <row r="134" spans="1:22" ht="15" customHeight="1" x14ac:dyDescent="0.15">
      <c r="A134" s="20">
        <v>41038</v>
      </c>
      <c r="B134" s="20" t="s">
        <v>38</v>
      </c>
      <c r="C134" s="21">
        <v>63624</v>
      </c>
      <c r="D134" s="7">
        <v>18777</v>
      </c>
      <c r="E134" s="7">
        <v>84312</v>
      </c>
      <c r="F134" s="22">
        <v>4272.1000000000004</v>
      </c>
      <c r="G134" s="23">
        <v>2883</v>
      </c>
      <c r="H134" s="24">
        <v>973.6</v>
      </c>
      <c r="I134" s="36">
        <v>633.1</v>
      </c>
      <c r="J134" s="8">
        <f t="shared" si="39"/>
        <v>65535</v>
      </c>
      <c r="K134" s="37">
        <f t="shared" si="40"/>
        <v>1116</v>
      </c>
      <c r="L134" s="37">
        <v>795</v>
      </c>
      <c r="M134" s="38">
        <f t="shared" si="37"/>
        <v>516625</v>
      </c>
      <c r="N134" s="39">
        <f t="shared" si="38"/>
        <v>157779</v>
      </c>
      <c r="O134" s="39">
        <f t="shared" si="38"/>
        <v>691148</v>
      </c>
      <c r="P134" s="40">
        <f t="shared" si="36"/>
        <v>6970390.7699999996</v>
      </c>
      <c r="Q134" s="40">
        <f t="shared" si="34"/>
        <v>2566052.1</v>
      </c>
      <c r="R134" s="40">
        <f t="shared" si="35"/>
        <v>9725314.1600000001</v>
      </c>
      <c r="S134" s="50"/>
      <c r="T134" s="37"/>
      <c r="U134" s="37"/>
      <c r="V134" s="8"/>
    </row>
    <row r="135" spans="1:22" ht="15" customHeight="1" x14ac:dyDescent="0.15">
      <c r="A135" s="20">
        <v>41039</v>
      </c>
      <c r="B135" s="20" t="s">
        <v>39</v>
      </c>
      <c r="C135" s="21">
        <v>61641</v>
      </c>
      <c r="D135" s="7">
        <v>20051</v>
      </c>
      <c r="E135" s="7">
        <v>83389</v>
      </c>
      <c r="F135" s="22">
        <v>4234</v>
      </c>
      <c r="G135" s="23">
        <v>2879.3</v>
      </c>
      <c r="H135" s="24">
        <v>1034.8</v>
      </c>
      <c r="I135" s="36">
        <v>674.6</v>
      </c>
      <c r="J135" s="8">
        <f t="shared" si="39"/>
        <v>63338</v>
      </c>
      <c r="K135" s="37">
        <f t="shared" si="40"/>
        <v>902</v>
      </c>
      <c r="L135" s="37">
        <v>795</v>
      </c>
      <c r="M135" s="38">
        <v>578265</v>
      </c>
      <c r="N135" s="39">
        <v>177829</v>
      </c>
      <c r="O135" s="39">
        <v>774538</v>
      </c>
      <c r="P135" s="40">
        <f t="shared" si="36"/>
        <v>7032030.7699999996</v>
      </c>
      <c r="Q135" s="40">
        <f t="shared" si="34"/>
        <v>2586102.1</v>
      </c>
      <c r="R135" s="40">
        <f t="shared" si="35"/>
        <v>9808704.1600000001</v>
      </c>
      <c r="S135" s="50">
        <v>53.993899999999996</v>
      </c>
      <c r="T135" s="50">
        <f>P135/10000-S135</f>
        <v>649.20917699999995</v>
      </c>
      <c r="U135" s="37"/>
      <c r="V135" s="51">
        <f>V$94+(T135-T$94-0.7457)*10000/(3298.592+100)</f>
        <v>1908.0356718311577</v>
      </c>
    </row>
    <row r="136" spans="1:22" ht="15" customHeight="1" x14ac:dyDescent="0.15">
      <c r="A136" s="20">
        <v>41040</v>
      </c>
      <c r="B136" s="20" t="s">
        <v>1</v>
      </c>
      <c r="C136" s="21">
        <v>59673</v>
      </c>
      <c r="D136" s="7">
        <v>18518</v>
      </c>
      <c r="E136" s="7">
        <v>79501</v>
      </c>
      <c r="F136" s="22">
        <v>4003.8</v>
      </c>
      <c r="G136" s="23">
        <v>2796</v>
      </c>
      <c r="H136" s="24">
        <v>934.5</v>
      </c>
      <c r="I136" s="36">
        <v>671.3</v>
      </c>
      <c r="J136" s="8">
        <f t="shared" si="39"/>
        <v>60983</v>
      </c>
      <c r="K136" s="37">
        <f t="shared" si="40"/>
        <v>515</v>
      </c>
      <c r="L136" s="37">
        <v>795</v>
      </c>
      <c r="M136" s="38">
        <f t="shared" si="37"/>
        <v>637938</v>
      </c>
      <c r="N136" s="39">
        <f t="shared" ref="N136:N155" si="41">N135+D136</f>
        <v>196347</v>
      </c>
      <c r="O136" s="39">
        <f t="shared" ref="O136:O155" si="42">O135+E136</f>
        <v>854039</v>
      </c>
      <c r="P136" s="40">
        <f t="shared" si="36"/>
        <v>7091703.7699999996</v>
      </c>
      <c r="Q136" s="40">
        <f t="shared" si="34"/>
        <v>2604620.1</v>
      </c>
      <c r="R136" s="40">
        <f t="shared" si="35"/>
        <v>9888205.1600000001</v>
      </c>
      <c r="S136" s="50"/>
      <c r="T136" s="37"/>
      <c r="U136" s="37"/>
      <c r="V136" s="8"/>
    </row>
    <row r="137" spans="1:22" ht="15" customHeight="1" x14ac:dyDescent="0.15">
      <c r="A137" s="20">
        <v>41041</v>
      </c>
      <c r="B137" s="20" t="s">
        <v>34</v>
      </c>
      <c r="C137" s="21">
        <v>59590</v>
      </c>
      <c r="D137" s="7">
        <v>19933</v>
      </c>
      <c r="E137" s="7">
        <v>81081</v>
      </c>
      <c r="F137" s="22">
        <v>4179.8</v>
      </c>
      <c r="G137" s="23">
        <v>2712.7</v>
      </c>
      <c r="H137" s="24">
        <v>1028.8</v>
      </c>
      <c r="I137" s="36">
        <v>679</v>
      </c>
      <c r="J137" s="8">
        <f t="shared" si="39"/>
        <v>61148</v>
      </c>
      <c r="K137" s="37">
        <f t="shared" si="40"/>
        <v>763</v>
      </c>
      <c r="L137" s="37">
        <v>795</v>
      </c>
      <c r="M137" s="38">
        <f t="shared" si="37"/>
        <v>697528</v>
      </c>
      <c r="N137" s="39">
        <f t="shared" si="41"/>
        <v>216280</v>
      </c>
      <c r="O137" s="39">
        <f t="shared" si="42"/>
        <v>935120</v>
      </c>
      <c r="P137" s="40">
        <f t="shared" si="36"/>
        <v>7151293.7699999996</v>
      </c>
      <c r="Q137" s="40">
        <f t="shared" si="34"/>
        <v>2624553.1</v>
      </c>
      <c r="R137" s="40">
        <f t="shared" si="35"/>
        <v>9969286.1600000001</v>
      </c>
      <c r="S137" s="50"/>
      <c r="T137" s="37"/>
      <c r="U137" s="37"/>
      <c r="V137" s="8"/>
    </row>
    <row r="138" spans="1:22" ht="15" customHeight="1" x14ac:dyDescent="0.15">
      <c r="A138" s="20">
        <v>41042</v>
      </c>
      <c r="B138" s="20" t="s">
        <v>35</v>
      </c>
      <c r="C138" s="21">
        <v>59499</v>
      </c>
      <c r="D138" s="7">
        <v>20121</v>
      </c>
      <c r="E138" s="7">
        <v>82364</v>
      </c>
      <c r="F138" s="22">
        <v>4170</v>
      </c>
      <c r="G138" s="23">
        <v>2797.6</v>
      </c>
      <c r="H138" s="24">
        <v>1073.8</v>
      </c>
      <c r="I138" s="36">
        <v>714</v>
      </c>
      <c r="J138" s="8">
        <f t="shared" si="39"/>
        <v>62243</v>
      </c>
      <c r="K138" s="37">
        <f t="shared" si="40"/>
        <v>1949</v>
      </c>
      <c r="L138" s="37">
        <v>795</v>
      </c>
      <c r="M138" s="38">
        <f t="shared" si="37"/>
        <v>757027</v>
      </c>
      <c r="N138" s="39">
        <f t="shared" si="41"/>
        <v>236401</v>
      </c>
      <c r="O138" s="39">
        <f t="shared" si="42"/>
        <v>1017484</v>
      </c>
      <c r="P138" s="40">
        <f t="shared" si="36"/>
        <v>7210792.7699999996</v>
      </c>
      <c r="Q138" s="40">
        <f t="shared" si="34"/>
        <v>2644674.1</v>
      </c>
      <c r="R138" s="40">
        <f t="shared" si="35"/>
        <v>10051650.16</v>
      </c>
      <c r="S138" s="50"/>
      <c r="T138" s="37"/>
      <c r="U138" s="37"/>
      <c r="V138" s="8"/>
    </row>
    <row r="139" spans="1:22" ht="15" customHeight="1" x14ac:dyDescent="0.15">
      <c r="A139" s="14">
        <v>41043</v>
      </c>
      <c r="B139" s="14" t="s">
        <v>36</v>
      </c>
      <c r="C139" s="15">
        <v>58955</v>
      </c>
      <c r="D139" s="16">
        <v>19704</v>
      </c>
      <c r="E139" s="16">
        <v>81442</v>
      </c>
      <c r="F139" s="17">
        <v>4120</v>
      </c>
      <c r="G139" s="18">
        <v>2756</v>
      </c>
      <c r="H139" s="19"/>
      <c r="I139" s="19"/>
      <c r="J139" s="32">
        <f t="shared" si="39"/>
        <v>61738</v>
      </c>
      <c r="K139" s="33">
        <f t="shared" si="40"/>
        <v>1988</v>
      </c>
      <c r="L139" s="33">
        <v>795</v>
      </c>
      <c r="M139" s="34">
        <f t="shared" si="37"/>
        <v>815982</v>
      </c>
      <c r="N139" s="35">
        <f t="shared" si="41"/>
        <v>256105</v>
      </c>
      <c r="O139" s="35">
        <f t="shared" si="42"/>
        <v>1098926</v>
      </c>
      <c r="P139" s="34">
        <f t="shared" si="36"/>
        <v>7269747.7699999996</v>
      </c>
      <c r="Q139" s="34">
        <f t="shared" si="34"/>
        <v>2664378.1</v>
      </c>
      <c r="R139" s="34">
        <f t="shared" si="35"/>
        <v>10133092.16</v>
      </c>
      <c r="S139" s="49"/>
      <c r="T139" s="32"/>
      <c r="U139" s="32"/>
      <c r="V139" s="32"/>
    </row>
    <row r="140" spans="1:22" ht="15" customHeight="1" x14ac:dyDescent="0.15">
      <c r="A140" s="20">
        <v>41044</v>
      </c>
      <c r="B140" s="20" t="s">
        <v>37</v>
      </c>
      <c r="C140" s="21">
        <v>59000</v>
      </c>
      <c r="D140" s="7">
        <v>20000</v>
      </c>
      <c r="E140" s="7">
        <v>81500</v>
      </c>
      <c r="F140" s="22">
        <v>4111</v>
      </c>
      <c r="G140" s="23">
        <v>2722</v>
      </c>
      <c r="H140" s="24"/>
      <c r="I140" s="36"/>
      <c r="J140" s="8">
        <f t="shared" si="39"/>
        <v>61500</v>
      </c>
      <c r="K140" s="37">
        <f t="shared" si="40"/>
        <v>1705</v>
      </c>
      <c r="L140" s="37">
        <v>795</v>
      </c>
      <c r="M140" s="38">
        <f t="shared" si="37"/>
        <v>874982</v>
      </c>
      <c r="N140" s="39">
        <f t="shared" si="41"/>
        <v>276105</v>
      </c>
      <c r="O140" s="39">
        <f t="shared" si="42"/>
        <v>1180426</v>
      </c>
      <c r="P140" s="40">
        <f t="shared" si="36"/>
        <v>7328747.7699999996</v>
      </c>
      <c r="Q140" s="40">
        <f t="shared" si="34"/>
        <v>2684378.1</v>
      </c>
      <c r="R140" s="40">
        <f t="shared" si="35"/>
        <v>10214592.16</v>
      </c>
      <c r="S140" s="50">
        <v>56.493899999999996</v>
      </c>
      <c r="T140" s="50">
        <f>P140/10000-S140</f>
        <v>676.38087700000005</v>
      </c>
      <c r="U140" s="37"/>
      <c r="V140" s="37">
        <f>V$94+(T140-T$94-0.7457)*10000/(3298.592+100)</f>
        <v>1987.9855451904787</v>
      </c>
    </row>
    <row r="141" spans="1:22" ht="15" customHeight="1" x14ac:dyDescent="0.15">
      <c r="A141" s="20">
        <v>41045</v>
      </c>
      <c r="B141" s="20" t="s">
        <v>38</v>
      </c>
      <c r="C141" s="21">
        <v>58004</v>
      </c>
      <c r="D141" s="7">
        <v>20077</v>
      </c>
      <c r="E141" s="7">
        <v>80580</v>
      </c>
      <c r="F141" s="22">
        <v>4095.3</v>
      </c>
      <c r="G141" s="23">
        <v>2702.4</v>
      </c>
      <c r="H141" s="24"/>
      <c r="I141" s="36"/>
      <c r="J141" s="8">
        <f t="shared" si="39"/>
        <v>60503</v>
      </c>
      <c r="K141" s="37">
        <f t="shared" si="40"/>
        <v>1704</v>
      </c>
      <c r="L141" s="37">
        <v>795</v>
      </c>
      <c r="M141" s="38">
        <f t="shared" si="37"/>
        <v>932986</v>
      </c>
      <c r="N141" s="39">
        <f t="shared" si="41"/>
        <v>296182</v>
      </c>
      <c r="O141" s="39">
        <f t="shared" si="42"/>
        <v>1261006</v>
      </c>
      <c r="P141" s="40">
        <f t="shared" si="36"/>
        <v>7386751.7699999996</v>
      </c>
      <c r="Q141" s="40">
        <f t="shared" si="34"/>
        <v>2704455.1</v>
      </c>
      <c r="R141" s="40">
        <f t="shared" si="35"/>
        <v>10295172.16</v>
      </c>
      <c r="S141" s="50"/>
      <c r="T141" s="37"/>
      <c r="U141" s="37"/>
      <c r="V141" s="8"/>
    </row>
    <row r="142" spans="1:22" ht="15" customHeight="1" x14ac:dyDescent="0.15">
      <c r="A142" s="20">
        <v>41046</v>
      </c>
      <c r="B142" s="20" t="s">
        <v>39</v>
      </c>
      <c r="C142" s="21">
        <v>55979</v>
      </c>
      <c r="D142" s="7">
        <v>19869</v>
      </c>
      <c r="E142" s="7">
        <v>78459</v>
      </c>
      <c r="F142" s="22">
        <v>4066.9</v>
      </c>
      <c r="G142" s="23">
        <v>2700.5</v>
      </c>
      <c r="H142" s="24"/>
      <c r="I142" s="36"/>
      <c r="J142" s="8">
        <f t="shared" si="39"/>
        <v>58590</v>
      </c>
      <c r="K142" s="37">
        <f t="shared" si="40"/>
        <v>1816</v>
      </c>
      <c r="L142" s="37">
        <v>795</v>
      </c>
      <c r="M142" s="38">
        <f t="shared" si="37"/>
        <v>988965</v>
      </c>
      <c r="N142" s="39">
        <f t="shared" si="41"/>
        <v>316051</v>
      </c>
      <c r="O142" s="39">
        <f t="shared" si="42"/>
        <v>1339465</v>
      </c>
      <c r="P142" s="40">
        <f t="shared" si="36"/>
        <v>7442730.7699999996</v>
      </c>
      <c r="Q142" s="40">
        <f t="shared" si="34"/>
        <v>2724324.1</v>
      </c>
      <c r="R142" s="40">
        <f t="shared" si="35"/>
        <v>10373631.16</v>
      </c>
      <c r="S142" s="50"/>
      <c r="T142" s="37"/>
      <c r="U142" s="37"/>
      <c r="V142" s="8"/>
    </row>
    <row r="143" spans="1:22" ht="15" customHeight="1" x14ac:dyDescent="0.15">
      <c r="A143" s="20">
        <v>41047</v>
      </c>
      <c r="B143" s="20" t="s">
        <v>1</v>
      </c>
      <c r="C143" s="21">
        <v>51620</v>
      </c>
      <c r="D143" s="7">
        <v>19564</v>
      </c>
      <c r="E143" s="7">
        <v>73427</v>
      </c>
      <c r="F143" s="22">
        <v>3755.8</v>
      </c>
      <c r="G143" s="23">
        <v>2599.8000000000002</v>
      </c>
      <c r="H143" s="24"/>
      <c r="I143" s="36"/>
      <c r="J143" s="8">
        <f t="shared" si="39"/>
        <v>53863</v>
      </c>
      <c r="K143" s="37">
        <f t="shared" si="40"/>
        <v>1490</v>
      </c>
      <c r="L143" s="37">
        <v>753</v>
      </c>
      <c r="M143" s="38">
        <f t="shared" si="37"/>
        <v>1040585</v>
      </c>
      <c r="N143" s="39">
        <f t="shared" si="41"/>
        <v>335615</v>
      </c>
      <c r="O143" s="39">
        <f t="shared" si="42"/>
        <v>1412892</v>
      </c>
      <c r="P143" s="40">
        <f t="shared" si="36"/>
        <v>7494350.7699999996</v>
      </c>
      <c r="Q143" s="40">
        <f t="shared" si="34"/>
        <v>2743888.1</v>
      </c>
      <c r="R143" s="40">
        <f t="shared" si="35"/>
        <v>10447058.16</v>
      </c>
      <c r="S143" s="50"/>
      <c r="T143" s="37"/>
      <c r="U143" s="37"/>
      <c r="V143" s="8"/>
    </row>
    <row r="144" spans="1:22" ht="15" customHeight="1" x14ac:dyDescent="0.15">
      <c r="A144" s="20">
        <v>41048</v>
      </c>
      <c r="B144" s="20" t="s">
        <v>34</v>
      </c>
      <c r="C144" s="21">
        <v>54285</v>
      </c>
      <c r="D144" s="7">
        <v>20412</v>
      </c>
      <c r="E144" s="7">
        <v>77347</v>
      </c>
      <c r="F144" s="22">
        <v>4045.5</v>
      </c>
      <c r="G144" s="23">
        <v>2531.6999999999998</v>
      </c>
      <c r="H144" s="24"/>
      <c r="I144" s="36"/>
      <c r="J144" s="8">
        <f t="shared" si="39"/>
        <v>56935</v>
      </c>
      <c r="K144" s="37">
        <f t="shared" si="40"/>
        <v>2015</v>
      </c>
      <c r="L144" s="37">
        <v>635</v>
      </c>
      <c r="M144" s="38">
        <f t="shared" si="37"/>
        <v>1094870</v>
      </c>
      <c r="N144" s="39">
        <f t="shared" si="41"/>
        <v>356027</v>
      </c>
      <c r="O144" s="39">
        <f t="shared" si="42"/>
        <v>1490239</v>
      </c>
      <c r="P144" s="40">
        <f t="shared" si="36"/>
        <v>7548635.7699999996</v>
      </c>
      <c r="Q144" s="40">
        <f t="shared" si="34"/>
        <v>2764300.1</v>
      </c>
      <c r="R144" s="40">
        <f t="shared" si="35"/>
        <v>10524405.16</v>
      </c>
      <c r="S144" s="50"/>
      <c r="T144" s="37"/>
      <c r="U144" s="37"/>
      <c r="V144" s="8"/>
    </row>
    <row r="145" spans="1:22" ht="15" customHeight="1" x14ac:dyDescent="0.15">
      <c r="A145" s="20">
        <v>41049</v>
      </c>
      <c r="B145" s="20" t="s">
        <v>35</v>
      </c>
      <c r="C145" s="21">
        <v>55892</v>
      </c>
      <c r="D145" s="7">
        <v>19708</v>
      </c>
      <c r="E145" s="7">
        <v>78742</v>
      </c>
      <c r="F145" s="22">
        <v>4027.7</v>
      </c>
      <c r="G145" s="23">
        <v>2658.4</v>
      </c>
      <c r="H145" s="24"/>
      <c r="I145" s="36"/>
      <c r="J145" s="8">
        <f t="shared" si="39"/>
        <v>59034</v>
      </c>
      <c r="K145" s="37">
        <f t="shared" si="40"/>
        <v>2508</v>
      </c>
      <c r="L145" s="37">
        <v>634</v>
      </c>
      <c r="M145" s="38">
        <f t="shared" si="37"/>
        <v>1150762</v>
      </c>
      <c r="N145" s="39">
        <f t="shared" si="41"/>
        <v>375735</v>
      </c>
      <c r="O145" s="39">
        <f t="shared" si="42"/>
        <v>1568981</v>
      </c>
      <c r="P145" s="40">
        <f t="shared" si="36"/>
        <v>7604527.7699999996</v>
      </c>
      <c r="Q145" s="40">
        <f t="shared" si="34"/>
        <v>2784008.1</v>
      </c>
      <c r="R145" s="40">
        <f t="shared" si="35"/>
        <v>10603147.16</v>
      </c>
      <c r="S145" s="50">
        <v>59.484900000000003</v>
      </c>
      <c r="T145" s="50">
        <f>P145/10000-S145</f>
        <v>700.96787699999993</v>
      </c>
      <c r="U145" s="37"/>
      <c r="V145" s="51">
        <f>V$94+(T145-T$94-0.7457)*10000/(3298.592+100)</f>
        <v>2060.3302102753137</v>
      </c>
    </row>
    <row r="146" spans="1:22" ht="15" customHeight="1" x14ac:dyDescent="0.15">
      <c r="A146" s="14">
        <v>41050</v>
      </c>
      <c r="B146" s="14" t="s">
        <v>36</v>
      </c>
      <c r="C146" s="15">
        <v>56687</v>
      </c>
      <c r="D146" s="16">
        <v>20511</v>
      </c>
      <c r="E146" s="16">
        <v>80696</v>
      </c>
      <c r="F146" s="17">
        <v>4111</v>
      </c>
      <c r="G146" s="18">
        <v>2704</v>
      </c>
      <c r="H146" s="19"/>
      <c r="I146" s="19"/>
      <c r="J146" s="32">
        <f t="shared" si="39"/>
        <v>60185</v>
      </c>
      <c r="K146" s="33">
        <f t="shared" si="40"/>
        <v>2864</v>
      </c>
      <c r="L146" s="33">
        <v>634</v>
      </c>
      <c r="M146" s="34">
        <f t="shared" si="37"/>
        <v>1207449</v>
      </c>
      <c r="N146" s="35">
        <f t="shared" si="41"/>
        <v>396246</v>
      </c>
      <c r="O146" s="35">
        <f t="shared" si="42"/>
        <v>1649677</v>
      </c>
      <c r="P146" s="34">
        <f t="shared" si="36"/>
        <v>7661214.7699999996</v>
      </c>
      <c r="Q146" s="34">
        <f t="shared" si="34"/>
        <v>2804519.1</v>
      </c>
      <c r="R146" s="34">
        <f t="shared" si="35"/>
        <v>10683843.16</v>
      </c>
      <c r="S146" s="49"/>
      <c r="T146" s="32"/>
      <c r="U146" s="32"/>
      <c r="V146" s="32"/>
    </row>
    <row r="147" spans="1:22" ht="15" customHeight="1" x14ac:dyDescent="0.15">
      <c r="A147" s="20">
        <v>41051</v>
      </c>
      <c r="B147" s="20" t="s">
        <v>37</v>
      </c>
      <c r="C147" s="21">
        <v>55136</v>
      </c>
      <c r="D147" s="7">
        <v>21665</v>
      </c>
      <c r="E147" s="7">
        <v>79971</v>
      </c>
      <c r="F147" s="22">
        <v>4099</v>
      </c>
      <c r="G147" s="23">
        <v>2750</v>
      </c>
      <c r="H147" s="24"/>
      <c r="I147" s="36"/>
      <c r="J147" s="8">
        <f t="shared" si="39"/>
        <v>58306</v>
      </c>
      <c r="K147" s="37">
        <f t="shared" si="40"/>
        <v>2536</v>
      </c>
      <c r="L147" s="37">
        <v>634</v>
      </c>
      <c r="M147" s="38">
        <f t="shared" si="37"/>
        <v>1262585</v>
      </c>
      <c r="N147" s="39">
        <f t="shared" si="41"/>
        <v>417911</v>
      </c>
      <c r="O147" s="39">
        <f t="shared" si="42"/>
        <v>1729648</v>
      </c>
      <c r="P147" s="40">
        <f t="shared" si="36"/>
        <v>7716350.7699999996</v>
      </c>
      <c r="Q147" s="40">
        <f t="shared" si="34"/>
        <v>2826184.1</v>
      </c>
      <c r="R147" s="40">
        <f t="shared" si="35"/>
        <v>10763814.16</v>
      </c>
      <c r="S147" s="50">
        <v>60.584899999999998</v>
      </c>
      <c r="T147" s="50">
        <f>P147/10000-S147</f>
        <v>711.05017699999996</v>
      </c>
      <c r="U147" s="37"/>
      <c r="V147" s="37">
        <f>V$94+(T147-T$94-0.7457)*10000/(3298.592+100)</f>
        <v>2089.9963190638941</v>
      </c>
    </row>
    <row r="148" spans="1:22" ht="15" customHeight="1" x14ac:dyDescent="0.15">
      <c r="A148" s="20">
        <v>41052</v>
      </c>
      <c r="B148" s="20" t="s">
        <v>38</v>
      </c>
      <c r="C148" s="21">
        <v>56300</v>
      </c>
      <c r="D148" s="7">
        <v>21000</v>
      </c>
      <c r="E148" s="7">
        <v>79800</v>
      </c>
      <c r="F148" s="22">
        <v>4074</v>
      </c>
      <c r="G148" s="23">
        <v>2686</v>
      </c>
      <c r="H148" s="24"/>
      <c r="I148" s="36"/>
      <c r="J148" s="8">
        <f t="shared" si="39"/>
        <v>58800</v>
      </c>
      <c r="K148" s="37">
        <f t="shared" si="40"/>
        <v>1868</v>
      </c>
      <c r="L148" s="37">
        <v>632</v>
      </c>
      <c r="M148" s="38">
        <f t="shared" si="37"/>
        <v>1318885</v>
      </c>
      <c r="N148" s="39">
        <f t="shared" si="41"/>
        <v>438911</v>
      </c>
      <c r="O148" s="39">
        <f t="shared" si="42"/>
        <v>1809448</v>
      </c>
      <c r="P148" s="40">
        <f t="shared" si="36"/>
        <v>7772650.7699999996</v>
      </c>
      <c r="Q148" s="40">
        <f t="shared" si="34"/>
        <v>2847184.1</v>
      </c>
      <c r="R148" s="40">
        <f t="shared" si="35"/>
        <v>10843614.16</v>
      </c>
      <c r="S148" s="50"/>
      <c r="T148" s="37"/>
      <c r="U148" s="37"/>
      <c r="V148" s="8"/>
    </row>
    <row r="149" spans="1:22" ht="15" customHeight="1" x14ac:dyDescent="0.15">
      <c r="A149" s="20">
        <v>41053</v>
      </c>
      <c r="B149" s="20" t="s">
        <v>39</v>
      </c>
      <c r="C149" s="21">
        <v>56300</v>
      </c>
      <c r="D149" s="7">
        <v>19900</v>
      </c>
      <c r="E149" s="7">
        <v>77900</v>
      </c>
      <c r="F149" s="22">
        <v>4052</v>
      </c>
      <c r="G149" s="23">
        <v>2675</v>
      </c>
      <c r="H149" s="24"/>
      <c r="I149" s="36"/>
      <c r="J149" s="8">
        <f t="shared" si="39"/>
        <v>58000</v>
      </c>
      <c r="K149" s="37">
        <f t="shared" si="40"/>
        <v>1068</v>
      </c>
      <c r="L149" s="37">
        <v>632</v>
      </c>
      <c r="M149" s="38">
        <f t="shared" si="37"/>
        <v>1375185</v>
      </c>
      <c r="N149" s="39">
        <f t="shared" si="41"/>
        <v>458811</v>
      </c>
      <c r="O149" s="39">
        <f t="shared" si="42"/>
        <v>1887348</v>
      </c>
      <c r="P149" s="40">
        <f t="shared" si="36"/>
        <v>7828950.7699999996</v>
      </c>
      <c r="Q149" s="40">
        <f t="shared" si="34"/>
        <v>2867084.1</v>
      </c>
      <c r="R149" s="40">
        <f t="shared" si="35"/>
        <v>10921514.16</v>
      </c>
      <c r="S149" s="50">
        <f>S147+0.55*2</f>
        <v>61.684899999999999</v>
      </c>
      <c r="T149" s="50">
        <f>P149/10000-S149</f>
        <v>721.21017699999993</v>
      </c>
      <c r="U149" s="37"/>
      <c r="V149" s="37">
        <f>V$94+(T149-T$94-0.7457)*10000/(3298.592+100)</f>
        <v>2119.8910519415094</v>
      </c>
    </row>
    <row r="150" spans="1:22" ht="15" customHeight="1" x14ac:dyDescent="0.15">
      <c r="A150" s="20">
        <v>41054</v>
      </c>
      <c r="B150" s="20" t="s">
        <v>1</v>
      </c>
      <c r="C150" s="21">
        <v>56300</v>
      </c>
      <c r="D150" s="7">
        <v>18500</v>
      </c>
      <c r="E150" s="7">
        <v>77900</v>
      </c>
      <c r="F150" s="22">
        <v>3901</v>
      </c>
      <c r="G150" s="23">
        <v>2707</v>
      </c>
      <c r="H150" s="24"/>
      <c r="I150" s="36"/>
      <c r="J150" s="8">
        <f t="shared" si="39"/>
        <v>59400</v>
      </c>
      <c r="K150" s="37">
        <f t="shared" si="40"/>
        <v>2467</v>
      </c>
      <c r="L150" s="37">
        <v>633</v>
      </c>
      <c r="M150" s="38">
        <f t="shared" si="37"/>
        <v>1431485</v>
      </c>
      <c r="N150" s="39">
        <f t="shared" si="41"/>
        <v>477311</v>
      </c>
      <c r="O150" s="39">
        <f t="shared" si="42"/>
        <v>1965248</v>
      </c>
      <c r="P150" s="40">
        <f t="shared" si="36"/>
        <v>7885250.7699999996</v>
      </c>
      <c r="Q150" s="40">
        <f t="shared" si="34"/>
        <v>2885584.1</v>
      </c>
      <c r="R150" s="40">
        <f t="shared" si="35"/>
        <v>10999414.16</v>
      </c>
      <c r="S150" s="50"/>
      <c r="T150" s="37"/>
      <c r="U150" s="37"/>
      <c r="V150" s="8"/>
    </row>
    <row r="151" spans="1:22" ht="15" customHeight="1" x14ac:dyDescent="0.15">
      <c r="A151" s="20">
        <v>41055</v>
      </c>
      <c r="B151" s="20" t="s">
        <v>34</v>
      </c>
      <c r="C151" s="21">
        <v>56744</v>
      </c>
      <c r="D151" s="7">
        <v>21359</v>
      </c>
      <c r="E151" s="7">
        <v>81387</v>
      </c>
      <c r="F151" s="22">
        <v>4186</v>
      </c>
      <c r="G151" s="23">
        <v>2637</v>
      </c>
      <c r="H151" s="24"/>
      <c r="I151" s="36"/>
      <c r="J151" s="8">
        <f t="shared" si="39"/>
        <v>60028</v>
      </c>
      <c r="K151" s="37">
        <f t="shared" si="40"/>
        <v>2650</v>
      </c>
      <c r="L151" s="37">
        <v>634</v>
      </c>
      <c r="M151" s="38">
        <f t="shared" si="37"/>
        <v>1488229</v>
      </c>
      <c r="N151" s="39">
        <f t="shared" si="41"/>
        <v>498670</v>
      </c>
      <c r="O151" s="39">
        <f t="shared" si="42"/>
        <v>2046635</v>
      </c>
      <c r="P151" s="40">
        <f t="shared" si="36"/>
        <v>7941994.7699999996</v>
      </c>
      <c r="Q151" s="40">
        <f t="shared" si="34"/>
        <v>2906943.1</v>
      </c>
      <c r="R151" s="40">
        <f t="shared" si="35"/>
        <v>11080801.16</v>
      </c>
      <c r="S151" s="50"/>
      <c r="T151" s="37"/>
      <c r="U151" s="37"/>
      <c r="V151" s="8"/>
    </row>
    <row r="152" spans="1:22" ht="15" customHeight="1" x14ac:dyDescent="0.15">
      <c r="A152" s="20">
        <v>41056</v>
      </c>
      <c r="B152" s="20" t="s">
        <v>35</v>
      </c>
      <c r="C152" s="21">
        <v>57896</v>
      </c>
      <c r="D152" s="7">
        <v>23387</v>
      </c>
      <c r="E152" s="7">
        <v>84317</v>
      </c>
      <c r="F152" s="22">
        <v>4243</v>
      </c>
      <c r="G152" s="23">
        <v>2776</v>
      </c>
      <c r="H152" s="24"/>
      <c r="I152" s="36"/>
      <c r="J152" s="8">
        <f t="shared" si="39"/>
        <v>60930</v>
      </c>
      <c r="K152" s="37">
        <f t="shared" si="40"/>
        <v>2400</v>
      </c>
      <c r="L152" s="37">
        <v>634</v>
      </c>
      <c r="M152" s="38">
        <f t="shared" si="37"/>
        <v>1546125</v>
      </c>
      <c r="N152" s="39">
        <f t="shared" si="41"/>
        <v>522057</v>
      </c>
      <c r="O152" s="39">
        <f t="shared" si="42"/>
        <v>2130952</v>
      </c>
      <c r="P152" s="40">
        <f t="shared" si="36"/>
        <v>7999890.7699999996</v>
      </c>
      <c r="Q152" s="40">
        <f t="shared" si="34"/>
        <v>2930330.1</v>
      </c>
      <c r="R152" s="40">
        <f t="shared" si="35"/>
        <v>11165118.16</v>
      </c>
      <c r="S152" s="50"/>
      <c r="T152" s="37"/>
      <c r="U152" s="37"/>
      <c r="V152" s="8"/>
    </row>
    <row r="153" spans="1:22" ht="15" customHeight="1" x14ac:dyDescent="0.15">
      <c r="A153" s="14">
        <v>41057</v>
      </c>
      <c r="B153" s="14" t="s">
        <v>36</v>
      </c>
      <c r="C153" s="15">
        <v>59953</v>
      </c>
      <c r="D153" s="16">
        <v>23872</v>
      </c>
      <c r="E153" s="16">
        <v>86520</v>
      </c>
      <c r="F153" s="17">
        <v>4338</v>
      </c>
      <c r="G153" s="18">
        <v>2880</v>
      </c>
      <c r="H153" s="19"/>
      <c r="I153" s="19"/>
      <c r="J153" s="32">
        <f t="shared" si="39"/>
        <v>62648</v>
      </c>
      <c r="K153" s="33">
        <f t="shared" si="40"/>
        <v>2061</v>
      </c>
      <c r="L153" s="33">
        <v>634</v>
      </c>
      <c r="M153" s="34">
        <f t="shared" si="37"/>
        <v>1606078</v>
      </c>
      <c r="N153" s="35">
        <f t="shared" si="41"/>
        <v>545929</v>
      </c>
      <c r="O153" s="35">
        <f t="shared" si="42"/>
        <v>2217472</v>
      </c>
      <c r="P153" s="34">
        <f t="shared" si="36"/>
        <v>8059843.7699999996</v>
      </c>
      <c r="Q153" s="34">
        <f t="shared" si="34"/>
        <v>2954202.1</v>
      </c>
      <c r="R153" s="34">
        <f t="shared" si="35"/>
        <v>11251638.16</v>
      </c>
      <c r="S153" s="49"/>
      <c r="T153" s="32"/>
      <c r="U153" s="32"/>
      <c r="V153" s="32"/>
    </row>
    <row r="154" spans="1:22" ht="15" customHeight="1" x14ac:dyDescent="0.15">
      <c r="A154" s="20">
        <v>41058</v>
      </c>
      <c r="B154" s="20" t="s">
        <v>37</v>
      </c>
      <c r="C154" s="21">
        <v>60435</v>
      </c>
      <c r="D154" s="7">
        <v>24335</v>
      </c>
      <c r="E154" s="7">
        <v>87643</v>
      </c>
      <c r="F154" s="22">
        <v>4454</v>
      </c>
      <c r="G154" s="23">
        <v>2938</v>
      </c>
      <c r="H154" s="24"/>
      <c r="I154" s="36"/>
      <c r="J154" s="8">
        <f t="shared" si="39"/>
        <v>63308</v>
      </c>
      <c r="K154" s="37">
        <f t="shared" si="40"/>
        <v>2239</v>
      </c>
      <c r="L154" s="37">
        <v>634</v>
      </c>
      <c r="M154" s="38">
        <f t="shared" si="37"/>
        <v>1666513</v>
      </c>
      <c r="N154" s="39">
        <f t="shared" si="41"/>
        <v>570264</v>
      </c>
      <c r="O154" s="39">
        <f t="shared" si="42"/>
        <v>2305115</v>
      </c>
      <c r="P154" s="40">
        <f t="shared" si="36"/>
        <v>8120278.7699999996</v>
      </c>
      <c r="Q154" s="40">
        <f t="shared" si="34"/>
        <v>2978537.1</v>
      </c>
      <c r="R154" s="40">
        <f t="shared" si="35"/>
        <v>11339281.16</v>
      </c>
      <c r="S154" s="50">
        <v>64.434899999999999</v>
      </c>
      <c r="T154" s="50">
        <f>P154/10000-S154</f>
        <v>747.59297700000002</v>
      </c>
      <c r="U154" s="37"/>
      <c r="V154" s="37">
        <v>2197</v>
      </c>
    </row>
    <row r="155" spans="1:22" ht="15" customHeight="1" x14ac:dyDescent="0.15">
      <c r="A155" s="20">
        <v>41059</v>
      </c>
      <c r="B155" s="20" t="s">
        <v>38</v>
      </c>
      <c r="C155" s="21">
        <v>57266</v>
      </c>
      <c r="D155" s="7">
        <v>24727</v>
      </c>
      <c r="E155" s="7">
        <v>87076</v>
      </c>
      <c r="F155" s="22">
        <v>4349</v>
      </c>
      <c r="G155" s="23">
        <v>2953</v>
      </c>
      <c r="H155" s="24"/>
      <c r="I155" s="36"/>
      <c r="J155" s="8">
        <f t="shared" si="39"/>
        <v>62349</v>
      </c>
      <c r="K155" s="37">
        <f t="shared" si="40"/>
        <v>4449</v>
      </c>
      <c r="L155" s="37">
        <v>634</v>
      </c>
      <c r="M155" s="38">
        <f t="shared" si="37"/>
        <v>1723779</v>
      </c>
      <c r="N155" s="39">
        <f t="shared" si="41"/>
        <v>594991</v>
      </c>
      <c r="O155" s="39">
        <f t="shared" si="42"/>
        <v>2392191</v>
      </c>
      <c r="P155" s="40">
        <f t="shared" si="36"/>
        <v>8177544.7699999996</v>
      </c>
      <c r="Q155" s="40">
        <f t="shared" si="34"/>
        <v>3003264.1</v>
      </c>
      <c r="R155" s="40">
        <f t="shared" si="35"/>
        <v>11426357.16</v>
      </c>
      <c r="S155" s="50"/>
      <c r="T155" s="37"/>
      <c r="U155" s="37"/>
      <c r="V155" s="8"/>
    </row>
    <row r="156" spans="1:22" s="1" customFormat="1" ht="15" customHeight="1" x14ac:dyDescent="0.15">
      <c r="A156" s="25">
        <v>41060</v>
      </c>
      <c r="B156" s="25" t="s">
        <v>39</v>
      </c>
      <c r="C156" s="26">
        <v>57619</v>
      </c>
      <c r="D156" s="27">
        <v>20422</v>
      </c>
      <c r="E156" s="27">
        <v>81220</v>
      </c>
      <c r="F156" s="28">
        <v>4164</v>
      </c>
      <c r="G156" s="29">
        <v>2886</v>
      </c>
      <c r="H156" s="30"/>
      <c r="I156" s="30"/>
      <c r="J156" s="42">
        <f t="shared" si="39"/>
        <v>60798</v>
      </c>
      <c r="K156" s="43">
        <f t="shared" si="40"/>
        <v>2545</v>
      </c>
      <c r="L156" s="43">
        <v>634</v>
      </c>
      <c r="M156" s="44">
        <v>1781398</v>
      </c>
      <c r="N156" s="46">
        <v>615413</v>
      </c>
      <c r="O156" s="46">
        <v>2473411</v>
      </c>
      <c r="P156" s="44">
        <f t="shared" si="36"/>
        <v>8235163.7699999996</v>
      </c>
      <c r="Q156" s="44">
        <f t="shared" si="34"/>
        <v>3023686.1</v>
      </c>
      <c r="R156" s="44">
        <f t="shared" si="35"/>
        <v>11507577.16</v>
      </c>
      <c r="S156" s="52">
        <v>64.769000000000005</v>
      </c>
      <c r="T156" s="52">
        <f>P156/10000-S156</f>
        <v>758.74737699999991</v>
      </c>
      <c r="U156" s="43"/>
      <c r="V156" s="43">
        <f>V$94+(T156-T$94-2.4815)*10000/(3298.592+102)</f>
        <v>2223.9241784959795</v>
      </c>
    </row>
    <row r="157" spans="1:22" ht="15" customHeight="1" x14ac:dyDescent="0.15">
      <c r="A157" s="20">
        <v>41061</v>
      </c>
      <c r="B157" s="20" t="s">
        <v>1</v>
      </c>
      <c r="C157" s="21">
        <v>50500</v>
      </c>
      <c r="D157" s="7">
        <v>17500</v>
      </c>
      <c r="E157" s="7">
        <v>70135</v>
      </c>
      <c r="F157" s="22">
        <v>3444</v>
      </c>
      <c r="G157" s="23">
        <v>2615</v>
      </c>
      <c r="H157" s="24"/>
      <c r="I157" s="36"/>
      <c r="J157" s="8">
        <f t="shared" si="39"/>
        <v>52635</v>
      </c>
      <c r="K157" s="37">
        <f t="shared" si="40"/>
        <v>1500</v>
      </c>
      <c r="L157" s="37">
        <v>635</v>
      </c>
      <c r="M157" s="38">
        <f>C157</f>
        <v>50500</v>
      </c>
      <c r="N157" s="39">
        <f>D157</f>
        <v>17500</v>
      </c>
      <c r="O157" s="39">
        <f>E157</f>
        <v>70135</v>
      </c>
      <c r="P157" s="40">
        <f>P$156+M157</f>
        <v>8285663.7699999996</v>
      </c>
      <c r="Q157" s="40">
        <f>Q$156+N157</f>
        <v>3041186.1</v>
      </c>
      <c r="R157" s="40">
        <f>R$156+O157</f>
        <v>11577712.16</v>
      </c>
      <c r="S157" s="50"/>
      <c r="T157" s="37"/>
      <c r="U157" s="37"/>
      <c r="V157" s="54">
        <f>V156-V125</f>
        <v>471.37377821256814</v>
      </c>
    </row>
    <row r="158" spans="1:22" ht="15" customHeight="1" x14ac:dyDescent="0.15">
      <c r="A158" s="20">
        <v>41062</v>
      </c>
      <c r="B158" s="20" t="s">
        <v>34</v>
      </c>
      <c r="C158" s="21">
        <v>39300</v>
      </c>
      <c r="D158" s="7">
        <v>16800</v>
      </c>
      <c r="E158" s="7">
        <v>58200</v>
      </c>
      <c r="F158" s="22">
        <v>2641</v>
      </c>
      <c r="G158" s="23">
        <v>2313</v>
      </c>
      <c r="H158" s="24"/>
      <c r="I158" s="36"/>
      <c r="J158" s="8">
        <f t="shared" si="39"/>
        <v>41400</v>
      </c>
      <c r="K158" s="37">
        <f t="shared" si="40"/>
        <v>1465</v>
      </c>
      <c r="L158" s="37">
        <v>635</v>
      </c>
      <c r="M158" s="38">
        <f t="shared" ref="M158:M186" si="43">M157+C158</f>
        <v>89800</v>
      </c>
      <c r="N158" s="39">
        <f t="shared" ref="N158:N186" si="44">N157+D158</f>
        <v>34300</v>
      </c>
      <c r="O158" s="39">
        <f t="shared" ref="O158:O186" si="45">O157+E158</f>
        <v>128335</v>
      </c>
      <c r="P158" s="40">
        <f t="shared" ref="P158:P185" si="46">P$156+M158</f>
        <v>8324963.7699999996</v>
      </c>
      <c r="Q158" s="40">
        <f t="shared" ref="Q158:Q186" si="47">Q$156+N158</f>
        <v>3057986.1</v>
      </c>
      <c r="R158" s="40">
        <f t="shared" ref="R158:R186" si="48">R$156+O158</f>
        <v>11635912.16</v>
      </c>
      <c r="S158" s="50"/>
      <c r="T158" s="37"/>
      <c r="U158" s="37"/>
      <c r="V158" s="8"/>
    </row>
    <row r="159" spans="1:22" ht="15" customHeight="1" x14ac:dyDescent="0.15">
      <c r="A159" s="20">
        <v>41063</v>
      </c>
      <c r="B159" s="20" t="s">
        <v>35</v>
      </c>
      <c r="C159" s="21">
        <v>51160</v>
      </c>
      <c r="D159" s="7">
        <v>20900</v>
      </c>
      <c r="E159" s="7">
        <v>74700</v>
      </c>
      <c r="F159" s="22">
        <v>3939</v>
      </c>
      <c r="G159" s="23">
        <v>2144</v>
      </c>
      <c r="H159" s="24"/>
      <c r="I159" s="36"/>
      <c r="J159" s="8">
        <f t="shared" si="39"/>
        <v>53800</v>
      </c>
      <c r="K159" s="37">
        <f t="shared" si="40"/>
        <v>2005</v>
      </c>
      <c r="L159" s="37">
        <v>635</v>
      </c>
      <c r="M159" s="38">
        <f t="shared" si="43"/>
        <v>140960</v>
      </c>
      <c r="N159" s="39">
        <f t="shared" si="44"/>
        <v>55200</v>
      </c>
      <c r="O159" s="39">
        <f t="shared" si="45"/>
        <v>203035</v>
      </c>
      <c r="P159" s="40">
        <f t="shared" si="46"/>
        <v>8376123.7699999996</v>
      </c>
      <c r="Q159" s="40">
        <f t="shared" si="47"/>
        <v>3078886.1</v>
      </c>
      <c r="R159" s="40">
        <f t="shared" si="48"/>
        <v>11710612.16</v>
      </c>
      <c r="S159" s="50"/>
      <c r="T159" s="37"/>
      <c r="U159" s="37"/>
      <c r="V159" s="8"/>
    </row>
    <row r="160" spans="1:22" ht="15" customHeight="1" x14ac:dyDescent="0.15">
      <c r="A160" s="14">
        <v>41064</v>
      </c>
      <c r="B160" s="14" t="s">
        <v>36</v>
      </c>
      <c r="C160" s="15">
        <v>55800</v>
      </c>
      <c r="D160" s="16">
        <v>23700</v>
      </c>
      <c r="E160" s="16">
        <v>82300</v>
      </c>
      <c r="F160" s="17">
        <v>4172</v>
      </c>
      <c r="G160" s="18">
        <v>2677</v>
      </c>
      <c r="H160" s="19"/>
      <c r="I160" s="19"/>
      <c r="J160" s="32">
        <f t="shared" si="39"/>
        <v>58600</v>
      </c>
      <c r="K160" s="33">
        <f t="shared" si="40"/>
        <v>2165</v>
      </c>
      <c r="L160" s="33">
        <v>635</v>
      </c>
      <c r="M160" s="34">
        <f t="shared" si="43"/>
        <v>196760</v>
      </c>
      <c r="N160" s="35">
        <f t="shared" si="44"/>
        <v>78900</v>
      </c>
      <c r="O160" s="35">
        <f t="shared" si="45"/>
        <v>285335</v>
      </c>
      <c r="P160" s="34">
        <f t="shared" si="46"/>
        <v>8431923.7699999996</v>
      </c>
      <c r="Q160" s="34">
        <f t="shared" si="47"/>
        <v>3102586.1</v>
      </c>
      <c r="R160" s="34">
        <f t="shared" si="48"/>
        <v>11792912.16</v>
      </c>
      <c r="S160" s="49"/>
      <c r="T160" s="32"/>
      <c r="U160" s="32"/>
      <c r="V160" s="32"/>
    </row>
    <row r="161" spans="1:22" ht="15" customHeight="1" x14ac:dyDescent="0.15">
      <c r="A161" s="20">
        <v>41065</v>
      </c>
      <c r="B161" s="20" t="s">
        <v>37</v>
      </c>
      <c r="C161" s="21">
        <v>57500</v>
      </c>
      <c r="D161" s="7">
        <v>23100</v>
      </c>
      <c r="E161" s="7">
        <v>81700</v>
      </c>
      <c r="F161" s="22">
        <v>4300</v>
      </c>
      <c r="G161" s="23">
        <v>2875</v>
      </c>
      <c r="H161" s="24"/>
      <c r="I161" s="36"/>
      <c r="J161" s="8">
        <f t="shared" si="39"/>
        <v>58600</v>
      </c>
      <c r="K161" s="37">
        <f t="shared" si="40"/>
        <v>465</v>
      </c>
      <c r="L161" s="37">
        <v>635</v>
      </c>
      <c r="M161" s="38">
        <f t="shared" si="43"/>
        <v>254260</v>
      </c>
      <c r="N161" s="39">
        <f t="shared" si="44"/>
        <v>102000</v>
      </c>
      <c r="O161" s="39">
        <f t="shared" si="45"/>
        <v>367035</v>
      </c>
      <c r="P161" s="40">
        <f t="shared" si="46"/>
        <v>8489423.7699999996</v>
      </c>
      <c r="Q161" s="40">
        <f t="shared" si="47"/>
        <v>3125686.1</v>
      </c>
      <c r="R161" s="40">
        <f t="shared" si="48"/>
        <v>11874612.16</v>
      </c>
      <c r="S161" s="50">
        <v>67.269000000000005</v>
      </c>
      <c r="T161" s="50">
        <f>P161/10000-S161</f>
        <v>781.67337699999996</v>
      </c>
      <c r="U161" s="37"/>
      <c r="V161" s="37">
        <f>V$155+(T161-T$155)*10000/(3298.592+202)</f>
        <v>2232.9748139743219</v>
      </c>
    </row>
    <row r="162" spans="1:22" ht="15" customHeight="1" x14ac:dyDescent="0.15">
      <c r="A162" s="20">
        <v>41066</v>
      </c>
      <c r="B162" s="20" t="s">
        <v>38</v>
      </c>
      <c r="C162" s="21">
        <v>62000</v>
      </c>
      <c r="D162" s="7">
        <v>22700</v>
      </c>
      <c r="E162" s="7">
        <v>88000</v>
      </c>
      <c r="F162" s="22">
        <v>4400</v>
      </c>
      <c r="G162" s="23">
        <v>2850</v>
      </c>
      <c r="H162" s="24"/>
      <c r="I162" s="36"/>
      <c r="J162" s="8">
        <f t="shared" si="39"/>
        <v>65300</v>
      </c>
      <c r="K162" s="37">
        <f t="shared" si="40"/>
        <v>2989</v>
      </c>
      <c r="L162" s="37">
        <v>311</v>
      </c>
      <c r="M162" s="38">
        <f t="shared" si="43"/>
        <v>316260</v>
      </c>
      <c r="N162" s="39">
        <f t="shared" si="44"/>
        <v>124700</v>
      </c>
      <c r="O162" s="39">
        <f t="shared" si="45"/>
        <v>455035</v>
      </c>
      <c r="P162" s="40">
        <f t="shared" si="46"/>
        <v>8551423.7699999996</v>
      </c>
      <c r="Q162" s="40">
        <f t="shared" si="47"/>
        <v>3148386.1</v>
      </c>
      <c r="R162" s="40">
        <f t="shared" si="48"/>
        <v>11962612.16</v>
      </c>
      <c r="S162" s="50"/>
      <c r="T162" s="37"/>
      <c r="U162" s="37"/>
      <c r="V162" s="8"/>
    </row>
    <row r="163" spans="1:22" ht="15" customHeight="1" x14ac:dyDescent="0.15">
      <c r="A163" s="20">
        <v>41067</v>
      </c>
      <c r="B163" s="20" t="s">
        <v>39</v>
      </c>
      <c r="C163" s="21">
        <v>62000</v>
      </c>
      <c r="D163" s="7">
        <v>23000</v>
      </c>
      <c r="E163" s="7">
        <v>88000</v>
      </c>
      <c r="F163" s="22">
        <v>4400</v>
      </c>
      <c r="G163" s="23">
        <v>2850</v>
      </c>
      <c r="H163" s="24"/>
      <c r="I163" s="36"/>
      <c r="J163" s="8">
        <f t="shared" si="39"/>
        <v>65000</v>
      </c>
      <c r="K163" s="37">
        <f t="shared" si="40"/>
        <v>3000</v>
      </c>
      <c r="L163" s="37">
        <v>0</v>
      </c>
      <c r="M163" s="38">
        <f t="shared" si="43"/>
        <v>378260</v>
      </c>
      <c r="N163" s="39">
        <f t="shared" si="44"/>
        <v>147700</v>
      </c>
      <c r="O163" s="39">
        <f t="shared" si="45"/>
        <v>543035</v>
      </c>
      <c r="P163" s="40">
        <f t="shared" si="46"/>
        <v>8613423.7699999996</v>
      </c>
      <c r="Q163" s="40">
        <f t="shared" si="47"/>
        <v>3171386.1</v>
      </c>
      <c r="R163" s="40">
        <f t="shared" si="48"/>
        <v>12050612.16</v>
      </c>
      <c r="S163" s="50"/>
      <c r="T163" s="37"/>
      <c r="U163" s="37"/>
      <c r="V163" s="37"/>
    </row>
    <row r="164" spans="1:22" ht="15" customHeight="1" x14ac:dyDescent="0.15">
      <c r="A164" s="20">
        <v>41068</v>
      </c>
      <c r="B164" s="20" t="s">
        <v>1</v>
      </c>
      <c r="C164" s="21">
        <v>62513</v>
      </c>
      <c r="D164" s="7">
        <v>22110</v>
      </c>
      <c r="E164" s="7">
        <v>87122</v>
      </c>
      <c r="F164" s="22">
        <v>4250</v>
      </c>
      <c r="G164" s="23">
        <v>2880</v>
      </c>
      <c r="H164" s="24"/>
      <c r="I164" s="36"/>
      <c r="J164" s="8">
        <f t="shared" si="39"/>
        <v>65012</v>
      </c>
      <c r="K164" s="37">
        <f t="shared" si="40"/>
        <v>2499</v>
      </c>
      <c r="L164" s="37">
        <v>0</v>
      </c>
      <c r="M164" s="38">
        <f t="shared" si="43"/>
        <v>440773</v>
      </c>
      <c r="N164" s="39">
        <f t="shared" si="44"/>
        <v>169810</v>
      </c>
      <c r="O164" s="39">
        <f t="shared" si="45"/>
        <v>630157</v>
      </c>
      <c r="P164" s="40">
        <f t="shared" si="46"/>
        <v>8675936.7699999996</v>
      </c>
      <c r="Q164" s="40">
        <f t="shared" si="47"/>
        <v>3193496.1</v>
      </c>
      <c r="R164" s="40">
        <f t="shared" si="48"/>
        <v>12137734.16</v>
      </c>
      <c r="S164" s="50"/>
      <c r="T164" s="37"/>
      <c r="U164" s="37"/>
      <c r="V164" s="8"/>
    </row>
    <row r="165" spans="1:22" ht="15" customHeight="1" x14ac:dyDescent="0.15">
      <c r="A165" s="20">
        <v>41069</v>
      </c>
      <c r="B165" s="20" t="s">
        <v>34</v>
      </c>
      <c r="C165" s="21">
        <v>64400</v>
      </c>
      <c r="D165" s="7">
        <v>22300</v>
      </c>
      <c r="E165" s="7">
        <v>88500</v>
      </c>
      <c r="F165" s="22">
        <v>4416</v>
      </c>
      <c r="G165" s="23">
        <v>2898</v>
      </c>
      <c r="H165" s="24"/>
      <c r="I165" s="36"/>
      <c r="J165" s="8">
        <f t="shared" si="39"/>
        <v>66200</v>
      </c>
      <c r="K165" s="37">
        <f t="shared" si="40"/>
        <v>1800</v>
      </c>
      <c r="L165" s="37">
        <v>0</v>
      </c>
      <c r="M165" s="38">
        <f t="shared" si="43"/>
        <v>505173</v>
      </c>
      <c r="N165" s="39">
        <f t="shared" si="44"/>
        <v>192110</v>
      </c>
      <c r="O165" s="39">
        <f t="shared" si="45"/>
        <v>718657</v>
      </c>
      <c r="P165" s="40">
        <f t="shared" si="46"/>
        <v>8740336.7699999996</v>
      </c>
      <c r="Q165" s="40">
        <f t="shared" si="47"/>
        <v>3215796.1</v>
      </c>
      <c r="R165" s="40">
        <f t="shared" si="48"/>
        <v>12226234.16</v>
      </c>
      <c r="S165" s="50"/>
      <c r="T165" s="37"/>
      <c r="U165" s="37"/>
      <c r="V165" s="8"/>
    </row>
    <row r="166" spans="1:22" ht="15" customHeight="1" x14ac:dyDescent="0.15">
      <c r="A166" s="20">
        <v>41070</v>
      </c>
      <c r="B166" s="20" t="s">
        <v>35</v>
      </c>
      <c r="C166" s="21">
        <v>63376</v>
      </c>
      <c r="D166" s="7">
        <v>24307</v>
      </c>
      <c r="E166" s="7">
        <v>88988</v>
      </c>
      <c r="F166" s="22">
        <v>4416</v>
      </c>
      <c r="G166" s="23">
        <v>3047</v>
      </c>
      <c r="H166" s="24"/>
      <c r="I166" s="36"/>
      <c r="J166" s="8">
        <f t="shared" si="39"/>
        <v>64681</v>
      </c>
      <c r="K166" s="37">
        <f t="shared" si="40"/>
        <v>1305</v>
      </c>
      <c r="L166" s="37">
        <v>0</v>
      </c>
      <c r="M166" s="38">
        <f t="shared" si="43"/>
        <v>568549</v>
      </c>
      <c r="N166" s="39">
        <f t="shared" si="44"/>
        <v>216417</v>
      </c>
      <c r="O166" s="39">
        <f t="shared" si="45"/>
        <v>807645</v>
      </c>
      <c r="P166" s="40">
        <f t="shared" si="46"/>
        <v>8803712.7699999996</v>
      </c>
      <c r="Q166" s="40">
        <f t="shared" si="47"/>
        <v>3240103.1</v>
      </c>
      <c r="R166" s="40">
        <f t="shared" si="48"/>
        <v>12315222.16</v>
      </c>
      <c r="S166" s="50">
        <v>68.747399999999999</v>
      </c>
      <c r="T166" s="50">
        <f>P166/10000-S166</f>
        <v>811.62387699999999</v>
      </c>
      <c r="U166" s="37"/>
      <c r="V166" s="51">
        <f>V$155+(T166-T$155)*10000/(3298.592+202)</f>
        <v>2318.5331995273941</v>
      </c>
    </row>
    <row r="167" spans="1:22" ht="15" customHeight="1" x14ac:dyDescent="0.15">
      <c r="A167" s="14">
        <v>41071</v>
      </c>
      <c r="B167" s="14" t="s">
        <v>36</v>
      </c>
      <c r="C167" s="15">
        <v>62100</v>
      </c>
      <c r="D167" s="16">
        <v>25400</v>
      </c>
      <c r="E167" s="16">
        <v>88800</v>
      </c>
      <c r="F167" s="17">
        <v>4537</v>
      </c>
      <c r="G167" s="18">
        <v>3009</v>
      </c>
      <c r="H167" s="19"/>
      <c r="I167" s="19"/>
      <c r="J167" s="32">
        <f t="shared" si="39"/>
        <v>63400</v>
      </c>
      <c r="K167" s="33">
        <f t="shared" si="40"/>
        <v>1300</v>
      </c>
      <c r="L167" s="33">
        <v>0</v>
      </c>
      <c r="M167" s="34">
        <f t="shared" si="43"/>
        <v>630649</v>
      </c>
      <c r="N167" s="35">
        <f t="shared" si="44"/>
        <v>241817</v>
      </c>
      <c r="O167" s="35">
        <f t="shared" si="45"/>
        <v>896445</v>
      </c>
      <c r="P167" s="34">
        <f t="shared" si="46"/>
        <v>8865812.7699999996</v>
      </c>
      <c r="Q167" s="34">
        <f t="shared" si="47"/>
        <v>3265503.1</v>
      </c>
      <c r="R167" s="34">
        <f t="shared" si="48"/>
        <v>12404022.16</v>
      </c>
      <c r="S167" s="49"/>
      <c r="T167" s="32"/>
      <c r="U167" s="32"/>
      <c r="V167" s="32"/>
    </row>
    <row r="168" spans="1:22" ht="15" customHeight="1" x14ac:dyDescent="0.15">
      <c r="A168" s="20">
        <v>41072</v>
      </c>
      <c r="B168" s="20" t="s">
        <v>37</v>
      </c>
      <c r="C168" s="21">
        <v>65200</v>
      </c>
      <c r="D168" s="7">
        <v>23700</v>
      </c>
      <c r="E168" s="7">
        <v>89800</v>
      </c>
      <c r="F168" s="22">
        <v>4570</v>
      </c>
      <c r="G168" s="23">
        <v>3027</v>
      </c>
      <c r="H168" s="24"/>
      <c r="I168" s="36"/>
      <c r="J168" s="8">
        <f t="shared" si="39"/>
        <v>66100</v>
      </c>
      <c r="K168" s="37">
        <f t="shared" si="40"/>
        <v>900</v>
      </c>
      <c r="L168" s="37">
        <v>0</v>
      </c>
      <c r="M168" s="38">
        <f t="shared" si="43"/>
        <v>695849</v>
      </c>
      <c r="N168" s="39">
        <f t="shared" si="44"/>
        <v>265517</v>
      </c>
      <c r="O168" s="39">
        <f t="shared" si="45"/>
        <v>986245</v>
      </c>
      <c r="P168" s="40">
        <f t="shared" si="46"/>
        <v>8931012.7699999996</v>
      </c>
      <c r="Q168" s="40">
        <f t="shared" si="47"/>
        <v>3289203.1</v>
      </c>
      <c r="R168" s="40">
        <f t="shared" si="48"/>
        <v>12493822.16</v>
      </c>
      <c r="S168" s="50">
        <v>69.587400000000002</v>
      </c>
      <c r="T168" s="50">
        <f>P168/10000-S168</f>
        <v>823.51387699999998</v>
      </c>
      <c r="U168" s="37"/>
      <c r="V168" s="37">
        <f>V$155+(T168-T$155-0.2)*10000/(3298.592+202)</f>
        <v>2351.9275511113547</v>
      </c>
    </row>
    <row r="169" spans="1:22" ht="15" customHeight="1" x14ac:dyDescent="0.15">
      <c r="A169" s="20">
        <v>41073</v>
      </c>
      <c r="B169" s="20" t="s">
        <v>38</v>
      </c>
      <c r="C169" s="21">
        <v>65800</v>
      </c>
      <c r="D169" s="7">
        <v>24000</v>
      </c>
      <c r="E169" s="7">
        <v>90700</v>
      </c>
      <c r="F169" s="22">
        <v>4580</v>
      </c>
      <c r="G169" s="23">
        <v>3030</v>
      </c>
      <c r="H169" s="24"/>
      <c r="I169" s="36"/>
      <c r="J169" s="8">
        <f t="shared" si="39"/>
        <v>66700</v>
      </c>
      <c r="K169" s="37">
        <f t="shared" si="40"/>
        <v>900</v>
      </c>
      <c r="L169" s="37">
        <v>0</v>
      </c>
      <c r="M169" s="38">
        <f t="shared" si="43"/>
        <v>761649</v>
      </c>
      <c r="N169" s="39">
        <f t="shared" si="44"/>
        <v>289517</v>
      </c>
      <c r="O169" s="39">
        <f t="shared" si="45"/>
        <v>1076945</v>
      </c>
      <c r="P169" s="40">
        <f t="shared" si="46"/>
        <v>8996812.7699999996</v>
      </c>
      <c r="Q169" s="40">
        <f t="shared" si="47"/>
        <v>3313203.1</v>
      </c>
      <c r="R169" s="40">
        <f t="shared" si="48"/>
        <v>12584522.16</v>
      </c>
      <c r="S169" s="50"/>
      <c r="T169" s="37"/>
      <c r="U169" s="37"/>
      <c r="V169" s="8"/>
    </row>
    <row r="170" spans="1:22" ht="15" customHeight="1" x14ac:dyDescent="0.15">
      <c r="A170" s="20">
        <v>41074</v>
      </c>
      <c r="B170" s="20" t="s">
        <v>39</v>
      </c>
      <c r="C170" s="21">
        <v>65800</v>
      </c>
      <c r="D170" s="7">
        <v>24800</v>
      </c>
      <c r="E170" s="7">
        <v>90800</v>
      </c>
      <c r="F170" s="22">
        <v>4500</v>
      </c>
      <c r="G170" s="23">
        <v>3062</v>
      </c>
      <c r="H170" s="24"/>
      <c r="I170" s="36"/>
      <c r="J170" s="8">
        <f t="shared" si="39"/>
        <v>66000</v>
      </c>
      <c r="K170" s="37">
        <f t="shared" si="40"/>
        <v>200</v>
      </c>
      <c r="L170" s="37">
        <v>0</v>
      </c>
      <c r="M170" s="38">
        <f t="shared" si="43"/>
        <v>827449</v>
      </c>
      <c r="N170" s="39">
        <f t="shared" si="44"/>
        <v>314317</v>
      </c>
      <c r="O170" s="39">
        <f t="shared" si="45"/>
        <v>1167745</v>
      </c>
      <c r="P170" s="40">
        <f t="shared" si="46"/>
        <v>9062612.7699999996</v>
      </c>
      <c r="Q170" s="40">
        <f t="shared" si="47"/>
        <v>3338003.1</v>
      </c>
      <c r="R170" s="40">
        <f t="shared" si="48"/>
        <v>12675322.16</v>
      </c>
      <c r="S170" s="50"/>
      <c r="T170" s="37"/>
      <c r="U170" s="37"/>
      <c r="V170" s="8"/>
    </row>
    <row r="171" spans="1:22" ht="15" customHeight="1" x14ac:dyDescent="0.15">
      <c r="A171" s="20">
        <v>41075</v>
      </c>
      <c r="B171" s="20" t="s">
        <v>1</v>
      </c>
      <c r="C171" s="21">
        <v>63900</v>
      </c>
      <c r="D171" s="7">
        <v>22100</v>
      </c>
      <c r="E171" s="7">
        <v>86400</v>
      </c>
      <c r="F171" s="22">
        <v>4150</v>
      </c>
      <c r="G171" s="23">
        <v>3053</v>
      </c>
      <c r="H171" s="24"/>
      <c r="I171" s="36"/>
      <c r="J171" s="8">
        <f t="shared" si="39"/>
        <v>64300</v>
      </c>
      <c r="K171" s="37">
        <f t="shared" si="40"/>
        <v>400</v>
      </c>
      <c r="L171" s="37">
        <v>0</v>
      </c>
      <c r="M171" s="38">
        <f t="shared" si="43"/>
        <v>891349</v>
      </c>
      <c r="N171" s="39">
        <f t="shared" si="44"/>
        <v>336417</v>
      </c>
      <c r="O171" s="39">
        <f t="shared" si="45"/>
        <v>1254145</v>
      </c>
      <c r="P171" s="40">
        <f t="shared" si="46"/>
        <v>9126512.7699999996</v>
      </c>
      <c r="Q171" s="40">
        <f t="shared" si="47"/>
        <v>3360103.1</v>
      </c>
      <c r="R171" s="40">
        <f t="shared" si="48"/>
        <v>12761722.16</v>
      </c>
      <c r="S171" s="50"/>
      <c r="T171" s="37"/>
      <c r="U171" s="37"/>
      <c r="V171" s="8"/>
    </row>
    <row r="172" spans="1:22" ht="15" customHeight="1" x14ac:dyDescent="0.15">
      <c r="A172" s="20">
        <v>41076</v>
      </c>
      <c r="B172" s="20" t="s">
        <v>34</v>
      </c>
      <c r="C172" s="21">
        <v>69500</v>
      </c>
      <c r="D172" s="7">
        <v>21900</v>
      </c>
      <c r="E172" s="7">
        <v>91700</v>
      </c>
      <c r="F172" s="22">
        <v>4633</v>
      </c>
      <c r="G172" s="23">
        <v>2968</v>
      </c>
      <c r="H172" s="24">
        <v>1200</v>
      </c>
      <c r="I172" s="36">
        <v>718</v>
      </c>
      <c r="J172" s="8">
        <f t="shared" si="39"/>
        <v>69800</v>
      </c>
      <c r="K172" s="37">
        <f t="shared" si="40"/>
        <v>300</v>
      </c>
      <c r="L172" s="37">
        <v>0</v>
      </c>
      <c r="M172" s="38">
        <f t="shared" si="43"/>
        <v>960849</v>
      </c>
      <c r="N172" s="39">
        <f t="shared" si="44"/>
        <v>358317</v>
      </c>
      <c r="O172" s="39">
        <f t="shared" si="45"/>
        <v>1345845</v>
      </c>
      <c r="P172" s="40">
        <f t="shared" si="46"/>
        <v>9196012.7699999996</v>
      </c>
      <c r="Q172" s="40">
        <f t="shared" si="47"/>
        <v>3382003.1</v>
      </c>
      <c r="R172" s="40">
        <f t="shared" si="48"/>
        <v>12853422.16</v>
      </c>
      <c r="S172" s="50"/>
      <c r="T172" s="37"/>
      <c r="U172" s="37"/>
      <c r="V172" s="8"/>
    </row>
    <row r="173" spans="1:22" ht="15" customHeight="1" x14ac:dyDescent="0.15">
      <c r="A173" s="20">
        <v>41077</v>
      </c>
      <c r="B173" s="20" t="s">
        <v>35</v>
      </c>
      <c r="C173" s="21">
        <v>66628</v>
      </c>
      <c r="D173" s="7">
        <v>23400</v>
      </c>
      <c r="E173" s="7">
        <v>90514</v>
      </c>
      <c r="F173" s="22">
        <v>4580</v>
      </c>
      <c r="G173" s="23">
        <v>3121</v>
      </c>
      <c r="H173" s="24"/>
      <c r="I173" s="36"/>
      <c r="J173" s="8">
        <f t="shared" si="39"/>
        <v>67114</v>
      </c>
      <c r="K173" s="37">
        <f t="shared" si="40"/>
        <v>486</v>
      </c>
      <c r="L173" s="37">
        <v>0</v>
      </c>
      <c r="M173" s="38">
        <f t="shared" si="43"/>
        <v>1027477</v>
      </c>
      <c r="N173" s="39">
        <f t="shared" si="44"/>
        <v>381717</v>
      </c>
      <c r="O173" s="39">
        <f t="shared" si="45"/>
        <v>1436359</v>
      </c>
      <c r="P173" s="40">
        <f t="shared" si="46"/>
        <v>9262640.7699999996</v>
      </c>
      <c r="Q173" s="40">
        <f t="shared" si="47"/>
        <v>3405403.1</v>
      </c>
      <c r="R173" s="40">
        <f t="shared" si="48"/>
        <v>12943936.16</v>
      </c>
      <c r="S173" s="50"/>
      <c r="T173" s="37"/>
      <c r="U173" s="37"/>
      <c r="V173" s="8"/>
    </row>
    <row r="174" spans="1:22" ht="15" customHeight="1" x14ac:dyDescent="0.15">
      <c r="A174" s="14">
        <v>41078</v>
      </c>
      <c r="B174" s="14" t="s">
        <v>36</v>
      </c>
      <c r="C174" s="15">
        <v>64100</v>
      </c>
      <c r="D174" s="16">
        <v>24200</v>
      </c>
      <c r="E174" s="16">
        <v>88400</v>
      </c>
      <c r="F174" s="17">
        <v>4481</v>
      </c>
      <c r="G174" s="18">
        <v>3127</v>
      </c>
      <c r="H174" s="19"/>
      <c r="I174" s="19"/>
      <c r="J174" s="32">
        <f t="shared" si="39"/>
        <v>64200</v>
      </c>
      <c r="K174" s="33">
        <f t="shared" si="40"/>
        <v>100</v>
      </c>
      <c r="L174" s="33">
        <v>0</v>
      </c>
      <c r="M174" s="34">
        <f t="shared" si="43"/>
        <v>1091577</v>
      </c>
      <c r="N174" s="35">
        <f t="shared" si="44"/>
        <v>405917</v>
      </c>
      <c r="O174" s="35">
        <f t="shared" si="45"/>
        <v>1524759</v>
      </c>
      <c r="P174" s="34">
        <f t="shared" si="46"/>
        <v>9326740.7699999996</v>
      </c>
      <c r="Q174" s="34">
        <f t="shared" si="47"/>
        <v>3429603.1</v>
      </c>
      <c r="R174" s="34">
        <f t="shared" si="48"/>
        <v>13032336.16</v>
      </c>
      <c r="S174" s="49"/>
      <c r="T174" s="32"/>
      <c r="U174" s="32"/>
      <c r="V174" s="32"/>
    </row>
    <row r="175" spans="1:22" ht="15" customHeight="1" x14ac:dyDescent="0.15">
      <c r="A175" s="20">
        <v>41079</v>
      </c>
      <c r="B175" s="20" t="s">
        <v>37</v>
      </c>
      <c r="C175" s="21">
        <v>63901</v>
      </c>
      <c r="D175" s="7">
        <v>23595</v>
      </c>
      <c r="E175" s="7">
        <v>87980</v>
      </c>
      <c r="F175" s="22">
        <v>4455</v>
      </c>
      <c r="G175" s="23">
        <v>3043</v>
      </c>
      <c r="H175" s="24"/>
      <c r="I175" s="36"/>
      <c r="J175" s="8">
        <f t="shared" si="39"/>
        <v>64385</v>
      </c>
      <c r="K175" s="37">
        <f t="shared" si="40"/>
        <v>484</v>
      </c>
      <c r="L175" s="37">
        <v>0</v>
      </c>
      <c r="M175" s="38">
        <f t="shared" si="43"/>
        <v>1155478</v>
      </c>
      <c r="N175" s="39">
        <f t="shared" si="44"/>
        <v>429512</v>
      </c>
      <c r="O175" s="39">
        <f t="shared" si="45"/>
        <v>1612739</v>
      </c>
      <c r="P175" s="40">
        <f t="shared" si="46"/>
        <v>9390641.7699999996</v>
      </c>
      <c r="Q175" s="40">
        <f t="shared" si="47"/>
        <v>3453198.1</v>
      </c>
      <c r="R175" s="40">
        <f t="shared" si="48"/>
        <v>13120316.16</v>
      </c>
      <c r="S175" s="50">
        <v>72.737399999999994</v>
      </c>
      <c r="T175" s="50">
        <f>P175/10000-S175</f>
        <v>866.32677699999999</v>
      </c>
      <c r="U175" s="37"/>
      <c r="V175" s="37">
        <f>V$155+(T175-T$155-1)*10000/(3298.592+202)</f>
        <v>2471.9441083108227</v>
      </c>
    </row>
    <row r="176" spans="1:22" ht="15" customHeight="1" x14ac:dyDescent="0.15">
      <c r="A176" s="20">
        <v>41080</v>
      </c>
      <c r="B176" s="20" t="s">
        <v>38</v>
      </c>
      <c r="C176" s="21">
        <v>64134</v>
      </c>
      <c r="D176" s="7">
        <v>24334</v>
      </c>
      <c r="E176" s="7">
        <v>88674</v>
      </c>
      <c r="F176" s="22">
        <v>4451.2</v>
      </c>
      <c r="G176" s="23">
        <v>3030.6</v>
      </c>
      <c r="H176" s="24">
        <v>1538</v>
      </c>
      <c r="I176" s="36">
        <v>739</v>
      </c>
      <c r="J176" s="8">
        <f t="shared" si="39"/>
        <v>64340</v>
      </c>
      <c r="K176" s="37">
        <f t="shared" si="40"/>
        <v>206</v>
      </c>
      <c r="L176" s="37">
        <v>0</v>
      </c>
      <c r="M176" s="38">
        <f t="shared" si="43"/>
        <v>1219612</v>
      </c>
      <c r="N176" s="39">
        <f t="shared" si="44"/>
        <v>453846</v>
      </c>
      <c r="O176" s="39">
        <f t="shared" si="45"/>
        <v>1701413</v>
      </c>
      <c r="P176" s="40">
        <f t="shared" si="46"/>
        <v>9454775.7699999996</v>
      </c>
      <c r="Q176" s="40">
        <f t="shared" si="47"/>
        <v>3477532.1</v>
      </c>
      <c r="R176" s="40">
        <f t="shared" si="48"/>
        <v>13208990.16</v>
      </c>
      <c r="S176" s="50">
        <v>73.621499999999997</v>
      </c>
      <c r="T176" s="50">
        <f>P176/10000-S176</f>
        <v>871.85607700000003</v>
      </c>
      <c r="U176" s="37"/>
      <c r="V176" s="51">
        <f>V$155+(T176-T$155-1.744)*10000/(3298.592+202)</f>
        <v>2485.6140818467275</v>
      </c>
    </row>
    <row r="177" spans="1:22" ht="15" customHeight="1" x14ac:dyDescent="0.15">
      <c r="A177" s="20">
        <v>41081</v>
      </c>
      <c r="B177" s="20" t="s">
        <v>39</v>
      </c>
      <c r="C177" s="21">
        <v>62645</v>
      </c>
      <c r="D177" s="7">
        <v>22887</v>
      </c>
      <c r="E177" s="7">
        <v>85735</v>
      </c>
      <c r="F177" s="22">
        <v>4374</v>
      </c>
      <c r="G177" s="23">
        <v>2979.1</v>
      </c>
      <c r="H177" s="24">
        <v>1287</v>
      </c>
      <c r="I177" s="36">
        <v>770</v>
      </c>
      <c r="J177" s="8">
        <f t="shared" si="39"/>
        <v>62848</v>
      </c>
      <c r="K177" s="37">
        <f t="shared" si="40"/>
        <v>203</v>
      </c>
      <c r="L177" s="37">
        <v>0</v>
      </c>
      <c r="M177" s="38">
        <f t="shared" si="43"/>
        <v>1282257</v>
      </c>
      <c r="N177" s="39">
        <f t="shared" si="44"/>
        <v>476733</v>
      </c>
      <c r="O177" s="39">
        <f t="shared" si="45"/>
        <v>1787148</v>
      </c>
      <c r="P177" s="40">
        <f t="shared" si="46"/>
        <v>9517420.7699999996</v>
      </c>
      <c r="Q177" s="40">
        <f t="shared" si="47"/>
        <v>3500419.1</v>
      </c>
      <c r="R177" s="40">
        <f t="shared" si="48"/>
        <v>13294725.16</v>
      </c>
      <c r="S177" s="50"/>
      <c r="T177" s="37"/>
      <c r="U177" s="37"/>
      <c r="V177" s="8"/>
    </row>
    <row r="178" spans="1:22" ht="15" customHeight="1" x14ac:dyDescent="0.15">
      <c r="A178" s="20">
        <v>41082</v>
      </c>
      <c r="B178" s="20" t="s">
        <v>1</v>
      </c>
      <c r="C178" s="21">
        <v>55154</v>
      </c>
      <c r="D178" s="7">
        <v>20035</v>
      </c>
      <c r="E178" s="7">
        <v>75749</v>
      </c>
      <c r="F178" s="22">
        <v>3776.3</v>
      </c>
      <c r="G178" s="23">
        <v>2771.7</v>
      </c>
      <c r="H178" s="24">
        <v>1168</v>
      </c>
      <c r="I178" s="36">
        <v>680.5</v>
      </c>
      <c r="J178" s="8">
        <f t="shared" si="39"/>
        <v>55714</v>
      </c>
      <c r="K178" s="37">
        <f t="shared" si="40"/>
        <v>560</v>
      </c>
      <c r="L178" s="37">
        <v>0</v>
      </c>
      <c r="M178" s="38">
        <f t="shared" si="43"/>
        <v>1337411</v>
      </c>
      <c r="N178" s="39">
        <f t="shared" si="44"/>
        <v>496768</v>
      </c>
      <c r="O178" s="39">
        <f t="shared" si="45"/>
        <v>1862897</v>
      </c>
      <c r="P178" s="40">
        <f t="shared" si="46"/>
        <v>9572574.7699999996</v>
      </c>
      <c r="Q178" s="40">
        <f t="shared" si="47"/>
        <v>3520454.1</v>
      </c>
      <c r="R178" s="40">
        <f t="shared" si="48"/>
        <v>13370474.16</v>
      </c>
      <c r="S178" s="50"/>
      <c r="T178" s="37"/>
      <c r="U178" s="37"/>
      <c r="V178" s="37"/>
    </row>
    <row r="179" spans="1:22" ht="15" customHeight="1" x14ac:dyDescent="0.15">
      <c r="A179" s="20">
        <v>41083</v>
      </c>
      <c r="B179" s="20" t="s">
        <v>34</v>
      </c>
      <c r="C179" s="21">
        <v>56495</v>
      </c>
      <c r="D179" s="7">
        <v>20202</v>
      </c>
      <c r="E179" s="7">
        <v>77604</v>
      </c>
      <c r="F179" s="22">
        <v>4028</v>
      </c>
      <c r="G179" s="23">
        <v>2525</v>
      </c>
      <c r="H179" s="24">
        <v>987</v>
      </c>
      <c r="I179" s="36"/>
      <c r="J179" s="8">
        <f t="shared" si="39"/>
        <v>57402</v>
      </c>
      <c r="K179" s="37">
        <f t="shared" si="40"/>
        <v>907</v>
      </c>
      <c r="L179" s="37">
        <v>0</v>
      </c>
      <c r="M179" s="38">
        <f t="shared" si="43"/>
        <v>1393906</v>
      </c>
      <c r="N179" s="39">
        <f t="shared" si="44"/>
        <v>516970</v>
      </c>
      <c r="O179" s="39">
        <f t="shared" si="45"/>
        <v>1940501</v>
      </c>
      <c r="P179" s="40">
        <f t="shared" si="46"/>
        <v>9629069.7699999996</v>
      </c>
      <c r="Q179" s="40">
        <f t="shared" si="47"/>
        <v>3540656.1</v>
      </c>
      <c r="R179" s="40">
        <f t="shared" si="48"/>
        <v>13448078.16</v>
      </c>
      <c r="S179" s="50"/>
      <c r="T179" s="37"/>
      <c r="U179" s="37"/>
      <c r="V179" s="8"/>
    </row>
    <row r="180" spans="1:22" ht="15" customHeight="1" x14ac:dyDescent="0.15">
      <c r="A180" s="20">
        <v>41084</v>
      </c>
      <c r="B180" s="20" t="s">
        <v>35</v>
      </c>
      <c r="C180" s="21">
        <v>55147</v>
      </c>
      <c r="D180" s="7">
        <v>20766</v>
      </c>
      <c r="E180" s="7">
        <v>78172</v>
      </c>
      <c r="F180" s="22">
        <v>4040.5</v>
      </c>
      <c r="G180" s="23">
        <v>2596.5</v>
      </c>
      <c r="H180" s="24">
        <v>1016.7</v>
      </c>
      <c r="I180" s="36">
        <v>723.6</v>
      </c>
      <c r="J180" s="8">
        <f t="shared" si="39"/>
        <v>57406</v>
      </c>
      <c r="K180" s="37">
        <f t="shared" si="40"/>
        <v>2169</v>
      </c>
      <c r="L180" s="37">
        <v>90</v>
      </c>
      <c r="M180" s="38">
        <f t="shared" si="43"/>
        <v>1449053</v>
      </c>
      <c r="N180" s="39">
        <f t="shared" si="44"/>
        <v>537736</v>
      </c>
      <c r="O180" s="39">
        <f t="shared" si="45"/>
        <v>2018673</v>
      </c>
      <c r="P180" s="40">
        <f t="shared" si="46"/>
        <v>9684216.7699999996</v>
      </c>
      <c r="Q180" s="40">
        <f t="shared" si="47"/>
        <v>3561422.1</v>
      </c>
      <c r="R180" s="40">
        <f t="shared" si="48"/>
        <v>13526250.16</v>
      </c>
      <c r="S180" s="50"/>
      <c r="T180" s="37"/>
      <c r="U180" s="37"/>
      <c r="V180" s="8"/>
    </row>
    <row r="181" spans="1:22" ht="15" customHeight="1" x14ac:dyDescent="0.15">
      <c r="A181" s="14">
        <v>41085</v>
      </c>
      <c r="B181" s="14" t="s">
        <v>36</v>
      </c>
      <c r="C181" s="15">
        <v>50593</v>
      </c>
      <c r="D181" s="16">
        <v>24633</v>
      </c>
      <c r="E181" s="16">
        <v>78237</v>
      </c>
      <c r="F181" s="17">
        <v>4023.2</v>
      </c>
      <c r="G181" s="18">
        <v>2577.9</v>
      </c>
      <c r="H181" s="19">
        <v>1098.9000000000001</v>
      </c>
      <c r="I181" s="19">
        <v>726.7</v>
      </c>
      <c r="J181" s="32">
        <f t="shared" si="39"/>
        <v>53604</v>
      </c>
      <c r="K181" s="33">
        <f t="shared" si="40"/>
        <v>2561</v>
      </c>
      <c r="L181" s="33">
        <v>450</v>
      </c>
      <c r="M181" s="34">
        <f t="shared" si="43"/>
        <v>1499646</v>
      </c>
      <c r="N181" s="35">
        <f t="shared" si="44"/>
        <v>562369</v>
      </c>
      <c r="O181" s="35">
        <f t="shared" si="45"/>
        <v>2096910</v>
      </c>
      <c r="P181" s="34">
        <f t="shared" si="46"/>
        <v>9734809.7699999996</v>
      </c>
      <c r="Q181" s="34">
        <f t="shared" si="47"/>
        <v>3586055.1</v>
      </c>
      <c r="R181" s="34">
        <f t="shared" si="48"/>
        <v>13604487.16</v>
      </c>
      <c r="S181" s="49"/>
      <c r="T181" s="32"/>
      <c r="U181" s="32"/>
      <c r="V181" s="32"/>
    </row>
    <row r="182" spans="1:22" ht="15" customHeight="1" x14ac:dyDescent="0.15">
      <c r="A182" s="20">
        <v>41086</v>
      </c>
      <c r="B182" s="20" t="s">
        <v>37</v>
      </c>
      <c r="C182" s="21">
        <v>50611</v>
      </c>
      <c r="D182" s="7">
        <v>27463</v>
      </c>
      <c r="E182" s="7">
        <v>81417</v>
      </c>
      <c r="F182" s="22">
        <v>4206</v>
      </c>
      <c r="G182" s="23">
        <v>2610</v>
      </c>
      <c r="H182" s="24">
        <v>1348</v>
      </c>
      <c r="I182" s="36">
        <v>876</v>
      </c>
      <c r="J182" s="8">
        <f t="shared" si="39"/>
        <v>53954</v>
      </c>
      <c r="K182" s="37">
        <f t="shared" si="40"/>
        <v>2621</v>
      </c>
      <c r="L182" s="37">
        <v>722</v>
      </c>
      <c r="M182" s="38">
        <f t="shared" si="43"/>
        <v>1550257</v>
      </c>
      <c r="N182" s="39">
        <f t="shared" si="44"/>
        <v>589832</v>
      </c>
      <c r="O182" s="39">
        <f t="shared" si="45"/>
        <v>2178327</v>
      </c>
      <c r="P182" s="40">
        <f t="shared" si="46"/>
        <v>9785420.7699999996</v>
      </c>
      <c r="Q182" s="40">
        <f t="shared" si="47"/>
        <v>3613518.1</v>
      </c>
      <c r="R182" s="40">
        <f t="shared" si="48"/>
        <v>13685904.16</v>
      </c>
      <c r="S182" s="50">
        <v>76.021500000000003</v>
      </c>
      <c r="T182" s="50">
        <f>P182/10000-S182</f>
        <v>902.520577</v>
      </c>
      <c r="U182" s="37"/>
      <c r="V182" s="37">
        <f>V$155+(T182-T$155-1.5)*10000/(3298.592+202)</f>
        <v>2573.9091473670737</v>
      </c>
    </row>
    <row r="183" spans="1:22" ht="15" customHeight="1" x14ac:dyDescent="0.15">
      <c r="A183" s="20">
        <v>41087</v>
      </c>
      <c r="B183" s="20" t="s">
        <v>38</v>
      </c>
      <c r="C183" s="21">
        <v>50610</v>
      </c>
      <c r="D183" s="7">
        <v>26756</v>
      </c>
      <c r="E183" s="7">
        <v>81358</v>
      </c>
      <c r="F183" s="22">
        <v>4190.3999999999996</v>
      </c>
      <c r="G183" s="23">
        <v>2731</v>
      </c>
      <c r="H183" s="24">
        <v>1327</v>
      </c>
      <c r="I183" s="36">
        <v>904</v>
      </c>
      <c r="J183" s="8">
        <f t="shared" si="39"/>
        <v>54602</v>
      </c>
      <c r="K183" s="37">
        <f t="shared" si="40"/>
        <v>3209</v>
      </c>
      <c r="L183" s="37">
        <v>783</v>
      </c>
      <c r="M183" s="38">
        <f t="shared" si="43"/>
        <v>1600867</v>
      </c>
      <c r="N183" s="39">
        <f t="shared" si="44"/>
        <v>616588</v>
      </c>
      <c r="O183" s="39">
        <f t="shared" si="45"/>
        <v>2259685</v>
      </c>
      <c r="P183" s="40">
        <f t="shared" si="46"/>
        <v>9836030.7699999996</v>
      </c>
      <c r="Q183" s="40">
        <f t="shared" si="47"/>
        <v>3640274.1</v>
      </c>
      <c r="R183" s="40">
        <f t="shared" si="48"/>
        <v>13767262.16</v>
      </c>
      <c r="S183" s="50"/>
      <c r="T183" s="37"/>
      <c r="U183" s="37"/>
      <c r="V183" s="8"/>
    </row>
    <row r="184" spans="1:22" ht="15" customHeight="1" x14ac:dyDescent="0.15">
      <c r="A184" s="20">
        <v>41088</v>
      </c>
      <c r="B184" s="20" t="s">
        <v>39</v>
      </c>
      <c r="C184" s="21">
        <v>48616</v>
      </c>
      <c r="D184" s="7">
        <v>25518</v>
      </c>
      <c r="E184" s="7">
        <v>78323</v>
      </c>
      <c r="F184" s="22">
        <v>4056.2</v>
      </c>
      <c r="G184" s="23">
        <v>2681.6</v>
      </c>
      <c r="H184" s="24">
        <v>1194</v>
      </c>
      <c r="I184" s="36">
        <v>914</v>
      </c>
      <c r="J184" s="8">
        <f t="shared" si="39"/>
        <v>52805</v>
      </c>
      <c r="K184" s="37">
        <f t="shared" si="40"/>
        <v>3406</v>
      </c>
      <c r="L184" s="37">
        <v>783</v>
      </c>
      <c r="M184" s="38">
        <f t="shared" si="43"/>
        <v>1649483</v>
      </c>
      <c r="N184" s="39">
        <f t="shared" si="44"/>
        <v>642106</v>
      </c>
      <c r="O184" s="39">
        <f t="shared" si="45"/>
        <v>2338008</v>
      </c>
      <c r="P184" s="40">
        <f t="shared" si="46"/>
        <v>9884646.7699999996</v>
      </c>
      <c r="Q184" s="40">
        <f t="shared" si="47"/>
        <v>3665792.1</v>
      </c>
      <c r="R184" s="40">
        <f t="shared" si="48"/>
        <v>13845585.16</v>
      </c>
      <c r="S184" s="50"/>
      <c r="T184" s="37"/>
      <c r="U184" s="37"/>
      <c r="V184" s="8"/>
    </row>
    <row r="185" spans="1:22" ht="15" customHeight="1" x14ac:dyDescent="0.15">
      <c r="A185" s="20">
        <v>41089</v>
      </c>
      <c r="B185" s="20" t="s">
        <v>1</v>
      </c>
      <c r="C185" s="21">
        <v>44683</v>
      </c>
      <c r="D185" s="7">
        <v>25747</v>
      </c>
      <c r="E185" s="7">
        <v>73599</v>
      </c>
      <c r="F185" s="22">
        <v>3695.5</v>
      </c>
      <c r="G185" s="23">
        <v>2559.8000000000002</v>
      </c>
      <c r="H185" s="24">
        <v>1219</v>
      </c>
      <c r="I185" s="36">
        <v>913</v>
      </c>
      <c r="J185" s="8">
        <f t="shared" si="39"/>
        <v>47852</v>
      </c>
      <c r="K185" s="37">
        <f t="shared" si="40"/>
        <v>2386</v>
      </c>
      <c r="L185" s="37">
        <v>783</v>
      </c>
      <c r="M185" s="38">
        <f t="shared" si="43"/>
        <v>1694166</v>
      </c>
      <c r="N185" s="39">
        <f t="shared" si="44"/>
        <v>667853</v>
      </c>
      <c r="O185" s="39">
        <f t="shared" si="45"/>
        <v>2411607</v>
      </c>
      <c r="P185" s="40">
        <f t="shared" si="46"/>
        <v>9929329.7699999996</v>
      </c>
      <c r="Q185" s="40">
        <f t="shared" si="47"/>
        <v>3691539.1</v>
      </c>
      <c r="R185" s="40">
        <f t="shared" si="48"/>
        <v>13919184.16</v>
      </c>
      <c r="S185" s="50"/>
      <c r="T185" s="37"/>
      <c r="U185" s="37"/>
      <c r="V185" s="8"/>
    </row>
    <row r="186" spans="1:22" s="1" customFormat="1" ht="15" customHeight="1" x14ac:dyDescent="0.15">
      <c r="A186" s="25">
        <v>41090</v>
      </c>
      <c r="B186" s="25" t="s">
        <v>34</v>
      </c>
      <c r="C186" s="26">
        <v>46909</v>
      </c>
      <c r="D186" s="27">
        <v>26492</v>
      </c>
      <c r="E186" s="27">
        <v>76455</v>
      </c>
      <c r="F186" s="28">
        <v>4024</v>
      </c>
      <c r="G186" s="29">
        <v>2510</v>
      </c>
      <c r="H186" s="30">
        <v>1243</v>
      </c>
      <c r="I186" s="30">
        <v>915</v>
      </c>
      <c r="J186" s="42">
        <f t="shared" si="39"/>
        <v>49963</v>
      </c>
      <c r="K186" s="43">
        <f t="shared" si="40"/>
        <v>2271</v>
      </c>
      <c r="L186" s="43">
        <v>783</v>
      </c>
      <c r="M186" s="44">
        <f t="shared" si="43"/>
        <v>1741075</v>
      </c>
      <c r="N186" s="46">
        <f t="shared" si="44"/>
        <v>694345</v>
      </c>
      <c r="O186" s="46">
        <f t="shared" si="45"/>
        <v>2488062</v>
      </c>
      <c r="P186" s="44">
        <v>9976408</v>
      </c>
      <c r="Q186" s="44">
        <f t="shared" si="47"/>
        <v>3718031.1</v>
      </c>
      <c r="R186" s="44">
        <f t="shared" si="48"/>
        <v>13995639.16</v>
      </c>
      <c r="S186" s="52">
        <v>78.129800000000003</v>
      </c>
      <c r="T186" s="52">
        <f>P186/10000-S186</f>
        <v>919.51099999999997</v>
      </c>
      <c r="U186" s="43"/>
      <c r="V186" s="43">
        <f>V$155+(T186-T$155-2.76)*10000/(3298.592+202+35*4.5/30)</f>
        <v>2614.9238898957797</v>
      </c>
    </row>
    <row r="187" spans="1:22" ht="15" customHeight="1" x14ac:dyDescent="0.15">
      <c r="A187" s="20">
        <v>41091</v>
      </c>
      <c r="B187" s="20" t="s">
        <v>35</v>
      </c>
      <c r="C187" s="21">
        <v>44861</v>
      </c>
      <c r="D187" s="7">
        <v>28770</v>
      </c>
      <c r="E187" s="7">
        <v>76920</v>
      </c>
      <c r="F187" s="22">
        <v>3903</v>
      </c>
      <c r="G187" s="23">
        <v>2541</v>
      </c>
      <c r="H187" s="24"/>
      <c r="I187" s="36"/>
      <c r="J187" s="8">
        <f t="shared" si="39"/>
        <v>48150</v>
      </c>
      <c r="K187" s="37">
        <f t="shared" si="40"/>
        <v>2508</v>
      </c>
      <c r="L187" s="37">
        <v>781</v>
      </c>
      <c r="M187" s="38">
        <f>C187</f>
        <v>44861</v>
      </c>
      <c r="N187" s="39">
        <f>D187</f>
        <v>28770</v>
      </c>
      <c r="O187" s="39">
        <f>E187</f>
        <v>76920</v>
      </c>
      <c r="P187" s="40">
        <f t="shared" ref="P187:R188" si="49">P$186+M187</f>
        <v>10021269</v>
      </c>
      <c r="Q187" s="40">
        <f t="shared" si="49"/>
        <v>3746801.1</v>
      </c>
      <c r="R187" s="40">
        <f t="shared" si="49"/>
        <v>14072559.16</v>
      </c>
      <c r="S187" s="50"/>
      <c r="T187" s="37"/>
      <c r="U187" s="37"/>
      <c r="V187" s="8"/>
    </row>
    <row r="188" spans="1:22" ht="15" customHeight="1" x14ac:dyDescent="0.15">
      <c r="A188" s="14">
        <v>41092</v>
      </c>
      <c r="B188" s="14" t="s">
        <v>36</v>
      </c>
      <c r="C188" s="15">
        <v>47298</v>
      </c>
      <c r="D188" s="16">
        <v>31382</v>
      </c>
      <c r="E188" s="16">
        <v>82165</v>
      </c>
      <c r="F188" s="17">
        <v>4294</v>
      </c>
      <c r="G188" s="18">
        <v>2589</v>
      </c>
      <c r="H188" s="19">
        <v>1542</v>
      </c>
      <c r="I188" s="19">
        <v>1069</v>
      </c>
      <c r="J188" s="32">
        <f t="shared" si="39"/>
        <v>50783</v>
      </c>
      <c r="K188" s="33">
        <f t="shared" si="40"/>
        <v>2703</v>
      </c>
      <c r="L188" s="33">
        <v>782</v>
      </c>
      <c r="M188" s="34">
        <f t="shared" ref="M188:M217" si="50">C188+M187</f>
        <v>92159</v>
      </c>
      <c r="N188" s="35">
        <f t="shared" ref="N188:N217" si="51">D188+N187</f>
        <v>60152</v>
      </c>
      <c r="O188" s="35">
        <f t="shared" ref="O188:O217" si="52">E188+O187</f>
        <v>159085</v>
      </c>
      <c r="P188" s="34">
        <f t="shared" si="49"/>
        <v>10068567</v>
      </c>
      <c r="Q188" s="34">
        <f t="shared" si="49"/>
        <v>3778183.1</v>
      </c>
      <c r="R188" s="34">
        <f t="shared" si="49"/>
        <v>14154724.16</v>
      </c>
      <c r="S188" s="49"/>
      <c r="T188" s="32"/>
      <c r="U188" s="32"/>
      <c r="V188" s="32"/>
    </row>
    <row r="189" spans="1:22" ht="15" customHeight="1" x14ac:dyDescent="0.15">
      <c r="A189" s="20">
        <v>41093</v>
      </c>
      <c r="B189" s="20" t="s">
        <v>37</v>
      </c>
      <c r="C189" s="21">
        <v>49452</v>
      </c>
      <c r="D189" s="7">
        <v>32734</v>
      </c>
      <c r="E189" s="7">
        <v>85323</v>
      </c>
      <c r="F189" s="22">
        <v>4404</v>
      </c>
      <c r="G189" s="23">
        <v>2717</v>
      </c>
      <c r="H189" s="24">
        <v>1734</v>
      </c>
      <c r="I189" s="36">
        <v>1047</v>
      </c>
      <c r="J189" s="8">
        <f t="shared" si="39"/>
        <v>52589</v>
      </c>
      <c r="K189" s="37">
        <f t="shared" si="40"/>
        <v>2356</v>
      </c>
      <c r="L189" s="37">
        <v>781</v>
      </c>
      <c r="M189" s="38">
        <f t="shared" si="50"/>
        <v>141611</v>
      </c>
      <c r="N189" s="39">
        <f t="shared" si="51"/>
        <v>92886</v>
      </c>
      <c r="O189" s="39">
        <f t="shared" si="52"/>
        <v>244408</v>
      </c>
      <c r="P189" s="40">
        <f t="shared" ref="P189:P217" si="53">P$186+M189</f>
        <v>10118019</v>
      </c>
      <c r="Q189" s="40">
        <f t="shared" ref="Q189:Q217" si="54">Q$186+N189</f>
        <v>3810917.1</v>
      </c>
      <c r="R189" s="40">
        <f t="shared" ref="R189:R217" si="55">R$186+O189</f>
        <v>14240047.16</v>
      </c>
      <c r="S189" s="50">
        <v>79.479799999999997</v>
      </c>
      <c r="T189" s="50">
        <f>P189/10000-S189</f>
        <v>932.32210000000009</v>
      </c>
      <c r="U189" s="37"/>
      <c r="V189" s="55">
        <f>V$155+(T189-T$155-3)*10000/(3298.592+202+35*(4.5+3)/(30+3))</f>
        <v>2648.738125489519</v>
      </c>
    </row>
    <row r="190" spans="1:22" ht="15" customHeight="1" x14ac:dyDescent="0.15">
      <c r="A190" s="20">
        <v>41094</v>
      </c>
      <c r="B190" s="20" t="s">
        <v>38</v>
      </c>
      <c r="C190" s="21">
        <v>49131</v>
      </c>
      <c r="D190" s="7">
        <v>34395</v>
      </c>
      <c r="E190" s="7">
        <v>86602</v>
      </c>
      <c r="F190" s="22">
        <v>4483</v>
      </c>
      <c r="G190" s="23">
        <v>2863</v>
      </c>
      <c r="H190" s="24">
        <v>1652</v>
      </c>
      <c r="I190" s="36">
        <v>1217</v>
      </c>
      <c r="J190" s="8">
        <f t="shared" si="39"/>
        <v>52207</v>
      </c>
      <c r="K190" s="37">
        <f t="shared" si="40"/>
        <v>2294</v>
      </c>
      <c r="L190" s="37">
        <v>782</v>
      </c>
      <c r="M190" s="38">
        <f t="shared" si="50"/>
        <v>190742</v>
      </c>
      <c r="N190" s="39">
        <f t="shared" si="51"/>
        <v>127281</v>
      </c>
      <c r="O190" s="39">
        <f t="shared" si="52"/>
        <v>331010</v>
      </c>
      <c r="P190" s="40">
        <f t="shared" si="53"/>
        <v>10167150</v>
      </c>
      <c r="Q190" s="40">
        <f t="shared" si="54"/>
        <v>3845312.1</v>
      </c>
      <c r="R190" s="40">
        <f t="shared" si="55"/>
        <v>14326649.16</v>
      </c>
      <c r="S190" s="50"/>
      <c r="T190" s="37"/>
      <c r="U190" s="37"/>
      <c r="V190" s="8"/>
    </row>
    <row r="191" spans="1:22" ht="15" customHeight="1" x14ac:dyDescent="0.15">
      <c r="A191" s="20">
        <v>41095</v>
      </c>
      <c r="B191" s="20" t="s">
        <v>39</v>
      </c>
      <c r="C191" s="21">
        <v>55524</v>
      </c>
      <c r="D191" s="7">
        <v>27680</v>
      </c>
      <c r="E191" s="7">
        <v>87117</v>
      </c>
      <c r="F191" s="22">
        <v>4411</v>
      </c>
      <c r="G191" s="23">
        <v>2862</v>
      </c>
      <c r="H191" s="24">
        <v>1396</v>
      </c>
      <c r="I191" s="36">
        <v>837</v>
      </c>
      <c r="J191" s="8">
        <f t="shared" si="39"/>
        <v>59437</v>
      </c>
      <c r="K191" s="37">
        <f t="shared" si="40"/>
        <v>3131</v>
      </c>
      <c r="L191" s="37">
        <v>782</v>
      </c>
      <c r="M191" s="38">
        <f t="shared" si="50"/>
        <v>246266</v>
      </c>
      <c r="N191" s="39">
        <f t="shared" si="51"/>
        <v>154961</v>
      </c>
      <c r="O191" s="39">
        <f t="shared" si="52"/>
        <v>418127</v>
      </c>
      <c r="P191" s="40">
        <f t="shared" si="53"/>
        <v>10222674</v>
      </c>
      <c r="Q191" s="40">
        <f t="shared" si="54"/>
        <v>3872992.1</v>
      </c>
      <c r="R191" s="40">
        <f t="shared" si="55"/>
        <v>14413766.16</v>
      </c>
      <c r="S191" s="50"/>
      <c r="T191" s="37"/>
      <c r="U191" s="37"/>
      <c r="V191" s="8"/>
    </row>
    <row r="192" spans="1:22" ht="15" customHeight="1" x14ac:dyDescent="0.15">
      <c r="A192" s="20">
        <v>41096</v>
      </c>
      <c r="B192" s="20" t="s">
        <v>1</v>
      </c>
      <c r="C192" s="21">
        <v>51629</v>
      </c>
      <c r="D192" s="7">
        <v>27259</v>
      </c>
      <c r="E192" s="7">
        <v>83389</v>
      </c>
      <c r="F192" s="22">
        <v>4061</v>
      </c>
      <c r="G192" s="23">
        <v>2950</v>
      </c>
      <c r="H192" s="24">
        <v>1464</v>
      </c>
      <c r="I192" s="36">
        <v>691</v>
      </c>
      <c r="J192" s="8">
        <f t="shared" si="39"/>
        <v>56130</v>
      </c>
      <c r="K192" s="37">
        <f t="shared" si="40"/>
        <v>3719</v>
      </c>
      <c r="L192" s="37">
        <v>782</v>
      </c>
      <c r="M192" s="38">
        <f t="shared" si="50"/>
        <v>297895</v>
      </c>
      <c r="N192" s="39">
        <f t="shared" si="51"/>
        <v>182220</v>
      </c>
      <c r="O192" s="39">
        <f t="shared" si="52"/>
        <v>501516</v>
      </c>
      <c r="P192" s="40">
        <f t="shared" si="53"/>
        <v>10274303</v>
      </c>
      <c r="Q192" s="40">
        <f t="shared" si="54"/>
        <v>3900251.1</v>
      </c>
      <c r="R192" s="40">
        <f t="shared" si="55"/>
        <v>14497155.16</v>
      </c>
      <c r="S192" s="50"/>
      <c r="T192" s="37"/>
      <c r="U192" s="37"/>
      <c r="V192" s="8"/>
    </row>
    <row r="193" spans="1:22" ht="15" customHeight="1" x14ac:dyDescent="0.15">
      <c r="A193" s="20">
        <v>41097</v>
      </c>
      <c r="B193" s="20" t="s">
        <v>34</v>
      </c>
      <c r="C193" s="21">
        <v>53165</v>
      </c>
      <c r="D193" s="7">
        <v>33247</v>
      </c>
      <c r="E193" s="7">
        <v>88882</v>
      </c>
      <c r="F193" s="22">
        <v>4552</v>
      </c>
      <c r="G193" s="23">
        <v>2861</v>
      </c>
      <c r="H193" s="24">
        <v>1608</v>
      </c>
      <c r="I193" s="36">
        <v>1156</v>
      </c>
      <c r="J193" s="8">
        <f t="shared" ref="J193:J256" si="56">E193-D193</f>
        <v>55635</v>
      </c>
      <c r="K193" s="37">
        <f t="shared" ref="K193:K256" si="57">J193-C193-L193</f>
        <v>1688</v>
      </c>
      <c r="L193" s="37">
        <v>782</v>
      </c>
      <c r="M193" s="38">
        <f t="shared" si="50"/>
        <v>351060</v>
      </c>
      <c r="N193" s="39">
        <f t="shared" si="51"/>
        <v>215467</v>
      </c>
      <c r="O193" s="39">
        <f t="shared" si="52"/>
        <v>590398</v>
      </c>
      <c r="P193" s="40">
        <f t="shared" si="53"/>
        <v>10327468</v>
      </c>
      <c r="Q193" s="40">
        <f t="shared" si="54"/>
        <v>3933498.1</v>
      </c>
      <c r="R193" s="40">
        <f t="shared" si="55"/>
        <v>14586037.16</v>
      </c>
      <c r="S193" s="50"/>
      <c r="T193" s="37"/>
      <c r="U193" s="37"/>
      <c r="V193" s="8"/>
    </row>
    <row r="194" spans="1:22" ht="15" customHeight="1" x14ac:dyDescent="0.15">
      <c r="A194" s="20">
        <v>41098</v>
      </c>
      <c r="B194" s="20" t="s">
        <v>35</v>
      </c>
      <c r="C194" s="21">
        <v>56151</v>
      </c>
      <c r="D194" s="7">
        <v>33828</v>
      </c>
      <c r="E194" s="7">
        <v>92545</v>
      </c>
      <c r="F194" s="22">
        <v>4683</v>
      </c>
      <c r="G194" s="23">
        <v>3067</v>
      </c>
      <c r="H194" s="24">
        <v>1622</v>
      </c>
      <c r="I194" s="36">
        <v>1164</v>
      </c>
      <c r="J194" s="8">
        <f t="shared" si="56"/>
        <v>58717</v>
      </c>
      <c r="K194" s="37">
        <f t="shared" si="57"/>
        <v>1784</v>
      </c>
      <c r="L194" s="37">
        <v>782</v>
      </c>
      <c r="M194" s="38">
        <f t="shared" si="50"/>
        <v>407211</v>
      </c>
      <c r="N194" s="39">
        <f t="shared" si="51"/>
        <v>249295</v>
      </c>
      <c r="O194" s="39">
        <f t="shared" si="52"/>
        <v>682943</v>
      </c>
      <c r="P194" s="40">
        <f t="shared" si="53"/>
        <v>10383619</v>
      </c>
      <c r="Q194" s="40">
        <f t="shared" si="54"/>
        <v>3967326.1</v>
      </c>
      <c r="R194" s="40">
        <f t="shared" si="55"/>
        <v>14678582.16</v>
      </c>
      <c r="S194" s="50"/>
      <c r="T194" s="37"/>
      <c r="U194" s="37"/>
      <c r="V194" s="8"/>
    </row>
    <row r="195" spans="1:22" ht="15" customHeight="1" x14ac:dyDescent="0.15">
      <c r="A195" s="14">
        <v>41099</v>
      </c>
      <c r="B195" s="14" t="s">
        <v>36</v>
      </c>
      <c r="C195" s="15">
        <v>60129</v>
      </c>
      <c r="D195" s="16">
        <v>33739</v>
      </c>
      <c r="E195" s="16">
        <v>96708</v>
      </c>
      <c r="F195" s="17">
        <v>4826</v>
      </c>
      <c r="G195" s="18">
        <v>3130</v>
      </c>
      <c r="H195" s="19">
        <v>1642</v>
      </c>
      <c r="I195" s="19">
        <v>1114</v>
      </c>
      <c r="J195" s="32">
        <f t="shared" si="56"/>
        <v>62969</v>
      </c>
      <c r="K195" s="33">
        <f t="shared" si="57"/>
        <v>2058</v>
      </c>
      <c r="L195" s="33">
        <v>782</v>
      </c>
      <c r="M195" s="34">
        <f t="shared" si="50"/>
        <v>467340</v>
      </c>
      <c r="N195" s="35">
        <f t="shared" si="51"/>
        <v>283034</v>
      </c>
      <c r="O195" s="35">
        <f t="shared" si="52"/>
        <v>779651</v>
      </c>
      <c r="P195" s="34">
        <f t="shared" si="53"/>
        <v>10443748</v>
      </c>
      <c r="Q195" s="34">
        <f t="shared" si="54"/>
        <v>4001065.1</v>
      </c>
      <c r="R195" s="34">
        <f t="shared" si="55"/>
        <v>14775290.16</v>
      </c>
      <c r="S195" s="49"/>
      <c r="T195" s="32"/>
      <c r="U195" s="32"/>
      <c r="V195" s="32"/>
    </row>
    <row r="196" spans="1:22" ht="15" customHeight="1" x14ac:dyDescent="0.15">
      <c r="A196" s="20">
        <v>41100</v>
      </c>
      <c r="B196" s="20" t="s">
        <v>37</v>
      </c>
      <c r="C196" s="21">
        <v>64420</v>
      </c>
      <c r="D196" s="7">
        <v>33996</v>
      </c>
      <c r="E196" s="7">
        <v>101180</v>
      </c>
      <c r="F196" s="22">
        <v>5049.5</v>
      </c>
      <c r="G196" s="23">
        <v>3362.7</v>
      </c>
      <c r="H196" s="24">
        <v>1651</v>
      </c>
      <c r="I196" s="36">
        <v>1164</v>
      </c>
      <c r="J196" s="8">
        <f t="shared" si="56"/>
        <v>67184</v>
      </c>
      <c r="K196" s="37">
        <f t="shared" si="57"/>
        <v>1982</v>
      </c>
      <c r="L196" s="37">
        <v>782</v>
      </c>
      <c r="M196" s="38">
        <f t="shared" si="50"/>
        <v>531760</v>
      </c>
      <c r="N196" s="39">
        <f t="shared" si="51"/>
        <v>317030</v>
      </c>
      <c r="O196" s="39">
        <f t="shared" si="52"/>
        <v>880831</v>
      </c>
      <c r="P196" s="40">
        <f t="shared" si="53"/>
        <v>10508168</v>
      </c>
      <c r="Q196" s="40">
        <f t="shared" si="54"/>
        <v>4035061.1</v>
      </c>
      <c r="R196" s="40">
        <f t="shared" si="55"/>
        <v>14876470.16</v>
      </c>
      <c r="S196" s="50">
        <v>82.605800000000002</v>
      </c>
      <c r="T196" s="50">
        <f>P196/10000-S196</f>
        <v>968.21100000000001</v>
      </c>
      <c r="U196" s="37"/>
      <c r="V196" s="56">
        <f>V$155+(T196-T$155-5)*10000/(3298.592+202+35*(4.5+10)/(30+10)+1.5)</f>
        <v>2740.4592521380073</v>
      </c>
    </row>
    <row r="197" spans="1:22" ht="15" customHeight="1" x14ac:dyDescent="0.15">
      <c r="A197" s="20">
        <v>41101</v>
      </c>
      <c r="B197" s="20" t="s">
        <v>38</v>
      </c>
      <c r="C197" s="21">
        <v>66960</v>
      </c>
      <c r="D197" s="7">
        <v>35541</v>
      </c>
      <c r="E197" s="7">
        <v>104234</v>
      </c>
      <c r="F197" s="22">
        <v>5234</v>
      </c>
      <c r="G197" s="23">
        <v>3388</v>
      </c>
      <c r="H197" s="24">
        <v>1702</v>
      </c>
      <c r="I197" s="36">
        <v>1243</v>
      </c>
      <c r="J197" s="8">
        <f t="shared" si="56"/>
        <v>68693</v>
      </c>
      <c r="K197" s="37">
        <f t="shared" si="57"/>
        <v>951</v>
      </c>
      <c r="L197" s="37">
        <v>782</v>
      </c>
      <c r="M197" s="38">
        <f t="shared" si="50"/>
        <v>598720</v>
      </c>
      <c r="N197" s="39">
        <f t="shared" si="51"/>
        <v>352571</v>
      </c>
      <c r="O197" s="39">
        <f t="shared" si="52"/>
        <v>985065</v>
      </c>
      <c r="P197" s="40">
        <f t="shared" si="53"/>
        <v>10575128</v>
      </c>
      <c r="Q197" s="40">
        <f t="shared" si="54"/>
        <v>4070602.1</v>
      </c>
      <c r="R197" s="40">
        <f t="shared" si="55"/>
        <v>14980704.16</v>
      </c>
      <c r="S197" s="50"/>
      <c r="T197" s="37"/>
      <c r="U197" s="37"/>
      <c r="V197" s="8"/>
    </row>
    <row r="198" spans="1:22" ht="15" customHeight="1" x14ac:dyDescent="0.15">
      <c r="A198" s="20">
        <v>41102</v>
      </c>
      <c r="B198" s="20" t="s">
        <v>39</v>
      </c>
      <c r="C198" s="21">
        <v>66770</v>
      </c>
      <c r="D198" s="7">
        <v>34771</v>
      </c>
      <c r="E198" s="7">
        <v>102896</v>
      </c>
      <c r="F198" s="22">
        <v>5149</v>
      </c>
      <c r="G198" s="23">
        <v>3458</v>
      </c>
      <c r="H198" s="24">
        <v>1686</v>
      </c>
      <c r="I198" s="36">
        <v>1214</v>
      </c>
      <c r="J198" s="8">
        <f t="shared" si="56"/>
        <v>68125</v>
      </c>
      <c r="K198" s="37">
        <f t="shared" si="57"/>
        <v>573</v>
      </c>
      <c r="L198" s="37">
        <v>782</v>
      </c>
      <c r="M198" s="38">
        <f t="shared" si="50"/>
        <v>665490</v>
      </c>
      <c r="N198" s="39">
        <f t="shared" si="51"/>
        <v>387342</v>
      </c>
      <c r="O198" s="39">
        <f t="shared" si="52"/>
        <v>1087961</v>
      </c>
      <c r="P198" s="40">
        <f t="shared" si="53"/>
        <v>10641898</v>
      </c>
      <c r="Q198" s="40">
        <f t="shared" si="54"/>
        <v>4105373.1</v>
      </c>
      <c r="R198" s="40">
        <f t="shared" si="55"/>
        <v>15083600.16</v>
      </c>
      <c r="S198" s="50"/>
      <c r="T198" s="37"/>
      <c r="U198" s="37"/>
      <c r="V198" s="8"/>
    </row>
    <row r="199" spans="1:22" ht="15" customHeight="1" x14ac:dyDescent="0.15">
      <c r="A199" s="20">
        <v>41103</v>
      </c>
      <c r="B199" s="20" t="s">
        <v>1</v>
      </c>
      <c r="C199" s="21">
        <v>53821</v>
      </c>
      <c r="D199" s="7">
        <v>33552</v>
      </c>
      <c r="E199" s="7">
        <v>88601</v>
      </c>
      <c r="F199" s="22">
        <v>4309</v>
      </c>
      <c r="G199" s="23">
        <v>3208</v>
      </c>
      <c r="H199" s="24">
        <v>1625</v>
      </c>
      <c r="I199" s="36">
        <v>1131</v>
      </c>
      <c r="J199" s="8">
        <f t="shared" si="56"/>
        <v>55049</v>
      </c>
      <c r="K199" s="37">
        <f t="shared" si="57"/>
        <v>446</v>
      </c>
      <c r="L199" s="37">
        <v>782</v>
      </c>
      <c r="M199" s="38">
        <f t="shared" si="50"/>
        <v>719311</v>
      </c>
      <c r="N199" s="39">
        <f t="shared" si="51"/>
        <v>420894</v>
      </c>
      <c r="O199" s="39">
        <f t="shared" si="52"/>
        <v>1176562</v>
      </c>
      <c r="P199" s="40">
        <f t="shared" si="53"/>
        <v>10695719</v>
      </c>
      <c r="Q199" s="40">
        <f t="shared" si="54"/>
        <v>4138925.1</v>
      </c>
      <c r="R199" s="40">
        <f t="shared" si="55"/>
        <v>15172201.16</v>
      </c>
      <c r="S199" s="50"/>
      <c r="T199" s="37"/>
      <c r="U199" s="37"/>
      <c r="V199" s="8"/>
    </row>
    <row r="200" spans="1:22" ht="15" customHeight="1" x14ac:dyDescent="0.15">
      <c r="A200" s="20">
        <v>41104</v>
      </c>
      <c r="B200" s="20" t="s">
        <v>34</v>
      </c>
      <c r="C200" s="21">
        <v>53722</v>
      </c>
      <c r="D200" s="7">
        <v>35625</v>
      </c>
      <c r="E200" s="7">
        <v>90891</v>
      </c>
      <c r="F200" s="22">
        <v>4603</v>
      </c>
      <c r="G200" s="23">
        <v>2909</v>
      </c>
      <c r="H200" s="24">
        <v>1704</v>
      </c>
      <c r="I200" s="36">
        <v>1178</v>
      </c>
      <c r="J200" s="8">
        <f t="shared" si="56"/>
        <v>55266</v>
      </c>
      <c r="K200" s="37">
        <f t="shared" si="57"/>
        <v>766</v>
      </c>
      <c r="L200" s="37">
        <v>778</v>
      </c>
      <c r="M200" s="38">
        <f t="shared" si="50"/>
        <v>773033</v>
      </c>
      <c r="N200" s="39">
        <f t="shared" si="51"/>
        <v>456519</v>
      </c>
      <c r="O200" s="39">
        <f t="shared" si="52"/>
        <v>1267453</v>
      </c>
      <c r="P200" s="40">
        <f t="shared" si="53"/>
        <v>10749441</v>
      </c>
      <c r="Q200" s="40">
        <f t="shared" si="54"/>
        <v>4174550.1</v>
      </c>
      <c r="R200" s="40">
        <f t="shared" si="55"/>
        <v>15263092.16</v>
      </c>
      <c r="S200" s="50"/>
      <c r="T200" s="37"/>
      <c r="U200" s="37"/>
      <c r="V200" s="8"/>
    </row>
    <row r="201" spans="1:22" ht="15" customHeight="1" x14ac:dyDescent="0.15">
      <c r="A201" s="20">
        <v>41105</v>
      </c>
      <c r="B201" s="20" t="s">
        <v>35</v>
      </c>
      <c r="C201" s="21">
        <v>48224</v>
      </c>
      <c r="D201" s="7">
        <v>39576</v>
      </c>
      <c r="E201" s="7">
        <v>89994</v>
      </c>
      <c r="F201" s="22">
        <v>4580.6000000000004</v>
      </c>
      <c r="G201" s="23">
        <v>3120.6</v>
      </c>
      <c r="H201" s="24"/>
      <c r="I201" s="36"/>
      <c r="J201" s="8">
        <f t="shared" si="56"/>
        <v>50418</v>
      </c>
      <c r="K201" s="37">
        <f t="shared" si="57"/>
        <v>1421</v>
      </c>
      <c r="L201" s="37">
        <v>773</v>
      </c>
      <c r="M201" s="38">
        <f t="shared" si="50"/>
        <v>821257</v>
      </c>
      <c r="N201" s="39">
        <f t="shared" si="51"/>
        <v>496095</v>
      </c>
      <c r="O201" s="39">
        <f t="shared" si="52"/>
        <v>1357447</v>
      </c>
      <c r="P201" s="40">
        <f t="shared" si="53"/>
        <v>10797665</v>
      </c>
      <c r="Q201" s="40">
        <f t="shared" si="54"/>
        <v>4214126.0999999996</v>
      </c>
      <c r="R201" s="40">
        <f t="shared" si="55"/>
        <v>15353086.16</v>
      </c>
      <c r="S201" s="50"/>
      <c r="T201" s="37"/>
      <c r="U201" s="37"/>
      <c r="V201" s="8"/>
    </row>
    <row r="202" spans="1:22" ht="15" customHeight="1" x14ac:dyDescent="0.15">
      <c r="A202" s="14">
        <v>41106</v>
      </c>
      <c r="B202" s="14" t="s">
        <v>36</v>
      </c>
      <c r="C202" s="15">
        <v>55751</v>
      </c>
      <c r="D202" s="16">
        <v>33910</v>
      </c>
      <c r="E202" s="16">
        <v>91701</v>
      </c>
      <c r="F202" s="17">
        <v>4700.8999999999996</v>
      </c>
      <c r="G202" s="18">
        <v>2946.7</v>
      </c>
      <c r="H202" s="19">
        <v>1858.8</v>
      </c>
      <c r="I202" s="19">
        <v>995.3</v>
      </c>
      <c r="J202" s="32">
        <f t="shared" si="56"/>
        <v>57791</v>
      </c>
      <c r="K202" s="33">
        <f t="shared" si="57"/>
        <v>1267</v>
      </c>
      <c r="L202" s="33">
        <v>773</v>
      </c>
      <c r="M202" s="34">
        <f t="shared" si="50"/>
        <v>877008</v>
      </c>
      <c r="N202" s="35">
        <f t="shared" si="51"/>
        <v>530005</v>
      </c>
      <c r="O202" s="35">
        <f t="shared" si="52"/>
        <v>1449148</v>
      </c>
      <c r="P202" s="34">
        <f t="shared" si="53"/>
        <v>10853416</v>
      </c>
      <c r="Q202" s="34">
        <f t="shared" si="54"/>
        <v>4248036.0999999996</v>
      </c>
      <c r="R202" s="34">
        <f t="shared" si="55"/>
        <v>15444787.16</v>
      </c>
      <c r="S202" s="49"/>
      <c r="T202" s="32"/>
      <c r="U202" s="32"/>
      <c r="V202" s="32"/>
    </row>
    <row r="203" spans="1:22" ht="15" customHeight="1" x14ac:dyDescent="0.15">
      <c r="A203" s="20">
        <v>41107</v>
      </c>
      <c r="B203" s="20" t="s">
        <v>37</v>
      </c>
      <c r="C203" s="21">
        <v>58854</v>
      </c>
      <c r="D203" s="7">
        <v>36800</v>
      </c>
      <c r="E203" s="7">
        <v>97309</v>
      </c>
      <c r="F203" s="22">
        <v>4865.8999999999996</v>
      </c>
      <c r="G203" s="23">
        <v>3069.5</v>
      </c>
      <c r="H203" s="24">
        <v>1860.4</v>
      </c>
      <c r="I203" s="36">
        <v>857.4</v>
      </c>
      <c r="J203" s="8">
        <f t="shared" si="56"/>
        <v>60509</v>
      </c>
      <c r="K203" s="37">
        <f t="shared" si="57"/>
        <v>882</v>
      </c>
      <c r="L203" s="37">
        <v>773</v>
      </c>
      <c r="M203" s="38">
        <f t="shared" si="50"/>
        <v>935862</v>
      </c>
      <c r="N203" s="39">
        <f t="shared" si="51"/>
        <v>566805</v>
      </c>
      <c r="O203" s="39">
        <f t="shared" si="52"/>
        <v>1546457</v>
      </c>
      <c r="P203" s="40">
        <f t="shared" si="53"/>
        <v>10912270</v>
      </c>
      <c r="Q203" s="40">
        <f t="shared" si="54"/>
        <v>4284836.0999999996</v>
      </c>
      <c r="R203" s="40">
        <f t="shared" si="55"/>
        <v>15542096.16</v>
      </c>
      <c r="S203" s="50">
        <v>85.755799999999994</v>
      </c>
      <c r="T203" s="50">
        <f>P203/10000-S203</f>
        <v>1005.4712000000001</v>
      </c>
      <c r="U203" s="37"/>
      <c r="V203" s="55">
        <f>V$155+(T203-T$155-4.8)*10000/(3298.592+202+35*(4.5+20)/(30+20)+100*7/(30+17))</f>
        <v>2832.6476559837429</v>
      </c>
    </row>
    <row r="204" spans="1:22" ht="15" customHeight="1" x14ac:dyDescent="0.15">
      <c r="A204" s="20">
        <v>41108</v>
      </c>
      <c r="B204" s="20" t="s">
        <v>38</v>
      </c>
      <c r="C204" s="21">
        <v>61128</v>
      </c>
      <c r="D204" s="7">
        <v>39126</v>
      </c>
      <c r="E204" s="7">
        <v>101946</v>
      </c>
      <c r="F204" s="22">
        <v>5078.7</v>
      </c>
      <c r="G204" s="23">
        <v>3306.3</v>
      </c>
      <c r="H204" s="24">
        <v>1847</v>
      </c>
      <c r="I204" s="36">
        <v>1401</v>
      </c>
      <c r="J204" s="8">
        <f t="shared" si="56"/>
        <v>62820</v>
      </c>
      <c r="K204" s="37">
        <f t="shared" si="57"/>
        <v>919</v>
      </c>
      <c r="L204" s="37">
        <v>773</v>
      </c>
      <c r="M204" s="38">
        <f t="shared" si="50"/>
        <v>996990</v>
      </c>
      <c r="N204" s="39">
        <f t="shared" si="51"/>
        <v>605931</v>
      </c>
      <c r="O204" s="39">
        <f t="shared" si="52"/>
        <v>1648403</v>
      </c>
      <c r="P204" s="40">
        <f t="shared" si="53"/>
        <v>10973398</v>
      </c>
      <c r="Q204" s="40">
        <f t="shared" si="54"/>
        <v>4323962.0999999996</v>
      </c>
      <c r="R204" s="40">
        <f t="shared" si="55"/>
        <v>15644042.16</v>
      </c>
      <c r="S204" s="50"/>
      <c r="T204" s="37"/>
      <c r="U204" s="37"/>
      <c r="V204" s="8"/>
    </row>
    <row r="205" spans="1:22" ht="15" customHeight="1" x14ac:dyDescent="0.15">
      <c r="A205" s="20">
        <v>41109</v>
      </c>
      <c r="B205" s="20" t="s">
        <v>39</v>
      </c>
      <c r="C205" s="21">
        <v>61829</v>
      </c>
      <c r="D205" s="7">
        <v>38712</v>
      </c>
      <c r="E205" s="7">
        <v>102770</v>
      </c>
      <c r="F205" s="22">
        <v>5022.3</v>
      </c>
      <c r="G205" s="23">
        <v>3444</v>
      </c>
      <c r="H205" s="24">
        <v>1790</v>
      </c>
      <c r="I205" s="36">
        <v>1397</v>
      </c>
      <c r="J205" s="8">
        <f t="shared" si="56"/>
        <v>64058</v>
      </c>
      <c r="K205" s="37">
        <f t="shared" si="57"/>
        <v>1456</v>
      </c>
      <c r="L205" s="37">
        <v>773</v>
      </c>
      <c r="M205" s="38">
        <f t="shared" si="50"/>
        <v>1058819</v>
      </c>
      <c r="N205" s="39">
        <f t="shared" si="51"/>
        <v>644643</v>
      </c>
      <c r="O205" s="39">
        <f t="shared" si="52"/>
        <v>1751173</v>
      </c>
      <c r="P205" s="40">
        <f t="shared" si="53"/>
        <v>11035227</v>
      </c>
      <c r="Q205" s="40">
        <f t="shared" si="54"/>
        <v>4362674.0999999996</v>
      </c>
      <c r="R205" s="40">
        <f t="shared" si="55"/>
        <v>15746812.16</v>
      </c>
      <c r="S205" s="50"/>
      <c r="T205" s="37"/>
      <c r="U205" s="37"/>
      <c r="V205" s="8"/>
    </row>
    <row r="206" spans="1:22" ht="15" customHeight="1" x14ac:dyDescent="0.15">
      <c r="A206" s="20">
        <v>41110</v>
      </c>
      <c r="B206" s="20" t="s">
        <v>1</v>
      </c>
      <c r="C206" s="21">
        <v>59351</v>
      </c>
      <c r="D206" s="7">
        <v>38625</v>
      </c>
      <c r="E206" s="7">
        <v>99829</v>
      </c>
      <c r="F206" s="22">
        <v>4760.8</v>
      </c>
      <c r="G206" s="23">
        <v>3429</v>
      </c>
      <c r="H206" s="24">
        <v>1785</v>
      </c>
      <c r="I206" s="36">
        <v>1400</v>
      </c>
      <c r="J206" s="8">
        <f t="shared" si="56"/>
        <v>61204</v>
      </c>
      <c r="K206" s="37">
        <f t="shared" si="57"/>
        <v>1080</v>
      </c>
      <c r="L206" s="37">
        <v>773</v>
      </c>
      <c r="M206" s="38">
        <f t="shared" si="50"/>
        <v>1118170</v>
      </c>
      <c r="N206" s="39">
        <f t="shared" si="51"/>
        <v>683268</v>
      </c>
      <c r="O206" s="39">
        <f t="shared" si="52"/>
        <v>1851002</v>
      </c>
      <c r="P206" s="40">
        <f t="shared" si="53"/>
        <v>11094578</v>
      </c>
      <c r="Q206" s="40">
        <f t="shared" si="54"/>
        <v>4401299.0999999996</v>
      </c>
      <c r="R206" s="40">
        <f t="shared" si="55"/>
        <v>15846641.16</v>
      </c>
      <c r="S206" s="50">
        <v>88.170500000000004</v>
      </c>
      <c r="T206" s="50">
        <f>P206/10000-S206</f>
        <v>1021.2873</v>
      </c>
      <c r="U206" s="37"/>
      <c r="V206" s="56">
        <f>V$155+(T206-T$155-4.8)*10000/(3298.592+202+35*(4.5+20)/(30+20)+100*11/(30+20))</f>
        <v>2871.6423400349518</v>
      </c>
    </row>
    <row r="207" spans="1:22" ht="15" customHeight="1" x14ac:dyDescent="0.15">
      <c r="A207" s="20">
        <v>41111</v>
      </c>
      <c r="B207" s="20" t="s">
        <v>34</v>
      </c>
      <c r="C207" s="21">
        <v>66316</v>
      </c>
      <c r="D207" s="7">
        <v>38517</v>
      </c>
      <c r="E207" s="7">
        <v>107739</v>
      </c>
      <c r="F207" s="22">
        <v>5385</v>
      </c>
      <c r="G207" s="23">
        <v>3428</v>
      </c>
      <c r="H207" s="24">
        <v>1782</v>
      </c>
      <c r="I207" s="36">
        <v>1366</v>
      </c>
      <c r="J207" s="8">
        <f t="shared" si="56"/>
        <v>69222</v>
      </c>
      <c r="K207" s="37">
        <f t="shared" si="57"/>
        <v>2133</v>
      </c>
      <c r="L207" s="37">
        <v>773</v>
      </c>
      <c r="M207" s="38">
        <f t="shared" si="50"/>
        <v>1184486</v>
      </c>
      <c r="N207" s="39">
        <f t="shared" si="51"/>
        <v>721785</v>
      </c>
      <c r="O207" s="39">
        <f t="shared" si="52"/>
        <v>1958741</v>
      </c>
      <c r="P207" s="40">
        <f t="shared" si="53"/>
        <v>11160894</v>
      </c>
      <c r="Q207" s="40">
        <f t="shared" si="54"/>
        <v>4439816.0999999996</v>
      </c>
      <c r="R207" s="40">
        <f t="shared" si="55"/>
        <v>15954380.16</v>
      </c>
      <c r="S207" s="50"/>
      <c r="T207" s="37"/>
      <c r="U207" s="37"/>
      <c r="V207" s="8"/>
    </row>
    <row r="208" spans="1:22" ht="15" customHeight="1" x14ac:dyDescent="0.15">
      <c r="A208" s="20">
        <v>41112</v>
      </c>
      <c r="B208" s="20" t="s">
        <v>35</v>
      </c>
      <c r="C208" s="21">
        <v>63776.52</v>
      </c>
      <c r="D208" s="7">
        <v>36380</v>
      </c>
      <c r="E208" s="7">
        <v>104188</v>
      </c>
      <c r="F208" s="22">
        <v>5406</v>
      </c>
      <c r="G208" s="23">
        <v>3424</v>
      </c>
      <c r="H208" s="24">
        <v>1788</v>
      </c>
      <c r="I208" s="36">
        <v>1454</v>
      </c>
      <c r="J208" s="8">
        <f t="shared" si="56"/>
        <v>67808</v>
      </c>
      <c r="K208" s="37">
        <f t="shared" si="57"/>
        <v>3258.4800000000032</v>
      </c>
      <c r="L208" s="37">
        <v>773</v>
      </c>
      <c r="M208" s="38">
        <f t="shared" si="50"/>
        <v>1248262.52</v>
      </c>
      <c r="N208" s="39">
        <f t="shared" si="51"/>
        <v>758165</v>
      </c>
      <c r="O208" s="39">
        <f t="shared" si="52"/>
        <v>2062929</v>
      </c>
      <c r="P208" s="40">
        <f t="shared" si="53"/>
        <v>11224670.52</v>
      </c>
      <c r="Q208" s="40">
        <f t="shared" si="54"/>
        <v>4476196.0999999996</v>
      </c>
      <c r="R208" s="40">
        <f t="shared" si="55"/>
        <v>16058568.16</v>
      </c>
      <c r="S208" s="50"/>
      <c r="T208" s="37"/>
      <c r="U208" s="37"/>
      <c r="V208" s="8"/>
    </row>
    <row r="209" spans="1:22" ht="15" customHeight="1" x14ac:dyDescent="0.15">
      <c r="A209" s="14">
        <v>41113</v>
      </c>
      <c r="B209" s="14" t="s">
        <v>36</v>
      </c>
      <c r="C209" s="15">
        <v>64612</v>
      </c>
      <c r="D209" s="16">
        <v>37961</v>
      </c>
      <c r="E209" s="16">
        <v>106703</v>
      </c>
      <c r="F209" s="17">
        <v>5328</v>
      </c>
      <c r="G209" s="18">
        <v>3587.8</v>
      </c>
      <c r="H209" s="19">
        <v>1830.1</v>
      </c>
      <c r="I209" s="19">
        <v>1419.9</v>
      </c>
      <c r="J209" s="32">
        <f t="shared" si="56"/>
        <v>68742</v>
      </c>
      <c r="K209" s="33">
        <f t="shared" si="57"/>
        <v>3357</v>
      </c>
      <c r="L209" s="33">
        <v>773</v>
      </c>
      <c r="M209" s="34">
        <f t="shared" si="50"/>
        <v>1312874.52</v>
      </c>
      <c r="N209" s="35">
        <f t="shared" si="51"/>
        <v>796126</v>
      </c>
      <c r="O209" s="35">
        <f t="shared" si="52"/>
        <v>2169632</v>
      </c>
      <c r="P209" s="34">
        <f t="shared" si="53"/>
        <v>11289282.52</v>
      </c>
      <c r="Q209" s="34">
        <f t="shared" si="54"/>
        <v>4514157.0999999996</v>
      </c>
      <c r="R209" s="34">
        <f t="shared" si="55"/>
        <v>16165271.16</v>
      </c>
      <c r="S209" s="49"/>
      <c r="T209" s="32"/>
      <c r="U209" s="32"/>
      <c r="V209" s="32"/>
    </row>
    <row r="210" spans="1:22" ht="15" customHeight="1" x14ac:dyDescent="0.15">
      <c r="A210" s="20">
        <v>41114</v>
      </c>
      <c r="B210" s="20" t="s">
        <v>37</v>
      </c>
      <c r="C210" s="21">
        <v>62000</v>
      </c>
      <c r="D210" s="7">
        <v>36360</v>
      </c>
      <c r="E210" s="7">
        <v>102500</v>
      </c>
      <c r="F210" s="22">
        <v>4892.7</v>
      </c>
      <c r="G210" s="23">
        <v>3378.4</v>
      </c>
      <c r="H210" s="24">
        <v>1577.8</v>
      </c>
      <c r="I210" s="36">
        <v>1203.3</v>
      </c>
      <c r="J210" s="8">
        <f t="shared" si="56"/>
        <v>66140</v>
      </c>
      <c r="K210" s="37">
        <f t="shared" si="57"/>
        <v>3367</v>
      </c>
      <c r="L210" s="37">
        <v>773</v>
      </c>
      <c r="M210" s="38">
        <f t="shared" si="50"/>
        <v>1374874.52</v>
      </c>
      <c r="N210" s="39">
        <f t="shared" si="51"/>
        <v>832486</v>
      </c>
      <c r="O210" s="39">
        <f t="shared" si="52"/>
        <v>2272132</v>
      </c>
      <c r="P210" s="40">
        <f t="shared" si="53"/>
        <v>11351282.52</v>
      </c>
      <c r="Q210" s="40">
        <f t="shared" si="54"/>
        <v>4550517.0999999996</v>
      </c>
      <c r="R210" s="40">
        <f t="shared" si="55"/>
        <v>16267771.16</v>
      </c>
      <c r="S210" s="50">
        <v>90.370500000000007</v>
      </c>
      <c r="T210" s="50">
        <f>P210/10000-S210</f>
        <v>1044.757752</v>
      </c>
      <c r="U210" s="37"/>
      <c r="V210" s="55">
        <f>V$155+(T210-T$155-4.8)*10000/(3298.592+202+35*(4.5+24)/(30+24)+100*15/(30+24))</f>
        <v>2932.0667568501781</v>
      </c>
    </row>
    <row r="211" spans="1:22" ht="15" customHeight="1" x14ac:dyDescent="0.15">
      <c r="A211" s="20">
        <v>41115</v>
      </c>
      <c r="B211" s="20" t="s">
        <v>38</v>
      </c>
      <c r="C211" s="21">
        <v>55621</v>
      </c>
      <c r="D211" s="7">
        <v>37907</v>
      </c>
      <c r="E211" s="7">
        <v>96872</v>
      </c>
      <c r="F211" s="22">
        <v>4813.7</v>
      </c>
      <c r="G211" s="23">
        <v>3101.8</v>
      </c>
      <c r="H211" s="24">
        <v>1774</v>
      </c>
      <c r="I211" s="36">
        <v>1346.3</v>
      </c>
      <c r="J211" s="8">
        <f t="shared" si="56"/>
        <v>58965</v>
      </c>
      <c r="K211" s="37">
        <f t="shared" si="57"/>
        <v>2576</v>
      </c>
      <c r="L211" s="37">
        <v>768</v>
      </c>
      <c r="M211" s="38">
        <f t="shared" si="50"/>
        <v>1430495.52</v>
      </c>
      <c r="N211" s="39">
        <f t="shared" si="51"/>
        <v>870393</v>
      </c>
      <c r="O211" s="39">
        <f t="shared" si="52"/>
        <v>2369004</v>
      </c>
      <c r="P211" s="40">
        <f t="shared" si="53"/>
        <v>11406903.52</v>
      </c>
      <c r="Q211" s="40">
        <f t="shared" si="54"/>
        <v>4588424.0999999996</v>
      </c>
      <c r="R211" s="40">
        <f t="shared" si="55"/>
        <v>16364643.16</v>
      </c>
      <c r="S211" s="50"/>
      <c r="T211" s="37"/>
      <c r="U211" s="37"/>
      <c r="V211" s="8"/>
    </row>
    <row r="212" spans="1:22" ht="15" customHeight="1" x14ac:dyDescent="0.15">
      <c r="A212" s="20">
        <v>41116</v>
      </c>
      <c r="B212" s="20" t="s">
        <v>39</v>
      </c>
      <c r="C212" s="21">
        <v>56554</v>
      </c>
      <c r="D212" s="7">
        <v>37573</v>
      </c>
      <c r="E212" s="7">
        <v>96821</v>
      </c>
      <c r="F212" s="22">
        <v>4893.3999999999996</v>
      </c>
      <c r="G212" s="23">
        <v>3246.2</v>
      </c>
      <c r="H212" s="24">
        <v>1758.6</v>
      </c>
      <c r="I212" s="36">
        <v>1339.5</v>
      </c>
      <c r="J212" s="8">
        <f t="shared" si="56"/>
        <v>59248</v>
      </c>
      <c r="K212" s="37">
        <f t="shared" si="57"/>
        <v>1927</v>
      </c>
      <c r="L212" s="37">
        <v>767</v>
      </c>
      <c r="M212" s="38">
        <f t="shared" si="50"/>
        <v>1487049.52</v>
      </c>
      <c r="N212" s="39">
        <f t="shared" si="51"/>
        <v>907966</v>
      </c>
      <c r="O212" s="39">
        <f t="shared" si="52"/>
        <v>2465825</v>
      </c>
      <c r="P212" s="40">
        <f t="shared" si="53"/>
        <v>11463457.52</v>
      </c>
      <c r="Q212" s="40">
        <f t="shared" si="54"/>
        <v>4625997.0999999996</v>
      </c>
      <c r="R212" s="40">
        <f t="shared" si="55"/>
        <v>16461464.16</v>
      </c>
      <c r="S212" s="50"/>
      <c r="T212" s="37"/>
      <c r="U212" s="37"/>
      <c r="V212" s="8"/>
    </row>
    <row r="213" spans="1:22" ht="15" customHeight="1" x14ac:dyDescent="0.15">
      <c r="A213" s="20">
        <v>41117</v>
      </c>
      <c r="B213" s="20" t="s">
        <v>1</v>
      </c>
      <c r="C213" s="21">
        <v>50785</v>
      </c>
      <c r="D213" s="7">
        <v>37543</v>
      </c>
      <c r="E213" s="7">
        <v>90370</v>
      </c>
      <c r="F213" s="22">
        <v>4553.3</v>
      </c>
      <c r="G213" s="23">
        <v>3149.5</v>
      </c>
      <c r="H213" s="24">
        <v>1769.2</v>
      </c>
      <c r="I213" s="36">
        <v>1359.3</v>
      </c>
      <c r="J213" s="8">
        <f t="shared" si="56"/>
        <v>52827</v>
      </c>
      <c r="K213" s="37">
        <f t="shared" si="57"/>
        <v>1275</v>
      </c>
      <c r="L213" s="37">
        <v>767</v>
      </c>
      <c r="M213" s="38">
        <f t="shared" si="50"/>
        <v>1537834.52</v>
      </c>
      <c r="N213" s="39">
        <f t="shared" si="51"/>
        <v>945509</v>
      </c>
      <c r="O213" s="39">
        <f t="shared" si="52"/>
        <v>2556195</v>
      </c>
      <c r="P213" s="40">
        <f t="shared" si="53"/>
        <v>11514242.52</v>
      </c>
      <c r="Q213" s="40">
        <f t="shared" si="54"/>
        <v>4663540.0999999996</v>
      </c>
      <c r="R213" s="40">
        <f t="shared" si="55"/>
        <v>16551834.16</v>
      </c>
      <c r="S213" s="50"/>
      <c r="T213" s="37"/>
      <c r="U213" s="37"/>
      <c r="V213" s="8"/>
    </row>
    <row r="214" spans="1:22" ht="15" customHeight="1" x14ac:dyDescent="0.15">
      <c r="A214" s="20">
        <v>41118</v>
      </c>
      <c r="B214" s="20" t="s">
        <v>34</v>
      </c>
      <c r="C214" s="21">
        <v>54768</v>
      </c>
      <c r="D214" s="7">
        <v>38192</v>
      </c>
      <c r="E214" s="7">
        <v>95940</v>
      </c>
      <c r="F214" s="22">
        <v>4906</v>
      </c>
      <c r="G214" s="23">
        <v>2960</v>
      </c>
      <c r="H214" s="24">
        <v>1770</v>
      </c>
      <c r="I214" s="36"/>
      <c r="J214" s="8">
        <f t="shared" si="56"/>
        <v>57748</v>
      </c>
      <c r="K214" s="37">
        <f t="shared" si="57"/>
        <v>2214</v>
      </c>
      <c r="L214" s="37">
        <v>766</v>
      </c>
      <c r="M214" s="38">
        <f t="shared" si="50"/>
        <v>1592602.52</v>
      </c>
      <c r="N214" s="39">
        <f t="shared" si="51"/>
        <v>983701</v>
      </c>
      <c r="O214" s="39">
        <f t="shared" si="52"/>
        <v>2652135</v>
      </c>
      <c r="P214" s="40">
        <f t="shared" si="53"/>
        <v>11569010.52</v>
      </c>
      <c r="Q214" s="40">
        <f t="shared" si="54"/>
        <v>4701732.0999999996</v>
      </c>
      <c r="R214" s="40">
        <f t="shared" si="55"/>
        <v>16647774.16</v>
      </c>
      <c r="S214" s="50"/>
      <c r="T214" s="37"/>
      <c r="U214" s="37"/>
      <c r="V214" s="8"/>
    </row>
    <row r="215" spans="1:22" ht="15" customHeight="1" x14ac:dyDescent="0.15">
      <c r="A215" s="20">
        <v>41119</v>
      </c>
      <c r="B215" s="20" t="s">
        <v>35</v>
      </c>
      <c r="C215" s="21">
        <v>60498</v>
      </c>
      <c r="D215" s="7">
        <v>37223</v>
      </c>
      <c r="E215" s="7">
        <v>100936</v>
      </c>
      <c r="F215" s="22">
        <v>5028.6000000000004</v>
      </c>
      <c r="G215" s="23">
        <v>3146.6</v>
      </c>
      <c r="H215" s="24">
        <v>1781.1</v>
      </c>
      <c r="I215" s="36">
        <v>1380.8</v>
      </c>
      <c r="J215" s="8">
        <f t="shared" si="56"/>
        <v>63713</v>
      </c>
      <c r="K215" s="37">
        <f t="shared" si="57"/>
        <v>2449</v>
      </c>
      <c r="L215" s="37">
        <v>766</v>
      </c>
      <c r="M215" s="38">
        <f t="shared" si="50"/>
        <v>1653100.52</v>
      </c>
      <c r="N215" s="39">
        <f t="shared" si="51"/>
        <v>1020924</v>
      </c>
      <c r="O215" s="39">
        <f t="shared" si="52"/>
        <v>2753071</v>
      </c>
      <c r="P215" s="40">
        <f t="shared" si="53"/>
        <v>11629508.52</v>
      </c>
      <c r="Q215" s="40">
        <f t="shared" si="54"/>
        <v>4738955.0999999996</v>
      </c>
      <c r="R215" s="40">
        <f t="shared" si="55"/>
        <v>16748710.16</v>
      </c>
      <c r="S215" s="50"/>
      <c r="T215" s="37"/>
      <c r="U215" s="37"/>
      <c r="V215" s="8"/>
    </row>
    <row r="216" spans="1:22" ht="15" customHeight="1" x14ac:dyDescent="0.15">
      <c r="A216" s="14">
        <v>41120</v>
      </c>
      <c r="B216" s="14" t="s">
        <v>36</v>
      </c>
      <c r="C216" s="15">
        <v>66225</v>
      </c>
      <c r="D216" s="16">
        <v>35249</v>
      </c>
      <c r="E216" s="16">
        <v>105100</v>
      </c>
      <c r="F216" s="17">
        <v>5213.7</v>
      </c>
      <c r="G216" s="18">
        <v>3357.6</v>
      </c>
      <c r="H216" s="19">
        <v>1650</v>
      </c>
      <c r="I216" s="19">
        <v>1251.7</v>
      </c>
      <c r="J216" s="32">
        <f t="shared" si="56"/>
        <v>69851</v>
      </c>
      <c r="K216" s="33">
        <f t="shared" si="57"/>
        <v>2863</v>
      </c>
      <c r="L216" s="33">
        <v>763</v>
      </c>
      <c r="M216" s="34">
        <f t="shared" si="50"/>
        <v>1719325.52</v>
      </c>
      <c r="N216" s="35">
        <f t="shared" si="51"/>
        <v>1056173</v>
      </c>
      <c r="O216" s="35">
        <f t="shared" si="52"/>
        <v>2858171</v>
      </c>
      <c r="P216" s="34">
        <f t="shared" si="53"/>
        <v>11695733.52</v>
      </c>
      <c r="Q216" s="34">
        <f t="shared" si="54"/>
        <v>4774204.0999999996</v>
      </c>
      <c r="R216" s="34">
        <f t="shared" si="55"/>
        <v>16853810.16</v>
      </c>
      <c r="S216" s="49"/>
      <c r="T216" s="32"/>
      <c r="U216" s="32"/>
      <c r="V216" s="32"/>
    </row>
    <row r="217" spans="1:22" s="1" customFormat="1" ht="15" customHeight="1" x14ac:dyDescent="0.15">
      <c r="A217" s="25">
        <v>41121</v>
      </c>
      <c r="B217" s="25" t="s">
        <v>37</v>
      </c>
      <c r="C217" s="26">
        <v>65930</v>
      </c>
      <c r="D217" s="27">
        <v>34370</v>
      </c>
      <c r="E217" s="27">
        <v>104266</v>
      </c>
      <c r="F217" s="28">
        <v>5242.2</v>
      </c>
      <c r="G217" s="29">
        <v>3493.5</v>
      </c>
      <c r="H217" s="30">
        <v>1663.6</v>
      </c>
      <c r="I217" s="30">
        <v>1239.7</v>
      </c>
      <c r="J217" s="42">
        <f t="shared" si="56"/>
        <v>69896</v>
      </c>
      <c r="K217" s="43">
        <f t="shared" si="57"/>
        <v>3203</v>
      </c>
      <c r="L217" s="43">
        <v>763</v>
      </c>
      <c r="M217" s="44">
        <f t="shared" si="50"/>
        <v>1785255.52</v>
      </c>
      <c r="N217" s="46">
        <f t="shared" si="51"/>
        <v>1090543</v>
      </c>
      <c r="O217" s="46">
        <f t="shared" si="52"/>
        <v>2962437</v>
      </c>
      <c r="P217" s="44">
        <f t="shared" si="53"/>
        <v>11761663.52</v>
      </c>
      <c r="Q217" s="44">
        <f t="shared" si="54"/>
        <v>4808574.0999999996</v>
      </c>
      <c r="R217" s="44">
        <f t="shared" si="55"/>
        <v>16958076.16</v>
      </c>
      <c r="S217" s="52">
        <v>95.248699999999999</v>
      </c>
      <c r="T217" s="52">
        <f>P217/10000-S217</f>
        <v>1080.9176519999999</v>
      </c>
      <c r="U217" s="43"/>
      <c r="V217" s="57">
        <f>V$155+(T217-T$155-4.8)*10000/(3298.592+202+35*(4.5+31)/(30+31)+100*21.7/(30+31))</f>
        <v>3025.7477181739237</v>
      </c>
    </row>
    <row r="218" spans="1:22" ht="15" customHeight="1" x14ac:dyDescent="0.15">
      <c r="A218" s="20">
        <v>41122</v>
      </c>
      <c r="B218" s="20" t="s">
        <v>38</v>
      </c>
      <c r="C218" s="21">
        <v>56413</v>
      </c>
      <c r="D218" s="7">
        <v>34245</v>
      </c>
      <c r="E218" s="7">
        <v>93059</v>
      </c>
      <c r="F218" s="22">
        <v>4647.8</v>
      </c>
      <c r="G218" s="23">
        <v>3346.3</v>
      </c>
      <c r="H218" s="24"/>
      <c r="I218" s="36"/>
      <c r="J218" s="8">
        <f t="shared" si="56"/>
        <v>58814</v>
      </c>
      <c r="K218" s="37">
        <f t="shared" si="57"/>
        <v>1637</v>
      </c>
      <c r="L218" s="37">
        <v>764</v>
      </c>
      <c r="M218" s="38">
        <f>C218</f>
        <v>56413</v>
      </c>
      <c r="N218" s="39">
        <f>D218</f>
        <v>34245</v>
      </c>
      <c r="O218" s="39">
        <f>E218</f>
        <v>93059</v>
      </c>
      <c r="P218" s="40">
        <f>P$217+M218</f>
        <v>11818076.52</v>
      </c>
      <c r="Q218" s="40">
        <f>Q$217+N218</f>
        <v>4842819.0999999996</v>
      </c>
      <c r="R218" s="40">
        <f>R$217+O218</f>
        <v>17051135.16</v>
      </c>
      <c r="S218" s="50"/>
      <c r="T218" s="37"/>
      <c r="U218" s="37"/>
      <c r="V218" s="58">
        <f>V217-V186</f>
        <v>410.82382827814399</v>
      </c>
    </row>
    <row r="219" spans="1:22" ht="15" customHeight="1" x14ac:dyDescent="0.15">
      <c r="A219" s="20">
        <v>41123</v>
      </c>
      <c r="B219" s="20" t="s">
        <v>39</v>
      </c>
      <c r="C219" s="21">
        <v>53884</v>
      </c>
      <c r="D219" s="7">
        <v>34337</v>
      </c>
      <c r="E219" s="7">
        <v>90025</v>
      </c>
      <c r="F219" s="22">
        <v>4466.5</v>
      </c>
      <c r="G219" s="23">
        <v>3053.2</v>
      </c>
      <c r="H219" s="24"/>
      <c r="I219" s="36"/>
      <c r="J219" s="8">
        <f t="shared" si="56"/>
        <v>55688</v>
      </c>
      <c r="K219" s="37">
        <f t="shared" si="57"/>
        <v>1035</v>
      </c>
      <c r="L219" s="37">
        <v>769</v>
      </c>
      <c r="M219" s="38">
        <f t="shared" ref="M219:M248" si="58">M218+C219</f>
        <v>110297</v>
      </c>
      <c r="N219" s="39">
        <f t="shared" ref="N219:O226" si="59">N218+D219</f>
        <v>68582</v>
      </c>
      <c r="O219" s="39">
        <f t="shared" si="59"/>
        <v>183084</v>
      </c>
      <c r="P219" s="40">
        <f t="shared" ref="P219:P248" si="60">P$217+M219</f>
        <v>11871960.52</v>
      </c>
      <c r="Q219" s="40">
        <f t="shared" ref="Q219:Q248" si="61">Q$217+N219</f>
        <v>4877156.0999999996</v>
      </c>
      <c r="R219" s="40">
        <f t="shared" ref="R219:R248" si="62">R$217+O219</f>
        <v>17141160.16</v>
      </c>
      <c r="S219" s="50"/>
      <c r="T219" s="37"/>
      <c r="U219" s="37"/>
      <c r="V219" s="8"/>
    </row>
    <row r="220" spans="1:22" ht="15" customHeight="1" x14ac:dyDescent="0.15">
      <c r="A220" s="20">
        <v>41124</v>
      </c>
      <c r="B220" s="20" t="s">
        <v>1</v>
      </c>
      <c r="C220" s="21">
        <v>58890</v>
      </c>
      <c r="D220" s="7">
        <v>32854</v>
      </c>
      <c r="E220" s="7">
        <v>93906</v>
      </c>
      <c r="F220" s="22">
        <v>4470</v>
      </c>
      <c r="G220" s="23">
        <v>3152.6</v>
      </c>
      <c r="H220" s="24"/>
      <c r="I220" s="36"/>
      <c r="J220" s="8">
        <f t="shared" si="56"/>
        <v>61052</v>
      </c>
      <c r="K220" s="37">
        <f t="shared" si="57"/>
        <v>1394</v>
      </c>
      <c r="L220" s="37">
        <v>768</v>
      </c>
      <c r="M220" s="38">
        <f t="shared" si="58"/>
        <v>169187</v>
      </c>
      <c r="N220" s="39">
        <f t="shared" si="59"/>
        <v>101436</v>
      </c>
      <c r="O220" s="39">
        <f t="shared" si="59"/>
        <v>276990</v>
      </c>
      <c r="P220" s="40">
        <f t="shared" si="60"/>
        <v>11930850.52</v>
      </c>
      <c r="Q220" s="40">
        <f t="shared" si="61"/>
        <v>4910010.0999999996</v>
      </c>
      <c r="R220" s="40">
        <f t="shared" si="62"/>
        <v>17235066.16</v>
      </c>
      <c r="S220" s="50"/>
      <c r="T220" s="37"/>
      <c r="U220" s="37"/>
      <c r="V220" s="8"/>
    </row>
    <row r="221" spans="1:22" ht="15" customHeight="1" x14ac:dyDescent="0.15">
      <c r="A221" s="20">
        <v>41125</v>
      </c>
      <c r="B221" s="20" t="s">
        <v>34</v>
      </c>
      <c r="C221" s="21">
        <v>71157</v>
      </c>
      <c r="D221" s="7">
        <v>32017</v>
      </c>
      <c r="E221" s="7">
        <v>106306</v>
      </c>
      <c r="F221" s="22">
        <v>5373</v>
      </c>
      <c r="G221" s="23">
        <v>3331.6</v>
      </c>
      <c r="H221" s="24">
        <v>1641.1</v>
      </c>
      <c r="I221" s="36">
        <v>955.9</v>
      </c>
      <c r="J221" s="8">
        <f t="shared" si="56"/>
        <v>74289</v>
      </c>
      <c r="K221" s="37">
        <f t="shared" si="57"/>
        <v>2366</v>
      </c>
      <c r="L221" s="37">
        <v>766</v>
      </c>
      <c r="M221" s="38">
        <f t="shared" si="58"/>
        <v>240344</v>
      </c>
      <c r="N221" s="39">
        <f t="shared" si="59"/>
        <v>133453</v>
      </c>
      <c r="O221" s="39">
        <f t="shared" si="59"/>
        <v>383296</v>
      </c>
      <c r="P221" s="40">
        <f t="shared" si="60"/>
        <v>12002007.52</v>
      </c>
      <c r="Q221" s="40">
        <f t="shared" si="61"/>
        <v>4942027.0999999996</v>
      </c>
      <c r="R221" s="40">
        <f t="shared" si="62"/>
        <v>17341372.16</v>
      </c>
      <c r="S221" s="50"/>
      <c r="T221" s="37"/>
      <c r="U221" s="37"/>
      <c r="V221" s="8"/>
    </row>
    <row r="222" spans="1:22" ht="15" customHeight="1" x14ac:dyDescent="0.15">
      <c r="A222" s="20">
        <v>41126</v>
      </c>
      <c r="B222" s="20" t="s">
        <v>35</v>
      </c>
      <c r="C222" s="21">
        <v>73422</v>
      </c>
      <c r="D222" s="7">
        <v>34813</v>
      </c>
      <c r="E222" s="7">
        <v>110654</v>
      </c>
      <c r="F222" s="22">
        <v>5503</v>
      </c>
      <c r="G222" s="23">
        <v>3589.5</v>
      </c>
      <c r="H222" s="24">
        <v>1687.5</v>
      </c>
      <c r="I222" s="36">
        <v>1063.5999999999999</v>
      </c>
      <c r="J222" s="8">
        <f t="shared" si="56"/>
        <v>75841</v>
      </c>
      <c r="K222" s="37">
        <f t="shared" si="57"/>
        <v>1658</v>
      </c>
      <c r="L222" s="37">
        <v>761</v>
      </c>
      <c r="M222" s="38">
        <f t="shared" si="58"/>
        <v>313766</v>
      </c>
      <c r="N222" s="39">
        <f t="shared" si="59"/>
        <v>168266</v>
      </c>
      <c r="O222" s="39">
        <f t="shared" si="59"/>
        <v>493950</v>
      </c>
      <c r="P222" s="40">
        <f t="shared" si="60"/>
        <v>12075429.52</v>
      </c>
      <c r="Q222" s="40">
        <f t="shared" si="61"/>
        <v>4976840.0999999996</v>
      </c>
      <c r="R222" s="40">
        <f t="shared" si="62"/>
        <v>17452026.16</v>
      </c>
      <c r="S222" s="50"/>
      <c r="T222" s="37"/>
      <c r="U222" s="37"/>
      <c r="V222" s="8"/>
    </row>
    <row r="223" spans="1:22" ht="15" customHeight="1" x14ac:dyDescent="0.15">
      <c r="A223" s="14">
        <v>41127</v>
      </c>
      <c r="B223" s="14" t="s">
        <v>36</v>
      </c>
      <c r="C223" s="15">
        <v>72388</v>
      </c>
      <c r="D223" s="16">
        <v>38898</v>
      </c>
      <c r="E223" s="16">
        <v>113521</v>
      </c>
      <c r="F223" s="17">
        <v>5773.6</v>
      </c>
      <c r="G223" s="18">
        <v>3624</v>
      </c>
      <c r="H223" s="19">
        <v>1829</v>
      </c>
      <c r="I223" s="19">
        <v>1341</v>
      </c>
      <c r="J223" s="32">
        <f t="shared" si="56"/>
        <v>74623</v>
      </c>
      <c r="K223" s="33">
        <f t="shared" si="57"/>
        <v>1475</v>
      </c>
      <c r="L223" s="33">
        <v>760</v>
      </c>
      <c r="M223" s="34">
        <f t="shared" si="58"/>
        <v>386154</v>
      </c>
      <c r="N223" s="35">
        <f t="shared" si="59"/>
        <v>207164</v>
      </c>
      <c r="O223" s="35">
        <f t="shared" si="59"/>
        <v>607471</v>
      </c>
      <c r="P223" s="34">
        <f t="shared" si="60"/>
        <v>12147817.52</v>
      </c>
      <c r="Q223" s="34">
        <f t="shared" si="61"/>
        <v>5015738.0999999996</v>
      </c>
      <c r="R223" s="34">
        <f t="shared" si="62"/>
        <v>17565547.16</v>
      </c>
      <c r="S223" s="49"/>
      <c r="T223" s="32"/>
      <c r="U223" s="32"/>
      <c r="V223" s="32"/>
    </row>
    <row r="224" spans="1:22" ht="15" customHeight="1" x14ac:dyDescent="0.15">
      <c r="A224" s="20">
        <v>41128</v>
      </c>
      <c r="B224" s="20" t="s">
        <v>37</v>
      </c>
      <c r="C224" s="21">
        <v>71117</v>
      </c>
      <c r="D224" s="7">
        <v>36247</v>
      </c>
      <c r="E224" s="7">
        <v>109086</v>
      </c>
      <c r="F224" s="22">
        <v>5437.4</v>
      </c>
      <c r="G224" s="23">
        <v>3618.7</v>
      </c>
      <c r="H224" s="24">
        <v>1692.3</v>
      </c>
      <c r="I224" s="36">
        <v>1251.8</v>
      </c>
      <c r="J224" s="8">
        <f t="shared" si="56"/>
        <v>72839</v>
      </c>
      <c r="K224" s="37">
        <f t="shared" si="57"/>
        <v>962</v>
      </c>
      <c r="L224" s="37">
        <v>760</v>
      </c>
      <c r="M224" s="38">
        <f t="shared" si="58"/>
        <v>457271</v>
      </c>
      <c r="N224" s="39">
        <f t="shared" si="59"/>
        <v>243411</v>
      </c>
      <c r="O224" s="39">
        <f t="shared" si="59"/>
        <v>716557</v>
      </c>
      <c r="P224" s="40">
        <f t="shared" si="60"/>
        <v>12218934.52</v>
      </c>
      <c r="Q224" s="40">
        <f t="shared" si="61"/>
        <v>5051985.0999999996</v>
      </c>
      <c r="R224" s="40">
        <f t="shared" si="62"/>
        <v>17674633.16</v>
      </c>
      <c r="S224" s="50">
        <v>99.728700000000003</v>
      </c>
      <c r="T224" s="50">
        <f>P224/10000-S224</f>
        <v>1122.1647520000001</v>
      </c>
      <c r="U224" s="37"/>
      <c r="V224" s="55">
        <f>V$155+(T224-T$155-4.8)*10000/(3298.592+202+35*(4.5+31+7)/(30+31+7)+100*(21+7)/(30+31+7))</f>
        <v>3135.4560612528435</v>
      </c>
    </row>
    <row r="225" spans="1:22" ht="15" customHeight="1" x14ac:dyDescent="0.15">
      <c r="A225" s="20">
        <v>41129</v>
      </c>
      <c r="B225" s="20" t="s">
        <v>38</v>
      </c>
      <c r="C225" s="21">
        <v>62457</v>
      </c>
      <c r="D225" s="7">
        <v>37329</v>
      </c>
      <c r="E225" s="7">
        <v>101725</v>
      </c>
      <c r="F225" s="22">
        <v>4996</v>
      </c>
      <c r="G225" s="23">
        <v>3547</v>
      </c>
      <c r="H225" s="24">
        <v>1780.3</v>
      </c>
      <c r="I225" s="36">
        <v>1265.9000000000001</v>
      </c>
      <c r="J225" s="8">
        <f t="shared" si="56"/>
        <v>64396</v>
      </c>
      <c r="K225" s="37">
        <f t="shared" si="57"/>
        <v>1177</v>
      </c>
      <c r="L225" s="37">
        <v>762</v>
      </c>
      <c r="M225" s="38">
        <f t="shared" si="58"/>
        <v>519728</v>
      </c>
      <c r="N225" s="39">
        <f t="shared" si="59"/>
        <v>280740</v>
      </c>
      <c r="O225" s="39">
        <f t="shared" si="59"/>
        <v>818282</v>
      </c>
      <c r="P225" s="40">
        <f t="shared" si="60"/>
        <v>12281391.52</v>
      </c>
      <c r="Q225" s="40">
        <f t="shared" si="61"/>
        <v>5089314.0999999996</v>
      </c>
      <c r="R225" s="40">
        <f t="shared" si="62"/>
        <v>17776358.16</v>
      </c>
      <c r="S225" s="50"/>
      <c r="T225" s="37"/>
      <c r="U225" s="37"/>
      <c r="V225" s="8"/>
    </row>
    <row r="226" spans="1:22" ht="15" customHeight="1" x14ac:dyDescent="0.15">
      <c r="A226" s="20">
        <v>41130</v>
      </c>
      <c r="B226" s="20" t="s">
        <v>39</v>
      </c>
      <c r="C226" s="21">
        <v>61769</v>
      </c>
      <c r="D226" s="7">
        <v>33758</v>
      </c>
      <c r="E226" s="7">
        <v>97590</v>
      </c>
      <c r="F226" s="22">
        <v>4749</v>
      </c>
      <c r="G226" s="23">
        <v>3342</v>
      </c>
      <c r="H226" s="24"/>
      <c r="I226" s="36"/>
      <c r="J226" s="8">
        <f t="shared" si="56"/>
        <v>63832</v>
      </c>
      <c r="K226" s="37">
        <f t="shared" si="57"/>
        <v>1301</v>
      </c>
      <c r="L226" s="37">
        <v>762</v>
      </c>
      <c r="M226" s="38">
        <f t="shared" si="58"/>
        <v>581497</v>
      </c>
      <c r="N226" s="39">
        <f t="shared" si="59"/>
        <v>314498</v>
      </c>
      <c r="O226" s="39">
        <f t="shared" si="59"/>
        <v>915872</v>
      </c>
      <c r="P226" s="40">
        <f t="shared" si="60"/>
        <v>12343160.52</v>
      </c>
      <c r="Q226" s="40">
        <f t="shared" si="61"/>
        <v>5123072.0999999996</v>
      </c>
      <c r="R226" s="40">
        <f t="shared" si="62"/>
        <v>17873948.16</v>
      </c>
      <c r="S226" s="50"/>
      <c r="T226" s="37"/>
      <c r="U226" s="37"/>
      <c r="V226" s="8"/>
    </row>
    <row r="227" spans="1:22" ht="15" customHeight="1" x14ac:dyDescent="0.15">
      <c r="A227" s="20">
        <v>41131</v>
      </c>
      <c r="B227" s="20" t="s">
        <v>1</v>
      </c>
      <c r="C227" s="21">
        <v>54293</v>
      </c>
      <c r="D227" s="7">
        <v>34343</v>
      </c>
      <c r="E227" s="7">
        <v>89936</v>
      </c>
      <c r="F227" s="22">
        <v>4282</v>
      </c>
      <c r="G227" s="23">
        <v>3289</v>
      </c>
      <c r="H227" s="24"/>
      <c r="I227" s="36"/>
      <c r="J227" s="8">
        <f t="shared" si="56"/>
        <v>55593</v>
      </c>
      <c r="K227" s="37">
        <f t="shared" si="57"/>
        <v>538</v>
      </c>
      <c r="L227" s="37">
        <v>762</v>
      </c>
      <c r="M227" s="38">
        <v>635790</v>
      </c>
      <c r="N227" s="39">
        <v>348841</v>
      </c>
      <c r="O227" s="39">
        <v>1005807</v>
      </c>
      <c r="P227" s="40">
        <f t="shared" si="60"/>
        <v>12397453.52</v>
      </c>
      <c r="Q227" s="40">
        <f t="shared" si="61"/>
        <v>5157415.0999999996</v>
      </c>
      <c r="R227" s="40">
        <f t="shared" si="62"/>
        <v>17963883.16</v>
      </c>
      <c r="S227" s="50">
        <v>102.3126</v>
      </c>
      <c r="T227" s="50">
        <f>P227/10000-S227</f>
        <v>1137.4327519999999</v>
      </c>
      <c r="U227" s="37"/>
      <c r="V227" s="56">
        <f>V$155+(T227-T$155-4.8)*10000/(3298.592+202+35*(4.5+31+10)/(30+31+10)+103*(21+10)/(30+31+10)+12*(31+10)/(181+31+10))</f>
        <v>3172.4544804723278</v>
      </c>
    </row>
    <row r="228" spans="1:22" ht="15" customHeight="1" x14ac:dyDescent="0.15">
      <c r="A228" s="20">
        <v>41132</v>
      </c>
      <c r="B228" s="20" t="s">
        <v>34</v>
      </c>
      <c r="C228" s="21">
        <v>54387</v>
      </c>
      <c r="D228" s="7">
        <v>36446</v>
      </c>
      <c r="E228" s="7">
        <v>92276</v>
      </c>
      <c r="F228" s="22">
        <v>4679</v>
      </c>
      <c r="G228" s="23">
        <v>3066</v>
      </c>
      <c r="H228" s="24"/>
      <c r="I228" s="36"/>
      <c r="J228" s="8">
        <f t="shared" si="56"/>
        <v>55830</v>
      </c>
      <c r="K228" s="37">
        <f t="shared" si="57"/>
        <v>681</v>
      </c>
      <c r="L228" s="37">
        <v>762</v>
      </c>
      <c r="M228" s="38">
        <f t="shared" si="58"/>
        <v>690177</v>
      </c>
      <c r="N228" s="39">
        <f t="shared" ref="N228:N248" si="63">N227+D228</f>
        <v>385287</v>
      </c>
      <c r="O228" s="39">
        <f t="shared" ref="O228:O248" si="64">O227+E228</f>
        <v>1098083</v>
      </c>
      <c r="P228" s="40">
        <f t="shared" si="60"/>
        <v>12451840.52</v>
      </c>
      <c r="Q228" s="40">
        <f t="shared" si="61"/>
        <v>5193861.0999999996</v>
      </c>
      <c r="R228" s="40">
        <f t="shared" si="62"/>
        <v>18056159.16</v>
      </c>
      <c r="S228" s="50"/>
      <c r="T228" s="37"/>
      <c r="U228" s="37"/>
      <c r="V228" s="8"/>
    </row>
    <row r="229" spans="1:22" ht="15" customHeight="1" x14ac:dyDescent="0.15">
      <c r="A229" s="20">
        <v>41133</v>
      </c>
      <c r="B229" s="20" t="s">
        <v>35</v>
      </c>
      <c r="C229" s="21">
        <v>49814</v>
      </c>
      <c r="D229" s="7">
        <v>37983</v>
      </c>
      <c r="E229" s="7">
        <v>89010</v>
      </c>
      <c r="F229" s="22">
        <v>4534</v>
      </c>
      <c r="G229" s="23">
        <v>3093</v>
      </c>
      <c r="H229" s="24"/>
      <c r="I229" s="36"/>
      <c r="J229" s="8">
        <f t="shared" si="56"/>
        <v>51027</v>
      </c>
      <c r="K229" s="37">
        <f t="shared" si="57"/>
        <v>451</v>
      </c>
      <c r="L229" s="37">
        <v>762</v>
      </c>
      <c r="M229" s="38">
        <f t="shared" si="58"/>
        <v>739991</v>
      </c>
      <c r="N229" s="39">
        <f t="shared" si="63"/>
        <v>423270</v>
      </c>
      <c r="O229" s="39">
        <f t="shared" si="64"/>
        <v>1187093</v>
      </c>
      <c r="P229" s="40">
        <f t="shared" si="60"/>
        <v>12501654.52</v>
      </c>
      <c r="Q229" s="40">
        <f t="shared" si="61"/>
        <v>5231844.0999999996</v>
      </c>
      <c r="R229" s="40">
        <f t="shared" si="62"/>
        <v>18145169.16</v>
      </c>
      <c r="S229" s="50"/>
      <c r="T229" s="37"/>
      <c r="U229" s="37"/>
      <c r="V229" s="8"/>
    </row>
    <row r="230" spans="1:22" ht="15" customHeight="1" x14ac:dyDescent="0.15">
      <c r="A230" s="14">
        <v>41134</v>
      </c>
      <c r="B230" s="14" t="s">
        <v>36</v>
      </c>
      <c r="C230" s="15">
        <v>52373</v>
      </c>
      <c r="D230" s="16">
        <v>38147</v>
      </c>
      <c r="E230" s="16">
        <v>92332</v>
      </c>
      <c r="F230" s="17">
        <v>4662</v>
      </c>
      <c r="G230" s="18">
        <v>2991</v>
      </c>
      <c r="H230" s="19">
        <v>1809.9</v>
      </c>
      <c r="I230" s="19">
        <v>1325.4</v>
      </c>
      <c r="J230" s="32">
        <f t="shared" si="56"/>
        <v>54185</v>
      </c>
      <c r="K230" s="33">
        <f t="shared" si="57"/>
        <v>1045</v>
      </c>
      <c r="L230" s="33">
        <v>767</v>
      </c>
      <c r="M230" s="34">
        <f t="shared" si="58"/>
        <v>792364</v>
      </c>
      <c r="N230" s="35">
        <f t="shared" si="63"/>
        <v>461417</v>
      </c>
      <c r="O230" s="35">
        <f t="shared" si="64"/>
        <v>1279425</v>
      </c>
      <c r="P230" s="34">
        <f t="shared" si="60"/>
        <v>12554027.52</v>
      </c>
      <c r="Q230" s="34">
        <f t="shared" si="61"/>
        <v>5269991.0999999996</v>
      </c>
      <c r="R230" s="34">
        <f t="shared" si="62"/>
        <v>18237501.16</v>
      </c>
      <c r="S230" s="49"/>
      <c r="T230" s="32"/>
      <c r="U230" s="32"/>
      <c r="V230" s="32"/>
    </row>
    <row r="231" spans="1:22" ht="15" customHeight="1" x14ac:dyDescent="0.15">
      <c r="A231" s="20">
        <v>41135</v>
      </c>
      <c r="B231" s="20" t="s">
        <v>37</v>
      </c>
      <c r="C231" s="21">
        <v>50586</v>
      </c>
      <c r="D231" s="7">
        <v>37094</v>
      </c>
      <c r="E231" s="7">
        <v>89984</v>
      </c>
      <c r="F231" s="22">
        <v>4644</v>
      </c>
      <c r="G231" s="23">
        <v>3131</v>
      </c>
      <c r="H231" s="24">
        <v>1763.2</v>
      </c>
      <c r="I231" s="36">
        <v>1297.5999999999999</v>
      </c>
      <c r="J231" s="8">
        <f t="shared" si="56"/>
        <v>52890</v>
      </c>
      <c r="K231" s="37">
        <f t="shared" si="57"/>
        <v>1542</v>
      </c>
      <c r="L231" s="37">
        <v>762</v>
      </c>
      <c r="M231" s="38">
        <f t="shared" si="58"/>
        <v>842950</v>
      </c>
      <c r="N231" s="39">
        <f t="shared" si="63"/>
        <v>498511</v>
      </c>
      <c r="O231" s="39">
        <f t="shared" si="64"/>
        <v>1369409</v>
      </c>
      <c r="P231" s="40">
        <f t="shared" si="60"/>
        <v>12604613.52</v>
      </c>
      <c r="Q231" s="40">
        <f t="shared" si="61"/>
        <v>5307085.0999999996</v>
      </c>
      <c r="R231" s="40">
        <f t="shared" si="62"/>
        <v>18327485.16</v>
      </c>
      <c r="S231" s="50">
        <v>105.1126</v>
      </c>
      <c r="T231" s="50">
        <f>P231/10000-S231</f>
        <v>1155.3487520000001</v>
      </c>
      <c r="U231" s="37"/>
      <c r="V231" s="55">
        <v>3321</v>
      </c>
    </row>
    <row r="232" spans="1:22" ht="15" customHeight="1" x14ac:dyDescent="0.15">
      <c r="A232" s="20">
        <v>41136</v>
      </c>
      <c r="B232" s="20" t="s">
        <v>38</v>
      </c>
      <c r="C232" s="21">
        <v>47268</v>
      </c>
      <c r="D232" s="7">
        <v>37647</v>
      </c>
      <c r="E232" s="7">
        <v>87200</v>
      </c>
      <c r="F232" s="22">
        <v>4455</v>
      </c>
      <c r="G232" s="23">
        <v>2950</v>
      </c>
      <c r="H232" s="24">
        <v>1775</v>
      </c>
      <c r="I232" s="36">
        <v>1326</v>
      </c>
      <c r="J232" s="8">
        <f t="shared" si="56"/>
        <v>49553</v>
      </c>
      <c r="K232" s="37">
        <f t="shared" si="57"/>
        <v>1512</v>
      </c>
      <c r="L232" s="37">
        <v>773</v>
      </c>
      <c r="M232" s="38">
        <f t="shared" si="58"/>
        <v>890218</v>
      </c>
      <c r="N232" s="39">
        <f t="shared" si="63"/>
        <v>536158</v>
      </c>
      <c r="O232" s="39">
        <f t="shared" si="64"/>
        <v>1456609</v>
      </c>
      <c r="P232" s="40">
        <f t="shared" si="60"/>
        <v>12651881.52</v>
      </c>
      <c r="Q232" s="40">
        <f t="shared" si="61"/>
        <v>5344732.0999999996</v>
      </c>
      <c r="R232" s="40">
        <f t="shared" si="62"/>
        <v>18414685.16</v>
      </c>
      <c r="S232" s="50"/>
      <c r="T232" s="37"/>
      <c r="U232" s="37"/>
      <c r="V232" s="8"/>
    </row>
    <row r="233" spans="1:22" ht="15" customHeight="1" x14ac:dyDescent="0.15">
      <c r="A233" s="20">
        <v>41137</v>
      </c>
      <c r="B233" s="20" t="s">
        <v>39</v>
      </c>
      <c r="C233" s="21">
        <v>44670</v>
      </c>
      <c r="D233" s="7">
        <v>36972</v>
      </c>
      <c r="E233" s="7">
        <v>84312</v>
      </c>
      <c r="F233" s="22">
        <v>4322</v>
      </c>
      <c r="G233" s="23">
        <v>2913</v>
      </c>
      <c r="H233" s="24">
        <v>1730</v>
      </c>
      <c r="I233" s="36">
        <v>1315</v>
      </c>
      <c r="J233" s="8">
        <f t="shared" si="56"/>
        <v>47340</v>
      </c>
      <c r="K233" s="37">
        <f t="shared" si="57"/>
        <v>1896</v>
      </c>
      <c r="L233" s="37">
        <v>774</v>
      </c>
      <c r="M233" s="38">
        <f t="shared" si="58"/>
        <v>934888</v>
      </c>
      <c r="N233" s="39">
        <f t="shared" si="63"/>
        <v>573130</v>
      </c>
      <c r="O233" s="39">
        <f t="shared" si="64"/>
        <v>1540921</v>
      </c>
      <c r="P233" s="40">
        <f t="shared" si="60"/>
        <v>12696551.52</v>
      </c>
      <c r="Q233" s="40">
        <f t="shared" si="61"/>
        <v>5381704.0999999996</v>
      </c>
      <c r="R233" s="40">
        <f t="shared" si="62"/>
        <v>18498997.16</v>
      </c>
      <c r="S233" s="50"/>
      <c r="T233" s="37"/>
      <c r="U233" s="37"/>
      <c r="V233" s="8"/>
    </row>
    <row r="234" spans="1:22" ht="15" customHeight="1" x14ac:dyDescent="0.15">
      <c r="A234" s="20">
        <v>41138</v>
      </c>
      <c r="B234" s="20" t="s">
        <v>1</v>
      </c>
      <c r="C234" s="21">
        <v>38138</v>
      </c>
      <c r="D234" s="7">
        <v>36999</v>
      </c>
      <c r="E234" s="7">
        <v>77828</v>
      </c>
      <c r="F234" s="22">
        <v>3854</v>
      </c>
      <c r="G234" s="23">
        <v>2754</v>
      </c>
      <c r="H234" s="24">
        <v>1754</v>
      </c>
      <c r="I234" s="36">
        <v>1308</v>
      </c>
      <c r="J234" s="8">
        <f t="shared" si="56"/>
        <v>40829</v>
      </c>
      <c r="K234" s="37">
        <f t="shared" si="57"/>
        <v>1919</v>
      </c>
      <c r="L234" s="37">
        <v>772</v>
      </c>
      <c r="M234" s="38">
        <f t="shared" si="58"/>
        <v>973026</v>
      </c>
      <c r="N234" s="39">
        <f t="shared" si="63"/>
        <v>610129</v>
      </c>
      <c r="O234" s="39">
        <f t="shared" si="64"/>
        <v>1618749</v>
      </c>
      <c r="P234" s="40">
        <f t="shared" si="60"/>
        <v>12734689.52</v>
      </c>
      <c r="Q234" s="40">
        <f t="shared" si="61"/>
        <v>5418703.0999999996</v>
      </c>
      <c r="R234" s="40">
        <f t="shared" si="62"/>
        <v>18576825.16</v>
      </c>
      <c r="S234" s="50"/>
      <c r="T234" s="37"/>
      <c r="U234" s="37"/>
      <c r="V234" s="8"/>
    </row>
    <row r="235" spans="1:22" ht="15" customHeight="1" x14ac:dyDescent="0.15">
      <c r="A235" s="20">
        <v>41139</v>
      </c>
      <c r="B235" s="20" t="s">
        <v>34</v>
      </c>
      <c r="C235" s="21">
        <v>40793</v>
      </c>
      <c r="D235" s="7">
        <v>37475</v>
      </c>
      <c r="E235" s="7">
        <v>81915</v>
      </c>
      <c r="F235" s="22">
        <v>4279</v>
      </c>
      <c r="G235" s="23">
        <v>2686</v>
      </c>
      <c r="H235" s="24">
        <v>1766</v>
      </c>
      <c r="I235" s="36">
        <v>1315</v>
      </c>
      <c r="J235" s="8">
        <f t="shared" si="56"/>
        <v>44440</v>
      </c>
      <c r="K235" s="37">
        <f t="shared" si="57"/>
        <v>2870</v>
      </c>
      <c r="L235" s="37">
        <v>777</v>
      </c>
      <c r="M235" s="38">
        <f t="shared" si="58"/>
        <v>1013819</v>
      </c>
      <c r="N235" s="39">
        <f t="shared" si="63"/>
        <v>647604</v>
      </c>
      <c r="O235" s="39">
        <f t="shared" si="64"/>
        <v>1700664</v>
      </c>
      <c r="P235" s="40">
        <f t="shared" si="60"/>
        <v>12775482.52</v>
      </c>
      <c r="Q235" s="40">
        <f t="shared" si="61"/>
        <v>5456178.0999999996</v>
      </c>
      <c r="R235" s="40">
        <f t="shared" si="62"/>
        <v>18658740.16</v>
      </c>
      <c r="S235" s="50"/>
      <c r="T235" s="37"/>
      <c r="U235" s="37"/>
      <c r="V235" s="8"/>
    </row>
    <row r="236" spans="1:22" ht="15" customHeight="1" x14ac:dyDescent="0.15">
      <c r="A236" s="20">
        <v>41140</v>
      </c>
      <c r="B236" s="20" t="s">
        <v>35</v>
      </c>
      <c r="C236" s="21">
        <v>38449</v>
      </c>
      <c r="D236" s="7">
        <v>37316</v>
      </c>
      <c r="E236" s="7">
        <v>79820</v>
      </c>
      <c r="F236" s="22">
        <v>4154</v>
      </c>
      <c r="G236" s="23">
        <v>2637</v>
      </c>
      <c r="H236" s="24">
        <v>1763</v>
      </c>
      <c r="I236" s="36">
        <v>1297</v>
      </c>
      <c r="J236" s="8">
        <f t="shared" si="56"/>
        <v>42504</v>
      </c>
      <c r="K236" s="37">
        <f t="shared" si="57"/>
        <v>3278</v>
      </c>
      <c r="L236" s="37">
        <v>777</v>
      </c>
      <c r="M236" s="38">
        <f t="shared" si="58"/>
        <v>1052268</v>
      </c>
      <c r="N236" s="39">
        <f t="shared" si="63"/>
        <v>684920</v>
      </c>
      <c r="O236" s="39">
        <f t="shared" si="64"/>
        <v>1780484</v>
      </c>
      <c r="P236" s="40">
        <f t="shared" si="60"/>
        <v>12813931.52</v>
      </c>
      <c r="Q236" s="40">
        <f t="shared" si="61"/>
        <v>5493494.0999999996</v>
      </c>
      <c r="R236" s="40">
        <f t="shared" si="62"/>
        <v>18738560.16</v>
      </c>
      <c r="S236" s="50"/>
      <c r="T236" s="37"/>
      <c r="U236" s="37"/>
      <c r="V236" s="8"/>
    </row>
    <row r="237" spans="1:22" ht="15" customHeight="1" x14ac:dyDescent="0.15">
      <c r="A237" s="14">
        <v>41141</v>
      </c>
      <c r="B237" s="14" t="s">
        <v>36</v>
      </c>
      <c r="C237" s="15">
        <v>38422</v>
      </c>
      <c r="D237" s="16">
        <v>36258</v>
      </c>
      <c r="E237" s="16">
        <v>78530</v>
      </c>
      <c r="F237" s="17">
        <v>4079</v>
      </c>
      <c r="G237" s="18">
        <v>2587</v>
      </c>
      <c r="H237" s="19">
        <v>1776</v>
      </c>
      <c r="I237" s="19">
        <v>1251</v>
      </c>
      <c r="J237" s="32">
        <f t="shared" si="56"/>
        <v>42272</v>
      </c>
      <c r="K237" s="33">
        <f t="shared" si="57"/>
        <v>3071</v>
      </c>
      <c r="L237" s="33">
        <v>779</v>
      </c>
      <c r="M237" s="34">
        <f t="shared" si="58"/>
        <v>1090690</v>
      </c>
      <c r="N237" s="35">
        <f t="shared" si="63"/>
        <v>721178</v>
      </c>
      <c r="O237" s="35">
        <f t="shared" si="64"/>
        <v>1859014</v>
      </c>
      <c r="P237" s="34">
        <v>12852499</v>
      </c>
      <c r="Q237" s="34">
        <f t="shared" si="61"/>
        <v>5529752.0999999996</v>
      </c>
      <c r="R237" s="34">
        <f t="shared" si="62"/>
        <v>18817090.16</v>
      </c>
      <c r="S237" s="49">
        <v>106.28489999999999</v>
      </c>
      <c r="T237" s="49">
        <f>P237/10000-S237</f>
        <v>1178.9650000000001</v>
      </c>
      <c r="U237" s="32"/>
      <c r="V237" s="59">
        <v>3384</v>
      </c>
    </row>
    <row r="238" spans="1:22" ht="15" customHeight="1" x14ac:dyDescent="0.15">
      <c r="A238" s="20">
        <v>41142</v>
      </c>
      <c r="B238" s="20" t="s">
        <v>37</v>
      </c>
      <c r="C238" s="21">
        <v>39547</v>
      </c>
      <c r="D238" s="7">
        <v>37668</v>
      </c>
      <c r="E238" s="7">
        <v>81758</v>
      </c>
      <c r="F238" s="22">
        <v>4199</v>
      </c>
      <c r="G238" s="23">
        <v>2580</v>
      </c>
      <c r="H238" s="24">
        <v>1808</v>
      </c>
      <c r="I238" s="36">
        <v>1254</v>
      </c>
      <c r="J238" s="8">
        <f t="shared" si="56"/>
        <v>44090</v>
      </c>
      <c r="K238" s="37">
        <f t="shared" si="57"/>
        <v>3764</v>
      </c>
      <c r="L238" s="37">
        <v>779</v>
      </c>
      <c r="M238" s="38">
        <f t="shared" si="58"/>
        <v>1130237</v>
      </c>
      <c r="N238" s="39">
        <f t="shared" si="63"/>
        <v>758846</v>
      </c>
      <c r="O238" s="39">
        <f t="shared" si="64"/>
        <v>1940772</v>
      </c>
      <c r="P238" s="40">
        <f t="shared" si="60"/>
        <v>12891900.52</v>
      </c>
      <c r="Q238" s="40">
        <f t="shared" si="61"/>
        <v>5567420.0999999996</v>
      </c>
      <c r="R238" s="40">
        <f t="shared" si="62"/>
        <v>18898848.16</v>
      </c>
      <c r="S238" s="50">
        <v>106.6849</v>
      </c>
      <c r="T238" s="50">
        <f>P238/10000-S238</f>
        <v>1182.505152</v>
      </c>
      <c r="U238" s="37"/>
      <c r="V238" s="55">
        <v>3394</v>
      </c>
    </row>
    <row r="239" spans="1:22" ht="15" customHeight="1" x14ac:dyDescent="0.15">
      <c r="A239" s="20">
        <v>41143</v>
      </c>
      <c r="B239" s="20" t="s">
        <v>38</v>
      </c>
      <c r="C239" s="21">
        <v>43831</v>
      </c>
      <c r="D239" s="7">
        <v>38110</v>
      </c>
      <c r="E239" s="7">
        <v>86561</v>
      </c>
      <c r="F239" s="22">
        <v>4505</v>
      </c>
      <c r="G239" s="23">
        <v>2701</v>
      </c>
      <c r="H239" s="24">
        <v>1817</v>
      </c>
      <c r="I239" s="36">
        <v>1297</v>
      </c>
      <c r="J239" s="8">
        <f t="shared" si="56"/>
        <v>48451</v>
      </c>
      <c r="K239" s="37">
        <f t="shared" si="57"/>
        <v>3841</v>
      </c>
      <c r="L239" s="37">
        <v>779</v>
      </c>
      <c r="M239" s="38">
        <f t="shared" si="58"/>
        <v>1174068</v>
      </c>
      <c r="N239" s="39">
        <f t="shared" si="63"/>
        <v>796956</v>
      </c>
      <c r="O239" s="39">
        <f t="shared" si="64"/>
        <v>2027333</v>
      </c>
      <c r="P239" s="40">
        <f t="shared" si="60"/>
        <v>12935731.52</v>
      </c>
      <c r="Q239" s="40">
        <f t="shared" si="61"/>
        <v>5605530.0999999996</v>
      </c>
      <c r="R239" s="40">
        <f t="shared" si="62"/>
        <v>18985409.16</v>
      </c>
      <c r="S239" s="50"/>
      <c r="T239" s="37"/>
      <c r="U239" s="37"/>
      <c r="V239" s="8"/>
    </row>
    <row r="240" spans="1:22" ht="15" customHeight="1" x14ac:dyDescent="0.15">
      <c r="A240" s="20">
        <v>41144</v>
      </c>
      <c r="B240" s="20" t="s">
        <v>39</v>
      </c>
      <c r="C240" s="21">
        <v>46377</v>
      </c>
      <c r="D240" s="7">
        <v>37625</v>
      </c>
      <c r="E240" s="7">
        <v>88737</v>
      </c>
      <c r="F240" s="22">
        <v>4526</v>
      </c>
      <c r="G240" s="23">
        <v>2824</v>
      </c>
      <c r="H240" s="24">
        <v>1787</v>
      </c>
      <c r="I240" s="36">
        <v>1296</v>
      </c>
      <c r="J240" s="8">
        <f t="shared" si="56"/>
        <v>51112</v>
      </c>
      <c r="K240" s="37">
        <f t="shared" si="57"/>
        <v>3956</v>
      </c>
      <c r="L240" s="37">
        <v>779</v>
      </c>
      <c r="M240" s="38">
        <f t="shared" si="58"/>
        <v>1220445</v>
      </c>
      <c r="N240" s="39">
        <f t="shared" si="63"/>
        <v>834581</v>
      </c>
      <c r="O240" s="39">
        <f t="shared" si="64"/>
        <v>2116070</v>
      </c>
      <c r="P240" s="40">
        <f t="shared" si="60"/>
        <v>12982108.52</v>
      </c>
      <c r="Q240" s="40">
        <f t="shared" si="61"/>
        <v>5643155.0999999996</v>
      </c>
      <c r="R240" s="40">
        <f t="shared" si="62"/>
        <v>19074146.16</v>
      </c>
      <c r="S240" s="50"/>
      <c r="T240" s="37"/>
      <c r="U240" s="37"/>
      <c r="V240" s="8"/>
    </row>
    <row r="241" spans="1:22" ht="15" customHeight="1" x14ac:dyDescent="0.15">
      <c r="A241" s="20">
        <v>41145</v>
      </c>
      <c r="B241" s="20" t="s">
        <v>1</v>
      </c>
      <c r="C241" s="21">
        <v>47578</v>
      </c>
      <c r="D241" s="7">
        <v>36157</v>
      </c>
      <c r="E241" s="7">
        <v>88433</v>
      </c>
      <c r="F241" s="22">
        <v>4346</v>
      </c>
      <c r="G241" s="23">
        <v>2926</v>
      </c>
      <c r="H241" s="24">
        <v>1725</v>
      </c>
      <c r="I241" s="36">
        <v>1266</v>
      </c>
      <c r="J241" s="8">
        <f t="shared" si="56"/>
        <v>52276</v>
      </c>
      <c r="K241" s="37">
        <f t="shared" si="57"/>
        <v>3919</v>
      </c>
      <c r="L241" s="37">
        <v>779</v>
      </c>
      <c r="M241" s="38">
        <f t="shared" si="58"/>
        <v>1268023</v>
      </c>
      <c r="N241" s="39">
        <f t="shared" si="63"/>
        <v>870738</v>
      </c>
      <c r="O241" s="39">
        <f t="shared" si="64"/>
        <v>2204503</v>
      </c>
      <c r="P241" s="40">
        <f t="shared" si="60"/>
        <v>13029686.52</v>
      </c>
      <c r="Q241" s="40">
        <f t="shared" si="61"/>
        <v>5679312.0999999996</v>
      </c>
      <c r="R241" s="40">
        <f t="shared" si="62"/>
        <v>19162579.16</v>
      </c>
      <c r="S241" s="50"/>
      <c r="T241" s="37"/>
      <c r="U241" s="37"/>
      <c r="V241" s="8"/>
    </row>
    <row r="242" spans="1:22" ht="15" customHeight="1" x14ac:dyDescent="0.15">
      <c r="A242" s="20">
        <v>41146</v>
      </c>
      <c r="B242" s="20" t="s">
        <v>34</v>
      </c>
      <c r="C242" s="21">
        <v>49714</v>
      </c>
      <c r="D242" s="7">
        <v>37437</v>
      </c>
      <c r="E242" s="7">
        <v>91787</v>
      </c>
      <c r="F242" s="22">
        <v>4769</v>
      </c>
      <c r="G242" s="23">
        <v>2949</v>
      </c>
      <c r="H242" s="24">
        <v>1798</v>
      </c>
      <c r="I242" s="36">
        <v>1274</v>
      </c>
      <c r="J242" s="8">
        <f t="shared" si="56"/>
        <v>54350</v>
      </c>
      <c r="K242" s="37">
        <f t="shared" si="57"/>
        <v>3857</v>
      </c>
      <c r="L242" s="37">
        <v>779</v>
      </c>
      <c r="M242" s="38">
        <f t="shared" si="58"/>
        <v>1317737</v>
      </c>
      <c r="N242" s="39">
        <f t="shared" si="63"/>
        <v>908175</v>
      </c>
      <c r="O242" s="39">
        <f t="shared" si="64"/>
        <v>2296290</v>
      </c>
      <c r="P242" s="40">
        <f t="shared" si="60"/>
        <v>13079400.52</v>
      </c>
      <c r="Q242" s="40">
        <f t="shared" si="61"/>
        <v>5716749.0999999996</v>
      </c>
      <c r="R242" s="40">
        <f t="shared" si="62"/>
        <v>19254366.16</v>
      </c>
      <c r="S242" s="50"/>
      <c r="T242" s="37"/>
      <c r="U242" s="37"/>
      <c r="V242" s="8"/>
    </row>
    <row r="243" spans="1:22" ht="15" customHeight="1" x14ac:dyDescent="0.15">
      <c r="A243" s="20">
        <v>41147</v>
      </c>
      <c r="B243" s="20" t="s">
        <v>35</v>
      </c>
      <c r="C243" s="21">
        <v>46182</v>
      </c>
      <c r="D243" s="7">
        <v>38878</v>
      </c>
      <c r="E243" s="7">
        <v>89704</v>
      </c>
      <c r="F243" s="22">
        <v>4648</v>
      </c>
      <c r="G243" s="23">
        <v>3050</v>
      </c>
      <c r="H243" s="24">
        <v>1854</v>
      </c>
      <c r="I243" s="36">
        <v>1360</v>
      </c>
      <c r="J243" s="8">
        <f t="shared" si="56"/>
        <v>50826</v>
      </c>
      <c r="K243" s="37">
        <f t="shared" si="57"/>
        <v>3865</v>
      </c>
      <c r="L243" s="37">
        <v>779</v>
      </c>
      <c r="M243" s="38">
        <f t="shared" si="58"/>
        <v>1363919</v>
      </c>
      <c r="N243" s="39">
        <f t="shared" si="63"/>
        <v>947053</v>
      </c>
      <c r="O243" s="39">
        <f t="shared" si="64"/>
        <v>2385994</v>
      </c>
      <c r="P243" s="40">
        <f t="shared" si="60"/>
        <v>13125582.52</v>
      </c>
      <c r="Q243" s="40">
        <f t="shared" si="61"/>
        <v>5755627.0999999996</v>
      </c>
      <c r="R243" s="40">
        <f t="shared" si="62"/>
        <v>19344070.16</v>
      </c>
      <c r="S243" s="50"/>
      <c r="T243" s="37"/>
      <c r="U243" s="37"/>
      <c r="V243" s="8"/>
    </row>
    <row r="244" spans="1:22" ht="15" customHeight="1" x14ac:dyDescent="0.15">
      <c r="A244" s="14">
        <v>41148</v>
      </c>
      <c r="B244" s="14" t="s">
        <v>36</v>
      </c>
      <c r="C244" s="15">
        <v>47026</v>
      </c>
      <c r="D244" s="16">
        <v>38453</v>
      </c>
      <c r="E244" s="16">
        <v>88857</v>
      </c>
      <c r="F244" s="17">
        <v>4561</v>
      </c>
      <c r="G244" s="18">
        <v>2926</v>
      </c>
      <c r="H244" s="19">
        <v>1844</v>
      </c>
      <c r="I244" s="19">
        <v>1333</v>
      </c>
      <c r="J244" s="32">
        <f t="shared" si="56"/>
        <v>50404</v>
      </c>
      <c r="K244" s="33">
        <f t="shared" si="57"/>
        <v>2599</v>
      </c>
      <c r="L244" s="33">
        <v>779</v>
      </c>
      <c r="M244" s="34">
        <f t="shared" si="58"/>
        <v>1410945</v>
      </c>
      <c r="N244" s="35">
        <f t="shared" si="63"/>
        <v>985506</v>
      </c>
      <c r="O244" s="35">
        <f t="shared" si="64"/>
        <v>2474851</v>
      </c>
      <c r="P244" s="34">
        <f t="shared" si="60"/>
        <v>13172608.52</v>
      </c>
      <c r="Q244" s="34">
        <f t="shared" si="61"/>
        <v>5794080.0999999996</v>
      </c>
      <c r="R244" s="34">
        <f t="shared" si="62"/>
        <v>19432927.16</v>
      </c>
      <c r="S244" s="49"/>
      <c r="T244" s="32"/>
      <c r="U244" s="32"/>
      <c r="V244" s="32"/>
    </row>
    <row r="245" spans="1:22" ht="15" customHeight="1" x14ac:dyDescent="0.15">
      <c r="A245" s="20">
        <v>41149</v>
      </c>
      <c r="B245" s="20" t="s">
        <v>37</v>
      </c>
      <c r="C245" s="21">
        <v>49525</v>
      </c>
      <c r="D245" s="7">
        <v>38272</v>
      </c>
      <c r="E245" s="7">
        <v>93225</v>
      </c>
      <c r="F245" s="22">
        <v>4722</v>
      </c>
      <c r="G245" s="23">
        <v>2967</v>
      </c>
      <c r="H245" s="24"/>
      <c r="I245" s="36"/>
      <c r="J245" s="8">
        <f t="shared" si="56"/>
        <v>54953</v>
      </c>
      <c r="K245" s="37">
        <f t="shared" si="57"/>
        <v>4649</v>
      </c>
      <c r="L245" s="37">
        <v>779</v>
      </c>
      <c r="M245" s="38">
        <f t="shared" si="58"/>
        <v>1460470</v>
      </c>
      <c r="N245" s="39">
        <f t="shared" si="63"/>
        <v>1023778</v>
      </c>
      <c r="O245" s="39">
        <f t="shared" si="64"/>
        <v>2568076</v>
      </c>
      <c r="P245" s="40">
        <f t="shared" si="60"/>
        <v>13222133.52</v>
      </c>
      <c r="Q245" s="40">
        <f t="shared" si="61"/>
        <v>5832352.0999999996</v>
      </c>
      <c r="R245" s="40">
        <f t="shared" si="62"/>
        <v>19526152.16</v>
      </c>
      <c r="S245" s="50">
        <v>109.4849</v>
      </c>
      <c r="T245" s="50">
        <f>P245/10000-S245</f>
        <v>1212.7284520000001</v>
      </c>
      <c r="U245" s="37"/>
      <c r="V245" s="8">
        <v>3476</v>
      </c>
    </row>
    <row r="246" spans="1:22" ht="15" customHeight="1" x14ac:dyDescent="0.15">
      <c r="A246" s="20">
        <v>41150</v>
      </c>
      <c r="B246" s="20" t="s">
        <v>38</v>
      </c>
      <c r="C246" s="21">
        <v>49522</v>
      </c>
      <c r="D246" s="7">
        <v>38715</v>
      </c>
      <c r="E246" s="7">
        <v>92632</v>
      </c>
      <c r="F246" s="22">
        <v>4708</v>
      </c>
      <c r="G246" s="23">
        <v>2963</v>
      </c>
      <c r="H246" s="24">
        <v>1851</v>
      </c>
      <c r="I246" s="36">
        <v>1383</v>
      </c>
      <c r="J246" s="8">
        <f t="shared" si="56"/>
        <v>53917</v>
      </c>
      <c r="K246" s="37">
        <f t="shared" si="57"/>
        <v>3619</v>
      </c>
      <c r="L246" s="37">
        <v>776</v>
      </c>
      <c r="M246" s="38">
        <f t="shared" si="58"/>
        <v>1509992</v>
      </c>
      <c r="N246" s="39">
        <f t="shared" si="63"/>
        <v>1062493</v>
      </c>
      <c r="O246" s="39">
        <f t="shared" si="64"/>
        <v>2660708</v>
      </c>
      <c r="P246" s="40">
        <f t="shared" si="60"/>
        <v>13271655.52</v>
      </c>
      <c r="Q246" s="40">
        <f t="shared" si="61"/>
        <v>5871067.0999999996</v>
      </c>
      <c r="R246" s="40">
        <f t="shared" si="62"/>
        <v>19618784.16</v>
      </c>
      <c r="S246" s="50"/>
      <c r="T246" s="37"/>
      <c r="U246" s="37"/>
      <c r="V246" s="8"/>
    </row>
    <row r="247" spans="1:22" ht="15" customHeight="1" x14ac:dyDescent="0.15">
      <c r="A247" s="20">
        <v>41151</v>
      </c>
      <c r="B247" s="20" t="s">
        <v>39</v>
      </c>
      <c r="C247" s="21">
        <v>46211</v>
      </c>
      <c r="D247" s="7">
        <v>38301</v>
      </c>
      <c r="E247" s="7">
        <v>88548</v>
      </c>
      <c r="F247" s="22">
        <v>4461</v>
      </c>
      <c r="G247" s="23">
        <v>2998</v>
      </c>
      <c r="H247" s="24">
        <v>1788</v>
      </c>
      <c r="I247" s="36">
        <v>1389</v>
      </c>
      <c r="J247" s="8">
        <f t="shared" si="56"/>
        <v>50247</v>
      </c>
      <c r="K247" s="37">
        <f t="shared" si="57"/>
        <v>3261</v>
      </c>
      <c r="L247" s="37">
        <v>775</v>
      </c>
      <c r="M247" s="38">
        <f t="shared" si="58"/>
        <v>1556203</v>
      </c>
      <c r="N247" s="39">
        <f t="shared" si="63"/>
        <v>1100794</v>
      </c>
      <c r="O247" s="39">
        <f t="shared" si="64"/>
        <v>2749256</v>
      </c>
      <c r="P247" s="40">
        <f t="shared" si="60"/>
        <v>13317866.52</v>
      </c>
      <c r="Q247" s="40">
        <f t="shared" si="61"/>
        <v>5909368.0999999996</v>
      </c>
      <c r="R247" s="40">
        <f t="shared" si="62"/>
        <v>19707332.16</v>
      </c>
      <c r="S247" s="50"/>
      <c r="T247" s="37"/>
      <c r="U247" s="37"/>
      <c r="V247" s="8"/>
    </row>
    <row r="248" spans="1:22" s="1" customFormat="1" ht="15" customHeight="1" x14ac:dyDescent="0.15">
      <c r="A248" s="25">
        <v>41152</v>
      </c>
      <c r="B248" s="25" t="s">
        <v>1</v>
      </c>
      <c r="C248" s="26">
        <v>44108</v>
      </c>
      <c r="D248" s="27">
        <v>36339</v>
      </c>
      <c r="E248" s="27">
        <v>84615</v>
      </c>
      <c r="F248" s="28">
        <v>4175</v>
      </c>
      <c r="G248" s="29">
        <v>2931</v>
      </c>
      <c r="H248" s="30">
        <v>1722</v>
      </c>
      <c r="I248" s="30">
        <v>1355</v>
      </c>
      <c r="J248" s="42">
        <f t="shared" si="56"/>
        <v>48276</v>
      </c>
      <c r="K248" s="43">
        <f t="shared" si="57"/>
        <v>3395</v>
      </c>
      <c r="L248" s="43">
        <v>773</v>
      </c>
      <c r="M248" s="44">
        <f t="shared" si="58"/>
        <v>1600311</v>
      </c>
      <c r="N248" s="46">
        <f t="shared" si="63"/>
        <v>1137133</v>
      </c>
      <c r="O248" s="46">
        <f t="shared" si="64"/>
        <v>2833871</v>
      </c>
      <c r="P248" s="44">
        <f t="shared" si="60"/>
        <v>13361974.52</v>
      </c>
      <c r="Q248" s="44">
        <f t="shared" si="61"/>
        <v>5945707.0999999996</v>
      </c>
      <c r="R248" s="44">
        <f t="shared" si="62"/>
        <v>19791947.16</v>
      </c>
      <c r="S248" s="52">
        <v>111.9875</v>
      </c>
      <c r="T248" s="52">
        <f>P248/10000-S248</f>
        <v>1224.2099519999999</v>
      </c>
      <c r="U248" s="43"/>
      <c r="V248" s="42">
        <v>3503</v>
      </c>
    </row>
    <row r="249" spans="1:22" ht="15" customHeight="1" x14ac:dyDescent="0.15">
      <c r="A249" s="20">
        <v>41153</v>
      </c>
      <c r="B249" s="20" t="s">
        <v>34</v>
      </c>
      <c r="C249" s="21">
        <v>46043</v>
      </c>
      <c r="D249" s="7">
        <v>38763</v>
      </c>
      <c r="E249" s="7">
        <v>87980</v>
      </c>
      <c r="F249" s="22">
        <v>4486</v>
      </c>
      <c r="G249" s="23">
        <v>2851</v>
      </c>
      <c r="H249" s="24">
        <v>1778</v>
      </c>
      <c r="I249" s="36">
        <v>1422</v>
      </c>
      <c r="J249" s="8">
        <f t="shared" si="56"/>
        <v>49217</v>
      </c>
      <c r="K249" s="37">
        <f t="shared" si="57"/>
        <v>2401</v>
      </c>
      <c r="L249" s="37">
        <v>773</v>
      </c>
      <c r="M249" s="38">
        <f>C249</f>
        <v>46043</v>
      </c>
      <c r="N249" s="39">
        <f>D249</f>
        <v>38763</v>
      </c>
      <c r="O249" s="39">
        <f>E249</f>
        <v>87980</v>
      </c>
      <c r="P249" s="40">
        <f t="shared" ref="P249:R250" si="65">P$248+M249</f>
        <v>13408017.52</v>
      </c>
      <c r="Q249" s="40">
        <f t="shared" si="65"/>
        <v>5984470.0999999996</v>
      </c>
      <c r="R249" s="40">
        <f t="shared" si="65"/>
        <v>19879927.16</v>
      </c>
      <c r="S249" s="50"/>
      <c r="T249" s="37"/>
      <c r="U249" s="37"/>
      <c r="V249" s="58">
        <v>390</v>
      </c>
    </row>
    <row r="250" spans="1:22" ht="15" customHeight="1" x14ac:dyDescent="0.15">
      <c r="A250" s="20">
        <v>41154</v>
      </c>
      <c r="B250" s="20" t="s">
        <v>35</v>
      </c>
      <c r="C250" s="21">
        <v>51270</v>
      </c>
      <c r="D250" s="7">
        <v>39067</v>
      </c>
      <c r="E250" s="7">
        <v>93412</v>
      </c>
      <c r="F250" s="22">
        <v>4854</v>
      </c>
      <c r="G250" s="23">
        <v>2980</v>
      </c>
      <c r="H250" s="24">
        <v>1794</v>
      </c>
      <c r="I250" s="36">
        <v>1458</v>
      </c>
      <c r="J250" s="8">
        <f t="shared" si="56"/>
        <v>54345</v>
      </c>
      <c r="K250" s="37">
        <f t="shared" si="57"/>
        <v>2302</v>
      </c>
      <c r="L250" s="37">
        <v>773</v>
      </c>
      <c r="M250" s="38">
        <f t="shared" ref="M250:M277" si="66">C250+M249</f>
        <v>97313</v>
      </c>
      <c r="N250" s="39">
        <f t="shared" ref="N250:N277" si="67">D250+N249</f>
        <v>77830</v>
      </c>
      <c r="O250" s="39">
        <f t="shared" ref="O250:O277" si="68">E250+O249</f>
        <v>181392</v>
      </c>
      <c r="P250" s="40">
        <f t="shared" si="65"/>
        <v>13459287.52</v>
      </c>
      <c r="Q250" s="40">
        <f t="shared" si="65"/>
        <v>6023537.0999999996</v>
      </c>
      <c r="R250" s="40">
        <f t="shared" si="65"/>
        <v>19973339.16</v>
      </c>
      <c r="S250" s="50"/>
      <c r="T250" s="37"/>
      <c r="U250" s="37"/>
      <c r="V250" s="8"/>
    </row>
    <row r="251" spans="1:22" ht="15" customHeight="1" x14ac:dyDescent="0.15">
      <c r="A251" s="14">
        <v>41155</v>
      </c>
      <c r="B251" s="14" t="s">
        <v>36</v>
      </c>
      <c r="C251" s="15">
        <v>46130</v>
      </c>
      <c r="D251" s="16">
        <v>39132</v>
      </c>
      <c r="E251" s="16">
        <v>87998</v>
      </c>
      <c r="F251" s="17">
        <v>4522</v>
      </c>
      <c r="G251" s="18">
        <v>3008</v>
      </c>
      <c r="H251" s="19">
        <v>1802</v>
      </c>
      <c r="I251" s="19">
        <v>1444</v>
      </c>
      <c r="J251" s="32">
        <f t="shared" si="56"/>
        <v>48866</v>
      </c>
      <c r="K251" s="33">
        <f t="shared" si="57"/>
        <v>1963</v>
      </c>
      <c r="L251" s="33">
        <v>773</v>
      </c>
      <c r="M251" s="34">
        <f t="shared" si="66"/>
        <v>143443</v>
      </c>
      <c r="N251" s="35">
        <f t="shared" si="67"/>
        <v>116962</v>
      </c>
      <c r="O251" s="35">
        <f t="shared" si="68"/>
        <v>269390</v>
      </c>
      <c r="P251" s="34">
        <f t="shared" ref="P251:P278" si="69">P$248+M251</f>
        <v>13505417.52</v>
      </c>
      <c r="Q251" s="34">
        <f t="shared" ref="Q251:Q278" si="70">Q$248+N251</f>
        <v>6062669.0999999996</v>
      </c>
      <c r="R251" s="34">
        <f t="shared" ref="R251:R278" si="71">R$248+O251</f>
        <v>20061337.16</v>
      </c>
      <c r="S251" s="49"/>
      <c r="T251" s="32"/>
      <c r="U251" s="32"/>
      <c r="V251" s="32"/>
    </row>
    <row r="252" spans="1:22" ht="15" customHeight="1" x14ac:dyDescent="0.15">
      <c r="A252" s="20">
        <v>41156</v>
      </c>
      <c r="B252" s="20" t="s">
        <v>37</v>
      </c>
      <c r="C252" s="21">
        <v>46646</v>
      </c>
      <c r="D252" s="7">
        <v>39462</v>
      </c>
      <c r="E252" s="7">
        <v>88283</v>
      </c>
      <c r="F252" s="22">
        <v>4508</v>
      </c>
      <c r="G252" s="23">
        <v>2898</v>
      </c>
      <c r="H252" s="24"/>
      <c r="I252" s="36"/>
      <c r="J252" s="8">
        <f t="shared" si="56"/>
        <v>48821</v>
      </c>
      <c r="K252" s="37">
        <f t="shared" si="57"/>
        <v>1402</v>
      </c>
      <c r="L252" s="37">
        <v>773</v>
      </c>
      <c r="M252" s="38">
        <f t="shared" si="66"/>
        <v>190089</v>
      </c>
      <c r="N252" s="39">
        <f t="shared" si="67"/>
        <v>156424</v>
      </c>
      <c r="O252" s="39">
        <f t="shared" si="68"/>
        <v>357673</v>
      </c>
      <c r="P252" s="40">
        <f t="shared" si="69"/>
        <v>13552063.52</v>
      </c>
      <c r="Q252" s="40">
        <f t="shared" si="70"/>
        <v>6102131.0999999996</v>
      </c>
      <c r="R252" s="40">
        <f t="shared" si="71"/>
        <v>20149620.16</v>
      </c>
      <c r="S252" s="50">
        <v>113.9875</v>
      </c>
      <c r="T252" s="50">
        <f>P252/10000-S252</f>
        <v>1241.218852</v>
      </c>
      <c r="U252" s="37"/>
      <c r="V252" s="8">
        <v>3550</v>
      </c>
    </row>
    <row r="253" spans="1:22" ht="15" customHeight="1" x14ac:dyDescent="0.15">
      <c r="A253" s="20">
        <v>41157</v>
      </c>
      <c r="B253" s="20" t="s">
        <v>38</v>
      </c>
      <c r="C253" s="21">
        <v>49790</v>
      </c>
      <c r="D253" s="7">
        <v>39309</v>
      </c>
      <c r="E253" s="7">
        <v>90324</v>
      </c>
      <c r="F253" s="22">
        <v>4600</v>
      </c>
      <c r="G253" s="23">
        <v>2980</v>
      </c>
      <c r="H253" s="24">
        <v>1802</v>
      </c>
      <c r="I253" s="36">
        <v>1472</v>
      </c>
      <c r="J253" s="8">
        <f t="shared" si="56"/>
        <v>51015</v>
      </c>
      <c r="K253" s="37">
        <f t="shared" si="57"/>
        <v>452</v>
      </c>
      <c r="L253" s="37">
        <v>773</v>
      </c>
      <c r="M253" s="38">
        <f t="shared" si="66"/>
        <v>239879</v>
      </c>
      <c r="N253" s="39">
        <f t="shared" si="67"/>
        <v>195733</v>
      </c>
      <c r="O253" s="39">
        <f t="shared" si="68"/>
        <v>447997</v>
      </c>
      <c r="P253" s="40">
        <f t="shared" si="69"/>
        <v>13601853.52</v>
      </c>
      <c r="Q253" s="40">
        <f t="shared" si="70"/>
        <v>6141440.0999999996</v>
      </c>
      <c r="R253" s="40">
        <f t="shared" si="71"/>
        <v>20239944.16</v>
      </c>
      <c r="S253" s="50"/>
      <c r="T253" s="37"/>
      <c r="U253" s="37"/>
      <c r="V253" s="8"/>
    </row>
    <row r="254" spans="1:22" ht="15" customHeight="1" x14ac:dyDescent="0.15">
      <c r="A254" s="20">
        <v>41158</v>
      </c>
      <c r="B254" s="20" t="s">
        <v>39</v>
      </c>
      <c r="C254" s="21">
        <v>50868</v>
      </c>
      <c r="D254" s="7">
        <v>38396</v>
      </c>
      <c r="E254" s="7">
        <v>90875</v>
      </c>
      <c r="F254" s="22">
        <v>4594</v>
      </c>
      <c r="G254" s="23">
        <v>3047</v>
      </c>
      <c r="H254" s="24">
        <v>1749</v>
      </c>
      <c r="I254" s="36">
        <v>1470</v>
      </c>
      <c r="J254" s="8">
        <f t="shared" si="56"/>
        <v>52479</v>
      </c>
      <c r="K254" s="37">
        <f t="shared" si="57"/>
        <v>837</v>
      </c>
      <c r="L254" s="37">
        <v>774</v>
      </c>
      <c r="M254" s="38">
        <f t="shared" si="66"/>
        <v>290747</v>
      </c>
      <c r="N254" s="39">
        <f t="shared" si="67"/>
        <v>234129</v>
      </c>
      <c r="O254" s="39">
        <f t="shared" si="68"/>
        <v>538872</v>
      </c>
      <c r="P254" s="40">
        <f t="shared" si="69"/>
        <v>13652721.52</v>
      </c>
      <c r="Q254" s="40">
        <f t="shared" si="70"/>
        <v>6179836.0999999996</v>
      </c>
      <c r="R254" s="40">
        <f t="shared" si="71"/>
        <v>20330819.16</v>
      </c>
      <c r="S254" s="50"/>
      <c r="T254" s="37"/>
      <c r="U254" s="37"/>
      <c r="V254" s="8"/>
    </row>
    <row r="255" spans="1:22" ht="15" customHeight="1" x14ac:dyDescent="0.15">
      <c r="A255" s="20">
        <v>41159</v>
      </c>
      <c r="B255" s="20" t="s">
        <v>1</v>
      </c>
      <c r="C255" s="21">
        <v>44766</v>
      </c>
      <c r="D255" s="7">
        <v>37406</v>
      </c>
      <c r="E255" s="7">
        <v>84038</v>
      </c>
      <c r="F255" s="22">
        <v>4103</v>
      </c>
      <c r="G255" s="23">
        <v>2989</v>
      </c>
      <c r="H255" s="24">
        <v>1698</v>
      </c>
      <c r="I255" s="36">
        <v>1470</v>
      </c>
      <c r="J255" s="8">
        <f t="shared" si="56"/>
        <v>46632</v>
      </c>
      <c r="K255" s="37">
        <f t="shared" si="57"/>
        <v>1092</v>
      </c>
      <c r="L255" s="37">
        <v>774</v>
      </c>
      <c r="M255" s="38">
        <f t="shared" si="66"/>
        <v>335513</v>
      </c>
      <c r="N255" s="39">
        <f t="shared" si="67"/>
        <v>271535</v>
      </c>
      <c r="O255" s="39">
        <f t="shared" si="68"/>
        <v>622910</v>
      </c>
      <c r="P255" s="40">
        <f t="shared" si="69"/>
        <v>13697487.52</v>
      </c>
      <c r="Q255" s="40">
        <f t="shared" si="70"/>
        <v>6217242.0999999996</v>
      </c>
      <c r="R255" s="40">
        <f t="shared" si="71"/>
        <v>20414857.16</v>
      </c>
      <c r="S255" s="50"/>
      <c r="T255" s="37"/>
      <c r="U255" s="37"/>
      <c r="V255" s="8"/>
    </row>
    <row r="256" spans="1:22" ht="15" customHeight="1" x14ac:dyDescent="0.15">
      <c r="A256" s="20">
        <v>41160</v>
      </c>
      <c r="B256" s="20" t="s">
        <v>34</v>
      </c>
      <c r="C256" s="21">
        <v>30532</v>
      </c>
      <c r="D256" s="7">
        <v>35550</v>
      </c>
      <c r="E256" s="7">
        <v>67072</v>
      </c>
      <c r="F256" s="22">
        <v>3099</v>
      </c>
      <c r="G256" s="23">
        <v>2581</v>
      </c>
      <c r="H256" s="24">
        <v>1593</v>
      </c>
      <c r="I256" s="36">
        <v>1297</v>
      </c>
      <c r="J256" s="8">
        <f t="shared" si="56"/>
        <v>31522</v>
      </c>
      <c r="K256" s="37">
        <f t="shared" si="57"/>
        <v>216</v>
      </c>
      <c r="L256" s="37">
        <v>774</v>
      </c>
      <c r="M256" s="38">
        <f t="shared" si="66"/>
        <v>366045</v>
      </c>
      <c r="N256" s="39">
        <f t="shared" si="67"/>
        <v>307085</v>
      </c>
      <c r="O256" s="39">
        <f t="shared" si="68"/>
        <v>689982</v>
      </c>
      <c r="P256" s="40">
        <f t="shared" si="69"/>
        <v>13728019.52</v>
      </c>
      <c r="Q256" s="40">
        <f t="shared" si="70"/>
        <v>6252792.0999999996</v>
      </c>
      <c r="R256" s="40">
        <f t="shared" si="71"/>
        <v>20481929.16</v>
      </c>
      <c r="S256" s="50"/>
      <c r="T256" s="37"/>
      <c r="U256" s="37"/>
      <c r="V256" s="8"/>
    </row>
    <row r="257" spans="1:22" ht="15" customHeight="1" x14ac:dyDescent="0.15">
      <c r="A257" s="20">
        <v>41161</v>
      </c>
      <c r="B257" s="20" t="s">
        <v>35</v>
      </c>
      <c r="C257" s="21">
        <v>47827</v>
      </c>
      <c r="D257" s="7">
        <v>35256</v>
      </c>
      <c r="E257" s="7">
        <v>85521</v>
      </c>
      <c r="F257" s="22">
        <v>4487</v>
      </c>
      <c r="G257" s="23">
        <v>2381</v>
      </c>
      <c r="H257" s="24">
        <v>1713</v>
      </c>
      <c r="I257" s="36">
        <v>1125</v>
      </c>
      <c r="J257" s="8">
        <f t="shared" ref="J257:J320" si="72">E257-D257</f>
        <v>50265</v>
      </c>
      <c r="K257" s="37">
        <f t="shared" ref="K257:K320" si="73">J257-C257-L257</f>
        <v>1665</v>
      </c>
      <c r="L257" s="37">
        <v>773</v>
      </c>
      <c r="M257" s="38">
        <f t="shared" si="66"/>
        <v>413872</v>
      </c>
      <c r="N257" s="39">
        <f t="shared" si="67"/>
        <v>342341</v>
      </c>
      <c r="O257" s="39">
        <f t="shared" si="68"/>
        <v>775503</v>
      </c>
      <c r="P257" s="40">
        <f t="shared" si="69"/>
        <v>13775846.52</v>
      </c>
      <c r="Q257" s="40">
        <f t="shared" si="70"/>
        <v>6288048.0999999996</v>
      </c>
      <c r="R257" s="40">
        <f t="shared" si="71"/>
        <v>20567450.16</v>
      </c>
      <c r="S257" s="50"/>
      <c r="T257" s="37"/>
      <c r="U257" s="37"/>
      <c r="V257" s="8"/>
    </row>
    <row r="258" spans="1:22" ht="15" customHeight="1" x14ac:dyDescent="0.15">
      <c r="A258" s="14">
        <v>41162</v>
      </c>
      <c r="B258" s="14" t="s">
        <v>36</v>
      </c>
      <c r="C258" s="15">
        <v>50924</v>
      </c>
      <c r="D258" s="16">
        <v>39024</v>
      </c>
      <c r="E258" s="16">
        <v>91603</v>
      </c>
      <c r="F258" s="17">
        <v>4683</v>
      </c>
      <c r="G258" s="18">
        <v>3037</v>
      </c>
      <c r="H258" s="19">
        <v>1818</v>
      </c>
      <c r="I258" s="19">
        <v>1422</v>
      </c>
      <c r="J258" s="32">
        <f t="shared" si="72"/>
        <v>52579</v>
      </c>
      <c r="K258" s="33">
        <f t="shared" si="73"/>
        <v>882</v>
      </c>
      <c r="L258" s="33">
        <v>773</v>
      </c>
      <c r="M258" s="34">
        <f t="shared" si="66"/>
        <v>464796</v>
      </c>
      <c r="N258" s="35">
        <f t="shared" si="67"/>
        <v>381365</v>
      </c>
      <c r="O258" s="35">
        <f t="shared" si="68"/>
        <v>867106</v>
      </c>
      <c r="P258" s="34">
        <f t="shared" si="69"/>
        <v>13826770.52</v>
      </c>
      <c r="Q258" s="34">
        <f t="shared" si="70"/>
        <v>6327072.0999999996</v>
      </c>
      <c r="R258" s="34">
        <f t="shared" si="71"/>
        <v>20659053.16</v>
      </c>
      <c r="S258" s="49">
        <v>116.6277</v>
      </c>
      <c r="T258" s="49">
        <f>P258/10000-S258</f>
        <v>1266.049352</v>
      </c>
      <c r="U258" s="32"/>
      <c r="V258" s="59">
        <f>(T258-5-0.95-3.7-1)/3471.1*10000</f>
        <v>3616.7190573593384</v>
      </c>
    </row>
    <row r="259" spans="1:22" ht="15" customHeight="1" x14ac:dyDescent="0.15">
      <c r="A259" s="20">
        <v>41163</v>
      </c>
      <c r="B259" s="20" t="s">
        <v>37</v>
      </c>
      <c r="C259" s="21">
        <v>48466</v>
      </c>
      <c r="D259" s="7">
        <v>39175</v>
      </c>
      <c r="E259" s="7">
        <v>89557</v>
      </c>
      <c r="F259" s="22">
        <v>4557</v>
      </c>
      <c r="G259" s="23">
        <v>3004</v>
      </c>
      <c r="H259" s="24">
        <v>1823</v>
      </c>
      <c r="I259" s="36">
        <v>1433</v>
      </c>
      <c r="J259" s="8">
        <f t="shared" si="72"/>
        <v>50382</v>
      </c>
      <c r="K259" s="37">
        <f t="shared" si="73"/>
        <v>1143</v>
      </c>
      <c r="L259" s="37">
        <v>773</v>
      </c>
      <c r="M259" s="38">
        <f t="shared" si="66"/>
        <v>513262</v>
      </c>
      <c r="N259" s="39">
        <f t="shared" si="67"/>
        <v>420540</v>
      </c>
      <c r="O259" s="39">
        <f t="shared" si="68"/>
        <v>956663</v>
      </c>
      <c r="P259" s="40">
        <f t="shared" si="69"/>
        <v>13875236.52</v>
      </c>
      <c r="Q259" s="40">
        <f t="shared" si="70"/>
        <v>6366247.0999999996</v>
      </c>
      <c r="R259" s="40">
        <f t="shared" si="71"/>
        <v>20748610.16</v>
      </c>
      <c r="S259" s="50">
        <v>117.0877</v>
      </c>
      <c r="T259" s="50">
        <f>P259/10000-S259</f>
        <v>1270.4359519999998</v>
      </c>
      <c r="U259" s="37"/>
      <c r="V259" s="55">
        <f>(T259-5-0.95-3.7-1)/3471.8*10000</f>
        <v>3628.6247825335549</v>
      </c>
    </row>
    <row r="260" spans="1:22" ht="15" customHeight="1" x14ac:dyDescent="0.15">
      <c r="A260" s="20">
        <v>41164</v>
      </c>
      <c r="B260" s="20" t="s">
        <v>38</v>
      </c>
      <c r="C260" s="21">
        <v>53009</v>
      </c>
      <c r="D260" s="7">
        <v>38667</v>
      </c>
      <c r="E260" s="7">
        <v>93550</v>
      </c>
      <c r="F260" s="22">
        <v>4684</v>
      </c>
      <c r="G260" s="23">
        <v>3006</v>
      </c>
      <c r="H260" s="24">
        <v>182</v>
      </c>
      <c r="I260" s="36">
        <v>1443</v>
      </c>
      <c r="J260" s="8">
        <f t="shared" si="72"/>
        <v>54883</v>
      </c>
      <c r="K260" s="37">
        <f t="shared" si="73"/>
        <v>1101</v>
      </c>
      <c r="L260" s="37">
        <v>773</v>
      </c>
      <c r="M260" s="38">
        <f t="shared" si="66"/>
        <v>566271</v>
      </c>
      <c r="N260" s="39">
        <f t="shared" si="67"/>
        <v>459207</v>
      </c>
      <c r="O260" s="39">
        <f t="shared" si="68"/>
        <v>1050213</v>
      </c>
      <c r="P260" s="40">
        <f t="shared" si="69"/>
        <v>13928245.52</v>
      </c>
      <c r="Q260" s="40">
        <f t="shared" si="70"/>
        <v>6404914.0999999996</v>
      </c>
      <c r="R260" s="40">
        <f t="shared" si="71"/>
        <v>20842160.16</v>
      </c>
      <c r="S260" s="50"/>
      <c r="T260" s="37"/>
      <c r="U260" s="37"/>
      <c r="V260" s="8"/>
    </row>
    <row r="261" spans="1:22" ht="15" customHeight="1" x14ac:dyDescent="0.15">
      <c r="A261" s="20">
        <v>41165</v>
      </c>
      <c r="B261" s="20" t="s">
        <v>39</v>
      </c>
      <c r="C261" s="21">
        <v>51080</v>
      </c>
      <c r="D261" s="7">
        <v>37450</v>
      </c>
      <c r="E261" s="7">
        <v>90067</v>
      </c>
      <c r="F261" s="22">
        <v>4577</v>
      </c>
      <c r="G261" s="23">
        <v>3091</v>
      </c>
      <c r="H261" s="24"/>
      <c r="I261" s="36"/>
      <c r="J261" s="8">
        <f t="shared" si="72"/>
        <v>52617</v>
      </c>
      <c r="K261" s="37">
        <f t="shared" si="73"/>
        <v>764</v>
      </c>
      <c r="L261" s="37">
        <v>773</v>
      </c>
      <c r="M261" s="38">
        <f t="shared" si="66"/>
        <v>617351</v>
      </c>
      <c r="N261" s="39">
        <f t="shared" si="67"/>
        <v>496657</v>
      </c>
      <c r="O261" s="39">
        <f t="shared" si="68"/>
        <v>1140280</v>
      </c>
      <c r="P261" s="40">
        <f t="shared" si="69"/>
        <v>13979325.52</v>
      </c>
      <c r="Q261" s="40">
        <f t="shared" si="70"/>
        <v>6442364.0999999996</v>
      </c>
      <c r="R261" s="40">
        <f t="shared" si="71"/>
        <v>20932227.16</v>
      </c>
      <c r="S261" s="50"/>
      <c r="T261" s="37"/>
      <c r="U261" s="37"/>
      <c r="V261" s="8"/>
    </row>
    <row r="262" spans="1:22" ht="15" customHeight="1" x14ac:dyDescent="0.15">
      <c r="A262" s="20">
        <v>41166</v>
      </c>
      <c r="B262" s="20" t="s">
        <v>1</v>
      </c>
      <c r="C262" s="21">
        <v>45767</v>
      </c>
      <c r="D262" s="7">
        <v>37190</v>
      </c>
      <c r="E262" s="7">
        <v>84384</v>
      </c>
      <c r="F262" s="22">
        <v>4180</v>
      </c>
      <c r="G262" s="23">
        <v>2982</v>
      </c>
      <c r="H262" s="24"/>
      <c r="I262" s="36"/>
      <c r="J262" s="8">
        <f t="shared" si="72"/>
        <v>47194</v>
      </c>
      <c r="K262" s="37">
        <f t="shared" si="73"/>
        <v>654</v>
      </c>
      <c r="L262" s="37">
        <v>773</v>
      </c>
      <c r="M262" s="38">
        <f t="shared" si="66"/>
        <v>663118</v>
      </c>
      <c r="N262" s="39">
        <f t="shared" si="67"/>
        <v>533847</v>
      </c>
      <c r="O262" s="39">
        <f t="shared" si="68"/>
        <v>1224664</v>
      </c>
      <c r="P262" s="40">
        <f t="shared" si="69"/>
        <v>14025092.52</v>
      </c>
      <c r="Q262" s="40">
        <f t="shared" si="70"/>
        <v>6479554.0999999996</v>
      </c>
      <c r="R262" s="40">
        <f t="shared" si="71"/>
        <v>21016611.16</v>
      </c>
      <c r="S262" s="50"/>
      <c r="T262" s="37"/>
      <c r="U262" s="37"/>
      <c r="V262" s="8"/>
    </row>
    <row r="263" spans="1:22" ht="15" customHeight="1" x14ac:dyDescent="0.15">
      <c r="A263" s="20">
        <v>41167</v>
      </c>
      <c r="B263" s="20" t="s">
        <v>34</v>
      </c>
      <c r="C263" s="21">
        <v>49417</v>
      </c>
      <c r="D263" s="7">
        <v>37838</v>
      </c>
      <c r="E263" s="7">
        <v>88541</v>
      </c>
      <c r="F263" s="22">
        <v>4531</v>
      </c>
      <c r="G263" s="23">
        <v>2887</v>
      </c>
      <c r="H263" s="24"/>
      <c r="I263" s="36"/>
      <c r="J263" s="8">
        <f t="shared" si="72"/>
        <v>50703</v>
      </c>
      <c r="K263" s="37">
        <f t="shared" si="73"/>
        <v>513</v>
      </c>
      <c r="L263" s="37">
        <v>773</v>
      </c>
      <c r="M263" s="38">
        <f t="shared" si="66"/>
        <v>712535</v>
      </c>
      <c r="N263" s="39">
        <f t="shared" si="67"/>
        <v>571685</v>
      </c>
      <c r="O263" s="39">
        <f t="shared" si="68"/>
        <v>1313205</v>
      </c>
      <c r="P263" s="40">
        <f t="shared" si="69"/>
        <v>14074509.52</v>
      </c>
      <c r="Q263" s="40">
        <f t="shared" si="70"/>
        <v>6517392.0999999996</v>
      </c>
      <c r="R263" s="40">
        <f t="shared" si="71"/>
        <v>21105152.16</v>
      </c>
      <c r="S263" s="50"/>
      <c r="T263" s="37"/>
      <c r="U263" s="37"/>
      <c r="V263" s="8"/>
    </row>
    <row r="264" spans="1:22" ht="15" customHeight="1" x14ac:dyDescent="0.15">
      <c r="A264" s="20">
        <v>41168</v>
      </c>
      <c r="B264" s="20" t="s">
        <v>35</v>
      </c>
      <c r="C264" s="21">
        <v>49191</v>
      </c>
      <c r="D264" s="7">
        <v>37038</v>
      </c>
      <c r="E264" s="7">
        <v>88438</v>
      </c>
      <c r="F264" s="22">
        <v>4469</v>
      </c>
      <c r="G264" s="23">
        <v>2984</v>
      </c>
      <c r="H264" s="24">
        <v>1712</v>
      </c>
      <c r="I264" s="36">
        <v>1355</v>
      </c>
      <c r="J264" s="8">
        <f t="shared" si="72"/>
        <v>51400</v>
      </c>
      <c r="K264" s="37">
        <f t="shared" si="73"/>
        <v>1429</v>
      </c>
      <c r="L264" s="37">
        <v>780</v>
      </c>
      <c r="M264" s="38">
        <f t="shared" si="66"/>
        <v>761726</v>
      </c>
      <c r="N264" s="39">
        <f t="shared" si="67"/>
        <v>608723</v>
      </c>
      <c r="O264" s="39">
        <f t="shared" si="68"/>
        <v>1401643</v>
      </c>
      <c r="P264" s="40">
        <f t="shared" si="69"/>
        <v>14123700.52</v>
      </c>
      <c r="Q264" s="40">
        <f t="shared" si="70"/>
        <v>6554430.0999999996</v>
      </c>
      <c r="R264" s="40">
        <f t="shared" si="71"/>
        <v>21193590.16</v>
      </c>
      <c r="S264" s="50"/>
      <c r="T264" s="37"/>
      <c r="U264" s="37"/>
      <c r="V264" s="8"/>
    </row>
    <row r="265" spans="1:22" ht="15" customHeight="1" x14ac:dyDescent="0.15">
      <c r="A265" s="14">
        <v>41169</v>
      </c>
      <c r="B265" s="14" t="s">
        <v>36</v>
      </c>
      <c r="C265" s="15">
        <v>53297</v>
      </c>
      <c r="D265" s="16">
        <v>37774</v>
      </c>
      <c r="E265" s="16">
        <v>92618</v>
      </c>
      <c r="F265" s="17">
        <v>4743</v>
      </c>
      <c r="G265" s="18">
        <v>3012</v>
      </c>
      <c r="H265" s="19"/>
      <c r="I265" s="19"/>
      <c r="J265" s="32">
        <f t="shared" si="72"/>
        <v>54844</v>
      </c>
      <c r="K265" s="33">
        <f t="shared" si="73"/>
        <v>765</v>
      </c>
      <c r="L265" s="33">
        <v>782</v>
      </c>
      <c r="M265" s="34">
        <f t="shared" si="66"/>
        <v>815023</v>
      </c>
      <c r="N265" s="35">
        <f t="shared" si="67"/>
        <v>646497</v>
      </c>
      <c r="O265" s="35">
        <f t="shared" si="68"/>
        <v>1494261</v>
      </c>
      <c r="P265" s="34">
        <f t="shared" si="69"/>
        <v>14176997.52</v>
      </c>
      <c r="Q265" s="34">
        <f t="shared" si="70"/>
        <v>6592204.0999999996</v>
      </c>
      <c r="R265" s="34">
        <f t="shared" si="71"/>
        <v>21286208.16</v>
      </c>
      <c r="S265" s="49"/>
      <c r="T265" s="32"/>
      <c r="U265" s="32"/>
      <c r="V265" s="32"/>
    </row>
    <row r="266" spans="1:22" ht="15" customHeight="1" x14ac:dyDescent="0.15">
      <c r="A266" s="20">
        <v>41170</v>
      </c>
      <c r="B266" s="20" t="s">
        <v>37</v>
      </c>
      <c r="C266" s="21">
        <v>50775</v>
      </c>
      <c r="D266" s="7">
        <v>37796</v>
      </c>
      <c r="E266" s="7">
        <v>90623</v>
      </c>
      <c r="F266" s="22">
        <v>4658</v>
      </c>
      <c r="G266" s="23">
        <v>3138</v>
      </c>
      <c r="H266" s="24"/>
      <c r="I266" s="36"/>
      <c r="J266" s="8">
        <f t="shared" si="72"/>
        <v>52827</v>
      </c>
      <c r="K266" s="37">
        <f t="shared" si="73"/>
        <v>1266</v>
      </c>
      <c r="L266" s="37">
        <v>786</v>
      </c>
      <c r="M266" s="38">
        <f t="shared" si="66"/>
        <v>865798</v>
      </c>
      <c r="N266" s="39">
        <f t="shared" si="67"/>
        <v>684293</v>
      </c>
      <c r="O266" s="39">
        <f t="shared" si="68"/>
        <v>1584884</v>
      </c>
      <c r="P266" s="40">
        <f t="shared" si="69"/>
        <v>14227772.52</v>
      </c>
      <c r="Q266" s="40">
        <f t="shared" si="70"/>
        <v>6630000.0999999996</v>
      </c>
      <c r="R266" s="40">
        <f t="shared" si="71"/>
        <v>21376831.16</v>
      </c>
      <c r="S266" s="50">
        <v>120.2377</v>
      </c>
      <c r="T266" s="50">
        <f>P266/10000-S266</f>
        <v>1302.539552</v>
      </c>
      <c r="U266" s="37"/>
      <c r="V266" s="8">
        <v>3710</v>
      </c>
    </row>
    <row r="267" spans="1:22" ht="15" customHeight="1" x14ac:dyDescent="0.15">
      <c r="A267" s="20">
        <v>41171</v>
      </c>
      <c r="B267" s="20" t="s">
        <v>38</v>
      </c>
      <c r="C267" s="21">
        <v>43064</v>
      </c>
      <c r="D267" s="7">
        <v>38851</v>
      </c>
      <c r="E267" s="7">
        <v>84194</v>
      </c>
      <c r="F267" s="22">
        <v>4314</v>
      </c>
      <c r="G267" s="23">
        <v>2889</v>
      </c>
      <c r="H267" s="24"/>
      <c r="I267" s="36"/>
      <c r="J267" s="8">
        <f t="shared" si="72"/>
        <v>45343</v>
      </c>
      <c r="K267" s="37">
        <f t="shared" si="73"/>
        <v>1496</v>
      </c>
      <c r="L267" s="37">
        <v>783</v>
      </c>
      <c r="M267" s="38">
        <f t="shared" si="66"/>
        <v>908862</v>
      </c>
      <c r="N267" s="39">
        <f t="shared" si="67"/>
        <v>723144</v>
      </c>
      <c r="O267" s="39">
        <f t="shared" si="68"/>
        <v>1669078</v>
      </c>
      <c r="P267" s="40">
        <f t="shared" si="69"/>
        <v>14270836.52</v>
      </c>
      <c r="Q267" s="40">
        <f t="shared" si="70"/>
        <v>6668851.0999999996</v>
      </c>
      <c r="R267" s="40">
        <f t="shared" si="71"/>
        <v>21461025.16</v>
      </c>
      <c r="S267" s="50"/>
      <c r="T267" s="37"/>
      <c r="U267" s="37"/>
      <c r="V267" s="8"/>
    </row>
    <row r="268" spans="1:22" ht="15" customHeight="1" x14ac:dyDescent="0.15">
      <c r="A268" s="20">
        <v>41172</v>
      </c>
      <c r="B268" s="20" t="s">
        <v>39</v>
      </c>
      <c r="C268" s="21">
        <v>41398</v>
      </c>
      <c r="D268" s="7">
        <v>37944</v>
      </c>
      <c r="E268" s="7">
        <v>81611</v>
      </c>
      <c r="F268" s="22">
        <v>4145</v>
      </c>
      <c r="G268" s="23">
        <v>2798</v>
      </c>
      <c r="H268" s="24"/>
      <c r="I268" s="36"/>
      <c r="J268" s="8">
        <f t="shared" si="72"/>
        <v>43667</v>
      </c>
      <c r="K268" s="37">
        <f t="shared" si="73"/>
        <v>1483</v>
      </c>
      <c r="L268" s="37">
        <v>786</v>
      </c>
      <c r="M268" s="38">
        <f t="shared" si="66"/>
        <v>950260</v>
      </c>
      <c r="N268" s="39">
        <f t="shared" si="67"/>
        <v>761088</v>
      </c>
      <c r="O268" s="39">
        <f t="shared" si="68"/>
        <v>1750689</v>
      </c>
      <c r="P268" s="40">
        <f t="shared" si="69"/>
        <v>14312234.52</v>
      </c>
      <c r="Q268" s="40">
        <f t="shared" si="70"/>
        <v>6706795.0999999996</v>
      </c>
      <c r="R268" s="40">
        <f t="shared" si="71"/>
        <v>21542636.16</v>
      </c>
      <c r="S268" s="50">
        <v>122.5702</v>
      </c>
      <c r="T268" s="50">
        <f>P268/10000-S268</f>
        <v>1308.6532520000001</v>
      </c>
      <c r="U268" s="37"/>
      <c r="V268" s="56">
        <f>(T268-5-0.95-3.7-3.1)/3479.7*10000</f>
        <v>3724.1809696238188</v>
      </c>
    </row>
    <row r="269" spans="1:22" ht="15" customHeight="1" x14ac:dyDescent="0.15">
      <c r="A269" s="20">
        <v>41173</v>
      </c>
      <c r="B269" s="20" t="s">
        <v>1</v>
      </c>
      <c r="C269" s="21">
        <v>35045</v>
      </c>
      <c r="D269" s="7">
        <v>37065</v>
      </c>
      <c r="E269" s="7">
        <v>75344</v>
      </c>
      <c r="F269" s="22">
        <v>3775</v>
      </c>
      <c r="G269" s="23">
        <v>2702</v>
      </c>
      <c r="H269" s="24"/>
      <c r="I269" s="36"/>
      <c r="J269" s="8">
        <f t="shared" si="72"/>
        <v>38279</v>
      </c>
      <c r="K269" s="37">
        <f t="shared" si="73"/>
        <v>2448</v>
      </c>
      <c r="L269" s="37">
        <v>786</v>
      </c>
      <c r="M269" s="38">
        <f t="shared" si="66"/>
        <v>985305</v>
      </c>
      <c r="N269" s="39">
        <f t="shared" si="67"/>
        <v>798153</v>
      </c>
      <c r="O269" s="39">
        <f t="shared" si="68"/>
        <v>1826033</v>
      </c>
      <c r="P269" s="40">
        <f t="shared" si="69"/>
        <v>14347279.52</v>
      </c>
      <c r="Q269" s="40">
        <f t="shared" si="70"/>
        <v>6743860.0999999996</v>
      </c>
      <c r="R269" s="40">
        <f t="shared" si="71"/>
        <v>21617980.16</v>
      </c>
      <c r="S269" s="50"/>
      <c r="T269" s="37"/>
      <c r="U269" s="37"/>
      <c r="V269" s="8"/>
    </row>
    <row r="270" spans="1:22" ht="15" customHeight="1" x14ac:dyDescent="0.15">
      <c r="A270" s="20">
        <v>41174</v>
      </c>
      <c r="B270" s="20" t="s">
        <v>34</v>
      </c>
      <c r="C270" s="21">
        <v>39012</v>
      </c>
      <c r="D270" s="7">
        <v>34175</v>
      </c>
      <c r="E270" s="7">
        <v>76848</v>
      </c>
      <c r="F270" s="22">
        <v>4058</v>
      </c>
      <c r="G270" s="23">
        <v>2493</v>
      </c>
      <c r="H270" s="24"/>
      <c r="I270" s="36"/>
      <c r="J270" s="8">
        <f t="shared" si="72"/>
        <v>42673</v>
      </c>
      <c r="K270" s="37">
        <f t="shared" si="73"/>
        <v>2876</v>
      </c>
      <c r="L270" s="37">
        <v>785</v>
      </c>
      <c r="M270" s="38">
        <f t="shared" si="66"/>
        <v>1024317</v>
      </c>
      <c r="N270" s="39">
        <f t="shared" si="67"/>
        <v>832328</v>
      </c>
      <c r="O270" s="39">
        <f t="shared" si="68"/>
        <v>1902881</v>
      </c>
      <c r="P270" s="40">
        <f t="shared" si="69"/>
        <v>14386291.52</v>
      </c>
      <c r="Q270" s="40">
        <f t="shared" si="70"/>
        <v>6778035.0999999996</v>
      </c>
      <c r="R270" s="40">
        <f t="shared" si="71"/>
        <v>21694828.16</v>
      </c>
      <c r="S270" s="50"/>
      <c r="T270" s="37"/>
      <c r="U270" s="37"/>
      <c r="V270" s="8"/>
    </row>
    <row r="271" spans="1:22" ht="15" customHeight="1" x14ac:dyDescent="0.15">
      <c r="A271" s="20">
        <v>41175</v>
      </c>
      <c r="B271" s="20" t="s">
        <v>35</v>
      </c>
      <c r="C271" s="21">
        <v>41070</v>
      </c>
      <c r="D271" s="7">
        <v>36433</v>
      </c>
      <c r="E271" s="7">
        <v>80580</v>
      </c>
      <c r="F271" s="22">
        <v>4156</v>
      </c>
      <c r="G271" s="23">
        <v>2549</v>
      </c>
      <c r="H271" s="24"/>
      <c r="I271" s="36"/>
      <c r="J271" s="8">
        <f t="shared" si="72"/>
        <v>44147</v>
      </c>
      <c r="K271" s="37">
        <f t="shared" si="73"/>
        <v>2292</v>
      </c>
      <c r="L271" s="37">
        <v>785</v>
      </c>
      <c r="M271" s="38">
        <f t="shared" si="66"/>
        <v>1065387</v>
      </c>
      <c r="N271" s="39">
        <f t="shared" si="67"/>
        <v>868761</v>
      </c>
      <c r="O271" s="39">
        <f t="shared" si="68"/>
        <v>1983461</v>
      </c>
      <c r="P271" s="40">
        <f t="shared" si="69"/>
        <v>14427361.52</v>
      </c>
      <c r="Q271" s="40">
        <f t="shared" si="70"/>
        <v>6814468.0999999996</v>
      </c>
      <c r="R271" s="40">
        <f t="shared" si="71"/>
        <v>21775408.16</v>
      </c>
      <c r="S271" s="50"/>
      <c r="T271" s="37"/>
      <c r="U271" s="37"/>
      <c r="V271" s="8"/>
    </row>
    <row r="272" spans="1:22" ht="15" customHeight="1" x14ac:dyDescent="0.15">
      <c r="A272" s="14">
        <v>41176</v>
      </c>
      <c r="B272" s="14" t="s">
        <v>36</v>
      </c>
      <c r="C272" s="15">
        <v>45428</v>
      </c>
      <c r="D272" s="16">
        <v>37572</v>
      </c>
      <c r="E272" s="16">
        <v>84862</v>
      </c>
      <c r="F272" s="17">
        <v>4353</v>
      </c>
      <c r="G272" s="18">
        <v>2804</v>
      </c>
      <c r="H272" s="19"/>
      <c r="I272" s="19"/>
      <c r="J272" s="32">
        <f t="shared" si="72"/>
        <v>47290</v>
      </c>
      <c r="K272" s="33">
        <f t="shared" si="73"/>
        <v>1074</v>
      </c>
      <c r="L272" s="33">
        <v>788</v>
      </c>
      <c r="M272" s="34">
        <f t="shared" si="66"/>
        <v>1110815</v>
      </c>
      <c r="N272" s="35">
        <f t="shared" si="67"/>
        <v>906333</v>
      </c>
      <c r="O272" s="35">
        <f t="shared" si="68"/>
        <v>2068323</v>
      </c>
      <c r="P272" s="34">
        <f t="shared" si="69"/>
        <v>14472789.52</v>
      </c>
      <c r="Q272" s="34">
        <f t="shared" si="70"/>
        <v>6852040.0999999996</v>
      </c>
      <c r="R272" s="34">
        <f t="shared" si="71"/>
        <v>21860270.16</v>
      </c>
      <c r="S272" s="49"/>
      <c r="T272" s="32"/>
      <c r="U272" s="32"/>
      <c r="V272" s="32"/>
    </row>
    <row r="273" spans="1:22" ht="15" customHeight="1" x14ac:dyDescent="0.15">
      <c r="A273" s="20">
        <v>41177</v>
      </c>
      <c r="B273" s="20" t="s">
        <v>37</v>
      </c>
      <c r="C273" s="21">
        <v>44576</v>
      </c>
      <c r="D273" s="7">
        <v>38443</v>
      </c>
      <c r="E273" s="7">
        <v>84855</v>
      </c>
      <c r="F273" s="22">
        <v>4318</v>
      </c>
      <c r="G273" s="23">
        <v>2882</v>
      </c>
      <c r="H273" s="24"/>
      <c r="I273" s="36"/>
      <c r="J273" s="8">
        <f t="shared" si="72"/>
        <v>46412</v>
      </c>
      <c r="K273" s="37">
        <f t="shared" si="73"/>
        <v>1137</v>
      </c>
      <c r="L273" s="37">
        <v>699</v>
      </c>
      <c r="M273" s="38">
        <f t="shared" si="66"/>
        <v>1155391</v>
      </c>
      <c r="N273" s="39">
        <f t="shared" si="67"/>
        <v>944776</v>
      </c>
      <c r="O273" s="39">
        <f t="shared" si="68"/>
        <v>2153178</v>
      </c>
      <c r="P273" s="40">
        <f t="shared" si="69"/>
        <v>14517365.52</v>
      </c>
      <c r="Q273" s="40">
        <f t="shared" si="70"/>
        <v>6890483.0999999996</v>
      </c>
      <c r="R273" s="40">
        <f t="shared" si="71"/>
        <v>21945125.16</v>
      </c>
      <c r="S273" s="50">
        <v>125.5702</v>
      </c>
      <c r="T273" s="50">
        <f>P273/10000-S273</f>
        <v>1326.1663519999997</v>
      </c>
      <c r="U273" s="37"/>
      <c r="V273" s="55">
        <f>(T273-5-0.95-3.7-3.1)/3484.9*10000</f>
        <v>3768.8781658010262</v>
      </c>
    </row>
    <row r="274" spans="1:22" ht="15" customHeight="1" x14ac:dyDescent="0.15">
      <c r="A274" s="20">
        <v>41178</v>
      </c>
      <c r="B274" s="20" t="s">
        <v>38</v>
      </c>
      <c r="C274" s="21">
        <v>46365</v>
      </c>
      <c r="D274" s="7">
        <v>38658</v>
      </c>
      <c r="E274" s="7">
        <v>86331</v>
      </c>
      <c r="F274" s="22">
        <v>4383</v>
      </c>
      <c r="G274" s="23">
        <v>2884</v>
      </c>
      <c r="H274" s="24"/>
      <c r="I274" s="36"/>
      <c r="J274" s="8">
        <f t="shared" si="72"/>
        <v>47673</v>
      </c>
      <c r="K274" s="37">
        <f t="shared" si="73"/>
        <v>519</v>
      </c>
      <c r="L274" s="37">
        <v>789</v>
      </c>
      <c r="M274" s="38">
        <f t="shared" si="66"/>
        <v>1201756</v>
      </c>
      <c r="N274" s="39">
        <f t="shared" si="67"/>
        <v>983434</v>
      </c>
      <c r="O274" s="39">
        <f t="shared" si="68"/>
        <v>2239509</v>
      </c>
      <c r="P274" s="40">
        <f t="shared" si="69"/>
        <v>14563730.52</v>
      </c>
      <c r="Q274" s="40">
        <f t="shared" si="70"/>
        <v>6929141.0999999996</v>
      </c>
      <c r="R274" s="40">
        <f t="shared" si="71"/>
        <v>22031456.16</v>
      </c>
      <c r="S274" s="50"/>
      <c r="T274" s="37"/>
      <c r="U274" s="37"/>
      <c r="V274" s="8"/>
    </row>
    <row r="275" spans="1:22" ht="15" customHeight="1" x14ac:dyDescent="0.15">
      <c r="A275" s="20">
        <v>41179</v>
      </c>
      <c r="B275" s="20" t="s">
        <v>39</v>
      </c>
      <c r="C275" s="21">
        <v>48912</v>
      </c>
      <c r="D275" s="7">
        <v>38152</v>
      </c>
      <c r="E275" s="7">
        <v>88716</v>
      </c>
      <c r="F275" s="22">
        <v>4463</v>
      </c>
      <c r="G275" s="23">
        <v>2957</v>
      </c>
      <c r="H275" s="24"/>
      <c r="I275" s="36"/>
      <c r="J275" s="8">
        <f t="shared" si="72"/>
        <v>50564</v>
      </c>
      <c r="K275" s="37">
        <f t="shared" si="73"/>
        <v>882</v>
      </c>
      <c r="L275" s="37">
        <v>770</v>
      </c>
      <c r="M275" s="38">
        <f t="shared" si="66"/>
        <v>1250668</v>
      </c>
      <c r="N275" s="39">
        <f t="shared" si="67"/>
        <v>1021586</v>
      </c>
      <c r="O275" s="39">
        <f t="shared" si="68"/>
        <v>2328225</v>
      </c>
      <c r="P275" s="40">
        <f t="shared" si="69"/>
        <v>14612642.52</v>
      </c>
      <c r="Q275" s="40">
        <f t="shared" si="70"/>
        <v>6967293.0999999996</v>
      </c>
      <c r="R275" s="40">
        <f t="shared" si="71"/>
        <v>22120172.16</v>
      </c>
      <c r="S275" s="50"/>
      <c r="T275" s="37"/>
      <c r="U275" s="37"/>
      <c r="V275" s="8"/>
    </row>
    <row r="276" spans="1:22" ht="15" customHeight="1" x14ac:dyDescent="0.15">
      <c r="A276" s="20">
        <v>41180</v>
      </c>
      <c r="B276" s="20" t="s">
        <v>1</v>
      </c>
      <c r="C276" s="21">
        <v>50169</v>
      </c>
      <c r="D276" s="7">
        <v>38255</v>
      </c>
      <c r="E276" s="7">
        <v>90185</v>
      </c>
      <c r="F276" s="22">
        <v>4567</v>
      </c>
      <c r="G276" s="23">
        <v>3003</v>
      </c>
      <c r="H276" s="24">
        <v>1722</v>
      </c>
      <c r="I276" s="36">
        <v>1449</v>
      </c>
      <c r="J276" s="8">
        <f t="shared" si="72"/>
        <v>51930</v>
      </c>
      <c r="K276" s="37">
        <f t="shared" si="73"/>
        <v>988</v>
      </c>
      <c r="L276" s="37">
        <v>773</v>
      </c>
      <c r="M276" s="38">
        <f t="shared" si="66"/>
        <v>1300837</v>
      </c>
      <c r="N276" s="39">
        <f t="shared" si="67"/>
        <v>1059841</v>
      </c>
      <c r="O276" s="39">
        <f t="shared" si="68"/>
        <v>2418410</v>
      </c>
      <c r="P276" s="40">
        <f t="shared" si="69"/>
        <v>14662811.52</v>
      </c>
      <c r="Q276" s="40">
        <f t="shared" si="70"/>
        <v>7005548.0999999996</v>
      </c>
      <c r="R276" s="40">
        <f t="shared" si="71"/>
        <v>22210357.16</v>
      </c>
      <c r="S276" s="50"/>
      <c r="T276" s="37"/>
      <c r="U276" s="37"/>
      <c r="V276" s="8"/>
    </row>
    <row r="277" spans="1:22" ht="15" customHeight="1" x14ac:dyDescent="0.15">
      <c r="A277" s="20">
        <v>41181</v>
      </c>
      <c r="B277" s="20" t="s">
        <v>34</v>
      </c>
      <c r="C277" s="21">
        <v>51487</v>
      </c>
      <c r="D277" s="7">
        <v>38642</v>
      </c>
      <c r="E277" s="7">
        <v>92051</v>
      </c>
      <c r="F277" s="22">
        <v>4776</v>
      </c>
      <c r="G277" s="23">
        <v>3011</v>
      </c>
      <c r="H277" s="24">
        <v>1824</v>
      </c>
      <c r="I277" s="36">
        <v>1441</v>
      </c>
      <c r="J277" s="8">
        <f t="shared" si="72"/>
        <v>53409</v>
      </c>
      <c r="K277" s="37">
        <f t="shared" si="73"/>
        <v>1135</v>
      </c>
      <c r="L277" s="37">
        <v>787</v>
      </c>
      <c r="M277" s="38">
        <f t="shared" si="66"/>
        <v>1352324</v>
      </c>
      <c r="N277" s="39">
        <f t="shared" si="67"/>
        <v>1098483</v>
      </c>
      <c r="O277" s="39">
        <f t="shared" si="68"/>
        <v>2510461</v>
      </c>
      <c r="P277" s="40">
        <f t="shared" si="69"/>
        <v>14714298.52</v>
      </c>
      <c r="Q277" s="40">
        <f t="shared" si="70"/>
        <v>7044190.0999999996</v>
      </c>
      <c r="R277" s="40">
        <f t="shared" si="71"/>
        <v>22302408.16</v>
      </c>
      <c r="S277" s="50"/>
      <c r="T277" s="37"/>
      <c r="U277" s="37"/>
      <c r="V277" s="8"/>
    </row>
    <row r="278" spans="1:22" s="1" customFormat="1" ht="15" customHeight="1" x14ac:dyDescent="0.15">
      <c r="A278" s="25">
        <v>41182</v>
      </c>
      <c r="B278" s="25" t="s">
        <v>35</v>
      </c>
      <c r="C278" s="26">
        <v>42214</v>
      </c>
      <c r="D278" s="27">
        <v>36523</v>
      </c>
      <c r="E278" s="27">
        <v>80548</v>
      </c>
      <c r="F278" s="28">
        <v>4196</v>
      </c>
      <c r="G278" s="29">
        <v>2774</v>
      </c>
      <c r="H278" s="30"/>
      <c r="I278" s="30"/>
      <c r="J278" s="42">
        <f t="shared" si="72"/>
        <v>44025</v>
      </c>
      <c r="K278" s="43">
        <f t="shared" si="73"/>
        <v>1024</v>
      </c>
      <c r="L278" s="43">
        <v>787</v>
      </c>
      <c r="M278" s="44">
        <v>1395042.17</v>
      </c>
      <c r="N278" s="46">
        <v>1134665.3999999999</v>
      </c>
      <c r="O278" s="46">
        <v>2590631.5699999998</v>
      </c>
      <c r="P278" s="44">
        <f t="shared" si="69"/>
        <v>14757016.689999999</v>
      </c>
      <c r="Q278" s="44">
        <f t="shared" si="70"/>
        <v>7080372.5</v>
      </c>
      <c r="R278" s="44">
        <f t="shared" si="71"/>
        <v>22382578.73</v>
      </c>
      <c r="S278" s="52">
        <v>128.23370600000001</v>
      </c>
      <c r="T278" s="52">
        <f>P278/10000-S278</f>
        <v>1347.4679630000001</v>
      </c>
      <c r="U278" s="43"/>
      <c r="V278" s="57">
        <v>3816</v>
      </c>
    </row>
    <row r="279" spans="1:22" ht="15" customHeight="1" x14ac:dyDescent="0.15">
      <c r="A279" s="14">
        <v>41183</v>
      </c>
      <c r="B279" s="14" t="s">
        <v>36</v>
      </c>
      <c r="C279" s="15">
        <v>26675</v>
      </c>
      <c r="D279" s="16">
        <v>26314</v>
      </c>
      <c r="E279" s="16">
        <v>54188</v>
      </c>
      <c r="F279" s="17">
        <v>2753</v>
      </c>
      <c r="G279" s="18">
        <v>2008</v>
      </c>
      <c r="H279" s="19"/>
      <c r="I279" s="19"/>
      <c r="J279" s="32">
        <f t="shared" si="72"/>
        <v>27874</v>
      </c>
      <c r="K279" s="33">
        <f t="shared" si="73"/>
        <v>412</v>
      </c>
      <c r="L279" s="33">
        <v>787</v>
      </c>
      <c r="M279" s="34">
        <f>C279</f>
        <v>26675</v>
      </c>
      <c r="N279" s="35">
        <f>D279</f>
        <v>26314</v>
      </c>
      <c r="O279" s="35">
        <f>E279</f>
        <v>54188</v>
      </c>
      <c r="P279" s="34">
        <f>P$278+M279</f>
        <v>14783691.689999999</v>
      </c>
      <c r="Q279" s="34">
        <f>Q$278+N279</f>
        <v>7106686.5</v>
      </c>
      <c r="R279" s="34">
        <f>R$278+O279</f>
        <v>22436766.73</v>
      </c>
      <c r="S279" s="49"/>
      <c r="T279" s="32"/>
      <c r="U279" s="32"/>
      <c r="V279" s="59"/>
    </row>
    <row r="280" spans="1:22" ht="15" customHeight="1" x14ac:dyDescent="0.15">
      <c r="A280" s="20">
        <v>41184</v>
      </c>
      <c r="B280" s="20" t="s">
        <v>37</v>
      </c>
      <c r="C280" s="21">
        <v>29834</v>
      </c>
      <c r="D280" s="7">
        <v>24541</v>
      </c>
      <c r="E280" s="7">
        <v>55390</v>
      </c>
      <c r="F280" s="22">
        <v>2637</v>
      </c>
      <c r="G280" s="23">
        <v>1805</v>
      </c>
      <c r="H280" s="24"/>
      <c r="I280" s="36"/>
      <c r="J280" s="8">
        <f t="shared" si="72"/>
        <v>30849</v>
      </c>
      <c r="K280" s="37">
        <f t="shared" si="73"/>
        <v>228</v>
      </c>
      <c r="L280" s="37">
        <v>787</v>
      </c>
      <c r="M280" s="38">
        <f t="shared" ref="M280:M309" si="74">C280+M279</f>
        <v>56509</v>
      </c>
      <c r="N280" s="39">
        <f t="shared" ref="N280:N309" si="75">D280+N279</f>
        <v>50855</v>
      </c>
      <c r="O280" s="39">
        <f t="shared" ref="O280:O309" si="76">E280+O279</f>
        <v>109578</v>
      </c>
      <c r="P280" s="40">
        <f t="shared" ref="P280:P308" si="77">P$278+M280</f>
        <v>14813525.689999999</v>
      </c>
      <c r="Q280" s="40">
        <f t="shared" ref="Q280:Q309" si="78">Q$278+N280</f>
        <v>7131227.5</v>
      </c>
      <c r="R280" s="40">
        <f t="shared" ref="R280:R309" si="79">R$278+O280</f>
        <v>22492156.73</v>
      </c>
      <c r="S280" s="50">
        <v>128.63370599999999</v>
      </c>
      <c r="T280" s="50">
        <f>P280/10000-S280</f>
        <v>1352.7188629999998</v>
      </c>
      <c r="U280" s="37"/>
      <c r="V280" s="55">
        <f>(T280-5-0.95-3.7-3.1)/3491.9*10000</f>
        <v>3837.3632205962367</v>
      </c>
    </row>
    <row r="281" spans="1:22" ht="15" customHeight="1" x14ac:dyDescent="0.15">
      <c r="A281" s="20">
        <v>41185</v>
      </c>
      <c r="B281" s="20" t="s">
        <v>38</v>
      </c>
      <c r="C281" s="21">
        <v>37963</v>
      </c>
      <c r="D281" s="7">
        <v>25698</v>
      </c>
      <c r="E281" s="7">
        <v>65024</v>
      </c>
      <c r="F281" s="22">
        <v>3288</v>
      </c>
      <c r="G281" s="23">
        <v>2065</v>
      </c>
      <c r="H281" s="24"/>
      <c r="I281" s="36"/>
      <c r="J281" s="8">
        <f t="shared" si="72"/>
        <v>39326</v>
      </c>
      <c r="K281" s="37">
        <f t="shared" si="73"/>
        <v>576</v>
      </c>
      <c r="L281" s="37">
        <v>787</v>
      </c>
      <c r="M281" s="38">
        <f t="shared" si="74"/>
        <v>94472</v>
      </c>
      <c r="N281" s="39">
        <f t="shared" si="75"/>
        <v>76553</v>
      </c>
      <c r="O281" s="39">
        <f t="shared" si="76"/>
        <v>174602</v>
      </c>
      <c r="P281" s="40">
        <f t="shared" si="77"/>
        <v>14851488.689999999</v>
      </c>
      <c r="Q281" s="40">
        <f t="shared" si="78"/>
        <v>7156925.5</v>
      </c>
      <c r="R281" s="40">
        <f t="shared" si="79"/>
        <v>22557180.73</v>
      </c>
      <c r="S281" s="50"/>
      <c r="T281" s="37"/>
      <c r="U281" s="37"/>
      <c r="V281" s="8"/>
    </row>
    <row r="282" spans="1:22" ht="15" customHeight="1" x14ac:dyDescent="0.15">
      <c r="A282" s="20">
        <v>41186</v>
      </c>
      <c r="B282" s="20" t="s">
        <v>39</v>
      </c>
      <c r="C282" s="21">
        <v>42255</v>
      </c>
      <c r="D282" s="7">
        <v>28841</v>
      </c>
      <c r="E282" s="7">
        <v>72921</v>
      </c>
      <c r="F282" s="22">
        <v>3748</v>
      </c>
      <c r="G282" s="23">
        <v>2338</v>
      </c>
      <c r="H282" s="24"/>
      <c r="I282" s="36"/>
      <c r="J282" s="8">
        <f t="shared" si="72"/>
        <v>44080</v>
      </c>
      <c r="K282" s="37">
        <f t="shared" si="73"/>
        <v>1038</v>
      </c>
      <c r="L282" s="37">
        <v>787</v>
      </c>
      <c r="M282" s="38">
        <f t="shared" si="74"/>
        <v>136727</v>
      </c>
      <c r="N282" s="39">
        <f t="shared" si="75"/>
        <v>105394</v>
      </c>
      <c r="O282" s="39">
        <f t="shared" si="76"/>
        <v>247523</v>
      </c>
      <c r="P282" s="40">
        <f t="shared" si="77"/>
        <v>14893743.689999999</v>
      </c>
      <c r="Q282" s="40">
        <f t="shared" si="78"/>
        <v>7185766.5</v>
      </c>
      <c r="R282" s="40">
        <f t="shared" si="79"/>
        <v>22630101.73</v>
      </c>
      <c r="S282" s="50"/>
      <c r="T282" s="37"/>
      <c r="U282" s="37"/>
      <c r="V282" s="8"/>
    </row>
    <row r="283" spans="1:22" ht="15" customHeight="1" x14ac:dyDescent="0.15">
      <c r="A283" s="20">
        <v>41187</v>
      </c>
      <c r="B283" s="20" t="s">
        <v>1</v>
      </c>
      <c r="C283" s="21">
        <v>46605</v>
      </c>
      <c r="D283" s="7">
        <v>28609</v>
      </c>
      <c r="E283" s="7">
        <v>76719</v>
      </c>
      <c r="F283" s="22">
        <v>3889</v>
      </c>
      <c r="G283" s="23">
        <v>2571</v>
      </c>
      <c r="H283" s="24"/>
      <c r="I283" s="36"/>
      <c r="J283" s="8">
        <f t="shared" si="72"/>
        <v>48110</v>
      </c>
      <c r="K283" s="37">
        <f t="shared" si="73"/>
        <v>718</v>
      </c>
      <c r="L283" s="37">
        <v>787</v>
      </c>
      <c r="M283" s="38">
        <f t="shared" si="74"/>
        <v>183332</v>
      </c>
      <c r="N283" s="39">
        <f t="shared" si="75"/>
        <v>134003</v>
      </c>
      <c r="O283" s="39">
        <f t="shared" si="76"/>
        <v>324242</v>
      </c>
      <c r="P283" s="40">
        <f t="shared" si="77"/>
        <v>14940348.689999999</v>
      </c>
      <c r="Q283" s="40">
        <f t="shared" si="78"/>
        <v>7214375.5</v>
      </c>
      <c r="R283" s="40">
        <f t="shared" si="79"/>
        <v>22706820.73</v>
      </c>
      <c r="S283" s="50"/>
      <c r="T283" s="37"/>
      <c r="U283" s="37"/>
      <c r="V283" s="8"/>
    </row>
    <row r="284" spans="1:22" ht="15" customHeight="1" x14ac:dyDescent="0.15">
      <c r="A284" s="20">
        <v>41188</v>
      </c>
      <c r="B284" s="20" t="s">
        <v>34</v>
      </c>
      <c r="C284" s="21">
        <v>49145</v>
      </c>
      <c r="D284" s="7">
        <v>28508</v>
      </c>
      <c r="E284" s="7">
        <v>79480</v>
      </c>
      <c r="F284" s="22">
        <v>4096</v>
      </c>
      <c r="G284" s="23">
        <v>2652</v>
      </c>
      <c r="H284" s="24"/>
      <c r="I284" s="36"/>
      <c r="J284" s="8">
        <f t="shared" si="72"/>
        <v>50972</v>
      </c>
      <c r="K284" s="37">
        <f t="shared" si="73"/>
        <v>1040</v>
      </c>
      <c r="L284" s="37">
        <v>787</v>
      </c>
      <c r="M284" s="38">
        <f t="shared" si="74"/>
        <v>232477</v>
      </c>
      <c r="N284" s="39">
        <f t="shared" si="75"/>
        <v>162511</v>
      </c>
      <c r="O284" s="39">
        <f t="shared" si="76"/>
        <v>403722</v>
      </c>
      <c r="P284" s="40">
        <f t="shared" si="77"/>
        <v>14989493.689999999</v>
      </c>
      <c r="Q284" s="40">
        <f t="shared" si="78"/>
        <v>7242883.5</v>
      </c>
      <c r="R284" s="40">
        <f t="shared" si="79"/>
        <v>22786300.73</v>
      </c>
      <c r="S284" s="50"/>
      <c r="T284" s="37"/>
      <c r="U284" s="37"/>
      <c r="V284" s="8"/>
    </row>
    <row r="285" spans="1:22" ht="15" customHeight="1" x14ac:dyDescent="0.15">
      <c r="A285" s="20">
        <v>41189</v>
      </c>
      <c r="B285" s="20" t="s">
        <v>35</v>
      </c>
      <c r="C285" s="21">
        <v>52793</v>
      </c>
      <c r="D285" s="7">
        <v>26479</v>
      </c>
      <c r="E285" s="7">
        <v>80619</v>
      </c>
      <c r="F285" s="22">
        <v>4178</v>
      </c>
      <c r="G285" s="23">
        <v>2747</v>
      </c>
      <c r="H285" s="24"/>
      <c r="I285" s="36"/>
      <c r="J285" s="8">
        <f t="shared" si="72"/>
        <v>54140</v>
      </c>
      <c r="K285" s="37">
        <f t="shared" si="73"/>
        <v>560</v>
      </c>
      <c r="L285" s="37">
        <v>787</v>
      </c>
      <c r="M285" s="38">
        <f t="shared" si="74"/>
        <v>285270</v>
      </c>
      <c r="N285" s="39">
        <f t="shared" si="75"/>
        <v>188990</v>
      </c>
      <c r="O285" s="39">
        <f t="shared" si="76"/>
        <v>484341</v>
      </c>
      <c r="P285" s="40">
        <f t="shared" si="77"/>
        <v>15042286.689999999</v>
      </c>
      <c r="Q285" s="40">
        <f t="shared" si="78"/>
        <v>7269362.5</v>
      </c>
      <c r="R285" s="40">
        <f t="shared" si="79"/>
        <v>22866919.73</v>
      </c>
      <c r="S285" s="50"/>
      <c r="T285" s="37"/>
      <c r="U285" s="37"/>
      <c r="V285" s="8"/>
    </row>
    <row r="286" spans="1:22" ht="15" customHeight="1" x14ac:dyDescent="0.15">
      <c r="A286" s="14">
        <v>41190</v>
      </c>
      <c r="B286" s="14" t="s">
        <v>36</v>
      </c>
      <c r="C286" s="15">
        <v>53639</v>
      </c>
      <c r="D286" s="16">
        <v>27765</v>
      </c>
      <c r="E286" s="16">
        <v>82778</v>
      </c>
      <c r="F286" s="17">
        <v>4241</v>
      </c>
      <c r="G286" s="18">
        <v>2781</v>
      </c>
      <c r="H286" s="19"/>
      <c r="I286" s="19"/>
      <c r="J286" s="32">
        <f t="shared" si="72"/>
        <v>55013</v>
      </c>
      <c r="K286" s="33">
        <f t="shared" si="73"/>
        <v>587</v>
      </c>
      <c r="L286" s="33">
        <v>787</v>
      </c>
      <c r="M286" s="34">
        <f t="shared" si="74"/>
        <v>338909</v>
      </c>
      <c r="N286" s="35">
        <f t="shared" si="75"/>
        <v>216755</v>
      </c>
      <c r="O286" s="35">
        <f t="shared" si="76"/>
        <v>567119</v>
      </c>
      <c r="P286" s="34">
        <f t="shared" si="77"/>
        <v>15095925.689999999</v>
      </c>
      <c r="Q286" s="34">
        <f t="shared" si="78"/>
        <v>7297127.5</v>
      </c>
      <c r="R286" s="34">
        <f t="shared" si="79"/>
        <v>22949697.73</v>
      </c>
      <c r="S286" s="49"/>
      <c r="T286" s="32"/>
      <c r="U286" s="32"/>
      <c r="V286" s="32"/>
    </row>
    <row r="287" spans="1:22" ht="15" customHeight="1" x14ac:dyDescent="0.15">
      <c r="A287" s="20">
        <v>41191</v>
      </c>
      <c r="B287" s="20" t="s">
        <v>37</v>
      </c>
      <c r="C287" s="21">
        <v>53339</v>
      </c>
      <c r="D287" s="7">
        <v>29201</v>
      </c>
      <c r="E287" s="7">
        <v>83733</v>
      </c>
      <c r="F287" s="22">
        <v>4269</v>
      </c>
      <c r="G287" s="23">
        <v>2817</v>
      </c>
      <c r="H287" s="24">
        <v>1334</v>
      </c>
      <c r="I287" s="36">
        <v>1106</v>
      </c>
      <c r="J287" s="8">
        <f t="shared" si="72"/>
        <v>54532</v>
      </c>
      <c r="K287" s="37">
        <f t="shared" si="73"/>
        <v>405</v>
      </c>
      <c r="L287" s="37">
        <v>788</v>
      </c>
      <c r="M287" s="38">
        <f t="shared" si="74"/>
        <v>392248</v>
      </c>
      <c r="N287" s="39">
        <f t="shared" si="75"/>
        <v>245956</v>
      </c>
      <c r="O287" s="39">
        <f t="shared" si="76"/>
        <v>650852</v>
      </c>
      <c r="P287" s="40">
        <f t="shared" si="77"/>
        <v>15149264.689999999</v>
      </c>
      <c r="Q287" s="40">
        <f t="shared" si="78"/>
        <v>7326328.5</v>
      </c>
      <c r="R287" s="40">
        <f t="shared" si="79"/>
        <v>23033430.73</v>
      </c>
      <c r="S287" s="50">
        <v>132.48370600000001</v>
      </c>
      <c r="T287" s="50">
        <f>P287/10000-S287</f>
        <v>1382.442763</v>
      </c>
      <c r="U287" s="37"/>
      <c r="V287" s="55">
        <f>(T287-5-0.95-3.7-3.1)/3498.6*10000</f>
        <v>3914.97388383925</v>
      </c>
    </row>
    <row r="288" spans="1:22" ht="15" customHeight="1" x14ac:dyDescent="0.15">
      <c r="A288" s="20">
        <v>41192</v>
      </c>
      <c r="B288" s="20" t="s">
        <v>38</v>
      </c>
      <c r="C288" s="21">
        <v>52696</v>
      </c>
      <c r="D288" s="7">
        <v>30614</v>
      </c>
      <c r="E288" s="7">
        <v>84407</v>
      </c>
      <c r="F288" s="22">
        <v>4294</v>
      </c>
      <c r="G288" s="23">
        <v>2840</v>
      </c>
      <c r="H288" s="24">
        <v>1453</v>
      </c>
      <c r="I288" s="36">
        <v>1171</v>
      </c>
      <c r="J288" s="8">
        <f t="shared" si="72"/>
        <v>53793</v>
      </c>
      <c r="K288" s="37">
        <f t="shared" si="73"/>
        <v>309</v>
      </c>
      <c r="L288" s="37">
        <v>788</v>
      </c>
      <c r="M288" s="38">
        <f t="shared" si="74"/>
        <v>444944</v>
      </c>
      <c r="N288" s="39">
        <f t="shared" si="75"/>
        <v>276570</v>
      </c>
      <c r="O288" s="39">
        <f t="shared" si="76"/>
        <v>735259</v>
      </c>
      <c r="P288" s="40">
        <f t="shared" si="77"/>
        <v>15201960.689999999</v>
      </c>
      <c r="Q288" s="40">
        <f t="shared" si="78"/>
        <v>7356942.5</v>
      </c>
      <c r="R288" s="40">
        <f t="shared" si="79"/>
        <v>23117837.73</v>
      </c>
      <c r="S288" s="50">
        <v>132.10419999999999</v>
      </c>
      <c r="T288" s="50">
        <f>P288/10000-S288</f>
        <v>1388.0918689999999</v>
      </c>
      <c r="U288" s="37"/>
      <c r="V288" s="56">
        <f>(T288-5-0.95-3.7-3.1)/3498.3*10000</f>
        <v>3931.4577623417081</v>
      </c>
    </row>
    <row r="289" spans="1:22" ht="15" customHeight="1" x14ac:dyDescent="0.15">
      <c r="A289" s="20">
        <v>41193</v>
      </c>
      <c r="B289" s="20" t="s">
        <v>39</v>
      </c>
      <c r="C289" s="21">
        <v>54532</v>
      </c>
      <c r="D289" s="7">
        <v>28632</v>
      </c>
      <c r="E289" s="7">
        <v>84311</v>
      </c>
      <c r="F289" s="22">
        <v>4307</v>
      </c>
      <c r="G289" s="23">
        <v>2857</v>
      </c>
      <c r="H289" s="24"/>
      <c r="I289" s="36"/>
      <c r="J289" s="8">
        <f t="shared" si="72"/>
        <v>55679</v>
      </c>
      <c r="K289" s="37">
        <f t="shared" si="73"/>
        <v>359</v>
      </c>
      <c r="L289" s="37">
        <v>788</v>
      </c>
      <c r="M289" s="38">
        <f t="shared" si="74"/>
        <v>499476</v>
      </c>
      <c r="N289" s="39">
        <f t="shared" si="75"/>
        <v>305202</v>
      </c>
      <c r="O289" s="39">
        <f t="shared" si="76"/>
        <v>819570</v>
      </c>
      <c r="P289" s="40">
        <f t="shared" si="77"/>
        <v>15256492.689999999</v>
      </c>
      <c r="Q289" s="40">
        <f t="shared" si="78"/>
        <v>7385574.5</v>
      </c>
      <c r="R289" s="40">
        <f t="shared" si="79"/>
        <v>23202148.73</v>
      </c>
      <c r="S289" s="50"/>
      <c r="T289" s="37"/>
      <c r="U289" s="37"/>
      <c r="V289" s="8"/>
    </row>
    <row r="290" spans="1:22" ht="15" customHeight="1" x14ac:dyDescent="0.15">
      <c r="A290" s="20">
        <v>41194</v>
      </c>
      <c r="B290" s="20" t="s">
        <v>1</v>
      </c>
      <c r="C290" s="21">
        <v>49584</v>
      </c>
      <c r="D290" s="7">
        <v>29218</v>
      </c>
      <c r="E290" s="7">
        <v>79940</v>
      </c>
      <c r="F290" s="22">
        <v>3998</v>
      </c>
      <c r="G290" s="23">
        <v>2827</v>
      </c>
      <c r="H290" s="24"/>
      <c r="I290" s="36"/>
      <c r="J290" s="8">
        <f t="shared" si="72"/>
        <v>50722</v>
      </c>
      <c r="K290" s="37">
        <f t="shared" si="73"/>
        <v>343</v>
      </c>
      <c r="L290" s="37">
        <v>795</v>
      </c>
      <c r="M290" s="38">
        <f t="shared" si="74"/>
        <v>549060</v>
      </c>
      <c r="N290" s="39">
        <f t="shared" si="75"/>
        <v>334420</v>
      </c>
      <c r="O290" s="39">
        <f t="shared" si="76"/>
        <v>899510</v>
      </c>
      <c r="P290" s="40">
        <f t="shared" si="77"/>
        <v>15306076.689999999</v>
      </c>
      <c r="Q290" s="40">
        <f t="shared" si="78"/>
        <v>7414792.5</v>
      </c>
      <c r="R290" s="40">
        <f t="shared" si="79"/>
        <v>23282088.73</v>
      </c>
      <c r="S290" s="50"/>
      <c r="T290" s="37"/>
      <c r="U290" s="37"/>
      <c r="V290" s="8"/>
    </row>
    <row r="291" spans="1:22" ht="15" customHeight="1" x14ac:dyDescent="0.15">
      <c r="A291" s="20">
        <v>41195</v>
      </c>
      <c r="B291" s="20" t="s">
        <v>34</v>
      </c>
      <c r="C291" s="21">
        <v>53221</v>
      </c>
      <c r="D291" s="7">
        <v>28384</v>
      </c>
      <c r="E291" s="7">
        <v>82786</v>
      </c>
      <c r="F291" s="22">
        <v>4275</v>
      </c>
      <c r="G291" s="23">
        <v>2714</v>
      </c>
      <c r="H291" s="24"/>
      <c r="I291" s="36"/>
      <c r="J291" s="8">
        <f t="shared" si="72"/>
        <v>54402</v>
      </c>
      <c r="K291" s="37">
        <f t="shared" si="73"/>
        <v>386</v>
      </c>
      <c r="L291" s="37">
        <v>795</v>
      </c>
      <c r="M291" s="38">
        <f t="shared" si="74"/>
        <v>602281</v>
      </c>
      <c r="N291" s="39">
        <f t="shared" si="75"/>
        <v>362804</v>
      </c>
      <c r="O291" s="39">
        <f t="shared" si="76"/>
        <v>982296</v>
      </c>
      <c r="P291" s="40">
        <f t="shared" si="77"/>
        <v>15359297.689999999</v>
      </c>
      <c r="Q291" s="40">
        <f t="shared" si="78"/>
        <v>7443176.5</v>
      </c>
      <c r="R291" s="40">
        <f t="shared" si="79"/>
        <v>23364874.73</v>
      </c>
      <c r="S291" s="50"/>
      <c r="T291" s="37"/>
      <c r="U291" s="37"/>
      <c r="V291" s="8"/>
    </row>
    <row r="292" spans="1:22" ht="15" customHeight="1" x14ac:dyDescent="0.15">
      <c r="A292" s="20">
        <v>41196</v>
      </c>
      <c r="B292" s="20" t="s">
        <v>35</v>
      </c>
      <c r="C292" s="21">
        <v>59283</v>
      </c>
      <c r="D292" s="7">
        <v>23389</v>
      </c>
      <c r="E292" s="7">
        <v>83996</v>
      </c>
      <c r="F292" s="22">
        <v>4268</v>
      </c>
      <c r="G292" s="23">
        <v>2843</v>
      </c>
      <c r="H292" s="24"/>
      <c r="I292" s="36"/>
      <c r="J292" s="8">
        <f t="shared" si="72"/>
        <v>60607</v>
      </c>
      <c r="K292" s="37">
        <f t="shared" si="73"/>
        <v>529</v>
      </c>
      <c r="L292" s="37">
        <v>795</v>
      </c>
      <c r="M292" s="38">
        <f t="shared" si="74"/>
        <v>661564</v>
      </c>
      <c r="N292" s="39">
        <f t="shared" si="75"/>
        <v>386193</v>
      </c>
      <c r="O292" s="39">
        <f t="shared" si="76"/>
        <v>1066292</v>
      </c>
      <c r="P292" s="40">
        <f t="shared" si="77"/>
        <v>15418580.689999999</v>
      </c>
      <c r="Q292" s="40">
        <f t="shared" si="78"/>
        <v>7466565.5</v>
      </c>
      <c r="R292" s="40">
        <f t="shared" si="79"/>
        <v>23448870.73</v>
      </c>
      <c r="S292" s="50"/>
      <c r="T292" s="37"/>
      <c r="U292" s="37"/>
      <c r="V292" s="8"/>
    </row>
    <row r="293" spans="1:22" ht="15" customHeight="1" x14ac:dyDescent="0.15">
      <c r="A293" s="14">
        <v>41197</v>
      </c>
      <c r="B293" s="14" t="s">
        <v>36</v>
      </c>
      <c r="C293" s="15">
        <v>60464</v>
      </c>
      <c r="D293" s="16">
        <v>23271</v>
      </c>
      <c r="E293" s="16">
        <v>84744</v>
      </c>
      <c r="F293" s="17">
        <v>4305</v>
      </c>
      <c r="G293" s="18">
        <v>2861</v>
      </c>
      <c r="H293" s="19"/>
      <c r="I293" s="19"/>
      <c r="J293" s="32">
        <f t="shared" si="72"/>
        <v>61473</v>
      </c>
      <c r="K293" s="33">
        <f t="shared" si="73"/>
        <v>215</v>
      </c>
      <c r="L293" s="33">
        <v>794</v>
      </c>
      <c r="M293" s="34">
        <f t="shared" si="74"/>
        <v>722028</v>
      </c>
      <c r="N293" s="35">
        <f t="shared" si="75"/>
        <v>409464</v>
      </c>
      <c r="O293" s="35">
        <f t="shared" si="76"/>
        <v>1151036</v>
      </c>
      <c r="P293" s="34">
        <f t="shared" si="77"/>
        <v>15479044.689999999</v>
      </c>
      <c r="Q293" s="34">
        <f t="shared" si="78"/>
        <v>7489836.5</v>
      </c>
      <c r="R293" s="34">
        <f t="shared" si="79"/>
        <v>23533614.73</v>
      </c>
      <c r="S293" s="49"/>
      <c r="T293" s="32"/>
      <c r="U293" s="32"/>
      <c r="V293" s="32"/>
    </row>
    <row r="294" spans="1:22" ht="15" customHeight="1" x14ac:dyDescent="0.15">
      <c r="A294" s="20">
        <v>41198</v>
      </c>
      <c r="B294" s="20" t="s">
        <v>37</v>
      </c>
      <c r="C294" s="21">
        <v>60662</v>
      </c>
      <c r="D294" s="7">
        <v>23225</v>
      </c>
      <c r="E294" s="7">
        <v>84799</v>
      </c>
      <c r="F294" s="22">
        <v>4309</v>
      </c>
      <c r="G294" s="23">
        <v>2860</v>
      </c>
      <c r="H294" s="24"/>
      <c r="I294" s="36"/>
      <c r="J294" s="8">
        <f t="shared" si="72"/>
        <v>61574</v>
      </c>
      <c r="K294" s="37">
        <f t="shared" si="73"/>
        <v>116</v>
      </c>
      <c r="L294" s="37">
        <v>796</v>
      </c>
      <c r="M294" s="38">
        <f t="shared" si="74"/>
        <v>782690</v>
      </c>
      <c r="N294" s="39">
        <f t="shared" si="75"/>
        <v>432689</v>
      </c>
      <c r="O294" s="39">
        <f t="shared" si="76"/>
        <v>1235835</v>
      </c>
      <c r="P294" s="40">
        <f t="shared" si="77"/>
        <v>15539706.689999999</v>
      </c>
      <c r="Q294" s="40">
        <f t="shared" si="78"/>
        <v>7513061.5</v>
      </c>
      <c r="R294" s="40">
        <f t="shared" si="79"/>
        <v>23618413.73</v>
      </c>
      <c r="S294" s="50">
        <v>134.5042</v>
      </c>
      <c r="T294" s="50">
        <f>P294/10000-S294</f>
        <v>1419.466469</v>
      </c>
      <c r="U294" s="37"/>
      <c r="V294" s="55">
        <f>(T294-5-0.95-3.7-3.1)/3503.6*10000</f>
        <v>4015.0601352894168</v>
      </c>
    </row>
    <row r="295" spans="1:22" ht="15" customHeight="1" x14ac:dyDescent="0.15">
      <c r="A295" s="20">
        <v>41199</v>
      </c>
      <c r="B295" s="20" t="s">
        <v>38</v>
      </c>
      <c r="C295" s="21">
        <v>60670</v>
      </c>
      <c r="D295" s="7">
        <v>23300</v>
      </c>
      <c r="E295" s="7">
        <v>85000</v>
      </c>
      <c r="F295" s="22">
        <v>4300</v>
      </c>
      <c r="G295" s="23">
        <v>2850</v>
      </c>
      <c r="H295" s="24"/>
      <c r="I295" s="36"/>
      <c r="J295" s="8">
        <f t="shared" si="72"/>
        <v>61700</v>
      </c>
      <c r="K295" s="37">
        <f t="shared" si="73"/>
        <v>235</v>
      </c>
      <c r="L295" s="37">
        <v>795</v>
      </c>
      <c r="M295" s="38">
        <f t="shared" si="74"/>
        <v>843360</v>
      </c>
      <c r="N295" s="39">
        <f t="shared" si="75"/>
        <v>455989</v>
      </c>
      <c r="O295" s="39">
        <f t="shared" si="76"/>
        <v>1320835</v>
      </c>
      <c r="P295" s="40">
        <f t="shared" si="77"/>
        <v>15600376.689999999</v>
      </c>
      <c r="Q295" s="40">
        <f t="shared" si="78"/>
        <v>7536361.5</v>
      </c>
      <c r="R295" s="40">
        <f t="shared" si="79"/>
        <v>23703413.73</v>
      </c>
      <c r="S295" s="50"/>
      <c r="T295" s="37"/>
      <c r="U295" s="37"/>
      <c r="V295" s="8"/>
    </row>
    <row r="296" spans="1:22" ht="15" customHeight="1" x14ac:dyDescent="0.15">
      <c r="A296" s="20">
        <v>41200</v>
      </c>
      <c r="B296" s="20" t="s">
        <v>39</v>
      </c>
      <c r="C296" s="21">
        <v>59580</v>
      </c>
      <c r="D296" s="7">
        <v>23000</v>
      </c>
      <c r="E296" s="7">
        <v>84500</v>
      </c>
      <c r="F296" s="22">
        <v>4450</v>
      </c>
      <c r="G296" s="23">
        <v>2850</v>
      </c>
      <c r="H296" s="24"/>
      <c r="I296" s="36"/>
      <c r="J296" s="8">
        <f t="shared" si="72"/>
        <v>61500</v>
      </c>
      <c r="K296" s="37">
        <f t="shared" si="73"/>
        <v>1125</v>
      </c>
      <c r="L296" s="37">
        <v>795</v>
      </c>
      <c r="M296" s="38">
        <f t="shared" si="74"/>
        <v>902940</v>
      </c>
      <c r="N296" s="39">
        <f t="shared" si="75"/>
        <v>478989</v>
      </c>
      <c r="O296" s="39">
        <f t="shared" si="76"/>
        <v>1405335</v>
      </c>
      <c r="P296" s="40">
        <f t="shared" si="77"/>
        <v>15659956.689999999</v>
      </c>
      <c r="Q296" s="40">
        <f t="shared" si="78"/>
        <v>7559361.5</v>
      </c>
      <c r="R296" s="40">
        <f t="shared" si="79"/>
        <v>23787913.73</v>
      </c>
      <c r="S296" s="50"/>
      <c r="T296" s="37"/>
      <c r="U296" s="37"/>
      <c r="V296" s="8"/>
    </row>
    <row r="297" spans="1:22" ht="15" customHeight="1" x14ac:dyDescent="0.15">
      <c r="A297" s="20">
        <v>41201</v>
      </c>
      <c r="B297" s="20" t="s">
        <v>1</v>
      </c>
      <c r="C297" s="21">
        <v>58716</v>
      </c>
      <c r="D297" s="7">
        <v>22986</v>
      </c>
      <c r="E297" s="7">
        <v>82694</v>
      </c>
      <c r="F297" s="22">
        <v>4150</v>
      </c>
      <c r="G297" s="23">
        <v>2850</v>
      </c>
      <c r="H297" s="24"/>
      <c r="I297" s="36"/>
      <c r="J297" s="8">
        <f t="shared" si="72"/>
        <v>59708</v>
      </c>
      <c r="K297" s="37">
        <f t="shared" si="73"/>
        <v>197</v>
      </c>
      <c r="L297" s="37">
        <v>795</v>
      </c>
      <c r="M297" s="38">
        <f t="shared" si="74"/>
        <v>961656</v>
      </c>
      <c r="N297" s="39">
        <f t="shared" si="75"/>
        <v>501975</v>
      </c>
      <c r="O297" s="39">
        <f t="shared" si="76"/>
        <v>1488029</v>
      </c>
      <c r="P297" s="40">
        <f t="shared" si="77"/>
        <v>15718672.689999999</v>
      </c>
      <c r="Q297" s="40">
        <f t="shared" si="78"/>
        <v>7582347.5</v>
      </c>
      <c r="R297" s="40">
        <f t="shared" si="79"/>
        <v>23870607.73</v>
      </c>
      <c r="S297" s="50"/>
      <c r="T297" s="37"/>
      <c r="U297" s="37"/>
      <c r="V297" s="8"/>
    </row>
    <row r="298" spans="1:22" ht="15" customHeight="1" x14ac:dyDescent="0.15">
      <c r="A298" s="20">
        <v>41202</v>
      </c>
      <c r="B298" s="20" t="s">
        <v>34</v>
      </c>
      <c r="C298" s="21">
        <v>61223</v>
      </c>
      <c r="D298" s="7">
        <v>23741</v>
      </c>
      <c r="E298" s="7">
        <v>86313</v>
      </c>
      <c r="F298" s="22">
        <v>4431</v>
      </c>
      <c r="G298" s="23">
        <v>2769</v>
      </c>
      <c r="H298" s="24"/>
      <c r="I298" s="36"/>
      <c r="J298" s="8">
        <f t="shared" si="72"/>
        <v>62572</v>
      </c>
      <c r="K298" s="37">
        <f t="shared" si="73"/>
        <v>553</v>
      </c>
      <c r="L298" s="37">
        <v>796</v>
      </c>
      <c r="M298" s="38">
        <f t="shared" si="74"/>
        <v>1022879</v>
      </c>
      <c r="N298" s="39">
        <f t="shared" si="75"/>
        <v>525716</v>
      </c>
      <c r="O298" s="39">
        <f t="shared" si="76"/>
        <v>1574342</v>
      </c>
      <c r="P298" s="40">
        <f t="shared" si="77"/>
        <v>15779895.689999999</v>
      </c>
      <c r="Q298" s="40">
        <f t="shared" si="78"/>
        <v>7606088.5</v>
      </c>
      <c r="R298" s="40">
        <f t="shared" si="79"/>
        <v>23956920.73</v>
      </c>
      <c r="S298" s="50">
        <v>137.40649999999999</v>
      </c>
      <c r="T298" s="50">
        <f>P298/10000-S298</f>
        <v>1440.5830689999998</v>
      </c>
      <c r="U298" s="37"/>
      <c r="V298" s="56">
        <f>(T298-5-0.95-3.7-3.1)/3519.4*10000</f>
        <v>4057.0354861624137</v>
      </c>
    </row>
    <row r="299" spans="1:22" ht="15" customHeight="1" x14ac:dyDescent="0.15">
      <c r="A299" s="20">
        <v>41203</v>
      </c>
      <c r="B299" s="20" t="s">
        <v>35</v>
      </c>
      <c r="C299" s="21">
        <v>62926</v>
      </c>
      <c r="D299" s="7">
        <v>24035</v>
      </c>
      <c r="E299" s="7">
        <v>87959</v>
      </c>
      <c r="F299" s="22">
        <v>4516</v>
      </c>
      <c r="G299" s="23">
        <v>2934</v>
      </c>
      <c r="H299" s="24"/>
      <c r="I299" s="36"/>
      <c r="J299" s="8">
        <f t="shared" si="72"/>
        <v>63924</v>
      </c>
      <c r="K299" s="37">
        <f t="shared" si="73"/>
        <v>203</v>
      </c>
      <c r="L299" s="37">
        <v>795</v>
      </c>
      <c r="M299" s="38">
        <f t="shared" si="74"/>
        <v>1085805</v>
      </c>
      <c r="N299" s="39">
        <f t="shared" si="75"/>
        <v>549751</v>
      </c>
      <c r="O299" s="39">
        <f t="shared" si="76"/>
        <v>1662301</v>
      </c>
      <c r="P299" s="40">
        <f t="shared" si="77"/>
        <v>15842821.689999999</v>
      </c>
      <c r="Q299" s="40">
        <f t="shared" si="78"/>
        <v>7630123.5</v>
      </c>
      <c r="R299" s="40">
        <f t="shared" si="79"/>
        <v>24044879.73</v>
      </c>
      <c r="S299" s="50"/>
      <c r="T299" s="37"/>
      <c r="U299" s="37"/>
      <c r="V299" s="8"/>
    </row>
    <row r="300" spans="1:22" ht="15" customHeight="1" x14ac:dyDescent="0.15">
      <c r="A300" s="14">
        <v>41204</v>
      </c>
      <c r="B300" s="14" t="s">
        <v>36</v>
      </c>
      <c r="C300" s="15">
        <v>61186</v>
      </c>
      <c r="D300" s="16">
        <v>23751</v>
      </c>
      <c r="E300" s="16">
        <v>85924</v>
      </c>
      <c r="F300" s="17">
        <v>4358</v>
      </c>
      <c r="G300" s="18">
        <v>2887</v>
      </c>
      <c r="H300" s="19"/>
      <c r="I300" s="19"/>
      <c r="J300" s="32">
        <f t="shared" si="72"/>
        <v>62173</v>
      </c>
      <c r="K300" s="33">
        <f t="shared" si="73"/>
        <v>192</v>
      </c>
      <c r="L300" s="33">
        <v>795</v>
      </c>
      <c r="M300" s="34">
        <f t="shared" si="74"/>
        <v>1146991</v>
      </c>
      <c r="N300" s="35">
        <f t="shared" si="75"/>
        <v>573502</v>
      </c>
      <c r="O300" s="35">
        <f t="shared" si="76"/>
        <v>1748225</v>
      </c>
      <c r="P300" s="34">
        <f t="shared" si="77"/>
        <v>15904007.689999999</v>
      </c>
      <c r="Q300" s="34">
        <f t="shared" si="78"/>
        <v>7653874.5</v>
      </c>
      <c r="R300" s="34">
        <f t="shared" si="79"/>
        <v>24130803.73</v>
      </c>
      <c r="S300" s="49"/>
      <c r="T300" s="32"/>
      <c r="U300" s="32"/>
      <c r="V300" s="32"/>
    </row>
    <row r="301" spans="1:22" ht="15" customHeight="1" x14ac:dyDescent="0.15">
      <c r="A301" s="20">
        <v>41205</v>
      </c>
      <c r="B301" s="20" t="s">
        <v>37</v>
      </c>
      <c r="C301" s="21">
        <v>62124</v>
      </c>
      <c r="D301" s="7">
        <v>23126</v>
      </c>
      <c r="E301" s="7">
        <v>86281</v>
      </c>
      <c r="F301" s="22">
        <v>4393</v>
      </c>
      <c r="G301" s="23">
        <v>2890</v>
      </c>
      <c r="H301" s="24"/>
      <c r="I301" s="36"/>
      <c r="J301" s="8">
        <f t="shared" si="72"/>
        <v>63155</v>
      </c>
      <c r="K301" s="37">
        <f t="shared" si="73"/>
        <v>236</v>
      </c>
      <c r="L301" s="37">
        <v>795</v>
      </c>
      <c r="M301" s="38">
        <f t="shared" si="74"/>
        <v>1209115</v>
      </c>
      <c r="N301" s="39">
        <f t="shared" si="75"/>
        <v>596628</v>
      </c>
      <c r="O301" s="39">
        <f t="shared" si="76"/>
        <v>1834506</v>
      </c>
      <c r="P301" s="40">
        <f t="shared" si="77"/>
        <v>15966131.689999999</v>
      </c>
      <c r="Q301" s="40">
        <f t="shared" si="78"/>
        <v>7677000.5</v>
      </c>
      <c r="R301" s="40">
        <f t="shared" si="79"/>
        <v>24217084.73</v>
      </c>
      <c r="S301" s="50">
        <v>139.0565</v>
      </c>
      <c r="T301" s="50">
        <f>P301/10000-S301</f>
        <v>1457.5566690000001</v>
      </c>
      <c r="U301" s="37"/>
      <c r="V301" s="55">
        <f>(T301-5-0.95-3.7-3.1)/3521.7*10000</f>
        <v>4102.5830394411796</v>
      </c>
    </row>
    <row r="302" spans="1:22" ht="15" customHeight="1" x14ac:dyDescent="0.15">
      <c r="A302" s="20">
        <v>41206</v>
      </c>
      <c r="B302" s="20" t="s">
        <v>38</v>
      </c>
      <c r="C302" s="21">
        <v>62614</v>
      </c>
      <c r="D302" s="7">
        <v>23039</v>
      </c>
      <c r="E302" s="7">
        <v>86610</v>
      </c>
      <c r="F302" s="22">
        <v>4396.2</v>
      </c>
      <c r="G302" s="23">
        <v>2903.3</v>
      </c>
      <c r="H302" s="24">
        <v>1105.4000000000001</v>
      </c>
      <c r="I302" s="36">
        <v>843.9</v>
      </c>
      <c r="J302" s="8">
        <f t="shared" si="72"/>
        <v>63571</v>
      </c>
      <c r="K302" s="37">
        <f t="shared" si="73"/>
        <v>162</v>
      </c>
      <c r="L302" s="37">
        <v>795</v>
      </c>
      <c r="M302" s="38">
        <f t="shared" si="74"/>
        <v>1271729</v>
      </c>
      <c r="N302" s="39">
        <f t="shared" si="75"/>
        <v>619667</v>
      </c>
      <c r="O302" s="39">
        <f t="shared" si="76"/>
        <v>1921116</v>
      </c>
      <c r="P302" s="40">
        <f t="shared" si="77"/>
        <v>16028745.689999999</v>
      </c>
      <c r="Q302" s="40">
        <f t="shared" si="78"/>
        <v>7700039.5</v>
      </c>
      <c r="R302" s="40">
        <f t="shared" si="79"/>
        <v>24303694.73</v>
      </c>
      <c r="S302" s="50"/>
      <c r="T302" s="37"/>
      <c r="U302" s="37"/>
      <c r="V302" s="8"/>
    </row>
    <row r="303" spans="1:22" ht="15" customHeight="1" x14ac:dyDescent="0.15">
      <c r="A303" s="20">
        <v>41207</v>
      </c>
      <c r="B303" s="20" t="s">
        <v>39</v>
      </c>
      <c r="C303" s="21">
        <v>63358</v>
      </c>
      <c r="D303" s="7">
        <v>21427</v>
      </c>
      <c r="E303" s="7">
        <v>85733</v>
      </c>
      <c r="F303" s="22">
        <v>4346.1000000000004</v>
      </c>
      <c r="G303" s="23">
        <v>2889.7</v>
      </c>
      <c r="H303" s="24">
        <v>1015.5</v>
      </c>
      <c r="I303" s="36">
        <v>759.1</v>
      </c>
      <c r="J303" s="8">
        <f t="shared" si="72"/>
        <v>64306</v>
      </c>
      <c r="K303" s="37">
        <f t="shared" si="73"/>
        <v>153</v>
      </c>
      <c r="L303" s="37">
        <v>795</v>
      </c>
      <c r="M303" s="38">
        <f t="shared" si="74"/>
        <v>1335087</v>
      </c>
      <c r="N303" s="39">
        <f t="shared" si="75"/>
        <v>641094</v>
      </c>
      <c r="O303" s="39">
        <f t="shared" si="76"/>
        <v>2006849</v>
      </c>
      <c r="P303" s="40">
        <f t="shared" si="77"/>
        <v>16092103.689999999</v>
      </c>
      <c r="Q303" s="40">
        <f t="shared" si="78"/>
        <v>7721466.5</v>
      </c>
      <c r="R303" s="40">
        <f t="shared" si="79"/>
        <v>24389427.73</v>
      </c>
      <c r="S303" s="50"/>
      <c r="T303" s="37"/>
      <c r="U303" s="37"/>
      <c r="V303" s="8"/>
    </row>
    <row r="304" spans="1:22" ht="15" customHeight="1" x14ac:dyDescent="0.15">
      <c r="A304" s="20">
        <v>41208</v>
      </c>
      <c r="B304" s="20" t="s">
        <v>1</v>
      </c>
      <c r="C304" s="21">
        <v>58906</v>
      </c>
      <c r="D304" s="7">
        <v>21619</v>
      </c>
      <c r="E304" s="7">
        <v>81590</v>
      </c>
      <c r="F304" s="22">
        <v>4046.7</v>
      </c>
      <c r="G304" s="23">
        <v>2861</v>
      </c>
      <c r="H304" s="24">
        <v>1029.5999999999999</v>
      </c>
      <c r="I304" s="36">
        <v>780.1</v>
      </c>
      <c r="J304" s="8">
        <f t="shared" si="72"/>
        <v>59971</v>
      </c>
      <c r="K304" s="37">
        <f t="shared" si="73"/>
        <v>270</v>
      </c>
      <c r="L304" s="37">
        <v>795</v>
      </c>
      <c r="M304" s="38">
        <f t="shared" si="74"/>
        <v>1393993</v>
      </c>
      <c r="N304" s="39">
        <f t="shared" si="75"/>
        <v>662713</v>
      </c>
      <c r="O304" s="39">
        <f t="shared" si="76"/>
        <v>2088439</v>
      </c>
      <c r="P304" s="40">
        <f t="shared" si="77"/>
        <v>16151009.689999999</v>
      </c>
      <c r="Q304" s="40">
        <f t="shared" si="78"/>
        <v>7743085.5</v>
      </c>
      <c r="R304" s="40">
        <f t="shared" si="79"/>
        <v>24471017.73</v>
      </c>
      <c r="S304" s="50"/>
      <c r="T304" s="37"/>
      <c r="U304" s="37"/>
      <c r="V304" s="8"/>
    </row>
    <row r="305" spans="1:22" ht="15" customHeight="1" x14ac:dyDescent="0.15">
      <c r="A305" s="20">
        <v>41209</v>
      </c>
      <c r="B305" s="20" t="s">
        <v>34</v>
      </c>
      <c r="C305" s="21">
        <v>59780</v>
      </c>
      <c r="D305" s="7">
        <v>24218</v>
      </c>
      <c r="E305" s="7">
        <v>84972</v>
      </c>
      <c r="F305" s="22">
        <v>4395.5</v>
      </c>
      <c r="G305" s="23">
        <v>2770</v>
      </c>
      <c r="H305" s="24"/>
      <c r="I305" s="36"/>
      <c r="J305" s="8">
        <f t="shared" si="72"/>
        <v>60754</v>
      </c>
      <c r="K305" s="37">
        <f t="shared" si="73"/>
        <v>179</v>
      </c>
      <c r="L305" s="37">
        <v>795</v>
      </c>
      <c r="M305" s="38">
        <f t="shared" si="74"/>
        <v>1453773</v>
      </c>
      <c r="N305" s="39">
        <f t="shared" si="75"/>
        <v>686931</v>
      </c>
      <c r="O305" s="39">
        <f t="shared" si="76"/>
        <v>2173411</v>
      </c>
      <c r="P305" s="40">
        <f t="shared" si="77"/>
        <v>16210789.689999999</v>
      </c>
      <c r="Q305" s="40">
        <f t="shared" si="78"/>
        <v>7767303.5</v>
      </c>
      <c r="R305" s="40">
        <f t="shared" si="79"/>
        <v>24555989.73</v>
      </c>
      <c r="S305" s="50"/>
      <c r="T305" s="37"/>
      <c r="U305" s="37"/>
      <c r="V305" s="8"/>
    </row>
    <row r="306" spans="1:22" ht="15" customHeight="1" x14ac:dyDescent="0.15">
      <c r="A306" s="20">
        <v>41210</v>
      </c>
      <c r="B306" s="20" t="s">
        <v>35</v>
      </c>
      <c r="C306" s="21">
        <v>60321</v>
      </c>
      <c r="D306" s="7">
        <v>24169</v>
      </c>
      <c r="E306" s="7">
        <v>85621</v>
      </c>
      <c r="F306" s="22">
        <v>4357</v>
      </c>
      <c r="G306" s="23">
        <v>2866</v>
      </c>
      <c r="H306" s="24"/>
      <c r="I306" s="36"/>
      <c r="J306" s="8">
        <f t="shared" si="72"/>
        <v>61452</v>
      </c>
      <c r="K306" s="37">
        <f t="shared" si="73"/>
        <v>336</v>
      </c>
      <c r="L306" s="37">
        <v>795</v>
      </c>
      <c r="M306" s="38">
        <f t="shared" si="74"/>
        <v>1514094</v>
      </c>
      <c r="N306" s="39">
        <f t="shared" si="75"/>
        <v>711100</v>
      </c>
      <c r="O306" s="39">
        <f t="shared" si="76"/>
        <v>2259032</v>
      </c>
      <c r="P306" s="40">
        <f t="shared" si="77"/>
        <v>16271110.689999999</v>
      </c>
      <c r="Q306" s="40">
        <f t="shared" si="78"/>
        <v>7791472.5</v>
      </c>
      <c r="R306" s="40">
        <f t="shared" si="79"/>
        <v>24641610.73</v>
      </c>
      <c r="S306" s="50"/>
      <c r="T306" s="37"/>
      <c r="U306" s="37"/>
      <c r="V306" s="8"/>
    </row>
    <row r="307" spans="1:22" ht="15" customHeight="1" x14ac:dyDescent="0.15">
      <c r="A307" s="14">
        <v>41211</v>
      </c>
      <c r="B307" s="14" t="s">
        <v>36</v>
      </c>
      <c r="C307" s="15">
        <v>62389</v>
      </c>
      <c r="D307" s="16">
        <v>22181</v>
      </c>
      <c r="E307" s="16">
        <v>85712</v>
      </c>
      <c r="F307" s="17">
        <v>4374</v>
      </c>
      <c r="G307" s="18">
        <v>2863</v>
      </c>
      <c r="H307" s="19"/>
      <c r="I307" s="19"/>
      <c r="J307" s="32">
        <f t="shared" si="72"/>
        <v>63531</v>
      </c>
      <c r="K307" s="33">
        <f t="shared" si="73"/>
        <v>347</v>
      </c>
      <c r="L307" s="33">
        <v>795</v>
      </c>
      <c r="M307" s="34">
        <f t="shared" si="74"/>
        <v>1576483</v>
      </c>
      <c r="N307" s="35">
        <f t="shared" si="75"/>
        <v>733281</v>
      </c>
      <c r="O307" s="35">
        <f t="shared" si="76"/>
        <v>2344744</v>
      </c>
      <c r="P307" s="34">
        <f t="shared" si="77"/>
        <v>16333499.689999999</v>
      </c>
      <c r="Q307" s="34">
        <f t="shared" si="78"/>
        <v>7813653.5</v>
      </c>
      <c r="R307" s="34">
        <f t="shared" si="79"/>
        <v>24727322.73</v>
      </c>
      <c r="S307" s="49"/>
      <c r="T307" s="32"/>
      <c r="U307" s="32"/>
      <c r="V307" s="32"/>
    </row>
    <row r="308" spans="1:22" ht="15" customHeight="1" x14ac:dyDescent="0.15">
      <c r="A308" s="20">
        <v>41212</v>
      </c>
      <c r="B308" s="20" t="s">
        <v>37</v>
      </c>
      <c r="C308" s="21">
        <v>61914</v>
      </c>
      <c r="D308" s="7">
        <v>22791</v>
      </c>
      <c r="E308" s="7">
        <v>85900</v>
      </c>
      <c r="F308" s="22">
        <v>4397</v>
      </c>
      <c r="G308" s="23">
        <v>2866</v>
      </c>
      <c r="H308" s="24"/>
      <c r="I308" s="36"/>
      <c r="J308" s="8">
        <f t="shared" si="72"/>
        <v>63109</v>
      </c>
      <c r="K308" s="37">
        <f t="shared" si="73"/>
        <v>400</v>
      </c>
      <c r="L308" s="37">
        <v>795</v>
      </c>
      <c r="M308" s="38">
        <f t="shared" si="74"/>
        <v>1638397</v>
      </c>
      <c r="N308" s="39">
        <f t="shared" si="75"/>
        <v>756072</v>
      </c>
      <c r="O308" s="39">
        <f t="shared" si="76"/>
        <v>2430644</v>
      </c>
      <c r="P308" s="40">
        <f t="shared" si="77"/>
        <v>16395413.689999999</v>
      </c>
      <c r="Q308" s="40">
        <f t="shared" si="78"/>
        <v>7836444.5</v>
      </c>
      <c r="R308" s="40">
        <f t="shared" si="79"/>
        <v>24813222.73</v>
      </c>
      <c r="S308" s="50">
        <v>142.90649999999999</v>
      </c>
      <c r="T308" s="50">
        <f>P308/10000-S308</f>
        <v>1496.634869</v>
      </c>
      <c r="U308" s="37"/>
      <c r="V308" s="55">
        <f>(T308-4.919-1.126-6.45)/3527.1*10000</f>
        <v>4207.819083666468</v>
      </c>
    </row>
    <row r="309" spans="1:22" s="1" customFormat="1" ht="15" customHeight="1" x14ac:dyDescent="0.15">
      <c r="A309" s="25">
        <v>41213</v>
      </c>
      <c r="B309" s="25" t="s">
        <v>38</v>
      </c>
      <c r="C309" s="26">
        <v>60669</v>
      </c>
      <c r="D309" s="27">
        <v>22845</v>
      </c>
      <c r="E309" s="27">
        <v>84735</v>
      </c>
      <c r="F309" s="28">
        <v>4336</v>
      </c>
      <c r="G309" s="29">
        <v>2852</v>
      </c>
      <c r="H309" s="30">
        <v>1172</v>
      </c>
      <c r="I309" s="30">
        <v>748.3</v>
      </c>
      <c r="J309" s="42">
        <f t="shared" si="72"/>
        <v>61890</v>
      </c>
      <c r="K309" s="43">
        <f t="shared" si="73"/>
        <v>430</v>
      </c>
      <c r="L309" s="43">
        <v>791</v>
      </c>
      <c r="M309" s="44">
        <f t="shared" si="74"/>
        <v>1699066</v>
      </c>
      <c r="N309" s="46">
        <f t="shared" si="75"/>
        <v>778917</v>
      </c>
      <c r="O309" s="46">
        <f t="shared" si="76"/>
        <v>2515379</v>
      </c>
      <c r="P309" s="44">
        <v>16456228</v>
      </c>
      <c r="Q309" s="44">
        <f t="shared" si="78"/>
        <v>7859289.5</v>
      </c>
      <c r="R309" s="44">
        <f t="shared" si="79"/>
        <v>24897957.73</v>
      </c>
      <c r="S309" s="52">
        <v>142.93870000000001</v>
      </c>
      <c r="T309" s="52">
        <f>P309/10000-S309</f>
        <v>1502.6841000000002</v>
      </c>
      <c r="U309" s="43"/>
      <c r="V309" s="57">
        <f>(T309-4.919-1.126-6.45)/3527.8*10000</f>
        <v>4224.1314700379844</v>
      </c>
    </row>
    <row r="310" spans="1:22" ht="15" customHeight="1" x14ac:dyDescent="0.15">
      <c r="A310" s="20">
        <v>41214</v>
      </c>
      <c r="B310" s="20" t="s">
        <v>39</v>
      </c>
      <c r="C310" s="21">
        <v>53903</v>
      </c>
      <c r="D310" s="7">
        <v>25479</v>
      </c>
      <c r="E310" s="7">
        <v>80438</v>
      </c>
      <c r="F310" s="22">
        <v>4051.2</v>
      </c>
      <c r="G310" s="23">
        <v>2787.7</v>
      </c>
      <c r="H310" s="24"/>
      <c r="I310" s="36"/>
      <c r="J310" s="8">
        <f t="shared" si="72"/>
        <v>54959</v>
      </c>
      <c r="K310" s="37">
        <f t="shared" si="73"/>
        <v>263</v>
      </c>
      <c r="L310" s="37">
        <v>793</v>
      </c>
      <c r="M310" s="38">
        <f>C310</f>
        <v>53903</v>
      </c>
      <c r="N310" s="39">
        <f>D310</f>
        <v>25479</v>
      </c>
      <c r="O310" s="39">
        <f>E310</f>
        <v>80438</v>
      </c>
      <c r="P310" s="40">
        <f>P$309+M310</f>
        <v>16510131</v>
      </c>
      <c r="Q310" s="40">
        <f>Q$309+N310</f>
        <v>7884768.5</v>
      </c>
      <c r="R310" s="40">
        <f>R$309+O310</f>
        <v>24978395.73</v>
      </c>
      <c r="S310" s="50"/>
      <c r="T310" s="37"/>
      <c r="U310" s="37"/>
      <c r="V310" s="8"/>
    </row>
    <row r="311" spans="1:22" ht="15" customHeight="1" x14ac:dyDescent="0.15">
      <c r="A311" s="20">
        <v>41215</v>
      </c>
      <c r="B311" s="20" t="s">
        <v>1</v>
      </c>
      <c r="C311" s="21">
        <v>50441</v>
      </c>
      <c r="D311" s="7">
        <v>24904</v>
      </c>
      <c r="E311" s="7">
        <v>76508</v>
      </c>
      <c r="F311" s="22">
        <v>3852.9</v>
      </c>
      <c r="G311" s="23">
        <v>2640</v>
      </c>
      <c r="H311" s="24"/>
      <c r="I311" s="36"/>
      <c r="J311" s="8">
        <f t="shared" si="72"/>
        <v>51604</v>
      </c>
      <c r="K311" s="37">
        <f t="shared" si="73"/>
        <v>370</v>
      </c>
      <c r="L311" s="37">
        <v>793</v>
      </c>
      <c r="M311" s="38">
        <f t="shared" ref="M311:M338" si="80">C311+M310</f>
        <v>104344</v>
      </c>
      <c r="N311" s="39">
        <f t="shared" ref="N311:O318" si="81">D311+N310</f>
        <v>50383</v>
      </c>
      <c r="O311" s="39">
        <f t="shared" si="81"/>
        <v>156946</v>
      </c>
      <c r="P311" s="40">
        <f t="shared" ref="P311:P339" si="82">P$309+M311</f>
        <v>16560572</v>
      </c>
      <c r="Q311" s="40">
        <f t="shared" ref="Q311:Q339" si="83">Q$309+N311</f>
        <v>7909672.5</v>
      </c>
      <c r="R311" s="40">
        <f t="shared" ref="R311:R339" si="84">R$309+O311</f>
        <v>25054903.73</v>
      </c>
      <c r="S311" s="50"/>
      <c r="T311" s="37"/>
      <c r="U311" s="37"/>
      <c r="V311" s="8"/>
    </row>
    <row r="312" spans="1:22" ht="15" customHeight="1" x14ac:dyDescent="0.15">
      <c r="A312" s="20">
        <v>41216</v>
      </c>
      <c r="B312" s="20" t="s">
        <v>34</v>
      </c>
      <c r="C312" s="21">
        <v>56618</v>
      </c>
      <c r="D312" s="7">
        <v>24512</v>
      </c>
      <c r="E312" s="7">
        <v>82257</v>
      </c>
      <c r="F312" s="22">
        <v>4233.8999999999996</v>
      </c>
      <c r="G312" s="23">
        <v>2620</v>
      </c>
      <c r="H312" s="24"/>
      <c r="I312" s="36"/>
      <c r="J312" s="8">
        <f t="shared" si="72"/>
        <v>57745</v>
      </c>
      <c r="K312" s="37">
        <f t="shared" si="73"/>
        <v>334</v>
      </c>
      <c r="L312" s="37">
        <v>793</v>
      </c>
      <c r="M312" s="38">
        <f t="shared" si="80"/>
        <v>160962</v>
      </c>
      <c r="N312" s="39">
        <f t="shared" si="81"/>
        <v>74895</v>
      </c>
      <c r="O312" s="39">
        <f t="shared" si="81"/>
        <v>239203</v>
      </c>
      <c r="P312" s="40">
        <f t="shared" si="82"/>
        <v>16617190</v>
      </c>
      <c r="Q312" s="40">
        <f t="shared" si="83"/>
        <v>7934184.5</v>
      </c>
      <c r="R312" s="40">
        <f t="shared" si="84"/>
        <v>25137160.73</v>
      </c>
      <c r="S312" s="50"/>
      <c r="T312" s="37"/>
      <c r="U312" s="37"/>
      <c r="V312" s="8"/>
    </row>
    <row r="313" spans="1:22" ht="15" customHeight="1" x14ac:dyDescent="0.15">
      <c r="A313" s="20">
        <v>41217</v>
      </c>
      <c r="B313" s="20" t="s">
        <v>35</v>
      </c>
      <c r="C313" s="21">
        <v>63536</v>
      </c>
      <c r="D313" s="7">
        <v>20432</v>
      </c>
      <c r="E313" s="7">
        <v>85068</v>
      </c>
      <c r="F313" s="22">
        <v>4315.3</v>
      </c>
      <c r="G313" s="23">
        <v>2844.2</v>
      </c>
      <c r="H313" s="24">
        <v>1024.2</v>
      </c>
      <c r="I313" s="36">
        <v>681.4</v>
      </c>
      <c r="J313" s="8">
        <f t="shared" si="72"/>
        <v>64636</v>
      </c>
      <c r="K313" s="37">
        <f t="shared" si="73"/>
        <v>307</v>
      </c>
      <c r="L313" s="37">
        <v>793</v>
      </c>
      <c r="M313" s="38">
        <f t="shared" si="80"/>
        <v>224498</v>
      </c>
      <c r="N313" s="39">
        <f t="shared" si="81"/>
        <v>95327</v>
      </c>
      <c r="O313" s="39">
        <f t="shared" si="81"/>
        <v>324271</v>
      </c>
      <c r="P313" s="40">
        <f t="shared" si="82"/>
        <v>16680726</v>
      </c>
      <c r="Q313" s="40">
        <f t="shared" si="83"/>
        <v>7954616.5</v>
      </c>
      <c r="R313" s="40">
        <f t="shared" si="84"/>
        <v>25222228.73</v>
      </c>
      <c r="S313" s="50"/>
      <c r="T313" s="37"/>
      <c r="U313" s="37"/>
      <c r="V313" s="8"/>
    </row>
    <row r="314" spans="1:22" ht="15" customHeight="1" x14ac:dyDescent="0.15">
      <c r="A314" s="14">
        <v>41218</v>
      </c>
      <c r="B314" s="14" t="s">
        <v>36</v>
      </c>
      <c r="C314" s="15">
        <v>63905</v>
      </c>
      <c r="D314" s="16">
        <v>20162</v>
      </c>
      <c r="E314" s="16">
        <v>85194</v>
      </c>
      <c r="F314" s="17">
        <v>4339.2</v>
      </c>
      <c r="G314" s="18">
        <v>2853</v>
      </c>
      <c r="H314" s="19">
        <v>1044.3</v>
      </c>
      <c r="I314" s="19">
        <v>708.1</v>
      </c>
      <c r="J314" s="32">
        <f t="shared" si="72"/>
        <v>65032</v>
      </c>
      <c r="K314" s="33">
        <f t="shared" si="73"/>
        <v>334</v>
      </c>
      <c r="L314" s="33">
        <v>793</v>
      </c>
      <c r="M314" s="34">
        <f t="shared" si="80"/>
        <v>288403</v>
      </c>
      <c r="N314" s="35">
        <f t="shared" si="81"/>
        <v>115489</v>
      </c>
      <c r="O314" s="35">
        <f t="shared" si="81"/>
        <v>409465</v>
      </c>
      <c r="P314" s="34">
        <f t="shared" si="82"/>
        <v>16744631</v>
      </c>
      <c r="Q314" s="34">
        <f t="shared" si="83"/>
        <v>7974778.5</v>
      </c>
      <c r="R314" s="34">
        <f t="shared" si="84"/>
        <v>25307422.73</v>
      </c>
      <c r="S314" s="49"/>
      <c r="T314" s="32"/>
      <c r="U314" s="32"/>
      <c r="V314" s="32"/>
    </row>
    <row r="315" spans="1:22" ht="15" customHeight="1" x14ac:dyDescent="0.15">
      <c r="A315" s="20">
        <v>41219</v>
      </c>
      <c r="B315" s="20" t="s">
        <v>37</v>
      </c>
      <c r="C315" s="21">
        <v>64148</v>
      </c>
      <c r="D315" s="7">
        <v>20359</v>
      </c>
      <c r="E315" s="7">
        <v>85725</v>
      </c>
      <c r="F315" s="22">
        <v>4368.3999999999996</v>
      </c>
      <c r="G315" s="23">
        <v>2854</v>
      </c>
      <c r="H315" s="24"/>
      <c r="I315" s="36"/>
      <c r="J315" s="8">
        <f t="shared" si="72"/>
        <v>65366</v>
      </c>
      <c r="K315" s="37">
        <f t="shared" si="73"/>
        <v>425</v>
      </c>
      <c r="L315" s="37">
        <v>793</v>
      </c>
      <c r="M315" s="38">
        <f t="shared" si="80"/>
        <v>352551</v>
      </c>
      <c r="N315" s="39">
        <f t="shared" si="81"/>
        <v>135848</v>
      </c>
      <c r="O315" s="39">
        <f t="shared" si="81"/>
        <v>495190</v>
      </c>
      <c r="P315" s="40">
        <f t="shared" si="82"/>
        <v>16808779</v>
      </c>
      <c r="Q315" s="40">
        <f t="shared" si="83"/>
        <v>7995137.5</v>
      </c>
      <c r="R315" s="40">
        <f t="shared" si="84"/>
        <v>25393147.73</v>
      </c>
      <c r="S315" s="50">
        <v>145.93870000000001</v>
      </c>
      <c r="T315" s="50">
        <f>P315/10000-S315</f>
        <v>1534.9392</v>
      </c>
      <c r="U315" s="37"/>
      <c r="V315" s="55">
        <f>(T315-4.919-1.126-6.45)/3532.2*10000</f>
        <v>4310.1868523866142</v>
      </c>
    </row>
    <row r="316" spans="1:22" ht="15" customHeight="1" x14ac:dyDescent="0.15">
      <c r="A316" s="20">
        <v>41220</v>
      </c>
      <c r="B316" s="20" t="s">
        <v>38</v>
      </c>
      <c r="C316" s="21">
        <v>63722</v>
      </c>
      <c r="D316" s="7">
        <v>21169</v>
      </c>
      <c r="E316" s="7">
        <v>86199</v>
      </c>
      <c r="F316" s="22">
        <v>4408</v>
      </c>
      <c r="G316" s="23">
        <v>2863</v>
      </c>
      <c r="H316" s="24"/>
      <c r="I316" s="36"/>
      <c r="J316" s="8">
        <f t="shared" si="72"/>
        <v>65030</v>
      </c>
      <c r="K316" s="37">
        <f t="shared" si="73"/>
        <v>515</v>
      </c>
      <c r="L316" s="37">
        <v>793</v>
      </c>
      <c r="M316" s="38">
        <f t="shared" si="80"/>
        <v>416273</v>
      </c>
      <c r="N316" s="39">
        <f t="shared" si="81"/>
        <v>157017</v>
      </c>
      <c r="O316" s="39">
        <f t="shared" si="81"/>
        <v>581389</v>
      </c>
      <c r="P316" s="40">
        <f t="shared" si="82"/>
        <v>16872501</v>
      </c>
      <c r="Q316" s="40">
        <f t="shared" si="83"/>
        <v>8016306.5</v>
      </c>
      <c r="R316" s="40">
        <f t="shared" si="84"/>
        <v>25479346.73</v>
      </c>
      <c r="S316" s="50"/>
      <c r="T316" s="37"/>
      <c r="U316" s="37"/>
      <c r="V316" s="8"/>
    </row>
    <row r="317" spans="1:22" ht="15" customHeight="1" x14ac:dyDescent="0.15">
      <c r="A317" s="20">
        <v>41221</v>
      </c>
      <c r="B317" s="20" t="s">
        <v>39</v>
      </c>
      <c r="C317" s="21">
        <v>63755</v>
      </c>
      <c r="D317" s="7">
        <v>20502</v>
      </c>
      <c r="E317" s="7">
        <v>85487</v>
      </c>
      <c r="F317" s="22">
        <v>4393</v>
      </c>
      <c r="G317" s="23">
        <v>2877</v>
      </c>
      <c r="H317" s="24"/>
      <c r="I317" s="36"/>
      <c r="J317" s="8">
        <f t="shared" si="72"/>
        <v>64985</v>
      </c>
      <c r="K317" s="37">
        <f t="shared" si="73"/>
        <v>437</v>
      </c>
      <c r="L317" s="37">
        <v>793</v>
      </c>
      <c r="M317" s="38">
        <f t="shared" si="80"/>
        <v>480028</v>
      </c>
      <c r="N317" s="39">
        <f t="shared" si="81"/>
        <v>177519</v>
      </c>
      <c r="O317" s="39">
        <f t="shared" si="81"/>
        <v>666876</v>
      </c>
      <c r="P317" s="40">
        <f t="shared" si="82"/>
        <v>16936256</v>
      </c>
      <c r="Q317" s="40">
        <f t="shared" si="83"/>
        <v>8036808.5</v>
      </c>
      <c r="R317" s="40">
        <f t="shared" si="84"/>
        <v>25564833.73</v>
      </c>
      <c r="S317" s="50"/>
      <c r="T317" s="37"/>
      <c r="U317" s="37"/>
      <c r="V317" s="8"/>
    </row>
    <row r="318" spans="1:22" ht="15" customHeight="1" x14ac:dyDescent="0.15">
      <c r="A318" s="20">
        <v>41222</v>
      </c>
      <c r="B318" s="20" t="s">
        <v>1</v>
      </c>
      <c r="C318" s="21">
        <v>60560</v>
      </c>
      <c r="D318" s="7">
        <v>18771</v>
      </c>
      <c r="E318" s="7">
        <v>80563</v>
      </c>
      <c r="F318" s="22">
        <v>4067</v>
      </c>
      <c r="G318" s="23">
        <v>2810</v>
      </c>
      <c r="H318" s="24"/>
      <c r="I318" s="36"/>
      <c r="J318" s="8">
        <f t="shared" si="72"/>
        <v>61792</v>
      </c>
      <c r="K318" s="37">
        <f t="shared" si="73"/>
        <v>438</v>
      </c>
      <c r="L318" s="37">
        <v>794</v>
      </c>
      <c r="M318" s="38">
        <f t="shared" si="80"/>
        <v>540588</v>
      </c>
      <c r="N318" s="39">
        <f t="shared" si="81"/>
        <v>196290</v>
      </c>
      <c r="O318" s="39">
        <f t="shared" si="81"/>
        <v>747439</v>
      </c>
      <c r="P318" s="40">
        <f t="shared" si="82"/>
        <v>16996816</v>
      </c>
      <c r="Q318" s="40">
        <f t="shared" si="83"/>
        <v>8055579.5</v>
      </c>
      <c r="R318" s="40">
        <f t="shared" si="84"/>
        <v>25645396.73</v>
      </c>
      <c r="S318" s="50"/>
      <c r="T318" s="37"/>
      <c r="U318" s="37"/>
      <c r="V318" s="8"/>
    </row>
    <row r="319" spans="1:22" ht="15" customHeight="1" x14ac:dyDescent="0.15">
      <c r="A319" s="20">
        <v>41223</v>
      </c>
      <c r="B319" s="20" t="s">
        <v>34</v>
      </c>
      <c r="C319" s="21">
        <v>64445</v>
      </c>
      <c r="D319" s="7">
        <v>20359</v>
      </c>
      <c r="E319" s="7">
        <v>85833</v>
      </c>
      <c r="F319" s="22">
        <v>4432</v>
      </c>
      <c r="G319" s="23">
        <v>2751</v>
      </c>
      <c r="H319" s="24"/>
      <c r="I319" s="36"/>
      <c r="J319" s="8">
        <f t="shared" si="72"/>
        <v>65474</v>
      </c>
      <c r="K319" s="37">
        <f t="shared" si="73"/>
        <v>237</v>
      </c>
      <c r="L319" s="37">
        <v>792</v>
      </c>
      <c r="M319" s="38">
        <v>605035</v>
      </c>
      <c r="N319" s="39">
        <v>215932</v>
      </c>
      <c r="O319" s="39">
        <v>833274</v>
      </c>
      <c r="P319" s="40">
        <v>17061263.850000001</v>
      </c>
      <c r="Q319" s="40">
        <f t="shared" si="83"/>
        <v>8075221.5</v>
      </c>
      <c r="R319" s="40">
        <f t="shared" si="84"/>
        <v>25731231.73</v>
      </c>
      <c r="S319" s="50">
        <v>146.97280000000001</v>
      </c>
      <c r="T319" s="50">
        <f>P319/10000-S319</f>
        <v>1559.1535850000002</v>
      </c>
      <c r="U319" s="37"/>
      <c r="V319" s="56">
        <f>(T319-4.919-1.126-6.45)/3535*10000</f>
        <v>4375.2718104667611</v>
      </c>
    </row>
    <row r="320" spans="1:22" ht="15" customHeight="1" x14ac:dyDescent="0.15">
      <c r="A320" s="20">
        <v>41224</v>
      </c>
      <c r="B320" s="20" t="s">
        <v>35</v>
      </c>
      <c r="C320" s="21">
        <v>69578</v>
      </c>
      <c r="D320" s="7">
        <v>15783</v>
      </c>
      <c r="E320" s="7">
        <v>87279</v>
      </c>
      <c r="F320" s="22">
        <v>4432</v>
      </c>
      <c r="G320" s="23">
        <v>2894</v>
      </c>
      <c r="H320" s="24"/>
      <c r="I320" s="36"/>
      <c r="J320" s="8">
        <f t="shared" si="72"/>
        <v>71496</v>
      </c>
      <c r="K320" s="37">
        <f t="shared" si="73"/>
        <v>1126</v>
      </c>
      <c r="L320" s="37">
        <v>792</v>
      </c>
      <c r="M320" s="38">
        <f t="shared" si="80"/>
        <v>674613</v>
      </c>
      <c r="N320" s="39">
        <f t="shared" ref="N320:N338" si="85">D320+N319</f>
        <v>231715</v>
      </c>
      <c r="O320" s="39">
        <f t="shared" ref="O320:O338" si="86">E320+O319</f>
        <v>920553</v>
      </c>
      <c r="P320" s="40">
        <f t="shared" si="82"/>
        <v>17130841</v>
      </c>
      <c r="Q320" s="40">
        <f t="shared" si="83"/>
        <v>8091004.5</v>
      </c>
      <c r="R320" s="40">
        <f t="shared" si="84"/>
        <v>25818510.73</v>
      </c>
      <c r="S320" s="50"/>
      <c r="T320" s="37"/>
      <c r="U320" s="37"/>
      <c r="V320" s="8"/>
    </row>
    <row r="321" spans="1:22" ht="15" customHeight="1" x14ac:dyDescent="0.15">
      <c r="A321" s="14">
        <v>41225</v>
      </c>
      <c r="B321" s="14" t="s">
        <v>36</v>
      </c>
      <c r="C321" s="15">
        <v>69576</v>
      </c>
      <c r="D321" s="16">
        <v>15509</v>
      </c>
      <c r="E321" s="16">
        <v>86540</v>
      </c>
      <c r="F321" s="17">
        <v>4413</v>
      </c>
      <c r="G321" s="18">
        <v>2872</v>
      </c>
      <c r="H321" s="19"/>
      <c r="I321" s="19"/>
      <c r="J321" s="32">
        <f t="shared" ref="J321:J370" si="87">E321-D321</f>
        <v>71031</v>
      </c>
      <c r="K321" s="33">
        <f t="shared" ref="K321:K370" si="88">J321-C321-L321</f>
        <v>663</v>
      </c>
      <c r="L321" s="33">
        <v>792</v>
      </c>
      <c r="M321" s="34">
        <f t="shared" si="80"/>
        <v>744189</v>
      </c>
      <c r="N321" s="35">
        <f t="shared" si="85"/>
        <v>247224</v>
      </c>
      <c r="O321" s="35">
        <f t="shared" si="86"/>
        <v>1007093</v>
      </c>
      <c r="P321" s="34">
        <f t="shared" si="82"/>
        <v>17200417</v>
      </c>
      <c r="Q321" s="34">
        <f t="shared" si="83"/>
        <v>8106513.5</v>
      </c>
      <c r="R321" s="34">
        <f t="shared" si="84"/>
        <v>25905050.73</v>
      </c>
      <c r="S321" s="49"/>
      <c r="T321" s="32"/>
      <c r="U321" s="32"/>
      <c r="V321" s="32"/>
    </row>
    <row r="322" spans="1:22" ht="15" customHeight="1" x14ac:dyDescent="0.15">
      <c r="A322" s="20">
        <v>41226</v>
      </c>
      <c r="B322" s="20" t="s">
        <v>37</v>
      </c>
      <c r="C322" s="21">
        <v>70177</v>
      </c>
      <c r="D322" s="7">
        <v>15711</v>
      </c>
      <c r="E322" s="7">
        <v>87148</v>
      </c>
      <c r="F322" s="22">
        <v>4421</v>
      </c>
      <c r="G322" s="23">
        <v>2861</v>
      </c>
      <c r="H322" s="24"/>
      <c r="I322" s="36"/>
      <c r="J322" s="8">
        <f t="shared" si="87"/>
        <v>71437</v>
      </c>
      <c r="K322" s="37">
        <f t="shared" si="88"/>
        <v>467</v>
      </c>
      <c r="L322" s="37">
        <v>793</v>
      </c>
      <c r="M322" s="38">
        <f t="shared" si="80"/>
        <v>814366</v>
      </c>
      <c r="N322" s="39">
        <f t="shared" si="85"/>
        <v>262935</v>
      </c>
      <c r="O322" s="39">
        <f t="shared" si="86"/>
        <v>1094241</v>
      </c>
      <c r="P322" s="40">
        <f t="shared" si="82"/>
        <v>17270594</v>
      </c>
      <c r="Q322" s="40">
        <f t="shared" si="83"/>
        <v>8122224.5</v>
      </c>
      <c r="R322" s="40">
        <f t="shared" si="84"/>
        <v>25992198.73</v>
      </c>
      <c r="S322" s="50">
        <v>148.1728</v>
      </c>
      <c r="T322" s="50">
        <f>P322/10000-S322</f>
        <v>1578.8866</v>
      </c>
      <c r="U322" s="37"/>
      <c r="V322" s="55">
        <f>(T322-4.919-1.126-6.45)/3537.5*10000</f>
        <v>4427.9621201413429</v>
      </c>
    </row>
    <row r="323" spans="1:22" ht="15" customHeight="1" x14ac:dyDescent="0.15">
      <c r="A323" s="20">
        <v>41227</v>
      </c>
      <c r="B323" s="20" t="s">
        <v>38</v>
      </c>
      <c r="C323" s="21">
        <v>70684</v>
      </c>
      <c r="D323" s="7">
        <v>15946</v>
      </c>
      <c r="E323" s="7">
        <v>87886</v>
      </c>
      <c r="F323" s="22">
        <v>4462</v>
      </c>
      <c r="G323" s="23">
        <v>2911</v>
      </c>
      <c r="H323" s="24"/>
      <c r="I323" s="36"/>
      <c r="J323" s="8">
        <f t="shared" si="87"/>
        <v>71940</v>
      </c>
      <c r="K323" s="37">
        <f t="shared" si="88"/>
        <v>463</v>
      </c>
      <c r="L323" s="37">
        <v>793</v>
      </c>
      <c r="M323" s="38">
        <f t="shared" si="80"/>
        <v>885050</v>
      </c>
      <c r="N323" s="39">
        <f t="shared" si="85"/>
        <v>278881</v>
      </c>
      <c r="O323" s="39">
        <f t="shared" si="86"/>
        <v>1182127</v>
      </c>
      <c r="P323" s="40">
        <f t="shared" si="82"/>
        <v>17341278</v>
      </c>
      <c r="Q323" s="40">
        <f t="shared" si="83"/>
        <v>8138170.5</v>
      </c>
      <c r="R323" s="40">
        <f t="shared" si="84"/>
        <v>26080084.73</v>
      </c>
      <c r="S323" s="50"/>
      <c r="T323" s="37"/>
      <c r="U323" s="37"/>
      <c r="V323" s="8"/>
    </row>
    <row r="324" spans="1:22" ht="15" customHeight="1" x14ac:dyDescent="0.15">
      <c r="A324" s="20">
        <v>41228</v>
      </c>
      <c r="B324" s="20" t="s">
        <v>39</v>
      </c>
      <c r="C324" s="21">
        <v>68986</v>
      </c>
      <c r="D324" s="7">
        <v>15873</v>
      </c>
      <c r="E324" s="7">
        <v>85842</v>
      </c>
      <c r="F324" s="22">
        <v>4369</v>
      </c>
      <c r="G324" s="23">
        <v>2882</v>
      </c>
      <c r="H324" s="24"/>
      <c r="I324" s="36"/>
      <c r="J324" s="8">
        <f t="shared" si="87"/>
        <v>69969</v>
      </c>
      <c r="K324" s="37">
        <f t="shared" si="88"/>
        <v>190</v>
      </c>
      <c r="L324" s="37">
        <v>793</v>
      </c>
      <c r="M324" s="38">
        <f t="shared" si="80"/>
        <v>954036</v>
      </c>
      <c r="N324" s="39">
        <f t="shared" si="85"/>
        <v>294754</v>
      </c>
      <c r="O324" s="39">
        <f t="shared" si="86"/>
        <v>1267969</v>
      </c>
      <c r="P324" s="40">
        <f t="shared" si="82"/>
        <v>17410264</v>
      </c>
      <c r="Q324" s="40">
        <f t="shared" si="83"/>
        <v>8154043.5</v>
      </c>
      <c r="R324" s="40">
        <f t="shared" si="84"/>
        <v>26165926.73</v>
      </c>
      <c r="S324" s="50"/>
      <c r="T324" s="37"/>
      <c r="U324" s="37"/>
      <c r="V324" s="8"/>
    </row>
    <row r="325" spans="1:22" ht="15" customHeight="1" x14ac:dyDescent="0.15">
      <c r="A325" s="20">
        <v>41229</v>
      </c>
      <c r="B325" s="20" t="s">
        <v>1</v>
      </c>
      <c r="C325" s="21">
        <v>65256</v>
      </c>
      <c r="D325" s="7">
        <v>15612</v>
      </c>
      <c r="E325" s="7">
        <v>81781</v>
      </c>
      <c r="F325" s="22">
        <v>4054</v>
      </c>
      <c r="G325" s="23">
        <v>2798</v>
      </c>
      <c r="H325" s="24"/>
      <c r="I325" s="36"/>
      <c r="J325" s="8">
        <f t="shared" si="87"/>
        <v>66169</v>
      </c>
      <c r="K325" s="37">
        <f t="shared" si="88"/>
        <v>120</v>
      </c>
      <c r="L325" s="37">
        <v>793</v>
      </c>
      <c r="M325" s="38">
        <f t="shared" si="80"/>
        <v>1019292</v>
      </c>
      <c r="N325" s="39">
        <f t="shared" si="85"/>
        <v>310366</v>
      </c>
      <c r="O325" s="39">
        <f t="shared" si="86"/>
        <v>1349750</v>
      </c>
      <c r="P325" s="40">
        <f t="shared" si="82"/>
        <v>17475520</v>
      </c>
      <c r="Q325" s="40">
        <f t="shared" si="83"/>
        <v>8169655.5</v>
      </c>
      <c r="R325" s="40">
        <f t="shared" si="84"/>
        <v>26247707.73</v>
      </c>
      <c r="S325" s="50"/>
      <c r="T325" s="37"/>
      <c r="U325" s="37"/>
      <c r="V325" s="8"/>
    </row>
    <row r="326" spans="1:22" ht="15" customHeight="1" x14ac:dyDescent="0.15">
      <c r="A326" s="20">
        <v>41230</v>
      </c>
      <c r="B326" s="20" t="s">
        <v>34</v>
      </c>
      <c r="C326" s="21">
        <v>68446</v>
      </c>
      <c r="D326" s="7">
        <v>15766</v>
      </c>
      <c r="E326" s="7">
        <v>85454</v>
      </c>
      <c r="F326" s="22">
        <v>4409</v>
      </c>
      <c r="G326" s="23">
        <v>2657</v>
      </c>
      <c r="H326" s="24"/>
      <c r="I326" s="36"/>
      <c r="J326" s="8">
        <f t="shared" si="87"/>
        <v>69688</v>
      </c>
      <c r="K326" s="37">
        <f t="shared" si="88"/>
        <v>449</v>
      </c>
      <c r="L326" s="37">
        <v>793</v>
      </c>
      <c r="M326" s="38">
        <f t="shared" si="80"/>
        <v>1087738</v>
      </c>
      <c r="N326" s="39">
        <f t="shared" si="85"/>
        <v>326132</v>
      </c>
      <c r="O326" s="39">
        <f t="shared" si="86"/>
        <v>1435204</v>
      </c>
      <c r="P326" s="40">
        <f t="shared" si="82"/>
        <v>17543966</v>
      </c>
      <c r="Q326" s="40">
        <f t="shared" si="83"/>
        <v>8185421.5</v>
      </c>
      <c r="R326" s="40">
        <f t="shared" si="84"/>
        <v>26333161.73</v>
      </c>
      <c r="S326" s="50"/>
      <c r="T326" s="37"/>
      <c r="U326" s="37"/>
      <c r="V326" s="8"/>
    </row>
    <row r="327" spans="1:22" ht="15" customHeight="1" x14ac:dyDescent="0.15">
      <c r="A327" s="20">
        <v>41231</v>
      </c>
      <c r="B327" s="20" t="s">
        <v>35</v>
      </c>
      <c r="C327" s="21">
        <v>68989</v>
      </c>
      <c r="D327" s="7">
        <v>17773</v>
      </c>
      <c r="E327" s="7">
        <v>87765</v>
      </c>
      <c r="F327" s="22">
        <v>4440</v>
      </c>
      <c r="G327" s="23">
        <v>2848</v>
      </c>
      <c r="H327" s="24"/>
      <c r="I327" s="36"/>
      <c r="J327" s="8">
        <f t="shared" si="87"/>
        <v>69992</v>
      </c>
      <c r="K327" s="37">
        <f t="shared" si="88"/>
        <v>210</v>
      </c>
      <c r="L327" s="37">
        <v>793</v>
      </c>
      <c r="M327" s="38">
        <f t="shared" si="80"/>
        <v>1156727</v>
      </c>
      <c r="N327" s="39">
        <f t="shared" si="85"/>
        <v>343905</v>
      </c>
      <c r="O327" s="39">
        <f t="shared" si="86"/>
        <v>1522969</v>
      </c>
      <c r="P327" s="40">
        <f t="shared" si="82"/>
        <v>17612955</v>
      </c>
      <c r="Q327" s="40">
        <f t="shared" si="83"/>
        <v>8203194.5</v>
      </c>
      <c r="R327" s="40">
        <f t="shared" si="84"/>
        <v>26420926.73</v>
      </c>
      <c r="S327" s="50"/>
      <c r="T327" s="37"/>
      <c r="U327" s="37"/>
      <c r="V327" s="8"/>
    </row>
    <row r="328" spans="1:22" ht="15" customHeight="1" x14ac:dyDescent="0.15">
      <c r="A328" s="14">
        <v>41232</v>
      </c>
      <c r="B328" s="14" t="s">
        <v>36</v>
      </c>
      <c r="C328" s="15">
        <v>71083</v>
      </c>
      <c r="D328" s="16">
        <v>16454</v>
      </c>
      <c r="E328" s="16">
        <v>88815</v>
      </c>
      <c r="F328" s="17">
        <v>4524</v>
      </c>
      <c r="G328" s="18">
        <v>2891</v>
      </c>
      <c r="H328" s="19"/>
      <c r="I328" s="19"/>
      <c r="J328" s="32">
        <f t="shared" si="87"/>
        <v>72361</v>
      </c>
      <c r="K328" s="33">
        <f t="shared" si="88"/>
        <v>485</v>
      </c>
      <c r="L328" s="33">
        <v>793</v>
      </c>
      <c r="M328" s="34">
        <f t="shared" si="80"/>
        <v>1227810</v>
      </c>
      <c r="N328" s="35">
        <f t="shared" si="85"/>
        <v>360359</v>
      </c>
      <c r="O328" s="35">
        <f t="shared" si="86"/>
        <v>1611784</v>
      </c>
      <c r="P328" s="34">
        <f t="shared" si="82"/>
        <v>17684038</v>
      </c>
      <c r="Q328" s="34">
        <f t="shared" si="83"/>
        <v>8219648.5</v>
      </c>
      <c r="R328" s="34">
        <f t="shared" si="84"/>
        <v>26509741.73</v>
      </c>
      <c r="S328" s="49"/>
      <c r="T328" s="32"/>
      <c r="U328" s="32"/>
      <c r="V328" s="32"/>
    </row>
    <row r="329" spans="1:22" ht="15" customHeight="1" x14ac:dyDescent="0.15">
      <c r="A329" s="20">
        <v>41233</v>
      </c>
      <c r="B329" s="20" t="s">
        <v>37</v>
      </c>
      <c r="C329" s="21">
        <v>67933</v>
      </c>
      <c r="D329" s="7">
        <v>18525</v>
      </c>
      <c r="E329" s="7">
        <v>87497</v>
      </c>
      <c r="F329" s="22">
        <v>4500</v>
      </c>
      <c r="G329" s="23">
        <v>2900</v>
      </c>
      <c r="H329" s="24"/>
      <c r="I329" s="36"/>
      <c r="J329" s="8">
        <f t="shared" si="87"/>
        <v>68972</v>
      </c>
      <c r="K329" s="37">
        <f t="shared" si="88"/>
        <v>247</v>
      </c>
      <c r="L329" s="37">
        <v>792</v>
      </c>
      <c r="M329" s="38">
        <f t="shared" si="80"/>
        <v>1295743</v>
      </c>
      <c r="N329" s="39">
        <f t="shared" si="85"/>
        <v>378884</v>
      </c>
      <c r="O329" s="39">
        <f t="shared" si="86"/>
        <v>1699281</v>
      </c>
      <c r="P329" s="40">
        <v>17751971</v>
      </c>
      <c r="Q329" s="40">
        <f t="shared" si="83"/>
        <v>8238173.5</v>
      </c>
      <c r="R329" s="40">
        <f t="shared" si="84"/>
        <v>26597238.73</v>
      </c>
      <c r="S329" s="50">
        <v>151.7329</v>
      </c>
      <c r="T329" s="50">
        <f>P329/10000-S329</f>
        <v>1623.4642000000001</v>
      </c>
      <c r="U329" s="37"/>
      <c r="V329" s="56">
        <f>(T329-4.919-1.126-6.45)/3542.3*10000</f>
        <v>4547.8056629873245</v>
      </c>
    </row>
    <row r="330" spans="1:22" ht="15" customHeight="1" x14ac:dyDescent="0.15">
      <c r="A330" s="20">
        <v>41234</v>
      </c>
      <c r="B330" s="20" t="s">
        <v>38</v>
      </c>
      <c r="C330" s="21">
        <v>66357</v>
      </c>
      <c r="D330" s="7">
        <v>20324</v>
      </c>
      <c r="E330" s="7">
        <v>87594</v>
      </c>
      <c r="F330" s="22">
        <v>4435</v>
      </c>
      <c r="G330" s="23">
        <v>2902</v>
      </c>
      <c r="H330" s="24"/>
      <c r="I330" s="36"/>
      <c r="J330" s="8">
        <f t="shared" si="87"/>
        <v>67270</v>
      </c>
      <c r="K330" s="37">
        <f t="shared" si="88"/>
        <v>121</v>
      </c>
      <c r="L330" s="37">
        <v>792</v>
      </c>
      <c r="M330" s="38">
        <f t="shared" si="80"/>
        <v>1362100</v>
      </c>
      <c r="N330" s="39">
        <f t="shared" si="85"/>
        <v>399208</v>
      </c>
      <c r="O330" s="39">
        <f t="shared" si="86"/>
        <v>1786875</v>
      </c>
      <c r="P330" s="40">
        <f t="shared" si="82"/>
        <v>17818328</v>
      </c>
      <c r="Q330" s="40">
        <f t="shared" si="83"/>
        <v>8258497.5</v>
      </c>
      <c r="R330" s="40">
        <f t="shared" si="84"/>
        <v>26684832.73</v>
      </c>
      <c r="S330" s="50"/>
      <c r="T330" s="37"/>
      <c r="U330" s="37"/>
      <c r="V330" s="8"/>
    </row>
    <row r="331" spans="1:22" ht="15" customHeight="1" x14ac:dyDescent="0.15">
      <c r="A331" s="20">
        <v>41235</v>
      </c>
      <c r="B331" s="20" t="s">
        <v>39</v>
      </c>
      <c r="C331" s="21">
        <v>62816</v>
      </c>
      <c r="D331" s="7">
        <v>21806</v>
      </c>
      <c r="E331" s="7">
        <v>85762</v>
      </c>
      <c r="F331" s="22">
        <v>4362</v>
      </c>
      <c r="G331" s="23">
        <v>2899</v>
      </c>
      <c r="H331" s="24"/>
      <c r="I331" s="36"/>
      <c r="J331" s="8">
        <f t="shared" si="87"/>
        <v>63956</v>
      </c>
      <c r="K331" s="37">
        <f t="shared" si="88"/>
        <v>347</v>
      </c>
      <c r="L331" s="37">
        <v>793</v>
      </c>
      <c r="M331" s="38">
        <f t="shared" si="80"/>
        <v>1424916</v>
      </c>
      <c r="N331" s="39">
        <f t="shared" si="85"/>
        <v>421014</v>
      </c>
      <c r="O331" s="39">
        <f t="shared" si="86"/>
        <v>1872637</v>
      </c>
      <c r="P331" s="40">
        <f t="shared" si="82"/>
        <v>17881144</v>
      </c>
      <c r="Q331" s="40">
        <f t="shared" si="83"/>
        <v>8280303.5</v>
      </c>
      <c r="R331" s="40">
        <f t="shared" si="84"/>
        <v>26770594.73</v>
      </c>
      <c r="S331" s="50"/>
      <c r="T331" s="37"/>
      <c r="U331" s="37"/>
      <c r="V331" s="8"/>
    </row>
    <row r="332" spans="1:22" ht="15" customHeight="1" x14ac:dyDescent="0.15">
      <c r="A332" s="20">
        <v>41236</v>
      </c>
      <c r="B332" s="20" t="s">
        <v>1</v>
      </c>
      <c r="C332" s="21">
        <v>58371</v>
      </c>
      <c r="D332" s="7">
        <v>21585</v>
      </c>
      <c r="E332" s="7">
        <v>80997</v>
      </c>
      <c r="F332" s="22">
        <v>4053</v>
      </c>
      <c r="G332" s="23">
        <v>2823</v>
      </c>
      <c r="H332" s="24"/>
      <c r="I332" s="36"/>
      <c r="J332" s="8">
        <f t="shared" si="87"/>
        <v>59412</v>
      </c>
      <c r="K332" s="37">
        <f t="shared" si="88"/>
        <v>248</v>
      </c>
      <c r="L332" s="37">
        <v>793</v>
      </c>
      <c r="M332" s="38">
        <f t="shared" si="80"/>
        <v>1483287</v>
      </c>
      <c r="N332" s="39">
        <f t="shared" si="85"/>
        <v>442599</v>
      </c>
      <c r="O332" s="39">
        <f t="shared" si="86"/>
        <v>1953634</v>
      </c>
      <c r="P332" s="40">
        <f t="shared" si="82"/>
        <v>17939515</v>
      </c>
      <c r="Q332" s="40">
        <f t="shared" si="83"/>
        <v>8301888.5</v>
      </c>
      <c r="R332" s="40">
        <f t="shared" si="84"/>
        <v>26851591.73</v>
      </c>
      <c r="S332" s="50"/>
      <c r="T332" s="37"/>
      <c r="U332" s="37"/>
      <c r="V332" s="8"/>
    </row>
    <row r="333" spans="1:22" ht="15" customHeight="1" x14ac:dyDescent="0.15">
      <c r="A333" s="20">
        <v>41237</v>
      </c>
      <c r="B333" s="20" t="s">
        <v>34</v>
      </c>
      <c r="C333" s="21">
        <v>61953</v>
      </c>
      <c r="D333" s="7">
        <v>21625</v>
      </c>
      <c r="E333" s="7">
        <v>84559</v>
      </c>
      <c r="F333" s="22">
        <v>4315</v>
      </c>
      <c r="G333" s="23">
        <v>2651</v>
      </c>
      <c r="H333" s="24"/>
      <c r="I333" s="36"/>
      <c r="J333" s="8">
        <f t="shared" si="87"/>
        <v>62934</v>
      </c>
      <c r="K333" s="37">
        <f t="shared" si="88"/>
        <v>188</v>
      </c>
      <c r="L333" s="37">
        <v>793</v>
      </c>
      <c r="M333" s="38">
        <f t="shared" si="80"/>
        <v>1545240</v>
      </c>
      <c r="N333" s="39">
        <f t="shared" si="85"/>
        <v>464224</v>
      </c>
      <c r="O333" s="39">
        <f t="shared" si="86"/>
        <v>2038193</v>
      </c>
      <c r="P333" s="40">
        <f t="shared" si="82"/>
        <v>18001468</v>
      </c>
      <c r="Q333" s="40">
        <f t="shared" si="83"/>
        <v>8323513.5</v>
      </c>
      <c r="R333" s="40">
        <f t="shared" si="84"/>
        <v>26936150.73</v>
      </c>
      <c r="S333" s="50"/>
      <c r="T333" s="37"/>
      <c r="U333" s="37"/>
      <c r="V333" s="8"/>
    </row>
    <row r="334" spans="1:22" ht="15" customHeight="1" x14ac:dyDescent="0.15">
      <c r="A334" s="20">
        <v>41238</v>
      </c>
      <c r="B334" s="20" t="s">
        <v>35</v>
      </c>
      <c r="C334" s="21">
        <v>62907</v>
      </c>
      <c r="D334" s="7">
        <v>19792</v>
      </c>
      <c r="E334" s="7">
        <v>83819</v>
      </c>
      <c r="F334" s="22">
        <v>4460</v>
      </c>
      <c r="G334" s="23">
        <v>2759</v>
      </c>
      <c r="H334" s="24">
        <v>1167</v>
      </c>
      <c r="I334" s="36">
        <v>695</v>
      </c>
      <c r="J334" s="8">
        <f t="shared" si="87"/>
        <v>64027</v>
      </c>
      <c r="K334" s="37">
        <f t="shared" si="88"/>
        <v>328</v>
      </c>
      <c r="L334" s="37">
        <v>792</v>
      </c>
      <c r="M334" s="38">
        <f t="shared" si="80"/>
        <v>1608147</v>
      </c>
      <c r="N334" s="39">
        <f t="shared" si="85"/>
        <v>484016</v>
      </c>
      <c r="O334" s="39">
        <f t="shared" si="86"/>
        <v>2122012</v>
      </c>
      <c r="P334" s="40">
        <f t="shared" si="82"/>
        <v>18064375</v>
      </c>
      <c r="Q334" s="40">
        <f t="shared" si="83"/>
        <v>8343305.5</v>
      </c>
      <c r="R334" s="40">
        <f t="shared" si="84"/>
        <v>27019969.73</v>
      </c>
      <c r="S334" s="50"/>
      <c r="T334" s="37"/>
      <c r="U334" s="37"/>
      <c r="V334" s="8"/>
    </row>
    <row r="335" spans="1:22" ht="15" customHeight="1" x14ac:dyDescent="0.15">
      <c r="A335" s="14">
        <v>41239</v>
      </c>
      <c r="B335" s="14" t="s">
        <v>36</v>
      </c>
      <c r="C335" s="15">
        <v>64750</v>
      </c>
      <c r="D335" s="16">
        <v>20297</v>
      </c>
      <c r="E335" s="16">
        <v>86072</v>
      </c>
      <c r="F335" s="17">
        <v>4420</v>
      </c>
      <c r="G335" s="18">
        <v>2799</v>
      </c>
      <c r="H335" s="19"/>
      <c r="I335" s="19"/>
      <c r="J335" s="32">
        <f t="shared" si="87"/>
        <v>65775</v>
      </c>
      <c r="K335" s="33">
        <f t="shared" si="88"/>
        <v>233</v>
      </c>
      <c r="L335" s="33">
        <v>792</v>
      </c>
      <c r="M335" s="34">
        <f t="shared" si="80"/>
        <v>1672897</v>
      </c>
      <c r="N335" s="35">
        <f t="shared" si="85"/>
        <v>504313</v>
      </c>
      <c r="O335" s="35">
        <f t="shared" si="86"/>
        <v>2208084</v>
      </c>
      <c r="P335" s="34">
        <f t="shared" si="82"/>
        <v>18129125</v>
      </c>
      <c r="Q335" s="34">
        <f t="shared" si="83"/>
        <v>8363602.5</v>
      </c>
      <c r="R335" s="34">
        <f t="shared" si="84"/>
        <v>27106041.73</v>
      </c>
      <c r="S335" s="49"/>
      <c r="T335" s="32"/>
      <c r="U335" s="32"/>
      <c r="V335" s="32"/>
    </row>
    <row r="336" spans="1:22" ht="15" customHeight="1" x14ac:dyDescent="0.15">
      <c r="A336" s="20">
        <v>41240</v>
      </c>
      <c r="B336" s="20" t="s">
        <v>37</v>
      </c>
      <c r="C336" s="21">
        <v>63675</v>
      </c>
      <c r="D336" s="7">
        <v>21513</v>
      </c>
      <c r="E336" s="7">
        <v>86077</v>
      </c>
      <c r="F336" s="22">
        <v>4386</v>
      </c>
      <c r="G336" s="23">
        <v>2883</v>
      </c>
      <c r="H336" s="24"/>
      <c r="I336" s="36"/>
      <c r="J336" s="8">
        <f t="shared" si="87"/>
        <v>64564</v>
      </c>
      <c r="K336" s="37">
        <f t="shared" si="88"/>
        <v>97</v>
      </c>
      <c r="L336" s="37">
        <v>792</v>
      </c>
      <c r="M336" s="38">
        <f t="shared" si="80"/>
        <v>1736572</v>
      </c>
      <c r="N336" s="39">
        <f t="shared" si="85"/>
        <v>525826</v>
      </c>
      <c r="O336" s="39">
        <f t="shared" si="86"/>
        <v>2294161</v>
      </c>
      <c r="P336" s="40">
        <f t="shared" si="82"/>
        <v>18192800</v>
      </c>
      <c r="Q336" s="40">
        <f t="shared" si="83"/>
        <v>8385115.5</v>
      </c>
      <c r="R336" s="40">
        <f t="shared" si="84"/>
        <v>27192118.73</v>
      </c>
      <c r="S336" s="50">
        <v>155.2329</v>
      </c>
      <c r="T336" s="50">
        <f>P336/10000-S336</f>
        <v>1664.0471</v>
      </c>
      <c r="U336" s="37"/>
      <c r="V336" s="55">
        <f>(T336-4.919-1.126-6.45-0.52)/3547*10000</f>
        <v>4654.7282210318572</v>
      </c>
    </row>
    <row r="337" spans="1:22" ht="15" customHeight="1" x14ac:dyDescent="0.15">
      <c r="A337" s="20">
        <v>41241</v>
      </c>
      <c r="B337" s="20" t="s">
        <v>38</v>
      </c>
      <c r="C337" s="21">
        <v>63759</v>
      </c>
      <c r="D337" s="7">
        <v>21101</v>
      </c>
      <c r="E337" s="7">
        <v>85888</v>
      </c>
      <c r="F337" s="22">
        <v>4346</v>
      </c>
      <c r="G337" s="23">
        <v>2811</v>
      </c>
      <c r="H337" s="24"/>
      <c r="I337" s="36"/>
      <c r="J337" s="8">
        <f t="shared" si="87"/>
        <v>64787</v>
      </c>
      <c r="K337" s="37">
        <f t="shared" si="88"/>
        <v>236</v>
      </c>
      <c r="L337" s="37">
        <v>792</v>
      </c>
      <c r="M337" s="38">
        <f t="shared" si="80"/>
        <v>1800331</v>
      </c>
      <c r="N337" s="39">
        <f t="shared" si="85"/>
        <v>546927</v>
      </c>
      <c r="O337" s="39">
        <f t="shared" si="86"/>
        <v>2380049</v>
      </c>
      <c r="P337" s="40">
        <f t="shared" si="82"/>
        <v>18256559</v>
      </c>
      <c r="Q337" s="40">
        <f t="shared" si="83"/>
        <v>8406216.5</v>
      </c>
      <c r="R337" s="40">
        <f t="shared" si="84"/>
        <v>27278006.73</v>
      </c>
      <c r="S337" s="50"/>
      <c r="T337" s="37"/>
      <c r="U337" s="37"/>
      <c r="V337" s="8"/>
    </row>
    <row r="338" spans="1:22" ht="15" customHeight="1" x14ac:dyDescent="0.15">
      <c r="A338" s="20">
        <v>41242</v>
      </c>
      <c r="B338" s="20" t="s">
        <v>39</v>
      </c>
      <c r="C338" s="21">
        <v>63077</v>
      </c>
      <c r="D338" s="7">
        <v>21926</v>
      </c>
      <c r="E338" s="7">
        <v>86090</v>
      </c>
      <c r="F338" s="22">
        <v>4253</v>
      </c>
      <c r="G338" s="23">
        <v>2797</v>
      </c>
      <c r="H338" s="24"/>
      <c r="I338" s="36"/>
      <c r="J338" s="8">
        <f t="shared" si="87"/>
        <v>64164</v>
      </c>
      <c r="K338" s="37">
        <f t="shared" si="88"/>
        <v>295</v>
      </c>
      <c r="L338" s="37">
        <v>792</v>
      </c>
      <c r="M338" s="38">
        <f t="shared" si="80"/>
        <v>1863408</v>
      </c>
      <c r="N338" s="39">
        <f t="shared" si="85"/>
        <v>568853</v>
      </c>
      <c r="O338" s="39">
        <f t="shared" si="86"/>
        <v>2466139</v>
      </c>
      <c r="P338" s="40">
        <f t="shared" si="82"/>
        <v>18319636</v>
      </c>
      <c r="Q338" s="40">
        <f t="shared" si="83"/>
        <v>8428142.5</v>
      </c>
      <c r="R338" s="40">
        <f t="shared" si="84"/>
        <v>27364096.73</v>
      </c>
      <c r="S338" s="50"/>
      <c r="T338" s="37"/>
      <c r="U338" s="37"/>
      <c r="V338" s="8"/>
    </row>
    <row r="339" spans="1:22" s="1" customFormat="1" ht="15" customHeight="1" x14ac:dyDescent="0.15">
      <c r="A339" s="25">
        <v>41243</v>
      </c>
      <c r="B339" s="25" t="s">
        <v>1</v>
      </c>
      <c r="C339" s="26">
        <v>56971</v>
      </c>
      <c r="D339" s="27">
        <v>20632</v>
      </c>
      <c r="E339" s="27">
        <v>78481</v>
      </c>
      <c r="F339" s="28">
        <v>3887</v>
      </c>
      <c r="G339" s="29">
        <v>2673</v>
      </c>
      <c r="H339" s="30"/>
      <c r="I339" s="30"/>
      <c r="J339" s="42">
        <f t="shared" si="87"/>
        <v>57849</v>
      </c>
      <c r="K339" s="43">
        <f t="shared" si="88"/>
        <v>86</v>
      </c>
      <c r="L339" s="43">
        <v>792</v>
      </c>
      <c r="M339" s="44">
        <v>1920379</v>
      </c>
      <c r="N339" s="46">
        <v>589485</v>
      </c>
      <c r="O339" s="46">
        <v>2544620</v>
      </c>
      <c r="P339" s="44">
        <f t="shared" si="82"/>
        <v>18376607</v>
      </c>
      <c r="Q339" s="44">
        <f t="shared" si="83"/>
        <v>8448774.5</v>
      </c>
      <c r="R339" s="44">
        <f t="shared" si="84"/>
        <v>27442577.73</v>
      </c>
      <c r="S339" s="52">
        <v>156.94565</v>
      </c>
      <c r="T339" s="52">
        <f>P339/10000-S339</f>
        <v>1680.7150499999998</v>
      </c>
      <c r="U339" s="43"/>
      <c r="V339" s="57">
        <f>(T339-4.919-1.126-6.45-0.86)/3548.8*10000</f>
        <v>4698.3770570333627</v>
      </c>
    </row>
    <row r="340" spans="1:22" ht="15" customHeight="1" x14ac:dyDescent="0.15">
      <c r="A340" s="20">
        <v>41244</v>
      </c>
      <c r="B340" s="20" t="s">
        <v>34</v>
      </c>
      <c r="C340" s="21">
        <v>56773</v>
      </c>
      <c r="D340" s="7">
        <v>23754</v>
      </c>
      <c r="E340" s="7">
        <v>81538</v>
      </c>
      <c r="F340" s="22">
        <v>4133</v>
      </c>
      <c r="G340" s="23">
        <v>2476</v>
      </c>
      <c r="H340" s="24"/>
      <c r="I340" s="36"/>
      <c r="J340" s="8">
        <f t="shared" si="87"/>
        <v>57784</v>
      </c>
      <c r="K340" s="37">
        <f t="shared" si="88"/>
        <v>218</v>
      </c>
      <c r="L340" s="37">
        <v>793</v>
      </c>
      <c r="M340" s="38">
        <f>C340</f>
        <v>56773</v>
      </c>
      <c r="N340" s="39">
        <f>D340</f>
        <v>23754</v>
      </c>
      <c r="O340" s="39">
        <f>E340</f>
        <v>81538</v>
      </c>
      <c r="P340" s="40">
        <f>P$339+M340</f>
        <v>18433380</v>
      </c>
      <c r="Q340" s="40">
        <f>Q$339+N340</f>
        <v>8472528.5</v>
      </c>
      <c r="R340" s="40">
        <f>R$339+O340</f>
        <v>27524115.73</v>
      </c>
      <c r="S340" s="50"/>
      <c r="T340" s="37"/>
      <c r="U340" s="37"/>
      <c r="V340" s="8">
        <v>471</v>
      </c>
    </row>
    <row r="341" spans="1:22" ht="15" customHeight="1" x14ac:dyDescent="0.15">
      <c r="A341" s="20">
        <v>41245</v>
      </c>
      <c r="B341" s="20" t="s">
        <v>35</v>
      </c>
      <c r="C341" s="21">
        <v>63694</v>
      </c>
      <c r="D341" s="7">
        <v>22514</v>
      </c>
      <c r="E341" s="7">
        <v>87338</v>
      </c>
      <c r="F341" s="22">
        <v>4456.5</v>
      </c>
      <c r="G341" s="23">
        <v>2775.7</v>
      </c>
      <c r="H341" s="24"/>
      <c r="I341" s="36"/>
      <c r="J341" s="8">
        <f t="shared" si="87"/>
        <v>64824</v>
      </c>
      <c r="K341" s="37">
        <f t="shared" si="88"/>
        <v>337</v>
      </c>
      <c r="L341" s="37">
        <v>793</v>
      </c>
      <c r="M341" s="38">
        <f t="shared" ref="M341:M370" si="89">M340+C341</f>
        <v>120467</v>
      </c>
      <c r="N341" s="39">
        <f t="shared" ref="N341:O348" si="90">N340+D341</f>
        <v>46268</v>
      </c>
      <c r="O341" s="39">
        <f t="shared" si="90"/>
        <v>168876</v>
      </c>
      <c r="P341" s="40">
        <f t="shared" ref="P341:P370" si="91">P$339+M341</f>
        <v>18497074</v>
      </c>
      <c r="Q341" s="40">
        <f t="shared" ref="Q341:Q370" si="92">Q$339+N341</f>
        <v>8495042.5</v>
      </c>
      <c r="R341" s="40">
        <f t="shared" ref="R341:R370" si="93">R$339+O341</f>
        <v>27611453.73</v>
      </c>
      <c r="S341" s="50"/>
      <c r="T341" s="37"/>
      <c r="U341" s="37"/>
      <c r="V341" s="8"/>
    </row>
    <row r="342" spans="1:22" ht="15" customHeight="1" x14ac:dyDescent="0.15">
      <c r="A342" s="14">
        <v>41246</v>
      </c>
      <c r="B342" s="14" t="s">
        <v>36</v>
      </c>
      <c r="C342" s="15">
        <v>70301</v>
      </c>
      <c r="D342" s="16">
        <v>19175</v>
      </c>
      <c r="E342" s="16">
        <v>90825</v>
      </c>
      <c r="F342" s="17">
        <v>4640.2</v>
      </c>
      <c r="G342" s="18">
        <v>2906.3</v>
      </c>
      <c r="H342" s="19"/>
      <c r="I342" s="19"/>
      <c r="J342" s="32">
        <f t="shared" si="87"/>
        <v>71650</v>
      </c>
      <c r="K342" s="33">
        <f t="shared" si="88"/>
        <v>556</v>
      </c>
      <c r="L342" s="33">
        <v>793</v>
      </c>
      <c r="M342" s="34">
        <f t="shared" si="89"/>
        <v>190768</v>
      </c>
      <c r="N342" s="35">
        <f t="shared" si="90"/>
        <v>65443</v>
      </c>
      <c r="O342" s="35">
        <f t="shared" si="90"/>
        <v>259701</v>
      </c>
      <c r="P342" s="34">
        <f t="shared" si="91"/>
        <v>18567375</v>
      </c>
      <c r="Q342" s="34">
        <f t="shared" si="92"/>
        <v>8514217.5</v>
      </c>
      <c r="R342" s="34">
        <f t="shared" si="93"/>
        <v>27702278.73</v>
      </c>
      <c r="S342" s="49"/>
      <c r="T342" s="32"/>
      <c r="U342" s="32"/>
      <c r="V342" s="32"/>
    </row>
    <row r="343" spans="1:22" ht="15" customHeight="1" x14ac:dyDescent="0.15">
      <c r="A343" s="20">
        <v>41247</v>
      </c>
      <c r="B343" s="20" t="s">
        <v>37</v>
      </c>
      <c r="C343" s="21">
        <v>70735</v>
      </c>
      <c r="D343" s="7">
        <v>19595</v>
      </c>
      <c r="E343" s="7">
        <v>91896</v>
      </c>
      <c r="F343" s="22">
        <v>4691.2</v>
      </c>
      <c r="G343" s="23">
        <v>2915.8</v>
      </c>
      <c r="H343" s="24"/>
      <c r="I343" s="36"/>
      <c r="J343" s="8">
        <f t="shared" si="87"/>
        <v>72301</v>
      </c>
      <c r="K343" s="37">
        <f t="shared" si="88"/>
        <v>773</v>
      </c>
      <c r="L343" s="37">
        <v>793</v>
      </c>
      <c r="M343" s="38">
        <f t="shared" si="89"/>
        <v>261503</v>
      </c>
      <c r="N343" s="39">
        <f t="shared" si="90"/>
        <v>85038</v>
      </c>
      <c r="O343" s="39">
        <f t="shared" si="90"/>
        <v>351597</v>
      </c>
      <c r="P343" s="40">
        <f t="shared" si="91"/>
        <v>18638110</v>
      </c>
      <c r="Q343" s="40">
        <f t="shared" si="92"/>
        <v>8533812.5</v>
      </c>
      <c r="R343" s="40">
        <f t="shared" si="93"/>
        <v>27794174.73</v>
      </c>
      <c r="S343" s="50">
        <v>159.02565000000001</v>
      </c>
      <c r="T343" s="50">
        <f>P343/10000-S343</f>
        <v>1704.7853499999999</v>
      </c>
      <c r="U343" s="37"/>
      <c r="V343" s="55">
        <f>(T343-4.919-1.126-6.45-1.34)/3551.5*10000</f>
        <v>4761.2286357876947</v>
      </c>
    </row>
    <row r="344" spans="1:22" ht="15" customHeight="1" x14ac:dyDescent="0.15">
      <c r="A344" s="20">
        <v>41248</v>
      </c>
      <c r="B344" s="20" t="s">
        <v>38</v>
      </c>
      <c r="C344" s="21">
        <v>71082</v>
      </c>
      <c r="D344" s="7">
        <v>20313</v>
      </c>
      <c r="E344" s="7">
        <v>92397</v>
      </c>
      <c r="F344" s="22">
        <v>4716</v>
      </c>
      <c r="G344" s="23">
        <v>2972</v>
      </c>
      <c r="H344" s="24"/>
      <c r="I344" s="36"/>
      <c r="J344" s="8">
        <f t="shared" si="87"/>
        <v>72084</v>
      </c>
      <c r="K344" s="37">
        <f t="shared" si="88"/>
        <v>210</v>
      </c>
      <c r="L344" s="37">
        <v>792</v>
      </c>
      <c r="M344" s="38">
        <f t="shared" si="89"/>
        <v>332585</v>
      </c>
      <c r="N344" s="39">
        <f t="shared" si="90"/>
        <v>105351</v>
      </c>
      <c r="O344" s="39">
        <f t="shared" si="90"/>
        <v>443994</v>
      </c>
      <c r="P344" s="40">
        <f t="shared" si="91"/>
        <v>18709192</v>
      </c>
      <c r="Q344" s="40">
        <f t="shared" si="92"/>
        <v>8554125.5</v>
      </c>
      <c r="R344" s="40">
        <f t="shared" si="93"/>
        <v>27886571.73</v>
      </c>
      <c r="S344" s="50"/>
      <c r="T344" s="37"/>
      <c r="U344" s="37"/>
      <c r="V344" s="8"/>
    </row>
    <row r="345" spans="1:22" ht="15" customHeight="1" x14ac:dyDescent="0.15">
      <c r="A345" s="20">
        <v>41249</v>
      </c>
      <c r="B345" s="20" t="s">
        <v>39</v>
      </c>
      <c r="C345" s="21">
        <v>70233</v>
      </c>
      <c r="D345" s="7">
        <v>20309</v>
      </c>
      <c r="E345" s="7">
        <v>91692</v>
      </c>
      <c r="F345" s="22">
        <v>4643</v>
      </c>
      <c r="G345" s="23">
        <v>2999</v>
      </c>
      <c r="H345" s="24"/>
      <c r="I345" s="36"/>
      <c r="J345" s="8">
        <f t="shared" si="87"/>
        <v>71383</v>
      </c>
      <c r="K345" s="37">
        <f t="shared" si="88"/>
        <v>358</v>
      </c>
      <c r="L345" s="37">
        <v>792</v>
      </c>
      <c r="M345" s="38">
        <f t="shared" si="89"/>
        <v>402818</v>
      </c>
      <c r="N345" s="39">
        <f t="shared" si="90"/>
        <v>125660</v>
      </c>
      <c r="O345" s="39">
        <f t="shared" si="90"/>
        <v>535686</v>
      </c>
      <c r="P345" s="40">
        <f t="shared" si="91"/>
        <v>18779425</v>
      </c>
      <c r="Q345" s="40">
        <f t="shared" si="92"/>
        <v>8574434.5</v>
      </c>
      <c r="R345" s="40">
        <f t="shared" si="93"/>
        <v>27978263.73</v>
      </c>
      <c r="S345" s="50"/>
      <c r="T345" s="37"/>
      <c r="U345" s="37"/>
      <c r="V345" s="8"/>
    </row>
    <row r="346" spans="1:22" ht="15" customHeight="1" x14ac:dyDescent="0.15">
      <c r="A346" s="20">
        <v>41250</v>
      </c>
      <c r="B346" s="20" t="s">
        <v>1</v>
      </c>
      <c r="C346" s="21">
        <v>64494</v>
      </c>
      <c r="D346" s="7">
        <v>21189</v>
      </c>
      <c r="E346" s="7">
        <v>86897</v>
      </c>
      <c r="F346" s="22">
        <v>4331</v>
      </c>
      <c r="G346" s="23">
        <v>2951</v>
      </c>
      <c r="H346" s="24"/>
      <c r="I346" s="36"/>
      <c r="J346" s="8">
        <f t="shared" si="87"/>
        <v>65708</v>
      </c>
      <c r="K346" s="37">
        <f t="shared" si="88"/>
        <v>422</v>
      </c>
      <c r="L346" s="37">
        <v>792</v>
      </c>
      <c r="M346" s="38">
        <f t="shared" si="89"/>
        <v>467312</v>
      </c>
      <c r="N346" s="39">
        <f t="shared" si="90"/>
        <v>146849</v>
      </c>
      <c r="O346" s="39">
        <f t="shared" si="90"/>
        <v>622583</v>
      </c>
      <c r="P346" s="40">
        <f t="shared" si="91"/>
        <v>18843919</v>
      </c>
      <c r="Q346" s="40">
        <f t="shared" si="92"/>
        <v>8595623.5</v>
      </c>
      <c r="R346" s="40">
        <f t="shared" si="93"/>
        <v>28065160.73</v>
      </c>
      <c r="S346" s="50"/>
      <c r="T346" s="37"/>
      <c r="U346" s="37"/>
      <c r="V346" s="8"/>
    </row>
    <row r="347" spans="1:22" ht="15" customHeight="1" x14ac:dyDescent="0.15">
      <c r="A347" s="20">
        <v>41251</v>
      </c>
      <c r="B347" s="20" t="s">
        <v>34</v>
      </c>
      <c r="C347" s="21">
        <v>69210</v>
      </c>
      <c r="D347" s="7">
        <v>20575</v>
      </c>
      <c r="E347" s="7">
        <v>90956</v>
      </c>
      <c r="F347" s="22">
        <v>4119</v>
      </c>
      <c r="G347" s="23">
        <v>2772</v>
      </c>
      <c r="H347" s="24">
        <v>1080</v>
      </c>
      <c r="I347" s="36">
        <v>684</v>
      </c>
      <c r="J347" s="8">
        <f t="shared" si="87"/>
        <v>70381</v>
      </c>
      <c r="K347" s="37">
        <f t="shared" si="88"/>
        <v>379</v>
      </c>
      <c r="L347" s="37">
        <v>792</v>
      </c>
      <c r="M347" s="38">
        <f t="shared" si="89"/>
        <v>536522</v>
      </c>
      <c r="N347" s="39">
        <f t="shared" si="90"/>
        <v>167424</v>
      </c>
      <c r="O347" s="39">
        <f t="shared" si="90"/>
        <v>713539</v>
      </c>
      <c r="P347" s="40">
        <f t="shared" si="91"/>
        <v>18913129</v>
      </c>
      <c r="Q347" s="40">
        <f t="shared" si="92"/>
        <v>8616198.5</v>
      </c>
      <c r="R347" s="40">
        <f t="shared" si="93"/>
        <v>28156116.73</v>
      </c>
      <c r="S347" s="50"/>
      <c r="T347" s="37"/>
      <c r="U347" s="37"/>
      <c r="V347" s="8"/>
    </row>
    <row r="348" spans="1:22" ht="15" customHeight="1" x14ac:dyDescent="0.15">
      <c r="A348" s="20">
        <v>41252</v>
      </c>
      <c r="B348" s="20" t="s">
        <v>35</v>
      </c>
      <c r="C348" s="21">
        <v>72757</v>
      </c>
      <c r="D348" s="7">
        <v>19665</v>
      </c>
      <c r="E348" s="7">
        <v>93743</v>
      </c>
      <c r="F348" s="22">
        <v>4818</v>
      </c>
      <c r="G348" s="23">
        <v>2965</v>
      </c>
      <c r="H348" s="24">
        <v>1071</v>
      </c>
      <c r="I348" s="36">
        <v>672</v>
      </c>
      <c r="J348" s="8">
        <f t="shared" si="87"/>
        <v>74078</v>
      </c>
      <c r="K348" s="37">
        <f t="shared" si="88"/>
        <v>529</v>
      </c>
      <c r="L348" s="37">
        <v>792</v>
      </c>
      <c r="M348" s="38">
        <f t="shared" si="89"/>
        <v>609279</v>
      </c>
      <c r="N348" s="39">
        <f t="shared" si="90"/>
        <v>187089</v>
      </c>
      <c r="O348" s="39">
        <f t="shared" si="90"/>
        <v>807282</v>
      </c>
      <c r="P348" s="40">
        <f t="shared" si="91"/>
        <v>18985886</v>
      </c>
      <c r="Q348" s="40">
        <f t="shared" si="92"/>
        <v>8635863.5</v>
      </c>
      <c r="R348" s="40">
        <f t="shared" si="93"/>
        <v>28249859.73</v>
      </c>
      <c r="S348" s="50"/>
      <c r="T348" s="37"/>
      <c r="U348" s="37"/>
      <c r="V348" s="8"/>
    </row>
    <row r="349" spans="1:22" ht="15" customHeight="1" x14ac:dyDescent="0.15">
      <c r="A349" s="14">
        <v>41253</v>
      </c>
      <c r="B349" s="14" t="s">
        <v>36</v>
      </c>
      <c r="C349" s="15">
        <v>71980</v>
      </c>
      <c r="D349" s="16">
        <v>19450</v>
      </c>
      <c r="E349" s="16">
        <v>92862</v>
      </c>
      <c r="F349" s="17">
        <v>4797</v>
      </c>
      <c r="G349" s="18">
        <v>2933</v>
      </c>
      <c r="H349" s="19">
        <v>1223</v>
      </c>
      <c r="I349" s="19">
        <v>535</v>
      </c>
      <c r="J349" s="32">
        <f t="shared" si="87"/>
        <v>73412</v>
      </c>
      <c r="K349" s="33">
        <f t="shared" si="88"/>
        <v>640</v>
      </c>
      <c r="L349" s="33">
        <v>792</v>
      </c>
      <c r="M349" s="34">
        <v>681260</v>
      </c>
      <c r="N349" s="35">
        <v>206539</v>
      </c>
      <c r="O349" s="35">
        <v>900144</v>
      </c>
      <c r="P349" s="34">
        <f t="shared" si="91"/>
        <v>19057867</v>
      </c>
      <c r="Q349" s="34">
        <f t="shared" si="92"/>
        <v>8655313.5</v>
      </c>
      <c r="R349" s="34">
        <f t="shared" si="93"/>
        <v>28342721.73</v>
      </c>
      <c r="S349" s="49">
        <v>161.97620000000001</v>
      </c>
      <c r="T349" s="49">
        <f>P349/10000-S349</f>
        <v>1743.8105</v>
      </c>
      <c r="U349" s="32"/>
      <c r="V349" s="59">
        <f>(T349-4.919-1.126-6.45-1.5845)/3555.1*10000</f>
        <v>4865.4918286405446</v>
      </c>
    </row>
    <row r="350" spans="1:22" ht="15" customHeight="1" x14ac:dyDescent="0.15">
      <c r="A350" s="20">
        <v>41254</v>
      </c>
      <c r="B350" s="20" t="s">
        <v>37</v>
      </c>
      <c r="C350" s="21">
        <v>74589</v>
      </c>
      <c r="D350" s="7">
        <v>19393</v>
      </c>
      <c r="E350" s="7">
        <v>95331</v>
      </c>
      <c r="F350" s="22">
        <v>4891</v>
      </c>
      <c r="G350" s="23">
        <v>2942</v>
      </c>
      <c r="H350" s="24"/>
      <c r="I350" s="36"/>
      <c r="J350" s="8">
        <f t="shared" si="87"/>
        <v>75938</v>
      </c>
      <c r="K350" s="37">
        <f t="shared" si="88"/>
        <v>557</v>
      </c>
      <c r="L350" s="37">
        <v>792</v>
      </c>
      <c r="M350" s="38">
        <f t="shared" si="89"/>
        <v>755849</v>
      </c>
      <c r="N350" s="39">
        <f t="shared" ref="N350:N370" si="94">N349+D350</f>
        <v>225932</v>
      </c>
      <c r="O350" s="39">
        <f t="shared" ref="O350:O370" si="95">O349+E350</f>
        <v>995475</v>
      </c>
      <c r="P350" s="40">
        <f t="shared" si="91"/>
        <v>19132456</v>
      </c>
      <c r="Q350" s="40">
        <f t="shared" si="92"/>
        <v>8674706.5</v>
      </c>
      <c r="R350" s="40">
        <f t="shared" si="93"/>
        <v>28438052.73</v>
      </c>
      <c r="S350" s="50">
        <v>162.47620000000001</v>
      </c>
      <c r="T350" s="50">
        <f>P350/10000-S350</f>
        <v>1750.7693999999999</v>
      </c>
      <c r="U350" s="37"/>
      <c r="V350" s="55">
        <f>(T350-4.919-1.126-6.45-1.74)/3555.7*10000</f>
        <v>4883.8045954383097</v>
      </c>
    </row>
    <row r="351" spans="1:22" ht="15" customHeight="1" x14ac:dyDescent="0.15">
      <c r="A351" s="20">
        <v>41255</v>
      </c>
      <c r="B351" s="20" t="s">
        <v>38</v>
      </c>
      <c r="C351" s="21">
        <v>73249</v>
      </c>
      <c r="D351" s="7">
        <v>20649</v>
      </c>
      <c r="E351" s="7">
        <v>95048</v>
      </c>
      <c r="F351" s="22">
        <v>4859</v>
      </c>
      <c r="G351" s="23">
        <v>2997</v>
      </c>
      <c r="H351" s="24">
        <v>1218</v>
      </c>
      <c r="I351" s="36">
        <v>648</v>
      </c>
      <c r="J351" s="8">
        <f t="shared" si="87"/>
        <v>74399</v>
      </c>
      <c r="K351" s="37">
        <f t="shared" si="88"/>
        <v>358</v>
      </c>
      <c r="L351" s="37">
        <v>792</v>
      </c>
      <c r="M351" s="38">
        <f t="shared" si="89"/>
        <v>829098</v>
      </c>
      <c r="N351" s="39">
        <f t="shared" si="94"/>
        <v>246581</v>
      </c>
      <c r="O351" s="39">
        <f t="shared" si="95"/>
        <v>1090523</v>
      </c>
      <c r="P351" s="40">
        <f t="shared" si="91"/>
        <v>19205705</v>
      </c>
      <c r="Q351" s="40">
        <f t="shared" si="92"/>
        <v>8695355.5</v>
      </c>
      <c r="R351" s="40">
        <f t="shared" si="93"/>
        <v>28533100.73</v>
      </c>
      <c r="S351" s="50"/>
      <c r="T351" s="37"/>
      <c r="U351" s="37"/>
      <c r="V351" s="8"/>
    </row>
    <row r="352" spans="1:22" ht="15" customHeight="1" x14ac:dyDescent="0.15">
      <c r="A352" s="20">
        <v>41256</v>
      </c>
      <c r="B352" s="20" t="s">
        <v>39</v>
      </c>
      <c r="C352" s="21">
        <v>72797</v>
      </c>
      <c r="D352" s="7">
        <v>19918</v>
      </c>
      <c r="E352" s="7">
        <v>93648</v>
      </c>
      <c r="F352" s="22">
        <v>4745</v>
      </c>
      <c r="G352" s="23">
        <v>3034</v>
      </c>
      <c r="H352" s="24"/>
      <c r="I352" s="36"/>
      <c r="J352" s="8">
        <f t="shared" si="87"/>
        <v>73730</v>
      </c>
      <c r="K352" s="37">
        <f t="shared" si="88"/>
        <v>141</v>
      </c>
      <c r="L352" s="37">
        <v>792</v>
      </c>
      <c r="M352" s="38">
        <f t="shared" si="89"/>
        <v>901895</v>
      </c>
      <c r="N352" s="39">
        <f t="shared" si="94"/>
        <v>266499</v>
      </c>
      <c r="O352" s="39">
        <f t="shared" si="95"/>
        <v>1184171</v>
      </c>
      <c r="P352" s="40">
        <f t="shared" si="91"/>
        <v>19278502</v>
      </c>
      <c r="Q352" s="40">
        <f t="shared" si="92"/>
        <v>8715273.5</v>
      </c>
      <c r="R352" s="40">
        <f t="shared" si="93"/>
        <v>28626748.73</v>
      </c>
      <c r="S352" s="50"/>
      <c r="T352" s="37"/>
      <c r="U352" s="37"/>
      <c r="V352" s="8"/>
    </row>
    <row r="353" spans="1:22" ht="15" customHeight="1" x14ac:dyDescent="0.15">
      <c r="A353" s="20">
        <v>41257</v>
      </c>
      <c r="B353" s="20" t="s">
        <v>1</v>
      </c>
      <c r="C353" s="21">
        <v>66992</v>
      </c>
      <c r="D353" s="7">
        <v>20786</v>
      </c>
      <c r="E353" s="7">
        <v>88668</v>
      </c>
      <c r="F353" s="22">
        <v>4421</v>
      </c>
      <c r="G353" s="23">
        <v>2995</v>
      </c>
      <c r="H353" s="24"/>
      <c r="I353" s="36"/>
      <c r="J353" s="8">
        <f t="shared" si="87"/>
        <v>67882</v>
      </c>
      <c r="K353" s="37">
        <f t="shared" si="88"/>
        <v>98</v>
      </c>
      <c r="L353" s="37">
        <v>792</v>
      </c>
      <c r="M353" s="38">
        <f t="shared" si="89"/>
        <v>968887</v>
      </c>
      <c r="N353" s="39">
        <f t="shared" si="94"/>
        <v>287285</v>
      </c>
      <c r="O353" s="39">
        <f t="shared" si="95"/>
        <v>1272839</v>
      </c>
      <c r="P353" s="40">
        <f t="shared" si="91"/>
        <v>19345494</v>
      </c>
      <c r="Q353" s="40">
        <f t="shared" si="92"/>
        <v>8736059.5</v>
      </c>
      <c r="R353" s="40">
        <f t="shared" si="93"/>
        <v>28715416.73</v>
      </c>
      <c r="S353" s="50"/>
      <c r="T353" s="37"/>
      <c r="U353" s="37"/>
      <c r="V353" s="8"/>
    </row>
    <row r="354" spans="1:22" ht="15" customHeight="1" x14ac:dyDescent="0.15">
      <c r="A354" s="20">
        <v>41258</v>
      </c>
      <c r="B354" s="20" t="s">
        <v>34</v>
      </c>
      <c r="C354" s="21">
        <v>71418</v>
      </c>
      <c r="D354" s="7">
        <v>20783</v>
      </c>
      <c r="E354" s="7">
        <v>93403</v>
      </c>
      <c r="F354" s="22">
        <v>4899</v>
      </c>
      <c r="G354" s="23">
        <v>2836</v>
      </c>
      <c r="H354" s="24"/>
      <c r="I354" s="36"/>
      <c r="J354" s="8">
        <f t="shared" si="87"/>
        <v>72620</v>
      </c>
      <c r="K354" s="37">
        <f t="shared" si="88"/>
        <v>410</v>
      </c>
      <c r="L354" s="37">
        <v>792</v>
      </c>
      <c r="M354" s="38">
        <f t="shared" si="89"/>
        <v>1040305</v>
      </c>
      <c r="N354" s="39">
        <f t="shared" si="94"/>
        <v>308068</v>
      </c>
      <c r="O354" s="39">
        <f t="shared" si="95"/>
        <v>1366242</v>
      </c>
      <c r="P354" s="40">
        <f t="shared" si="91"/>
        <v>19416912</v>
      </c>
      <c r="Q354" s="40">
        <f t="shared" si="92"/>
        <v>8756842.5</v>
      </c>
      <c r="R354" s="40">
        <f t="shared" si="93"/>
        <v>28808819.73</v>
      </c>
      <c r="S354" s="50"/>
      <c r="T354" s="37"/>
      <c r="U354" s="37"/>
      <c r="V354" s="8"/>
    </row>
    <row r="355" spans="1:22" ht="15" customHeight="1" x14ac:dyDescent="0.15">
      <c r="A355" s="20">
        <v>41259</v>
      </c>
      <c r="B355" s="20" t="s">
        <v>35</v>
      </c>
      <c r="C355" s="21">
        <v>73225</v>
      </c>
      <c r="D355" s="7">
        <v>20240</v>
      </c>
      <c r="E355" s="7">
        <v>94793</v>
      </c>
      <c r="F355" s="22">
        <v>4865</v>
      </c>
      <c r="G355" s="23">
        <v>2943</v>
      </c>
      <c r="H355" s="24"/>
      <c r="I355" s="36"/>
      <c r="J355" s="8">
        <f t="shared" si="87"/>
        <v>74553</v>
      </c>
      <c r="K355" s="37">
        <f t="shared" si="88"/>
        <v>536</v>
      </c>
      <c r="L355" s="37">
        <v>792</v>
      </c>
      <c r="M355" s="38">
        <f t="shared" si="89"/>
        <v>1113530</v>
      </c>
      <c r="N355" s="39">
        <f t="shared" si="94"/>
        <v>328308</v>
      </c>
      <c r="O355" s="39">
        <f t="shared" si="95"/>
        <v>1461035</v>
      </c>
      <c r="P355" s="40">
        <f t="shared" si="91"/>
        <v>19490137</v>
      </c>
      <c r="Q355" s="40">
        <f t="shared" si="92"/>
        <v>8777082.5</v>
      </c>
      <c r="R355" s="40">
        <f t="shared" si="93"/>
        <v>28903612.73</v>
      </c>
      <c r="S355" s="50"/>
      <c r="T355" s="37"/>
      <c r="U355" s="37"/>
      <c r="V355" s="8"/>
    </row>
    <row r="356" spans="1:22" ht="15" customHeight="1" x14ac:dyDescent="0.15">
      <c r="A356" s="14">
        <v>41260</v>
      </c>
      <c r="B356" s="14" t="s">
        <v>36</v>
      </c>
      <c r="C356" s="15">
        <v>75899</v>
      </c>
      <c r="D356" s="16">
        <v>19674</v>
      </c>
      <c r="E356" s="16">
        <v>96502</v>
      </c>
      <c r="F356" s="17">
        <v>4950</v>
      </c>
      <c r="G356" s="18">
        <v>3006</v>
      </c>
      <c r="H356" s="19"/>
      <c r="I356" s="19"/>
      <c r="J356" s="32">
        <f t="shared" si="87"/>
        <v>76828</v>
      </c>
      <c r="K356" s="33">
        <f t="shared" si="88"/>
        <v>579</v>
      </c>
      <c r="L356" s="33">
        <v>350</v>
      </c>
      <c r="M356" s="34">
        <f t="shared" si="89"/>
        <v>1189429</v>
      </c>
      <c r="N356" s="35">
        <f t="shared" si="94"/>
        <v>347982</v>
      </c>
      <c r="O356" s="35">
        <f t="shared" si="95"/>
        <v>1557537</v>
      </c>
      <c r="P356" s="34">
        <f t="shared" si="91"/>
        <v>19566036</v>
      </c>
      <c r="Q356" s="34">
        <f t="shared" si="92"/>
        <v>8796756.5</v>
      </c>
      <c r="R356" s="34">
        <f t="shared" si="93"/>
        <v>29000114.73</v>
      </c>
      <c r="S356" s="49"/>
      <c r="T356" s="32"/>
      <c r="U356" s="32"/>
      <c r="V356" s="32"/>
    </row>
    <row r="357" spans="1:22" ht="15" customHeight="1" x14ac:dyDescent="0.15">
      <c r="A357" s="20">
        <v>41261</v>
      </c>
      <c r="B357" s="20" t="s">
        <v>37</v>
      </c>
      <c r="C357" s="21">
        <v>74506</v>
      </c>
      <c r="D357" s="7">
        <v>22656</v>
      </c>
      <c r="E357" s="7">
        <v>97433</v>
      </c>
      <c r="F357" s="22">
        <v>5019</v>
      </c>
      <c r="G357" s="23">
        <v>2071</v>
      </c>
      <c r="H357" s="24"/>
      <c r="I357" s="36"/>
      <c r="J357" s="8">
        <f t="shared" si="87"/>
        <v>74777</v>
      </c>
      <c r="K357" s="37">
        <f t="shared" si="88"/>
        <v>271</v>
      </c>
      <c r="L357" s="37">
        <v>0</v>
      </c>
      <c r="M357" s="38">
        <f t="shared" si="89"/>
        <v>1263935</v>
      </c>
      <c r="N357" s="39">
        <f t="shared" si="94"/>
        <v>370638</v>
      </c>
      <c r="O357" s="39">
        <f t="shared" si="95"/>
        <v>1654970</v>
      </c>
      <c r="P357" s="40">
        <f t="shared" si="91"/>
        <v>19640542</v>
      </c>
      <c r="Q357" s="40">
        <f t="shared" si="92"/>
        <v>8819412.5</v>
      </c>
      <c r="R357" s="40">
        <f t="shared" si="93"/>
        <v>29097547.73</v>
      </c>
      <c r="S357" s="50">
        <v>165.97620000000001</v>
      </c>
      <c r="T357" s="50">
        <f>P357/10000-S357</f>
        <v>1798.078</v>
      </c>
      <c r="U357" s="37"/>
      <c r="V357" s="55">
        <f>(T357-4.919-1.126-6.45-2.7821)/3560*10000</f>
        <v>5007.8676966292132</v>
      </c>
    </row>
    <row r="358" spans="1:22" ht="15" customHeight="1" x14ac:dyDescent="0.15">
      <c r="A358" s="20">
        <v>41262</v>
      </c>
      <c r="B358" s="20" t="s">
        <v>38</v>
      </c>
      <c r="C358" s="21">
        <v>72460</v>
      </c>
      <c r="D358" s="7">
        <v>23737</v>
      </c>
      <c r="E358" s="7">
        <v>96970</v>
      </c>
      <c r="F358" s="22">
        <v>4992</v>
      </c>
      <c r="G358" s="23">
        <v>3063</v>
      </c>
      <c r="H358" s="24"/>
      <c r="I358" s="36"/>
      <c r="J358" s="8">
        <f t="shared" si="87"/>
        <v>73233</v>
      </c>
      <c r="K358" s="37">
        <f t="shared" si="88"/>
        <v>773</v>
      </c>
      <c r="L358" s="37">
        <v>0</v>
      </c>
      <c r="M358" s="38">
        <f t="shared" si="89"/>
        <v>1336395</v>
      </c>
      <c r="N358" s="39">
        <f t="shared" si="94"/>
        <v>394375</v>
      </c>
      <c r="O358" s="39">
        <f t="shared" si="95"/>
        <v>1751940</v>
      </c>
      <c r="P358" s="40">
        <f t="shared" si="91"/>
        <v>19713002</v>
      </c>
      <c r="Q358" s="40">
        <f t="shared" si="92"/>
        <v>8843149.5</v>
      </c>
      <c r="R358" s="40">
        <f t="shared" si="93"/>
        <v>29194517.73</v>
      </c>
      <c r="S358" s="50"/>
      <c r="T358" s="37"/>
      <c r="U358" s="37"/>
      <c r="V358" s="8"/>
    </row>
    <row r="359" spans="1:22" ht="15" customHeight="1" x14ac:dyDescent="0.15">
      <c r="A359" s="20">
        <v>41263</v>
      </c>
      <c r="B359" s="20" t="s">
        <v>39</v>
      </c>
      <c r="C359" s="21">
        <v>68704</v>
      </c>
      <c r="D359" s="7">
        <v>24218</v>
      </c>
      <c r="E359" s="7">
        <v>93549</v>
      </c>
      <c r="F359" s="22">
        <v>4771.5</v>
      </c>
      <c r="G359" s="23">
        <v>3011</v>
      </c>
      <c r="H359" s="24"/>
      <c r="I359" s="36"/>
      <c r="J359" s="8">
        <f t="shared" si="87"/>
        <v>69331</v>
      </c>
      <c r="K359" s="37">
        <f t="shared" si="88"/>
        <v>627</v>
      </c>
      <c r="L359" s="37">
        <v>0</v>
      </c>
      <c r="M359" s="38">
        <f t="shared" si="89"/>
        <v>1405099</v>
      </c>
      <c r="N359" s="39">
        <f t="shared" si="94"/>
        <v>418593</v>
      </c>
      <c r="O359" s="39">
        <f t="shared" si="95"/>
        <v>1845489</v>
      </c>
      <c r="P359" s="40">
        <f t="shared" si="91"/>
        <v>19781706</v>
      </c>
      <c r="Q359" s="40">
        <f t="shared" si="92"/>
        <v>8867367.5</v>
      </c>
      <c r="R359" s="40">
        <f t="shared" si="93"/>
        <v>29288066.73</v>
      </c>
      <c r="S359" s="50">
        <v>166.5248</v>
      </c>
      <c r="T359" s="50">
        <f>P359/10000-S359</f>
        <v>1811.6458</v>
      </c>
      <c r="U359" s="37"/>
      <c r="V359" s="56">
        <f>(T359-4.919-1.126-6.45-2.96-6.715)/3561.5*10000</f>
        <v>5024.5003509757125</v>
      </c>
    </row>
    <row r="360" spans="1:22" ht="15" customHeight="1" x14ac:dyDescent="0.15">
      <c r="A360" s="20">
        <v>41264</v>
      </c>
      <c r="B360" s="20" t="s">
        <v>1</v>
      </c>
      <c r="C360" s="21">
        <v>70469</v>
      </c>
      <c r="D360" s="7">
        <v>20012</v>
      </c>
      <c r="E360" s="7">
        <v>90827</v>
      </c>
      <c r="F360" s="22">
        <v>4536.2</v>
      </c>
      <c r="G360" s="23">
        <v>2964.8</v>
      </c>
      <c r="H360" s="24"/>
      <c r="I360" s="36"/>
      <c r="J360" s="8">
        <f t="shared" si="87"/>
        <v>70815</v>
      </c>
      <c r="K360" s="37">
        <f t="shared" si="88"/>
        <v>346</v>
      </c>
      <c r="L360" s="37">
        <v>0</v>
      </c>
      <c r="M360" s="38">
        <f t="shared" si="89"/>
        <v>1475568</v>
      </c>
      <c r="N360" s="39">
        <f t="shared" si="94"/>
        <v>438605</v>
      </c>
      <c r="O360" s="39">
        <f t="shared" si="95"/>
        <v>1936316</v>
      </c>
      <c r="P360" s="40">
        <f t="shared" si="91"/>
        <v>19852175</v>
      </c>
      <c r="Q360" s="40">
        <f t="shared" si="92"/>
        <v>8887379.5</v>
      </c>
      <c r="R360" s="40">
        <f t="shared" si="93"/>
        <v>29378893.73</v>
      </c>
      <c r="S360" s="50"/>
      <c r="T360" s="37"/>
      <c r="U360" s="37"/>
      <c r="V360" s="8"/>
    </row>
    <row r="361" spans="1:22" ht="15" customHeight="1" x14ac:dyDescent="0.15">
      <c r="A361" s="20">
        <v>41265</v>
      </c>
      <c r="B361" s="20" t="s">
        <v>34</v>
      </c>
      <c r="C361" s="21">
        <v>72469</v>
      </c>
      <c r="D361" s="7">
        <v>22476</v>
      </c>
      <c r="E361" s="7">
        <v>95515</v>
      </c>
      <c r="F361" s="22">
        <v>4973.2</v>
      </c>
      <c r="G361" s="23">
        <v>2897.7</v>
      </c>
      <c r="H361" s="24"/>
      <c r="I361" s="36"/>
      <c r="J361" s="8">
        <f t="shared" si="87"/>
        <v>73039</v>
      </c>
      <c r="K361" s="37">
        <f t="shared" si="88"/>
        <v>570</v>
      </c>
      <c r="L361" s="37">
        <v>0</v>
      </c>
      <c r="M361" s="38">
        <f t="shared" si="89"/>
        <v>1548037</v>
      </c>
      <c r="N361" s="39">
        <f t="shared" si="94"/>
        <v>461081</v>
      </c>
      <c r="O361" s="39">
        <f t="shared" si="95"/>
        <v>2031831</v>
      </c>
      <c r="P361" s="40">
        <f t="shared" si="91"/>
        <v>19924644</v>
      </c>
      <c r="Q361" s="40">
        <f t="shared" si="92"/>
        <v>8909855.5</v>
      </c>
      <c r="R361" s="40">
        <f t="shared" si="93"/>
        <v>29474408.73</v>
      </c>
      <c r="S361" s="50"/>
      <c r="T361" s="37"/>
      <c r="U361" s="37"/>
      <c r="V361" s="8"/>
    </row>
    <row r="362" spans="1:22" ht="15" customHeight="1" x14ac:dyDescent="0.15">
      <c r="A362" s="20">
        <v>41266</v>
      </c>
      <c r="B362" s="20" t="s">
        <v>35</v>
      </c>
      <c r="C362" s="21">
        <v>72759</v>
      </c>
      <c r="D362" s="7">
        <v>22244</v>
      </c>
      <c r="E362" s="7">
        <v>95469</v>
      </c>
      <c r="F362" s="22">
        <v>4949</v>
      </c>
      <c r="G362" s="23">
        <v>3035</v>
      </c>
      <c r="H362" s="24"/>
      <c r="I362" s="36"/>
      <c r="J362" s="8">
        <f t="shared" si="87"/>
        <v>73225</v>
      </c>
      <c r="K362" s="37">
        <f t="shared" si="88"/>
        <v>466</v>
      </c>
      <c r="L362" s="37">
        <v>0</v>
      </c>
      <c r="M362" s="38">
        <f t="shared" si="89"/>
        <v>1620796</v>
      </c>
      <c r="N362" s="39">
        <f t="shared" si="94"/>
        <v>483325</v>
      </c>
      <c r="O362" s="39">
        <f t="shared" si="95"/>
        <v>2127300</v>
      </c>
      <c r="P362" s="40">
        <f t="shared" si="91"/>
        <v>19997403</v>
      </c>
      <c r="Q362" s="40">
        <f t="shared" si="92"/>
        <v>8932099.5</v>
      </c>
      <c r="R362" s="40">
        <f t="shared" si="93"/>
        <v>29569877.73</v>
      </c>
      <c r="S362" s="50"/>
      <c r="T362" s="37"/>
      <c r="U362" s="37"/>
      <c r="V362" s="8"/>
    </row>
    <row r="363" spans="1:22" ht="15" customHeight="1" x14ac:dyDescent="0.15">
      <c r="A363" s="14">
        <v>41267</v>
      </c>
      <c r="B363" s="14" t="s">
        <v>36</v>
      </c>
      <c r="C363" s="15">
        <v>69530</v>
      </c>
      <c r="D363" s="16">
        <v>22875</v>
      </c>
      <c r="E363" s="16">
        <v>93285</v>
      </c>
      <c r="F363" s="17">
        <v>4779</v>
      </c>
      <c r="G363" s="18">
        <v>3022</v>
      </c>
      <c r="H363" s="19"/>
      <c r="I363" s="19"/>
      <c r="J363" s="32">
        <f t="shared" si="87"/>
        <v>70410</v>
      </c>
      <c r="K363" s="33">
        <f t="shared" si="88"/>
        <v>880</v>
      </c>
      <c r="L363" s="33">
        <v>0</v>
      </c>
      <c r="M363" s="34">
        <f t="shared" si="89"/>
        <v>1690326</v>
      </c>
      <c r="N363" s="35">
        <f t="shared" si="94"/>
        <v>506200</v>
      </c>
      <c r="O363" s="35">
        <f t="shared" si="95"/>
        <v>2220585</v>
      </c>
      <c r="P363" s="34">
        <f t="shared" si="91"/>
        <v>20066933</v>
      </c>
      <c r="Q363" s="34">
        <f t="shared" si="92"/>
        <v>8954974.5</v>
      </c>
      <c r="R363" s="34">
        <f t="shared" si="93"/>
        <v>29663162.73</v>
      </c>
      <c r="S363" s="49"/>
      <c r="T363" s="32"/>
      <c r="U363" s="32"/>
      <c r="V363" s="32"/>
    </row>
    <row r="364" spans="1:22" ht="15" customHeight="1" x14ac:dyDescent="0.15">
      <c r="A364" s="20">
        <v>41268</v>
      </c>
      <c r="B364" s="20" t="s">
        <v>37</v>
      </c>
      <c r="C364" s="21">
        <v>71894</v>
      </c>
      <c r="D364" s="7">
        <v>21234</v>
      </c>
      <c r="E364" s="7">
        <v>94290</v>
      </c>
      <c r="F364" s="22">
        <v>4869</v>
      </c>
      <c r="G364" s="23">
        <v>2934</v>
      </c>
      <c r="H364" s="24">
        <v>1208.2</v>
      </c>
      <c r="I364" s="36">
        <v>715.3</v>
      </c>
      <c r="J364" s="8">
        <f t="shared" si="87"/>
        <v>73056</v>
      </c>
      <c r="K364" s="37">
        <f t="shared" si="88"/>
        <v>369</v>
      </c>
      <c r="L364" s="37">
        <v>793</v>
      </c>
      <c r="M364" s="38">
        <f t="shared" si="89"/>
        <v>1762220</v>
      </c>
      <c r="N364" s="39">
        <f t="shared" si="94"/>
        <v>527434</v>
      </c>
      <c r="O364" s="39">
        <f t="shared" si="95"/>
        <v>2314875</v>
      </c>
      <c r="P364" s="40">
        <f t="shared" si="91"/>
        <v>20138827</v>
      </c>
      <c r="Q364" s="40">
        <f t="shared" si="92"/>
        <v>8976208.5</v>
      </c>
      <c r="R364" s="40">
        <f t="shared" si="93"/>
        <v>29757452.73</v>
      </c>
      <c r="S364" s="50">
        <v>168.7748</v>
      </c>
      <c r="T364" s="50">
        <f>P364/10000-S364</f>
        <v>1845.1079000000002</v>
      </c>
      <c r="U364" s="37"/>
      <c r="V364" s="55">
        <f>(T364-4.919-1.126-6.45-3.57-6.715)/3565.1*10000</f>
        <v>5111.5758323749697</v>
      </c>
    </row>
    <row r="365" spans="1:22" ht="15" customHeight="1" x14ac:dyDescent="0.15">
      <c r="A365" s="20">
        <v>41269</v>
      </c>
      <c r="B365" s="20" t="s">
        <v>38</v>
      </c>
      <c r="C365" s="21">
        <v>72350</v>
      </c>
      <c r="D365" s="7">
        <v>21390</v>
      </c>
      <c r="E365" s="7">
        <v>94748</v>
      </c>
      <c r="F365" s="22">
        <v>4876</v>
      </c>
      <c r="G365" s="23">
        <v>3020</v>
      </c>
      <c r="H365" s="24">
        <v>1250.2</v>
      </c>
      <c r="I365" s="36">
        <v>707</v>
      </c>
      <c r="J365" s="8">
        <f t="shared" si="87"/>
        <v>73358</v>
      </c>
      <c r="K365" s="37">
        <f t="shared" si="88"/>
        <v>215</v>
      </c>
      <c r="L365" s="37">
        <v>793</v>
      </c>
      <c r="M365" s="38">
        <f t="shared" si="89"/>
        <v>1834570</v>
      </c>
      <c r="N365" s="39">
        <f t="shared" si="94"/>
        <v>548824</v>
      </c>
      <c r="O365" s="39">
        <f t="shared" si="95"/>
        <v>2409623</v>
      </c>
      <c r="P365" s="40">
        <f t="shared" si="91"/>
        <v>20211177</v>
      </c>
      <c r="Q365" s="40">
        <f t="shared" si="92"/>
        <v>8997598.5</v>
      </c>
      <c r="R365" s="40">
        <f t="shared" si="93"/>
        <v>29852200.73</v>
      </c>
      <c r="S365" s="50"/>
      <c r="T365" s="37"/>
      <c r="U365" s="37"/>
      <c r="V365" s="8"/>
    </row>
    <row r="366" spans="1:22" ht="15" customHeight="1" x14ac:dyDescent="0.15">
      <c r="A366" s="20">
        <v>41270</v>
      </c>
      <c r="B366" s="20" t="s">
        <v>39</v>
      </c>
      <c r="C366" s="21">
        <v>70837</v>
      </c>
      <c r="D366" s="7">
        <v>21002</v>
      </c>
      <c r="E366" s="7">
        <v>92853</v>
      </c>
      <c r="F366" s="22">
        <v>4742.1000000000004</v>
      </c>
      <c r="G366" s="23">
        <v>3001.9</v>
      </c>
      <c r="H366" s="24"/>
      <c r="I366" s="36"/>
      <c r="J366" s="8">
        <f t="shared" si="87"/>
        <v>71851</v>
      </c>
      <c r="K366" s="37">
        <f t="shared" si="88"/>
        <v>221</v>
      </c>
      <c r="L366" s="37">
        <v>793</v>
      </c>
      <c r="M366" s="38">
        <f t="shared" si="89"/>
        <v>1905407</v>
      </c>
      <c r="N366" s="39">
        <f t="shared" si="94"/>
        <v>569826</v>
      </c>
      <c r="O366" s="39">
        <f t="shared" si="95"/>
        <v>2502476</v>
      </c>
      <c r="P366" s="40">
        <f t="shared" si="91"/>
        <v>20282014</v>
      </c>
      <c r="Q366" s="40">
        <f t="shared" si="92"/>
        <v>9018600.5</v>
      </c>
      <c r="R366" s="40">
        <f t="shared" si="93"/>
        <v>29945053.73</v>
      </c>
      <c r="S366" s="50"/>
      <c r="T366" s="37"/>
      <c r="U366" s="37"/>
      <c r="V366" s="8"/>
    </row>
    <row r="367" spans="1:22" ht="15" customHeight="1" x14ac:dyDescent="0.15">
      <c r="A367" s="20">
        <v>41271</v>
      </c>
      <c r="B367" s="20" t="s">
        <v>1</v>
      </c>
      <c r="C367" s="21">
        <v>66631</v>
      </c>
      <c r="D367" s="7">
        <v>21238</v>
      </c>
      <c r="E367" s="7">
        <v>88827</v>
      </c>
      <c r="F367" s="22">
        <v>4522.8</v>
      </c>
      <c r="G367" s="23">
        <v>2994</v>
      </c>
      <c r="H367" s="24"/>
      <c r="I367" s="36"/>
      <c r="J367" s="8">
        <f t="shared" si="87"/>
        <v>67589</v>
      </c>
      <c r="K367" s="37">
        <f t="shared" si="88"/>
        <v>165</v>
      </c>
      <c r="L367" s="37">
        <v>793</v>
      </c>
      <c r="M367" s="38">
        <f t="shared" si="89"/>
        <v>1972038</v>
      </c>
      <c r="N367" s="39">
        <f t="shared" si="94"/>
        <v>591064</v>
      </c>
      <c r="O367" s="39">
        <f t="shared" si="95"/>
        <v>2591303</v>
      </c>
      <c r="P367" s="40">
        <f t="shared" si="91"/>
        <v>20348645</v>
      </c>
      <c r="Q367" s="40">
        <f t="shared" si="92"/>
        <v>9039838.5</v>
      </c>
      <c r="R367" s="40">
        <f t="shared" si="93"/>
        <v>30033880.73</v>
      </c>
      <c r="S367" s="50"/>
      <c r="T367" s="37"/>
      <c r="U367" s="37"/>
      <c r="V367" s="8"/>
    </row>
    <row r="368" spans="1:22" ht="15" customHeight="1" x14ac:dyDescent="0.15">
      <c r="A368" s="20">
        <v>41272</v>
      </c>
      <c r="B368" s="20" t="s">
        <v>34</v>
      </c>
      <c r="C368" s="21">
        <v>67400</v>
      </c>
      <c r="D368" s="7">
        <v>22000</v>
      </c>
      <c r="E368" s="7">
        <v>90700</v>
      </c>
      <c r="F368" s="22">
        <v>4778.1000000000004</v>
      </c>
      <c r="G368" s="23">
        <v>2853.2</v>
      </c>
      <c r="H368" s="24"/>
      <c r="I368" s="36"/>
      <c r="J368" s="8">
        <f t="shared" si="87"/>
        <v>68700</v>
      </c>
      <c r="K368" s="37">
        <f t="shared" si="88"/>
        <v>507</v>
      </c>
      <c r="L368" s="37">
        <v>793</v>
      </c>
      <c r="M368" s="38">
        <f t="shared" si="89"/>
        <v>2039438</v>
      </c>
      <c r="N368" s="39">
        <f t="shared" si="94"/>
        <v>613064</v>
      </c>
      <c r="O368" s="39">
        <f t="shared" si="95"/>
        <v>2682003</v>
      </c>
      <c r="P368" s="40">
        <f t="shared" si="91"/>
        <v>20416045</v>
      </c>
      <c r="Q368" s="40">
        <f t="shared" si="92"/>
        <v>9061838.5</v>
      </c>
      <c r="R368" s="40">
        <f t="shared" si="93"/>
        <v>30124580.73</v>
      </c>
      <c r="S368" s="50"/>
      <c r="T368" s="37"/>
      <c r="U368" s="37"/>
      <c r="V368" s="8"/>
    </row>
    <row r="369" spans="1:22" ht="15" customHeight="1" x14ac:dyDescent="0.15">
      <c r="A369" s="20">
        <v>41273</v>
      </c>
      <c r="B369" s="20" t="s">
        <v>35</v>
      </c>
      <c r="C369" s="21">
        <v>67388</v>
      </c>
      <c r="D369" s="7">
        <v>22204</v>
      </c>
      <c r="E369" s="7">
        <v>90762</v>
      </c>
      <c r="F369" s="22">
        <v>4780</v>
      </c>
      <c r="G369" s="23">
        <v>2850</v>
      </c>
      <c r="H369" s="24"/>
      <c r="I369" s="36"/>
      <c r="J369" s="8">
        <f t="shared" si="87"/>
        <v>68558</v>
      </c>
      <c r="K369" s="37">
        <f t="shared" si="88"/>
        <v>377</v>
      </c>
      <c r="L369" s="37">
        <v>793</v>
      </c>
      <c r="M369" s="38">
        <f t="shared" si="89"/>
        <v>2106826</v>
      </c>
      <c r="N369" s="39">
        <f t="shared" si="94"/>
        <v>635268</v>
      </c>
      <c r="O369" s="39">
        <f t="shared" si="95"/>
        <v>2772765</v>
      </c>
      <c r="P369" s="40">
        <f t="shared" si="91"/>
        <v>20483433</v>
      </c>
      <c r="Q369" s="40">
        <f t="shared" si="92"/>
        <v>9084042.5</v>
      </c>
      <c r="R369" s="40">
        <f t="shared" si="93"/>
        <v>30215342.73</v>
      </c>
      <c r="S369" s="50"/>
      <c r="T369" s="37"/>
      <c r="U369" s="37"/>
      <c r="V369" s="8"/>
    </row>
    <row r="370" spans="1:22" s="1" customFormat="1" ht="15" customHeight="1" x14ac:dyDescent="0.15">
      <c r="A370" s="25">
        <v>41274</v>
      </c>
      <c r="B370" s="25" t="s">
        <v>36</v>
      </c>
      <c r="C370" s="26">
        <v>62040</v>
      </c>
      <c r="D370" s="27">
        <v>23577</v>
      </c>
      <c r="E370" s="27">
        <v>86534</v>
      </c>
      <c r="F370" s="28">
        <v>4780</v>
      </c>
      <c r="G370" s="29">
        <v>2850</v>
      </c>
      <c r="H370" s="30"/>
      <c r="I370" s="30"/>
      <c r="J370" s="42">
        <f t="shared" si="87"/>
        <v>62957</v>
      </c>
      <c r="K370" s="43">
        <f t="shared" si="88"/>
        <v>124</v>
      </c>
      <c r="L370" s="43">
        <v>793</v>
      </c>
      <c r="M370" s="44">
        <f t="shared" si="89"/>
        <v>2168866</v>
      </c>
      <c r="N370" s="46">
        <f t="shared" si="94"/>
        <v>658845</v>
      </c>
      <c r="O370" s="46">
        <f t="shared" si="95"/>
        <v>2859299</v>
      </c>
      <c r="P370" s="44">
        <f t="shared" si="91"/>
        <v>20545473</v>
      </c>
      <c r="Q370" s="44">
        <f t="shared" si="92"/>
        <v>9107619.5</v>
      </c>
      <c r="R370" s="44">
        <f t="shared" si="93"/>
        <v>30301876.73</v>
      </c>
      <c r="S370" s="52">
        <v>171.7157</v>
      </c>
      <c r="T370" s="52">
        <f>P370/10000-S370</f>
        <v>1882.8316000000002</v>
      </c>
      <c r="U370" s="42"/>
      <c r="V370" s="57">
        <f>5212.48</f>
        <v>5212.4799999999996</v>
      </c>
    </row>
    <row r="371" spans="1:22" x14ac:dyDescent="0.15">
      <c r="C371" s="2">
        <f>MAX(C5:C370)</f>
        <v>75899</v>
      </c>
      <c r="D371" s="2">
        <f>MAX(D5:D370)</f>
        <v>39576</v>
      </c>
      <c r="E371" s="2">
        <f>MAX(E5:E370)</f>
        <v>113521</v>
      </c>
      <c r="F371" s="60">
        <f>MAX(F5:F370)</f>
        <v>5773.6</v>
      </c>
    </row>
    <row r="372" spans="1:22" x14ac:dyDescent="0.15">
      <c r="F372" s="61"/>
      <c r="G372" s="61"/>
      <c r="H372" s="61"/>
      <c r="I372" s="61"/>
      <c r="J372" s="62"/>
      <c r="K372" s="62"/>
    </row>
    <row r="374" spans="1:22" x14ac:dyDescent="0.15">
      <c r="G374" s="2" t="e">
        <f>G372/F372</f>
        <v>#DIV/0!</v>
      </c>
      <c r="I374" s="2" t="e">
        <f>I372/H372</f>
        <v>#DIV/0!</v>
      </c>
    </row>
  </sheetData>
  <mergeCells count="6">
    <mergeCell ref="S2:V2"/>
    <mergeCell ref="F1:G1"/>
    <mergeCell ref="A2:B2"/>
    <mergeCell ref="C2:L2"/>
    <mergeCell ref="M2:O2"/>
    <mergeCell ref="P2:R2"/>
  </mergeCells>
  <phoneticPr fontId="16" type="noConversion"/>
  <pageMargins left="0.7" right="0.7" top="0.75" bottom="0.75" header="0.3" footer="0.3"/>
  <pageSetup paperSize="9"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2019</vt:lpstr>
      <vt:lpstr>2018</vt:lpstr>
      <vt:lpstr>2017</vt:lpstr>
      <vt:lpstr>2016</vt:lpstr>
      <vt:lpstr>2015</vt:lpstr>
      <vt:lpstr>2014</vt:lpstr>
    </vt:vector>
  </TitlesOfParts>
  <Company>华能长兴电厂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yxb</dc:creator>
  <cp:lastModifiedBy>吕月秋/ZJFGS/CHNG</cp:lastModifiedBy>
  <cp:lastPrinted>2016-03-14T08:43:00Z</cp:lastPrinted>
  <dcterms:created xsi:type="dcterms:W3CDTF">2009-01-05T00:29:00Z</dcterms:created>
  <dcterms:modified xsi:type="dcterms:W3CDTF">2019-03-11T03:29:13Z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2052-10.8.2.6666</vt:lpwstr>
  </property>
</Properties>
</file>