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3.xml" ContentType="application/vnd.openxmlformats-officedocument.drawing+xml"/>
  <Override PartName="/xl/tables/table2.xml" ContentType="application/vnd.openxmlformats-officedocument.spreadsheetml.tab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drawings/drawing4.xml" ContentType="application/vnd.openxmlformats-officedocument.drawing+xml"/>
  <Override PartName="/xl/tables/table3.xml" ContentType="application/vnd.openxmlformats-officedocument.spreadsheetml.tab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charts/chart22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charts/chart23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drawings/drawing5.xml" ContentType="application/vnd.openxmlformats-officedocument.drawing+xml"/>
  <Override PartName="/xl/tables/table4.xml" ContentType="application/vnd.openxmlformats-officedocument.spreadsheetml.table+xml"/>
  <Override PartName="/xl/charts/chart24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charts/chart25.xml" ContentType="application/vnd.openxmlformats-officedocument.drawingml.chart+xml"/>
  <Override PartName="/xl/charts/style25.xml" ContentType="application/vnd.ms-office.chartstyle+xml"/>
  <Override PartName="/xl/charts/colors25.xml" ContentType="application/vnd.ms-office.chartcolorstyle+xml"/>
  <Override PartName="/xl/charts/chart26.xml" ContentType="application/vnd.openxmlformats-officedocument.drawingml.chart+xml"/>
  <Override PartName="/xl/charts/style26.xml" ContentType="application/vnd.ms-office.chartstyle+xml"/>
  <Override PartName="/xl/charts/colors26.xml" ContentType="application/vnd.ms-office.chartcolorstyle+xml"/>
  <Override PartName="/xl/charts/chart27.xml" ContentType="application/vnd.openxmlformats-officedocument.drawingml.chart+xml"/>
  <Override PartName="/xl/charts/style27.xml" ContentType="application/vnd.ms-office.chartstyle+xml"/>
  <Override PartName="/xl/charts/colors27.xml" ContentType="application/vnd.ms-office.chartcolorstyle+xml"/>
  <Override PartName="/xl/charts/chart28.xml" ContentType="application/vnd.openxmlformats-officedocument.drawingml.chart+xml"/>
  <Override PartName="/xl/charts/style28.xml" ContentType="application/vnd.ms-office.chartstyle+xml"/>
  <Override PartName="/xl/charts/colors28.xml" ContentType="application/vnd.ms-office.chartcolorstyle+xml"/>
  <Override PartName="/xl/charts/chart29.xml" ContentType="application/vnd.openxmlformats-officedocument.drawingml.chart+xml"/>
  <Override PartName="/xl/charts/style29.xml" ContentType="application/vnd.ms-office.chartstyle+xml"/>
  <Override PartName="/xl/charts/colors29.xml" ContentType="application/vnd.ms-office.chartcolorstyle+xml"/>
  <Override PartName="/xl/charts/chart30.xml" ContentType="application/vnd.openxmlformats-officedocument.drawingml.chart+xml"/>
  <Override PartName="/xl/charts/style30.xml" ContentType="application/vnd.ms-office.chartstyle+xml"/>
  <Override PartName="/xl/charts/colors30.xml" ContentType="application/vnd.ms-office.chartcolorstyle+xml"/>
  <Override PartName="/xl/charts/chart31.xml" ContentType="application/vnd.openxmlformats-officedocument.drawingml.chart+xml"/>
  <Override PartName="/xl/charts/style31.xml" ContentType="application/vnd.ms-office.chartstyle+xml"/>
  <Override PartName="/xl/charts/colors31.xml" ContentType="application/vnd.ms-office.chartcolorstyle+xml"/>
  <Override PartName="/xl/charts/chart32.xml" ContentType="application/vnd.openxmlformats-officedocument.drawingml.chart+xml"/>
  <Override PartName="/xl/charts/style32.xml" ContentType="application/vnd.ms-office.chartstyle+xml"/>
  <Override PartName="/xl/charts/colors32.xml" ContentType="application/vnd.ms-office.chartcolorstyle+xml"/>
  <Override PartName="/xl/charts/chart33.xml" ContentType="application/vnd.openxmlformats-officedocument.drawingml.chart+xml"/>
  <Override PartName="/xl/charts/style33.xml" ContentType="application/vnd.ms-office.chartstyle+xml"/>
  <Override PartName="/xl/charts/colors33.xml" ContentType="application/vnd.ms-office.chartcolorstyle+xml"/>
  <Override PartName="/xl/charts/chart34.xml" ContentType="application/vnd.openxmlformats-officedocument.drawingml.chart+xml"/>
  <Override PartName="/xl/charts/style34.xml" ContentType="application/vnd.ms-office.chartstyle+xml"/>
  <Override PartName="/xl/charts/colors34.xml" ContentType="application/vnd.ms-office.chartcolorstyle+xml"/>
  <Override PartName="/xl/charts/chart35.xml" ContentType="application/vnd.openxmlformats-officedocument.drawingml.chart+xml"/>
  <Override PartName="/xl/charts/style35.xml" ContentType="application/vnd.ms-office.chartstyle+xml"/>
  <Override PartName="/xl/charts/colors35.xml" ContentType="application/vnd.ms-office.chartcolorstyle+xml"/>
  <Override PartName="/xl/charts/chart36.xml" ContentType="application/vnd.openxmlformats-officedocument.drawingml.chart+xml"/>
  <Override PartName="/xl/charts/style36.xml" ContentType="application/vnd.ms-office.chartstyle+xml"/>
  <Override PartName="/xl/charts/colors36.xml" ContentType="application/vnd.ms-office.chartcolorstyle+xml"/>
  <Override PartName="/xl/charts/chart37.xml" ContentType="application/vnd.openxmlformats-officedocument.drawingml.chart+xml"/>
  <Override PartName="/xl/charts/style37.xml" ContentType="application/vnd.ms-office.chartstyle+xml"/>
  <Override PartName="/xl/charts/colors37.xml" ContentType="application/vnd.ms-office.chartcolorstyle+xml"/>
  <Override PartName="/xl/drawings/drawing6.xml" ContentType="application/vnd.openxmlformats-officedocument.drawing+xml"/>
  <Override PartName="/xl/tables/table5.xml" ContentType="application/vnd.openxmlformats-officedocument.spreadsheetml.table+xml"/>
  <Override PartName="/xl/charts/chart38.xml" ContentType="application/vnd.openxmlformats-officedocument.drawingml.chart+xml"/>
  <Override PartName="/xl/charts/style38.xml" ContentType="application/vnd.ms-office.chartstyle+xml"/>
  <Override PartName="/xl/charts/colors38.xml" ContentType="application/vnd.ms-office.chartcolorstyle+xml"/>
  <Override PartName="/xl/charts/chart39.xml" ContentType="application/vnd.openxmlformats-officedocument.drawingml.chart+xml"/>
  <Override PartName="/xl/charts/style39.xml" ContentType="application/vnd.ms-office.chartstyle+xml"/>
  <Override PartName="/xl/charts/colors39.xml" ContentType="application/vnd.ms-office.chartcolorstyle+xml"/>
  <Override PartName="/xl/charts/chart40.xml" ContentType="application/vnd.openxmlformats-officedocument.drawingml.chart+xml"/>
  <Override PartName="/xl/charts/style40.xml" ContentType="application/vnd.ms-office.chartstyle+xml"/>
  <Override PartName="/xl/charts/colors40.xml" ContentType="application/vnd.ms-office.chartcolorstyle+xml"/>
  <Override PartName="/xl/charts/chart41.xml" ContentType="application/vnd.openxmlformats-officedocument.drawingml.chart+xml"/>
  <Override PartName="/xl/charts/style41.xml" ContentType="application/vnd.ms-office.chartstyle+xml"/>
  <Override PartName="/xl/charts/colors41.xml" ContentType="application/vnd.ms-office.chartcolorstyle+xml"/>
  <Override PartName="/xl/charts/chart42.xml" ContentType="application/vnd.openxmlformats-officedocument.drawingml.chart+xml"/>
  <Override PartName="/xl/charts/style42.xml" ContentType="application/vnd.ms-office.chartstyle+xml"/>
  <Override PartName="/xl/charts/colors42.xml" ContentType="application/vnd.ms-office.chartcolorstyle+xml"/>
  <Override PartName="/xl/charts/chart43.xml" ContentType="application/vnd.openxmlformats-officedocument.drawingml.chart+xml"/>
  <Override PartName="/xl/charts/style43.xml" ContentType="application/vnd.ms-office.chartstyle+xml"/>
  <Override PartName="/xl/charts/colors43.xml" ContentType="application/vnd.ms-office.chartcolorstyle+xml"/>
  <Override PartName="/xl/charts/chart44.xml" ContentType="application/vnd.openxmlformats-officedocument.drawingml.chart+xml"/>
  <Override PartName="/xl/charts/style44.xml" ContentType="application/vnd.ms-office.chartstyle+xml"/>
  <Override PartName="/xl/charts/colors44.xml" ContentType="application/vnd.ms-office.chartcolorstyle+xml"/>
  <Override PartName="/xl/drawings/drawing7.xml" ContentType="application/vnd.openxmlformats-officedocument.drawing+xml"/>
  <Override PartName="/xl/tables/table6.xml" ContentType="application/vnd.openxmlformats-officedocument.spreadsheetml.table+xml"/>
  <Override PartName="/xl/charts/chart45.xml" ContentType="application/vnd.openxmlformats-officedocument.drawingml.chart+xml"/>
  <Override PartName="/xl/charts/style45.xml" ContentType="application/vnd.ms-office.chartstyle+xml"/>
  <Override PartName="/xl/charts/colors45.xml" ContentType="application/vnd.ms-office.chartcolorstyle+xml"/>
  <Override PartName="/xl/charts/chart46.xml" ContentType="application/vnd.openxmlformats-officedocument.drawingml.chart+xml"/>
  <Override PartName="/xl/charts/style46.xml" ContentType="application/vnd.ms-office.chartstyle+xml"/>
  <Override PartName="/xl/charts/colors46.xml" ContentType="application/vnd.ms-office.chartcolorstyle+xml"/>
  <Override PartName="/xl/charts/chart47.xml" ContentType="application/vnd.openxmlformats-officedocument.drawingml.chart+xml"/>
  <Override PartName="/xl/charts/style47.xml" ContentType="application/vnd.ms-office.chartstyle+xml"/>
  <Override PartName="/xl/charts/colors47.xml" ContentType="application/vnd.ms-office.chartcolorstyle+xml"/>
  <Override PartName="/xl/charts/chart48.xml" ContentType="application/vnd.openxmlformats-officedocument.drawingml.chart+xml"/>
  <Override PartName="/xl/charts/style48.xml" ContentType="application/vnd.ms-office.chartstyle+xml"/>
  <Override PartName="/xl/charts/colors48.xml" ContentType="application/vnd.ms-office.chartcolorstyle+xml"/>
  <Override PartName="/xl/charts/chart49.xml" ContentType="application/vnd.openxmlformats-officedocument.drawingml.chart+xml"/>
  <Override PartName="/xl/charts/style49.xml" ContentType="application/vnd.ms-office.chartstyle+xml"/>
  <Override PartName="/xl/charts/colors49.xml" ContentType="application/vnd.ms-office.chartcolorstyle+xml"/>
  <Override PartName="/xl/charts/chart50.xml" ContentType="application/vnd.openxmlformats-officedocument.drawingml.chart+xml"/>
  <Override PartName="/xl/charts/style50.xml" ContentType="application/vnd.ms-office.chartstyle+xml"/>
  <Override PartName="/xl/charts/colors50.xml" ContentType="application/vnd.ms-office.chartcolorstyle+xml"/>
  <Override PartName="/xl/charts/chart51.xml" ContentType="application/vnd.openxmlformats-officedocument.drawingml.chart+xml"/>
  <Override PartName="/xl/charts/style51.xml" ContentType="application/vnd.ms-office.chartstyle+xml"/>
  <Override PartName="/xl/charts/colors51.xml" ContentType="application/vnd.ms-office.chartcolorstyle+xml"/>
  <Override PartName="/xl/drawings/drawing8.xml" ContentType="application/vnd.openxmlformats-officedocument.drawing+xml"/>
  <Override PartName="/xl/tables/table7.xml" ContentType="application/vnd.openxmlformats-officedocument.spreadsheetml.table+xml"/>
  <Override PartName="/xl/charts/chart52.xml" ContentType="application/vnd.openxmlformats-officedocument.drawingml.chart+xml"/>
  <Override PartName="/xl/charts/style52.xml" ContentType="application/vnd.ms-office.chartstyle+xml"/>
  <Override PartName="/xl/charts/colors52.xml" ContentType="application/vnd.ms-office.chartcolorstyle+xml"/>
  <Override PartName="/xl/charts/chart53.xml" ContentType="application/vnd.openxmlformats-officedocument.drawingml.chart+xml"/>
  <Override PartName="/xl/charts/style53.xml" ContentType="application/vnd.ms-office.chartstyle+xml"/>
  <Override PartName="/xl/charts/colors53.xml" ContentType="application/vnd.ms-office.chartcolorstyle+xml"/>
  <Override PartName="/xl/charts/chart54.xml" ContentType="application/vnd.openxmlformats-officedocument.drawingml.chart+xml"/>
  <Override PartName="/xl/charts/style54.xml" ContentType="application/vnd.ms-office.chartstyle+xml"/>
  <Override PartName="/xl/charts/colors54.xml" ContentType="application/vnd.ms-office.chartcolorstyle+xml"/>
  <Override PartName="/xl/charts/chart55.xml" ContentType="application/vnd.openxmlformats-officedocument.drawingml.chart+xml"/>
  <Override PartName="/xl/charts/style55.xml" ContentType="application/vnd.ms-office.chartstyle+xml"/>
  <Override PartName="/xl/charts/colors55.xml" ContentType="application/vnd.ms-office.chartcolorstyle+xml"/>
  <Override PartName="/xl/charts/chart56.xml" ContentType="application/vnd.openxmlformats-officedocument.drawingml.chart+xml"/>
  <Override PartName="/xl/charts/style56.xml" ContentType="application/vnd.ms-office.chartstyle+xml"/>
  <Override PartName="/xl/charts/colors56.xml" ContentType="application/vnd.ms-office.chartcolorstyle+xml"/>
  <Override PartName="/xl/charts/chart57.xml" ContentType="application/vnd.openxmlformats-officedocument.drawingml.chart+xml"/>
  <Override PartName="/xl/charts/style57.xml" ContentType="application/vnd.ms-office.chartstyle+xml"/>
  <Override PartName="/xl/charts/colors57.xml" ContentType="application/vnd.ms-office.chartcolorstyle+xml"/>
  <Override PartName="/xl/charts/chart58.xml" ContentType="application/vnd.openxmlformats-officedocument.drawingml.chart+xml"/>
  <Override PartName="/xl/charts/style58.xml" ContentType="application/vnd.ms-office.chartstyle+xml"/>
  <Override PartName="/xl/charts/colors58.xml" ContentType="application/vnd.ms-office.chartcolorstyle+xml"/>
  <Override PartName="/xl/charts/chart59.xml" ContentType="application/vnd.openxmlformats-officedocument.drawingml.chart+xml"/>
  <Override PartName="/xl/charts/style59.xml" ContentType="application/vnd.ms-office.chartstyle+xml"/>
  <Override PartName="/xl/charts/colors59.xml" ContentType="application/vnd.ms-office.chartcolorstyle+xml"/>
  <Override PartName="/xl/drawings/drawing9.xml" ContentType="application/vnd.openxmlformats-officedocument.drawing+xml"/>
  <Override PartName="/xl/tables/table8.xml" ContentType="application/vnd.openxmlformats-officedocument.spreadsheetml.table+xml"/>
  <Override PartName="/xl/drawings/drawing10.xml" ContentType="application/vnd.openxmlformats-officedocument.drawing+xml"/>
  <Override PartName="/xl/charts/chart60.xml" ContentType="application/vnd.openxmlformats-officedocument.drawingml.chart+xml"/>
  <Override PartName="/xl/charts/style60.xml" ContentType="application/vnd.ms-office.chartstyle+xml"/>
  <Override PartName="/xl/charts/colors60.xml" ContentType="application/vnd.ms-office.chartcolorstyle+xml"/>
  <Override PartName="/xl/charts/chart61.xml" ContentType="application/vnd.openxmlformats-officedocument.drawingml.chart+xml"/>
  <Override PartName="/xl/charts/style61.xml" ContentType="application/vnd.ms-office.chartstyle+xml"/>
  <Override PartName="/xl/charts/colors6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filterPrivacy="1" codeName="현재_통합_문서"/>
  <xr:revisionPtr revIDLastSave="4717" documentId="14_{750E2C89-4CD9-42A2-9B9B-FB1261D02A26}" xr6:coauthVersionLast="47" xr6:coauthVersionMax="47" xr10:uidLastSave="{43A1F479-9431-4F1B-9A9A-E03D9DF0D5ED}"/>
  <bookViews>
    <workbookView xWindow="-108" yWindow="-108" windowWidth="23256" windowHeight="12576" firstSheet="8" activeTab="12" xr2:uid="{00000000-000D-0000-FFFF-FFFF00000000}"/>
  </bookViews>
  <sheets>
    <sheet name="표지" sheetId="1" r:id="rId1"/>
    <sheet name="음료" sheetId="6" r:id="rId2"/>
    <sheet name="음식" sheetId="3" r:id="rId3"/>
    <sheet name="숙박" sheetId="7" r:id="rId4"/>
    <sheet name="장비" sheetId="14" r:id="rId5"/>
    <sheet name="편의" sheetId="10" r:id="rId6"/>
    <sheet name="관광" sheetId="11" r:id="rId7"/>
    <sheet name="오락" sheetId="9" r:id="rId8"/>
    <sheet name="성소" sheetId="8" r:id="rId9"/>
    <sheet name="건설 부지에 따른 수치표" sheetId="18" r:id="rId10"/>
    <sheet name="캐릭터 욕구 생성 표" sheetId="15" r:id="rId11"/>
    <sheet name="스테이지 관련 수치" sheetId="16" r:id="rId12"/>
    <sheet name="밸런스 계산" sheetId="17" r:id="rId13"/>
    <sheet name="ref" sheetId="19" r:id="rId14"/>
    <sheet name="선호도" sheetId="5" r:id="rId15"/>
    <sheet name="건설 부지" sheetId="4" r:id="rId16"/>
  </sheets>
  <definedNames>
    <definedName name="_xlnm.Print_Titles" localSheetId="6">관광!$13:$13</definedName>
    <definedName name="_xlnm.Print_Titles" localSheetId="8">성소!$13:$13</definedName>
    <definedName name="_xlnm.Print_Titles" localSheetId="3">숙박!$13:$13</definedName>
    <definedName name="_xlnm.Print_Titles" localSheetId="7">오락!$13:$13</definedName>
    <definedName name="_xlnm.Print_Titles" localSheetId="1">음료!$13:$13</definedName>
    <definedName name="_xlnm.Print_Titles" localSheetId="2">음식!$13:$13</definedName>
    <definedName name="_xlnm.Print_Titles" localSheetId="4">장비!$13:$13</definedName>
    <definedName name="_xlnm.Print_Titles" localSheetId="5">편의!$13:$13</definedName>
    <definedName name="_xlnm.Print_Titles" localSheetId="0">표지!$13:$13</definedName>
    <definedName name="가게_수">'밸런스 계산'!$E:$E</definedName>
    <definedName name="가게당_초당_욕구_해소량">'밸런스 계산'!$D:$D</definedName>
    <definedName name="건설_비용">'밸런스 계산'!$G:$G</definedName>
    <definedName name="관광_애드온_부지">'건설 부지'!$AT$82:$BB$84</definedName>
    <definedName name="관광객_욕구_최대_생성량">'캐릭터 욕구 생성 표'!$M:$M</definedName>
    <definedName name="관광객_욕구_최대_초기치">'캐릭터 욕구 생성 표'!$J:$J</definedName>
    <definedName name="관광객_욕구_최소_생성량">'캐릭터 욕구 생성 표'!$K:$K</definedName>
    <definedName name="관광객_욕구_최소_초기치">'캐릭터 욕구 생성 표'!$H:$H</definedName>
    <definedName name="관광객_욕구_평균_생성량">'캐릭터 욕구 생성 표'!$L:$L</definedName>
    <definedName name="관광객_욕구_평균_초기치">'캐릭터 욕구 생성 표'!$I:$I</definedName>
    <definedName name="관광부지모양">'건설 부지'!$A$82:$AD$85</definedName>
    <definedName name="구호소부지모양">'건설 부지'!$A$51:$X$56</definedName>
    <definedName name="모험가_욕구_최대_생성량">'캐릭터 욕구 생성 표'!$G:$G</definedName>
    <definedName name="모험가_욕구_최대_초기치">'캐릭터 욕구 생성 표'!$D:$D</definedName>
    <definedName name="모험가_욕구_최소_생성량">'캐릭터 욕구 생성 표'!$E:$E</definedName>
    <definedName name="모험가_욕구_최소_초기치">'캐릭터 욕구 생성 표'!$B:$B</definedName>
    <definedName name="모험가_욕구_평균_생성량">'캐릭터 욕구 생성 표'!$F:$F</definedName>
    <definedName name="모험가_욕구_평균_초기치">'캐릭터 욕구 생성 표'!$C:$C</definedName>
    <definedName name="모험가_일선_모험가_포함">'캐릭터 욕구 생성 표'!$B$2:$B$1048576</definedName>
    <definedName name="성소부지">'건설 부지'!$A$31:$W$35</definedName>
    <definedName name="성소부지모양">'건설 부지'!$A$31:$W$35</definedName>
    <definedName name="수익률">'밸런스 계산'!$F:$F</definedName>
    <definedName name="숙박_애드온_부지">'건설 부지'!$AT$21:$BG$23</definedName>
    <definedName name="숙박부지모양">'건설 부지'!$A$21:$AL$25</definedName>
    <definedName name="시그마_n">'밸런스 계산'!#REF!</definedName>
    <definedName name="시그마_n분의1">'밸런스 계산'!#REF!</definedName>
    <definedName name="시작_골드">'스테이지 관련 수치'!$B$2</definedName>
    <definedName name="오락_애드온_부지">'건설 부지'!$AT$41:$BB$42</definedName>
    <definedName name="오락부지모양">'건설 부지'!$A$41:$AH$45</definedName>
    <definedName name="음료_애드온_부지">'건설 부지'!$AT$11:$BG$13</definedName>
    <definedName name="음료부지모양">'건설 부지'!$A$11:$AE$14</definedName>
    <definedName name="음식_애드온_부지">'건설 부지'!$AT$1:$BC$3</definedName>
    <definedName name="음식부지모양">'건설 부지'!$A$1:$AI$4</definedName>
    <definedName name="장비부지모양">'건설 부지'!$A$61:$BL$65</definedName>
    <definedName name="총_건설_비용">'밸런스 계산'!$I:$I</definedName>
    <definedName name="최대_욕구_생성량">'밸런스 계산'!$B:$B</definedName>
    <definedName name="최대_캐릭터_수">'스테이지 관련 수치'!$B$8</definedName>
    <definedName name="편의_애드온_부지">'건설 부지'!$AT$71:$BF$73</definedName>
    <definedName name="편의부지모양">'건설 부지'!$A$71:$AH$75</definedName>
    <definedName name="평균_사냥_시간">'스테이지 관련 수치'!$B$13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20" i="17" l="1"/>
  <c r="L20" i="17" l="1"/>
  <c r="L19" i="17"/>
  <c r="K19" i="17"/>
  <c r="K18" i="17"/>
  <c r="H19" i="17"/>
  <c r="H18" i="17"/>
  <c r="H17" i="17"/>
  <c r="K14" i="17"/>
  <c r="I14" i="17" a="1"/>
  <c r="I14" i="17" s="1"/>
  <c r="K17" i="17" s="1" a="1"/>
  <c r="K17" i="17" s="1"/>
  <c r="I13" i="17"/>
  <c r="K12" i="17" s="1"/>
  <c r="K13" i="17" s="1"/>
  <c r="J20" i="17" l="1"/>
  <c r="J21" i="17" s="1"/>
  <c r="K21" i="17" l="1"/>
  <c r="L21" i="17" s="1"/>
  <c r="G3" i="19" l="1"/>
  <c r="E3" i="19"/>
  <c r="C3" i="19"/>
  <c r="G21" i="9"/>
  <c r="G20" i="9"/>
  <c r="G19" i="9"/>
  <c r="G21" i="7"/>
  <c r="G19" i="7"/>
  <c r="G17" i="7"/>
  <c r="G18" i="11"/>
  <c r="G17" i="11"/>
  <c r="G16" i="11"/>
  <c r="G19" i="10"/>
  <c r="G18" i="10"/>
  <c r="G17" i="10"/>
  <c r="G16" i="10"/>
  <c r="L5" i="7"/>
  <c r="L6" i="7"/>
  <c r="L7" i="7"/>
  <c r="L8" i="7"/>
  <c r="L9" i="7"/>
  <c r="L11" i="7"/>
  <c r="L12" i="7"/>
  <c r="G22" i="7"/>
  <c r="G20" i="7"/>
  <c r="G18" i="7"/>
  <c r="G18" i="3"/>
  <c r="G20" i="3"/>
  <c r="G19" i="3"/>
  <c r="G17" i="3"/>
  <c r="L5" i="8"/>
  <c r="L6" i="8"/>
  <c r="L7" i="8"/>
  <c r="L8" i="8"/>
  <c r="L9" i="8"/>
  <c r="L6" i="9"/>
  <c r="L7" i="9"/>
  <c r="L8" i="9"/>
  <c r="L9" i="9"/>
  <c r="L10" i="9"/>
  <c r="L11" i="9"/>
  <c r="L12" i="9"/>
  <c r="L5" i="9"/>
  <c r="L6" i="11"/>
  <c r="L7" i="11"/>
  <c r="L8" i="11"/>
  <c r="L9" i="11"/>
  <c r="L10" i="11"/>
  <c r="L11" i="11"/>
  <c r="L5" i="11"/>
  <c r="L6" i="10"/>
  <c r="L7" i="10"/>
  <c r="L8" i="10"/>
  <c r="L9" i="10"/>
  <c r="L11" i="10"/>
  <c r="L5" i="10"/>
  <c r="L6" i="14"/>
  <c r="L7" i="14"/>
  <c r="L8" i="14"/>
  <c r="L9" i="14"/>
  <c r="L10" i="14"/>
  <c r="L11" i="14"/>
  <c r="L12" i="14"/>
  <c r="L13" i="14"/>
  <c r="L14" i="14"/>
  <c r="L15" i="14"/>
  <c r="L16" i="14"/>
  <c r="L17" i="14"/>
  <c r="L18" i="14"/>
  <c r="L5" i="14"/>
  <c r="L12" i="3"/>
  <c r="L11" i="3"/>
  <c r="L10" i="3"/>
  <c r="L9" i="3"/>
  <c r="L8" i="3"/>
  <c r="L7" i="3"/>
  <c r="L6" i="3"/>
  <c r="L5" i="3"/>
  <c r="F3" i="19"/>
  <c r="F4" i="19"/>
  <c r="F5" i="19"/>
  <c r="F6" i="19"/>
  <c r="F7" i="19"/>
  <c r="F8" i="19"/>
  <c r="F2" i="19"/>
  <c r="D3" i="19"/>
  <c r="D4" i="19"/>
  <c r="D5" i="19"/>
  <c r="D6" i="19"/>
  <c r="D7" i="19"/>
  <c r="D8" i="19"/>
  <c r="D2" i="19"/>
  <c r="B3" i="19"/>
  <c r="C3" i="17" s="1" a="1"/>
  <c r="C3" i="17" s="1"/>
  <c r="B4" i="19"/>
  <c r="B5" i="19"/>
  <c r="B6" i="19"/>
  <c r="B7" i="19"/>
  <c r="B8" i="19"/>
  <c r="B2" i="19"/>
  <c r="G8" i="19"/>
  <c r="E8" i="19"/>
  <c r="C8" i="19"/>
  <c r="C8" i="17" s="1" a="1"/>
  <c r="C8" i="17" s="1"/>
  <c r="R3" i="14"/>
  <c r="B5" i="17"/>
  <c r="B3" i="17"/>
  <c r="B4" i="17"/>
  <c r="B6" i="17"/>
  <c r="B7" i="17"/>
  <c r="B8" i="17"/>
  <c r="B2" i="17"/>
  <c r="R3" i="9"/>
  <c r="R3" i="10"/>
  <c r="R3" i="11"/>
  <c r="R3" i="7"/>
  <c r="R3" i="3"/>
  <c r="R3" i="6"/>
  <c r="R5" i="9"/>
  <c r="R6" i="9"/>
  <c r="R7" i="9"/>
  <c r="R8" i="9"/>
  <c r="R9" i="9"/>
  <c r="R10" i="9"/>
  <c r="R11" i="9"/>
  <c r="R12" i="9"/>
  <c r="R5" i="10"/>
  <c r="R6" i="10"/>
  <c r="R7" i="10"/>
  <c r="R8" i="10"/>
  <c r="R9" i="10"/>
  <c r="R10" i="10"/>
  <c r="R11" i="10"/>
  <c r="R5" i="11"/>
  <c r="R6" i="11"/>
  <c r="R7" i="11"/>
  <c r="R8" i="11"/>
  <c r="R9" i="11"/>
  <c r="R10" i="11"/>
  <c r="R11" i="11"/>
  <c r="R5" i="14"/>
  <c r="R6" i="14"/>
  <c r="R7" i="14"/>
  <c r="R8" i="14"/>
  <c r="R9" i="14"/>
  <c r="R10" i="14"/>
  <c r="R11" i="14"/>
  <c r="R12" i="14"/>
  <c r="R13" i="14"/>
  <c r="R14" i="14"/>
  <c r="R15" i="14"/>
  <c r="R16" i="14"/>
  <c r="R17" i="14"/>
  <c r="R18" i="14"/>
  <c r="R5" i="7"/>
  <c r="R6" i="7"/>
  <c r="R7" i="7"/>
  <c r="R8" i="7"/>
  <c r="R9" i="7"/>
  <c r="R10" i="7"/>
  <c r="R11" i="7"/>
  <c r="R12" i="7"/>
  <c r="R5" i="3"/>
  <c r="R6" i="3"/>
  <c r="R7" i="3"/>
  <c r="R8" i="3"/>
  <c r="R9" i="3"/>
  <c r="R10" i="3"/>
  <c r="R11" i="3"/>
  <c r="R12" i="3"/>
  <c r="R5" i="6"/>
  <c r="F11" i="15"/>
  <c r="G8" i="17" l="1" a="1"/>
  <c r="G8" i="17" s="1"/>
  <c r="G3" i="17" a="1"/>
  <c r="G3" i="17" s="1"/>
  <c r="F8" i="17" a="1"/>
  <c r="F8" i="17" s="1"/>
  <c r="B9" i="17"/>
  <c r="L5" i="15"/>
  <c r="L6" i="15"/>
  <c r="L7" i="15"/>
  <c r="L8" i="15"/>
  <c r="L9" i="15"/>
  <c r="L10" i="15"/>
  <c r="L12" i="15"/>
  <c r="L4" i="15"/>
  <c r="I5" i="15"/>
  <c r="I6" i="15"/>
  <c r="I7" i="15"/>
  <c r="I8" i="15"/>
  <c r="I9" i="15"/>
  <c r="I10" i="15"/>
  <c r="I12" i="15"/>
  <c r="I4" i="15"/>
  <c r="F5" i="15"/>
  <c r="F6" i="15"/>
  <c r="F7" i="15"/>
  <c r="F8" i="15"/>
  <c r="F9" i="15"/>
  <c r="F10" i="15"/>
  <c r="F12" i="15"/>
  <c r="F4" i="15"/>
  <c r="C5" i="15"/>
  <c r="C6" i="15"/>
  <c r="C7" i="15"/>
  <c r="C8" i="15"/>
  <c r="C9" i="15"/>
  <c r="C10" i="15"/>
  <c r="C12" i="15"/>
  <c r="C4" i="15"/>
  <c r="R6" i="6"/>
  <c r="R7" i="6"/>
  <c r="R8" i="6"/>
  <c r="R9" i="6"/>
  <c r="R10" i="6"/>
  <c r="R11" i="6"/>
  <c r="AF84" i="5"/>
  <c r="AG84" i="5"/>
  <c r="AH84" i="5"/>
  <c r="AI84" i="5"/>
  <c r="AI82" i="5"/>
  <c r="AH82" i="5"/>
  <c r="AG82" i="5"/>
  <c r="AF82" i="5"/>
  <c r="AF78" i="5"/>
  <c r="AG78" i="5"/>
  <c r="AH78" i="5"/>
  <c r="AI78" i="5"/>
  <c r="AF80" i="5"/>
  <c r="AG80" i="5"/>
  <c r="AH80" i="5"/>
  <c r="AI80" i="5"/>
  <c r="AI76" i="5"/>
  <c r="AH76" i="5"/>
  <c r="AG76" i="5"/>
  <c r="AF76" i="5"/>
  <c r="N90" i="5"/>
  <c r="O90" i="5"/>
  <c r="P90" i="5"/>
  <c r="Q90" i="5"/>
  <c r="N92" i="5"/>
  <c r="O92" i="5"/>
  <c r="P92" i="5"/>
  <c r="Q92" i="5"/>
  <c r="N88" i="5"/>
  <c r="O88" i="5"/>
  <c r="P88" i="5"/>
  <c r="Q88" i="5"/>
  <c r="N84" i="5"/>
  <c r="O84" i="5"/>
  <c r="P84" i="5"/>
  <c r="Q84" i="5"/>
  <c r="N86" i="5"/>
  <c r="O86" i="5"/>
  <c r="P86" i="5"/>
  <c r="Q86" i="5"/>
  <c r="N82" i="5"/>
  <c r="O82" i="5"/>
  <c r="P82" i="5"/>
  <c r="Q82" i="5"/>
  <c r="N78" i="5"/>
  <c r="O78" i="5"/>
  <c r="P78" i="5"/>
  <c r="Q78" i="5"/>
  <c r="N80" i="5"/>
  <c r="O80" i="5"/>
  <c r="P80" i="5"/>
  <c r="Q80" i="5"/>
  <c r="N19" i="5" l="1"/>
  <c r="O19" i="5"/>
  <c r="P19" i="5"/>
  <c r="Q19" i="5"/>
  <c r="N11" i="6"/>
  <c r="L11" i="6" s="1"/>
  <c r="S11" i="6"/>
  <c r="T11" i="6"/>
  <c r="N17" i="5"/>
  <c r="O17" i="5"/>
  <c r="P17" i="5"/>
  <c r="Q17" i="5"/>
  <c r="Q11" i="6" l="1"/>
  <c r="P11" i="6"/>
  <c r="O11" i="6"/>
  <c r="Q160" i="5"/>
  <c r="P160" i="5"/>
  <c r="O160" i="5"/>
  <c r="N160" i="5"/>
  <c r="Q158" i="5"/>
  <c r="P158" i="5"/>
  <c r="O158" i="5"/>
  <c r="N158" i="5"/>
  <c r="Q156" i="5"/>
  <c r="P156" i="5"/>
  <c r="O156" i="5"/>
  <c r="N156" i="5"/>
  <c r="Q154" i="5"/>
  <c r="P154" i="5"/>
  <c r="O154" i="5"/>
  <c r="N154" i="5"/>
  <c r="Q152" i="5"/>
  <c r="P152" i="5"/>
  <c r="O152" i="5"/>
  <c r="N152" i="5"/>
  <c r="Q150" i="5"/>
  <c r="P150" i="5"/>
  <c r="O150" i="5"/>
  <c r="N150" i="5"/>
  <c r="Q148" i="5"/>
  <c r="P148" i="5"/>
  <c r="O148" i="5"/>
  <c r="N148" i="5"/>
  <c r="Q136" i="5"/>
  <c r="P136" i="5"/>
  <c r="O136" i="5"/>
  <c r="N136" i="5"/>
  <c r="Q134" i="5"/>
  <c r="P134" i="5"/>
  <c r="O134" i="5"/>
  <c r="N134" i="5"/>
  <c r="Q132" i="5"/>
  <c r="P132" i="5"/>
  <c r="O132" i="5"/>
  <c r="N132" i="5"/>
  <c r="Q130" i="5"/>
  <c r="P130" i="5"/>
  <c r="O130" i="5"/>
  <c r="N130" i="5"/>
  <c r="Q128" i="5"/>
  <c r="P128" i="5"/>
  <c r="O128" i="5"/>
  <c r="N128" i="5"/>
  <c r="Q126" i="5"/>
  <c r="P126" i="5"/>
  <c r="O126" i="5"/>
  <c r="N126" i="5"/>
  <c r="Q124" i="5"/>
  <c r="P124" i="5"/>
  <c r="O124" i="5"/>
  <c r="N124" i="5"/>
  <c r="Q114" i="5"/>
  <c r="P114" i="5"/>
  <c r="O114" i="5"/>
  <c r="N114" i="5"/>
  <c r="Q112" i="5"/>
  <c r="P112" i="5"/>
  <c r="O112" i="5"/>
  <c r="N112" i="5"/>
  <c r="Q110" i="5"/>
  <c r="P110" i="5"/>
  <c r="O110" i="5"/>
  <c r="N110" i="5"/>
  <c r="Q108" i="5"/>
  <c r="P108" i="5"/>
  <c r="O108" i="5"/>
  <c r="N108" i="5"/>
  <c r="Q106" i="5"/>
  <c r="P106" i="5"/>
  <c r="O106" i="5"/>
  <c r="N106" i="5"/>
  <c r="Q104" i="5"/>
  <c r="P104" i="5"/>
  <c r="O104" i="5"/>
  <c r="N104" i="5"/>
  <c r="Q102" i="5"/>
  <c r="P102" i="5"/>
  <c r="O102" i="5"/>
  <c r="N102" i="5"/>
  <c r="Q100" i="5"/>
  <c r="P100" i="5"/>
  <c r="O100" i="5"/>
  <c r="N100" i="5"/>
  <c r="Q76" i="5"/>
  <c r="P76" i="5"/>
  <c r="O76" i="5"/>
  <c r="N76" i="5"/>
  <c r="Q67" i="5"/>
  <c r="P67" i="5"/>
  <c r="O67" i="5"/>
  <c r="N67" i="5"/>
  <c r="Q65" i="5"/>
  <c r="P65" i="5"/>
  <c r="O65" i="5"/>
  <c r="N65" i="5"/>
  <c r="Q63" i="5"/>
  <c r="P63" i="5"/>
  <c r="O63" i="5"/>
  <c r="N63" i="5"/>
  <c r="Q61" i="5"/>
  <c r="P61" i="5"/>
  <c r="O61" i="5"/>
  <c r="N61" i="5"/>
  <c r="Q59" i="5"/>
  <c r="P59" i="5"/>
  <c r="O59" i="5"/>
  <c r="N59" i="5"/>
  <c r="Q57" i="5"/>
  <c r="P57" i="5"/>
  <c r="O57" i="5"/>
  <c r="N57" i="5"/>
  <c r="Q55" i="5"/>
  <c r="P55" i="5"/>
  <c r="O55" i="5"/>
  <c r="N55" i="5"/>
  <c r="Q53" i="5"/>
  <c r="P53" i="5"/>
  <c r="O53" i="5"/>
  <c r="N53" i="5"/>
  <c r="Q43" i="5"/>
  <c r="P43" i="5"/>
  <c r="O43" i="5"/>
  <c r="N43" i="5"/>
  <c r="Q41" i="5"/>
  <c r="P41" i="5"/>
  <c r="O41" i="5"/>
  <c r="N41" i="5"/>
  <c r="Q39" i="5"/>
  <c r="P39" i="5"/>
  <c r="O39" i="5"/>
  <c r="N39" i="5"/>
  <c r="Q37" i="5"/>
  <c r="P37" i="5"/>
  <c r="O37" i="5"/>
  <c r="N37" i="5"/>
  <c r="Q35" i="5"/>
  <c r="P35" i="5"/>
  <c r="O35" i="5"/>
  <c r="N35" i="5"/>
  <c r="Q33" i="5"/>
  <c r="P33" i="5"/>
  <c r="O33" i="5"/>
  <c r="N33" i="5"/>
  <c r="Q31" i="5"/>
  <c r="P31" i="5"/>
  <c r="O31" i="5"/>
  <c r="N31" i="5"/>
  <c r="Q29" i="5"/>
  <c r="P29" i="5"/>
  <c r="O29" i="5"/>
  <c r="N29" i="5"/>
  <c r="Q15" i="5"/>
  <c r="P15" i="5"/>
  <c r="O15" i="5"/>
  <c r="N15" i="5"/>
  <c r="Q13" i="5"/>
  <c r="P13" i="5"/>
  <c r="O13" i="5"/>
  <c r="N13" i="5"/>
  <c r="Q11" i="5"/>
  <c r="P11" i="5"/>
  <c r="O11" i="5"/>
  <c r="N11" i="5"/>
  <c r="Q9" i="5"/>
  <c r="P9" i="5"/>
  <c r="O9" i="5"/>
  <c r="N9" i="5"/>
  <c r="Q7" i="5"/>
  <c r="P7" i="5"/>
  <c r="O7" i="5"/>
  <c r="N7" i="5"/>
  <c r="Q5" i="5"/>
  <c r="P5" i="5"/>
  <c r="O5" i="5"/>
  <c r="N5" i="5"/>
  <c r="R9" i="8"/>
  <c r="N9" i="8"/>
  <c r="R8" i="8"/>
  <c r="N8" i="8"/>
  <c r="R7" i="8"/>
  <c r="N7" i="8"/>
  <c r="R6" i="8"/>
  <c r="N6" i="8"/>
  <c r="R5" i="8"/>
  <c r="N5" i="8"/>
  <c r="T12" i="9"/>
  <c r="S12" i="9"/>
  <c r="N12" i="9"/>
  <c r="T11" i="9"/>
  <c r="S11" i="9"/>
  <c r="N11" i="9"/>
  <c r="T10" i="9"/>
  <c r="S10" i="9"/>
  <c r="N10" i="9"/>
  <c r="T9" i="9"/>
  <c r="S9" i="9"/>
  <c r="N9" i="9"/>
  <c r="T8" i="9"/>
  <c r="S8" i="9"/>
  <c r="N8" i="9"/>
  <c r="T7" i="9"/>
  <c r="S7" i="9"/>
  <c r="N7" i="9"/>
  <c r="T6" i="9"/>
  <c r="S6" i="9"/>
  <c r="N6" i="9"/>
  <c r="T5" i="9"/>
  <c r="S5" i="9"/>
  <c r="N5" i="9"/>
  <c r="T11" i="10"/>
  <c r="S11" i="10"/>
  <c r="N11" i="10"/>
  <c r="T10" i="10"/>
  <c r="S10" i="10"/>
  <c r="N10" i="10"/>
  <c r="L10" i="10" s="1"/>
  <c r="T9" i="10"/>
  <c r="S9" i="10"/>
  <c r="N9" i="10"/>
  <c r="T8" i="10"/>
  <c r="S8" i="10"/>
  <c r="N8" i="10"/>
  <c r="T7" i="10"/>
  <c r="S7" i="10"/>
  <c r="N7" i="10"/>
  <c r="T6" i="10"/>
  <c r="S6" i="10"/>
  <c r="N6" i="10"/>
  <c r="T5" i="10"/>
  <c r="S5" i="10"/>
  <c r="N5" i="10"/>
  <c r="T11" i="11"/>
  <c r="S11" i="11"/>
  <c r="N11" i="11"/>
  <c r="T10" i="11"/>
  <c r="S10" i="11"/>
  <c r="N10" i="11"/>
  <c r="T9" i="11"/>
  <c r="S9" i="11"/>
  <c r="N9" i="11"/>
  <c r="T8" i="11"/>
  <c r="S8" i="11"/>
  <c r="N8" i="11"/>
  <c r="T7" i="11"/>
  <c r="S7" i="11"/>
  <c r="N7" i="11"/>
  <c r="T6" i="11"/>
  <c r="S6" i="11"/>
  <c r="N6" i="11"/>
  <c r="T5" i="11"/>
  <c r="S5" i="11"/>
  <c r="N5" i="11"/>
  <c r="T18" i="14"/>
  <c r="S18" i="14"/>
  <c r="N18" i="14"/>
  <c r="T17" i="14"/>
  <c r="S17" i="14"/>
  <c r="N17" i="14"/>
  <c r="T16" i="14"/>
  <c r="S16" i="14"/>
  <c r="N16" i="14"/>
  <c r="T15" i="14"/>
  <c r="S15" i="14"/>
  <c r="N15" i="14"/>
  <c r="T14" i="14"/>
  <c r="S14" i="14"/>
  <c r="N14" i="14"/>
  <c r="T13" i="14"/>
  <c r="S13" i="14"/>
  <c r="N13" i="14"/>
  <c r="T12" i="14"/>
  <c r="S12" i="14"/>
  <c r="N12" i="14"/>
  <c r="T11" i="14"/>
  <c r="S11" i="14"/>
  <c r="N11" i="14"/>
  <c r="T10" i="14"/>
  <c r="S10" i="14"/>
  <c r="N10" i="14"/>
  <c r="T9" i="14"/>
  <c r="S9" i="14"/>
  <c r="N9" i="14"/>
  <c r="T8" i="14"/>
  <c r="S8" i="14"/>
  <c r="N8" i="14"/>
  <c r="T7" i="14"/>
  <c r="S7" i="14"/>
  <c r="N7" i="14"/>
  <c r="T6" i="14"/>
  <c r="S6" i="14"/>
  <c r="N6" i="14"/>
  <c r="T5" i="14"/>
  <c r="S5" i="14"/>
  <c r="N5" i="14"/>
  <c r="T12" i="7"/>
  <c r="S12" i="7"/>
  <c r="N12" i="7"/>
  <c r="T11" i="7"/>
  <c r="S11" i="7"/>
  <c r="N11" i="7"/>
  <c r="T10" i="7"/>
  <c r="S10" i="7"/>
  <c r="N10" i="7"/>
  <c r="T9" i="7"/>
  <c r="S9" i="7"/>
  <c r="N9" i="7"/>
  <c r="T8" i="7"/>
  <c r="S8" i="7"/>
  <c r="N8" i="7"/>
  <c r="T7" i="7"/>
  <c r="S7" i="7"/>
  <c r="N7" i="7"/>
  <c r="T6" i="7"/>
  <c r="S6" i="7"/>
  <c r="N6" i="7"/>
  <c r="T5" i="7"/>
  <c r="S5" i="7"/>
  <c r="N5" i="7"/>
  <c r="T12" i="3"/>
  <c r="S12" i="3"/>
  <c r="N12" i="3"/>
  <c r="T11" i="3"/>
  <c r="S11" i="3"/>
  <c r="N11" i="3"/>
  <c r="T10" i="3"/>
  <c r="S10" i="3"/>
  <c r="N10" i="3"/>
  <c r="T9" i="3"/>
  <c r="S9" i="3"/>
  <c r="N9" i="3"/>
  <c r="T8" i="3"/>
  <c r="S8" i="3"/>
  <c r="N8" i="3"/>
  <c r="T7" i="3"/>
  <c r="S7" i="3"/>
  <c r="N7" i="3"/>
  <c r="T6" i="3"/>
  <c r="S6" i="3"/>
  <c r="N6" i="3"/>
  <c r="T5" i="3"/>
  <c r="S5" i="3"/>
  <c r="N5" i="3"/>
  <c r="T10" i="6"/>
  <c r="S10" i="6"/>
  <c r="N10" i="6"/>
  <c r="L10" i="6" s="1"/>
  <c r="T9" i="6"/>
  <c r="S9" i="6"/>
  <c r="N9" i="6"/>
  <c r="L9" i="6" s="1"/>
  <c r="T8" i="6"/>
  <c r="S8" i="6"/>
  <c r="N8" i="6"/>
  <c r="L8" i="6" s="1"/>
  <c r="T7" i="6"/>
  <c r="S7" i="6"/>
  <c r="N7" i="6"/>
  <c r="L7" i="6" s="1"/>
  <c r="T6" i="6"/>
  <c r="S6" i="6"/>
  <c r="N6" i="6"/>
  <c r="L6" i="6" s="1"/>
  <c r="T5" i="6"/>
  <c r="S5" i="6"/>
  <c r="N5" i="6"/>
  <c r="L5" i="6" s="1"/>
  <c r="C7" i="19" l="1"/>
  <c r="C7" i="17" s="1" a="1"/>
  <c r="C7" i="17" s="1"/>
  <c r="D7" i="17" s="1" a="1"/>
  <c r="D7" i="17" s="1"/>
  <c r="E7" i="19"/>
  <c r="G7" i="19"/>
  <c r="E4" i="19"/>
  <c r="D4" i="17"/>
  <c r="E4" i="17" s="1"/>
  <c r="C4" i="19"/>
  <c r="G4" i="19"/>
  <c r="L10" i="7"/>
  <c r="O10" i="7" s="1"/>
  <c r="C6" i="19"/>
  <c r="G6" i="19"/>
  <c r="E6" i="19"/>
  <c r="E5" i="19"/>
  <c r="C5" i="19"/>
  <c r="C5" i="17" s="1" a="1"/>
  <c r="C5" i="17" s="1"/>
  <c r="G5" i="19"/>
  <c r="E2" i="19"/>
  <c r="G2" i="19"/>
  <c r="C9" i="17"/>
  <c r="C2" i="19"/>
  <c r="D8" i="17" a="1"/>
  <c r="D8" i="17" s="1"/>
  <c r="D5" i="17"/>
  <c r="E5" i="17" s="1"/>
  <c r="Q9" i="9"/>
  <c r="P9" i="9"/>
  <c r="Q6" i="9"/>
  <c r="P6" i="9"/>
  <c r="O10" i="9"/>
  <c r="P10" i="9"/>
  <c r="Q7" i="9"/>
  <c r="P7" i="9"/>
  <c r="O11" i="9"/>
  <c r="P11" i="9"/>
  <c r="Q5" i="9"/>
  <c r="P5" i="9"/>
  <c r="Q8" i="9"/>
  <c r="P8" i="9"/>
  <c r="O12" i="9"/>
  <c r="P12" i="9"/>
  <c r="Q6" i="8"/>
  <c r="P6" i="8"/>
  <c r="Q5" i="8"/>
  <c r="P5" i="8"/>
  <c r="Q7" i="8"/>
  <c r="P7" i="8"/>
  <c r="Q8" i="8"/>
  <c r="P8" i="8"/>
  <c r="Q9" i="8"/>
  <c r="P9" i="8"/>
  <c r="Q8" i="10"/>
  <c r="O8" i="10"/>
  <c r="P8" i="10"/>
  <c r="Q5" i="10"/>
  <c r="O5" i="10"/>
  <c r="P5" i="10"/>
  <c r="P9" i="10"/>
  <c r="O9" i="10"/>
  <c r="Q6" i="10"/>
  <c r="O6" i="10"/>
  <c r="P6" i="10"/>
  <c r="Q10" i="10"/>
  <c r="P10" i="10"/>
  <c r="O10" i="10"/>
  <c r="O7" i="10"/>
  <c r="P7" i="10"/>
  <c r="P11" i="10"/>
  <c r="O11" i="10"/>
  <c r="O8" i="11"/>
  <c r="P8" i="11"/>
  <c r="Q11" i="11"/>
  <c r="P11" i="11"/>
  <c r="Q5" i="11"/>
  <c r="P5" i="11"/>
  <c r="Q9" i="11"/>
  <c r="P9" i="11"/>
  <c r="Q6" i="11"/>
  <c r="P6" i="11"/>
  <c r="O10" i="11"/>
  <c r="P10" i="11"/>
  <c r="Q7" i="11"/>
  <c r="P7" i="11"/>
  <c r="O9" i="14"/>
  <c r="P9" i="14"/>
  <c r="O10" i="14"/>
  <c r="P10" i="14"/>
  <c r="O14" i="14"/>
  <c r="P14" i="14"/>
  <c r="Q18" i="14"/>
  <c r="P18" i="14"/>
  <c r="Q5" i="14"/>
  <c r="P5" i="14"/>
  <c r="Q17" i="14"/>
  <c r="P17" i="14"/>
  <c r="O15" i="14"/>
  <c r="P15" i="14"/>
  <c r="Q11" i="14"/>
  <c r="P11" i="14"/>
  <c r="Q6" i="14"/>
  <c r="P6" i="14"/>
  <c r="Q8" i="14"/>
  <c r="P8" i="14"/>
  <c r="O12" i="14"/>
  <c r="P12" i="14"/>
  <c r="O16" i="14"/>
  <c r="P16" i="14"/>
  <c r="O13" i="14"/>
  <c r="P13" i="14"/>
  <c r="O7" i="14"/>
  <c r="P7" i="14"/>
  <c r="O9" i="7"/>
  <c r="P9" i="7"/>
  <c r="O7" i="7"/>
  <c r="P7" i="7"/>
  <c r="O11" i="7"/>
  <c r="P11" i="7"/>
  <c r="O5" i="7"/>
  <c r="P5" i="7"/>
  <c r="Q6" i="7"/>
  <c r="P6" i="7"/>
  <c r="O8" i="7"/>
  <c r="P8" i="7"/>
  <c r="Q12" i="7"/>
  <c r="P12" i="7"/>
  <c r="Q10" i="3"/>
  <c r="P10" i="3"/>
  <c r="Q5" i="3"/>
  <c r="P5" i="3"/>
  <c r="Q7" i="3"/>
  <c r="P7" i="3"/>
  <c r="Q11" i="3"/>
  <c r="P11" i="3"/>
  <c r="Q6" i="3"/>
  <c r="P6" i="3"/>
  <c r="Q9" i="3"/>
  <c r="P9" i="3"/>
  <c r="O12" i="3"/>
  <c r="P12" i="3"/>
  <c r="Q8" i="3"/>
  <c r="P8" i="3"/>
  <c r="Q8" i="6"/>
  <c r="P8" i="6"/>
  <c r="Q7" i="6"/>
  <c r="P7" i="6"/>
  <c r="Q5" i="6"/>
  <c r="P5" i="6"/>
  <c r="O9" i="6"/>
  <c r="P9" i="6"/>
  <c r="Q10" i="6"/>
  <c r="P10" i="6"/>
  <c r="Q6" i="6"/>
  <c r="P6" i="6"/>
  <c r="O6" i="8"/>
  <c r="Q11" i="10"/>
  <c r="Q9" i="6"/>
  <c r="Q9" i="14"/>
  <c r="O7" i="11"/>
  <c r="Q12" i="9"/>
  <c r="O5" i="11"/>
  <c r="Q10" i="9"/>
  <c r="Q16" i="14"/>
  <c r="O8" i="14"/>
  <c r="Q9" i="10"/>
  <c r="Q9" i="7"/>
  <c r="O6" i="14"/>
  <c r="Q10" i="11"/>
  <c r="O7" i="9"/>
  <c r="O9" i="9"/>
  <c r="O8" i="8"/>
  <c r="Q5" i="7"/>
  <c r="Q13" i="14"/>
  <c r="Q8" i="11"/>
  <c r="Q11" i="7"/>
  <c r="Q7" i="7"/>
  <c r="O5" i="14"/>
  <c r="O6" i="9"/>
  <c r="Q10" i="7"/>
  <c r="Q10" i="14"/>
  <c r="O6" i="11"/>
  <c r="O8" i="9"/>
  <c r="Q11" i="9"/>
  <c r="O12" i="7"/>
  <c r="Q7" i="14"/>
  <c r="O17" i="14"/>
  <c r="O11" i="11"/>
  <c r="Q7" i="10"/>
  <c r="O5" i="9"/>
  <c r="O5" i="8"/>
  <c r="O7" i="8"/>
  <c r="O9" i="8"/>
  <c r="O18" i="14"/>
  <c r="O9" i="11"/>
  <c r="Q12" i="3"/>
  <c r="Q15" i="14"/>
  <c r="Q14" i="14"/>
  <c r="Q12" i="14"/>
  <c r="O11" i="14"/>
  <c r="O7" i="3"/>
  <c r="O6" i="7"/>
  <c r="Q8" i="7"/>
  <c r="O11" i="3"/>
  <c r="O6" i="3"/>
  <c r="O8" i="3"/>
  <c r="O10" i="3"/>
  <c r="O5" i="3"/>
  <c r="O9" i="3"/>
  <c r="O8" i="6"/>
  <c r="O5" i="6"/>
  <c r="O10" i="6"/>
  <c r="O7" i="6"/>
  <c r="O6" i="6"/>
  <c r="G7" i="17" l="1" a="1"/>
  <c r="G7" i="17" s="1"/>
  <c r="F7" i="17" a="1"/>
  <c r="F7" i="17" s="1"/>
  <c r="C4" i="17" a="1"/>
  <c r="C4" i="17" s="1"/>
  <c r="H4" i="17" s="1" a="1"/>
  <c r="H4" i="17" s="1"/>
  <c r="P10" i="7"/>
  <c r="C2" i="17" a="1"/>
  <c r="C2" i="17" s="1"/>
  <c r="G5" i="17" a="1"/>
  <c r="G5" i="17" s="1"/>
  <c r="F5" i="17" a="1"/>
  <c r="F5" i="17" s="1"/>
  <c r="E7" i="17"/>
  <c r="E8" i="17"/>
  <c r="C6" i="17" a="1"/>
  <c r="C6" i="17" s="1"/>
  <c r="F3" i="17" a="1"/>
  <c r="F3" i="17" s="1"/>
  <c r="H5" i="17" a="1"/>
  <c r="H5" i="17" s="1"/>
  <c r="I5" i="17" a="1"/>
  <c r="I5" i="17" s="1"/>
  <c r="G2" i="17" l="1" a="1"/>
  <c r="G2" i="17" s="1"/>
  <c r="I4" i="17" a="1"/>
  <c r="I4" i="17" s="1"/>
  <c r="F4" i="17" a="1"/>
  <c r="F4" i="17" s="1"/>
  <c r="G4" i="17" a="1"/>
  <c r="G4" i="17" s="1"/>
  <c r="D2" i="17" a="1"/>
  <c r="D2" i="17" s="1"/>
  <c r="E2" i="17" s="1"/>
  <c r="F2" i="17" a="1"/>
  <c r="F2" i="17" s="1"/>
  <c r="H8" i="17" a="1"/>
  <c r="H8" i="17" s="1"/>
  <c r="H7" i="17" a="1"/>
  <c r="H7" i="17" s="1"/>
  <c r="D6" i="17" a="1"/>
  <c r="D6" i="17" s="1"/>
  <c r="E6" i="17" s="1"/>
  <c r="G6" i="17" a="1"/>
  <c r="G6" i="17" s="1"/>
  <c r="F6" i="17" a="1"/>
  <c r="F6" i="17" s="1"/>
  <c r="D3" i="17" a="1"/>
  <c r="D3" i="17" s="1"/>
  <c r="E3" i="17" s="1"/>
  <c r="I7" i="17" a="1"/>
  <c r="I7" i="17" s="1"/>
  <c r="I8" i="17" a="1"/>
  <c r="I8" i="17" s="1"/>
  <c r="K2" i="17" l="1"/>
  <c r="B37" i="19"/>
  <c r="B25" i="19"/>
  <c r="B36" i="19"/>
  <c r="B24" i="19"/>
  <c r="B35" i="19"/>
  <c r="B23" i="19"/>
  <c r="B34" i="19"/>
  <c r="B22" i="19"/>
  <c r="B33" i="19"/>
  <c r="B21" i="19"/>
  <c r="B32" i="19"/>
  <c r="B20" i="19"/>
  <c r="B31" i="19"/>
  <c r="B19" i="19"/>
  <c r="B30" i="19"/>
  <c r="B18" i="19"/>
  <c r="B29" i="19"/>
  <c r="B28" i="19"/>
  <c r="B27" i="19"/>
  <c r="B26" i="19"/>
  <c r="H2" i="17" a="1"/>
  <c r="H2" i="17" s="1"/>
  <c r="I2" i="17" a="1"/>
  <c r="I2" i="17" s="1"/>
  <c r="H6" i="17" a="1"/>
  <c r="H6" i="17" s="1"/>
  <c r="H3" i="17" a="1"/>
  <c r="H3" i="17" s="1"/>
  <c r="I3" i="17" a="1"/>
  <c r="I3" i="17" s="1"/>
  <c r="I6" i="17" a="1"/>
  <c r="I6" i="17" s="1"/>
  <c r="E9" i="17"/>
  <c r="J2" i="17" l="1"/>
  <c r="H37" i="19"/>
  <c r="H25" i="19"/>
  <c r="H36" i="19"/>
  <c r="H24" i="19"/>
  <c r="H35" i="19"/>
  <c r="H23" i="19"/>
  <c r="H34" i="19"/>
  <c r="H22" i="19"/>
  <c r="H33" i="19"/>
  <c r="H21" i="19"/>
  <c r="H32" i="19"/>
  <c r="H20" i="19"/>
  <c r="H31" i="19"/>
  <c r="H19" i="19"/>
  <c r="H30" i="19"/>
  <c r="H29" i="19"/>
  <c r="H27" i="19"/>
  <c r="H28" i="19"/>
  <c r="H26" i="19"/>
  <c r="G23" i="19"/>
  <c r="G35" i="19"/>
  <c r="F27" i="19"/>
  <c r="E19" i="19"/>
  <c r="E31" i="19"/>
  <c r="D33" i="19"/>
  <c r="D21" i="19"/>
  <c r="C29" i="19"/>
  <c r="G24" i="19"/>
  <c r="G36" i="19"/>
  <c r="F28" i="19"/>
  <c r="E20" i="19"/>
  <c r="E32" i="19"/>
  <c r="D32" i="19"/>
  <c r="D20" i="19"/>
  <c r="C28" i="19"/>
  <c r="G25" i="19"/>
  <c r="G37" i="19"/>
  <c r="F29" i="19"/>
  <c r="E21" i="19"/>
  <c r="E33" i="19"/>
  <c r="D31" i="19"/>
  <c r="D19" i="19"/>
  <c r="C27" i="19"/>
  <c r="G26" i="19"/>
  <c r="G18" i="19"/>
  <c r="F30" i="19"/>
  <c r="E22" i="19"/>
  <c r="E34" i="19"/>
  <c r="D30" i="19"/>
  <c r="D18" i="19"/>
  <c r="C26" i="19"/>
  <c r="G27" i="19"/>
  <c r="F19" i="19"/>
  <c r="F31" i="19"/>
  <c r="E23" i="19"/>
  <c r="E35" i="19"/>
  <c r="D29" i="19"/>
  <c r="C37" i="19"/>
  <c r="C25" i="19"/>
  <c r="G28" i="19"/>
  <c r="F20" i="19"/>
  <c r="F32" i="19"/>
  <c r="E24" i="19"/>
  <c r="E36" i="19"/>
  <c r="D28" i="19"/>
  <c r="C36" i="19"/>
  <c r="C24" i="19"/>
  <c r="G29" i="19"/>
  <c r="F21" i="19"/>
  <c r="F33" i="19"/>
  <c r="E25" i="19"/>
  <c r="E37" i="19"/>
  <c r="D27" i="19"/>
  <c r="C35" i="19"/>
  <c r="C23" i="19"/>
  <c r="H18" i="19"/>
  <c r="G30" i="19"/>
  <c r="F22" i="19"/>
  <c r="F34" i="19"/>
  <c r="E26" i="19"/>
  <c r="E18" i="19"/>
  <c r="D26" i="19"/>
  <c r="C34" i="19"/>
  <c r="C22" i="19"/>
  <c r="G19" i="19"/>
  <c r="G31" i="19"/>
  <c r="F23" i="19"/>
  <c r="F35" i="19"/>
  <c r="E27" i="19"/>
  <c r="D37" i="19"/>
  <c r="D25" i="19"/>
  <c r="C33" i="19"/>
  <c r="C21" i="19"/>
  <c r="G20" i="19"/>
  <c r="G32" i="19"/>
  <c r="F24" i="19"/>
  <c r="F36" i="19"/>
  <c r="E28" i="19"/>
  <c r="D36" i="19"/>
  <c r="D24" i="19"/>
  <c r="C32" i="19"/>
  <c r="C20" i="19"/>
  <c r="G21" i="19"/>
  <c r="G33" i="19"/>
  <c r="F25" i="19"/>
  <c r="F37" i="19"/>
  <c r="E29" i="19"/>
  <c r="D35" i="19"/>
  <c r="D23" i="19"/>
  <c r="C31" i="19"/>
  <c r="C19" i="19"/>
  <c r="G22" i="19"/>
  <c r="G34" i="19"/>
  <c r="F26" i="19"/>
  <c r="F18" i="19"/>
  <c r="J6" i="17" s="1"/>
  <c r="E30" i="19"/>
  <c r="D34" i="19"/>
  <c r="D22" i="19"/>
  <c r="C30" i="19"/>
  <c r="C18" i="19"/>
  <c r="H9" i="17"/>
  <c r="I9" i="17"/>
  <c r="J3" i="17" l="1"/>
  <c r="J5" i="17"/>
  <c r="J8" i="17"/>
  <c r="J7" i="17"/>
  <c r="J4" i="17"/>
  <c r="J9" i="17" l="1"/>
  <c r="K9" i="17" s="1"/>
  <c r="K10" i="17" l="1"/>
  <c r="J10" i="17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<sst xmlns="http://schemas.openxmlformats.org/spreadsheetml/2006/main" count="2007" uniqueCount="572">
  <si>
    <t>이름</t>
    <phoneticPr fontId="6" type="noConversion"/>
  </si>
  <si>
    <t>수용량</t>
    <phoneticPr fontId="6" type="noConversion"/>
  </si>
  <si>
    <t>그림</t>
    <phoneticPr fontId="6" type="noConversion"/>
  </si>
  <si>
    <t>요금</t>
    <phoneticPr fontId="6" type="noConversion"/>
  </si>
  <si>
    <t>선호도</t>
    <phoneticPr fontId="6" type="noConversion"/>
  </si>
  <si>
    <t>장르</t>
    <phoneticPr fontId="6" type="noConversion"/>
  </si>
  <si>
    <t>보너스</t>
    <phoneticPr fontId="6" type="noConversion"/>
  </si>
  <si>
    <t>건설 비용</t>
    <phoneticPr fontId="6" type="noConversion"/>
  </si>
  <si>
    <t>건설 부지</t>
    <phoneticPr fontId="6" type="noConversion"/>
  </si>
  <si>
    <t>설명</t>
    <phoneticPr fontId="6" type="noConversion"/>
  </si>
  <si>
    <r>
      <rPr>
        <b/>
        <sz val="22"/>
        <color theme="0" tint="-0.499984740745262"/>
        <rFont val="Malgun gothic"/>
        <family val="3"/>
        <charset val="129"/>
      </rPr>
      <t>던전 타이쿤</t>
    </r>
    <r>
      <rPr>
        <b/>
        <sz val="26"/>
        <color theme="0" tint="-0.499984740745262"/>
        <rFont val="Malgun gothic"/>
        <family val="3"/>
        <charset val="129"/>
      </rPr>
      <t xml:space="preserve"> </t>
    </r>
    <r>
      <rPr>
        <b/>
        <sz val="30"/>
        <color theme="1" tint="0.34998626667073579"/>
        <rFont val="Malgun gothic"/>
        <family val="3"/>
        <charset val="129"/>
      </rPr>
      <t>가게 리스트</t>
    </r>
    <phoneticPr fontId="6" type="noConversion"/>
  </si>
  <si>
    <t>수익률</t>
    <phoneticPr fontId="6" type="noConversion"/>
  </si>
  <si>
    <t>수용량</t>
  </si>
  <si>
    <t>요금</t>
  </si>
  <si>
    <t>선호도</t>
  </si>
  <si>
    <t>욕구</t>
  </si>
  <si>
    <t>장르</t>
  </si>
  <si>
    <t>보너스</t>
  </si>
  <si>
    <t>건설 비용</t>
  </si>
  <si>
    <t>건설 부지</t>
  </si>
  <si>
    <t>수익률</t>
    <phoneticPr fontId="6" type="noConversion"/>
  </si>
  <si>
    <t>공간효율</t>
    <phoneticPr fontId="6" type="noConversion"/>
  </si>
  <si>
    <t>이용시간</t>
    <phoneticPr fontId="6" type="noConversion"/>
  </si>
  <si>
    <t>이용시간</t>
    <phoneticPr fontId="6" type="noConversion"/>
  </si>
  <si>
    <t>범례</t>
    <phoneticPr fontId="6" type="noConversion"/>
  </si>
  <si>
    <t>포장마차</t>
    <phoneticPr fontId="6" type="noConversion"/>
  </si>
  <si>
    <t>군것질</t>
    <phoneticPr fontId="6" type="noConversion"/>
  </si>
  <si>
    <t>분식집</t>
    <phoneticPr fontId="6" type="noConversion"/>
  </si>
  <si>
    <t>식사</t>
    <phoneticPr fontId="6" type="noConversion"/>
  </si>
  <si>
    <t>포장마차</t>
    <phoneticPr fontId="6" type="noConversion"/>
  </si>
  <si>
    <t xml:space="preserve"> 붕어빵, 풀빵, 오뎅 등을 파는 포장마차. 가장 싼 가게이지만 수익률도 가장 낮다.</t>
    <phoneticPr fontId="6" type="noConversion"/>
  </si>
  <si>
    <t xml:space="preserve"> 떡볶이, 튀김 등을 파는 분식집.</t>
    <phoneticPr fontId="6" type="noConversion"/>
  </si>
  <si>
    <t>츄러스</t>
    <phoneticPr fontId="6" type="noConversion"/>
  </si>
  <si>
    <t>군것질</t>
    <phoneticPr fontId="6" type="noConversion"/>
  </si>
  <si>
    <t>식사</t>
    <phoneticPr fontId="6" type="noConversion"/>
  </si>
  <si>
    <t>선호도</t>
    <phoneticPr fontId="6" type="noConversion"/>
  </si>
  <si>
    <t>인간</t>
    <phoneticPr fontId="6" type="noConversion"/>
  </si>
  <si>
    <t>오크</t>
    <phoneticPr fontId="6" type="noConversion"/>
  </si>
  <si>
    <t>멍멍이</t>
    <phoneticPr fontId="6" type="noConversion"/>
  </si>
  <si>
    <t>야옹이</t>
    <phoneticPr fontId="6" type="noConversion"/>
  </si>
  <si>
    <t>엘프</t>
    <phoneticPr fontId="6" type="noConversion"/>
  </si>
  <si>
    <t>드워프</t>
    <phoneticPr fontId="6" type="noConversion"/>
  </si>
  <si>
    <t>모험가</t>
    <phoneticPr fontId="6" type="noConversion"/>
  </si>
  <si>
    <t>관광객</t>
    <phoneticPr fontId="6" type="noConversion"/>
  </si>
  <si>
    <t>음식</t>
    <phoneticPr fontId="6" type="noConversion"/>
  </si>
  <si>
    <t>음료수</t>
    <phoneticPr fontId="6" type="noConversion"/>
  </si>
  <si>
    <t>음료</t>
    <phoneticPr fontId="6" type="noConversion"/>
  </si>
  <si>
    <t xml:space="preserve"> 생수를 파는 가게. 안쪽 가게일수록 바가지를 씌운다.</t>
    <phoneticPr fontId="6" type="noConversion"/>
  </si>
  <si>
    <t>근처에 술집이 있으면 선호도 +20</t>
    <phoneticPr fontId="6" type="noConversion"/>
  </si>
  <si>
    <t>생수노점</t>
    <phoneticPr fontId="6" type="noConversion"/>
  </si>
  <si>
    <t>칵테일노점</t>
    <phoneticPr fontId="6" type="noConversion"/>
  </si>
  <si>
    <t>술</t>
    <phoneticPr fontId="6" type="noConversion"/>
  </si>
  <si>
    <t xml:space="preserve"> 간단한 칵테일을 파는 가게.</t>
    <phoneticPr fontId="6" type="noConversion"/>
  </si>
  <si>
    <t>생수 노점</t>
    <phoneticPr fontId="6" type="noConversion"/>
  </si>
  <si>
    <t>생과일 주스</t>
    <phoneticPr fontId="6" type="noConversion"/>
  </si>
  <si>
    <t>만드라고라주</t>
    <phoneticPr fontId="6" type="noConversion"/>
  </si>
  <si>
    <t xml:space="preserve"> 던전에서만 나는 만드라고라를 담근 술은 파는 술집. 유리병 안에 든 만드라고라가 그로테스크하지만, 관광객들에게 큰 인기를 끄는 중.</t>
    <phoneticPr fontId="6" type="noConversion"/>
  </si>
  <si>
    <t>만드라고라주</t>
    <phoneticPr fontId="6" type="noConversion"/>
  </si>
  <si>
    <r>
      <rPr>
        <sz val="10"/>
        <color theme="1" tint="0.34998626667073579"/>
        <rFont val="맑은 고딕"/>
        <family val="3"/>
        <charset val="129"/>
        <scheme val="minor"/>
      </rPr>
      <t>칵테일</t>
    </r>
    <r>
      <rPr>
        <sz val="10"/>
        <color theme="1" tint="0.34998626667073579"/>
        <rFont val="맑은 고딕"/>
        <family val="2"/>
        <scheme val="minor"/>
      </rPr>
      <t xml:space="preserve"> </t>
    </r>
    <r>
      <rPr>
        <sz val="10"/>
        <color theme="1" tint="0.34998626667073579"/>
        <rFont val="맑은 고딕"/>
        <family val="3"/>
        <charset val="129"/>
        <scheme val="minor"/>
      </rPr>
      <t>노점</t>
    </r>
    <phoneticPr fontId="6" type="noConversion"/>
  </si>
  <si>
    <r>
      <rPr>
        <sz val="10"/>
        <color theme="1" tint="0.34998626667073579"/>
        <rFont val="맑은 고딕"/>
        <family val="3"/>
        <charset val="129"/>
        <scheme val="minor"/>
      </rPr>
      <t>미니</t>
    </r>
    <r>
      <rPr>
        <sz val="10"/>
        <color theme="1" tint="0.34998626667073579"/>
        <rFont val="맑은 고딕"/>
        <family val="2"/>
        <scheme val="minor"/>
      </rPr>
      <t xml:space="preserve"> </t>
    </r>
    <r>
      <rPr>
        <sz val="10"/>
        <color theme="1" tint="0.34998626667073579"/>
        <rFont val="맑은 고딕"/>
        <family val="3"/>
        <charset val="129"/>
        <scheme val="minor"/>
      </rPr>
      <t>카페</t>
    </r>
    <phoneticPr fontId="6" type="noConversion"/>
  </si>
  <si>
    <t>찜질방</t>
    <phoneticPr fontId="6" type="noConversion"/>
  </si>
  <si>
    <t xml:space="preserve"> 성소</t>
    <phoneticPr fontId="6" type="noConversion"/>
  </si>
  <si>
    <t>간이성소</t>
    <phoneticPr fontId="6" type="noConversion"/>
  </si>
  <si>
    <t>성소</t>
    <phoneticPr fontId="6" type="noConversion"/>
  </si>
  <si>
    <t>성소</t>
    <phoneticPr fontId="6" type="noConversion"/>
  </si>
  <si>
    <t>간이성소</t>
    <phoneticPr fontId="6" type="noConversion"/>
  </si>
  <si>
    <t xml:space="preserve"> 던전에 있는 돌과 나무조각 등을 모아서 간단히 만든 성소. 성소에서 모신 자애의 여신에게 기부금을 내고 기도하면 체력이 회복되는 축복을 받을 수 있다. 자애의 여신이지만 기부금이 없는 기도에는 응답하지 않는다고 한다.</t>
    <phoneticPr fontId="6" type="noConversion"/>
  </si>
  <si>
    <t xml:space="preserve"> 조그마한 성당. 대학생 자취방모냥 비좁은 곳이지만 나름대로 갖출 것은 다 갖추었다.</t>
    <phoneticPr fontId="6" type="noConversion"/>
  </si>
  <si>
    <t>작은 성소</t>
    <phoneticPr fontId="6" type="noConversion"/>
  </si>
  <si>
    <t>중형 성소</t>
    <phoneticPr fontId="6" type="noConversion"/>
  </si>
  <si>
    <t>초당 손님</t>
    <phoneticPr fontId="6" type="noConversion"/>
  </si>
  <si>
    <t xml:space="preserve"> 적당한 크기의 구색을 갖춘 성소. 크거나 화려하진 않지만 아늑한 분위기가 장점.</t>
    <phoneticPr fontId="6" type="noConversion"/>
  </si>
  <si>
    <t>기타</t>
    <phoneticPr fontId="6" type="noConversion"/>
  </si>
  <si>
    <t>대형 성소</t>
    <phoneticPr fontId="6" type="noConversion"/>
  </si>
  <si>
    <t>숙박</t>
    <phoneticPr fontId="6" type="noConversion"/>
  </si>
  <si>
    <t>돗자리 대여</t>
    <phoneticPr fontId="6" type="noConversion"/>
  </si>
  <si>
    <t>숙소</t>
    <phoneticPr fontId="6" type="noConversion"/>
  </si>
  <si>
    <r>
      <rPr>
        <sz val="10"/>
        <color theme="1" tint="0.34998626667073579"/>
        <rFont val="맑은 고딕"/>
        <family val="3"/>
        <charset val="129"/>
        <scheme val="minor"/>
      </rPr>
      <t>돗자리</t>
    </r>
    <r>
      <rPr>
        <sz val="10"/>
        <color theme="1" tint="0.34998626667073579"/>
        <rFont val="맑은 고딕"/>
        <family val="2"/>
        <scheme val="minor"/>
      </rPr>
      <t xml:space="preserve"> </t>
    </r>
    <r>
      <rPr>
        <sz val="10"/>
        <color theme="1" tint="0.34998626667073579"/>
        <rFont val="맑은 고딕"/>
        <family val="3"/>
        <charset val="129"/>
        <scheme val="minor"/>
      </rPr>
      <t>대여</t>
    </r>
    <phoneticPr fontId="6" type="noConversion"/>
  </si>
  <si>
    <t xml:space="preserve"> 돗자리와 자리를 빌려주는 노점. 잠깐 쉬고 가는 손님들이 이용한다.</t>
    <phoneticPr fontId="6" type="noConversion"/>
  </si>
  <si>
    <t>욕구 1당 수익</t>
    <phoneticPr fontId="6" type="noConversion"/>
  </si>
  <si>
    <r>
      <rPr>
        <sz val="10"/>
        <color theme="1" tint="0.34998626667073579"/>
        <rFont val="맑은 고딕"/>
        <family val="3"/>
        <charset val="129"/>
        <scheme val="minor"/>
      </rPr>
      <t>작은</t>
    </r>
    <r>
      <rPr>
        <sz val="10"/>
        <color theme="1" tint="0.34998626667073579"/>
        <rFont val="맑은 고딕"/>
        <family val="2"/>
        <scheme val="minor"/>
      </rPr>
      <t xml:space="preserve"> </t>
    </r>
    <r>
      <rPr>
        <sz val="10"/>
        <color theme="1" tint="0.34998626667073579"/>
        <rFont val="맑은 고딕"/>
        <family val="3"/>
        <charset val="129"/>
        <scheme val="minor"/>
      </rPr>
      <t>성소</t>
    </r>
    <phoneticPr fontId="6" type="noConversion"/>
  </si>
  <si>
    <t xml:space="preserve">  작은 성소부턴 성당이나 교회처럼 생김. 실제로 성당이지만 논란의 여지가 있으니 성소 혹은 신전으로 이름 통일</t>
    <phoneticPr fontId="6" type="noConversion"/>
  </si>
  <si>
    <r>
      <rPr>
        <sz val="10"/>
        <color theme="1" tint="0.34998626667073579"/>
        <rFont val="맑은 고딕"/>
        <family val="3"/>
        <charset val="129"/>
        <scheme val="minor"/>
      </rPr>
      <t>중형</t>
    </r>
    <r>
      <rPr>
        <sz val="10"/>
        <color theme="1" tint="0.34998626667073579"/>
        <rFont val="맑은 고딕"/>
        <family val="2"/>
        <scheme val="minor"/>
      </rPr>
      <t xml:space="preserve"> </t>
    </r>
    <r>
      <rPr>
        <sz val="10"/>
        <color theme="1" tint="0.34998626667073579"/>
        <rFont val="맑은 고딕"/>
        <family val="3"/>
        <charset val="129"/>
        <scheme val="minor"/>
      </rPr>
      <t>성소</t>
    </r>
    <phoneticPr fontId="6" type="noConversion"/>
  </si>
  <si>
    <r>
      <rPr>
        <sz val="10"/>
        <color theme="1" tint="0.34998626667073579"/>
        <rFont val="맑은 고딕"/>
        <family val="3"/>
        <charset val="129"/>
        <scheme val="minor"/>
      </rPr>
      <t>대형</t>
    </r>
    <r>
      <rPr>
        <sz val="10"/>
        <color theme="1" tint="0.34998626667073579"/>
        <rFont val="맑은 고딕"/>
        <family val="2"/>
        <scheme val="minor"/>
      </rPr>
      <t xml:space="preserve"> </t>
    </r>
    <r>
      <rPr>
        <sz val="10"/>
        <color theme="1" tint="0.34998626667073579"/>
        <rFont val="맑은 고딕"/>
        <family val="3"/>
        <charset val="129"/>
        <scheme val="minor"/>
      </rPr>
      <t>성소</t>
    </r>
    <phoneticPr fontId="6" type="noConversion"/>
  </si>
  <si>
    <t xml:space="preserve"> 크고 화려한 성소. 고풍스러운 스테인드 글라스 때문에 보기만 해도 성스럽다.</t>
    <phoneticPr fontId="6" type="noConversion"/>
  </si>
  <si>
    <t xml:space="preserve"> 거대하고 미래적으로 생긴 성소. 이쯤 되면 이게 성소 맞는지도 궁금할 정도이다. 여신상도 반짝반짝 빛나고 있다.</t>
    <phoneticPr fontId="6" type="noConversion"/>
  </si>
  <si>
    <t>초호화 성소</t>
    <phoneticPr fontId="6" type="noConversion"/>
  </si>
  <si>
    <r>
      <rPr>
        <sz val="10"/>
        <color theme="1" tint="0.34998626667073579"/>
        <rFont val="맑은 고딕"/>
        <family val="3"/>
        <charset val="129"/>
        <scheme val="minor"/>
      </rPr>
      <t>초호화</t>
    </r>
    <r>
      <rPr>
        <sz val="10"/>
        <color theme="1" tint="0.34998626667073579"/>
        <rFont val="맑은 고딕"/>
        <family val="2"/>
        <scheme val="minor"/>
      </rPr>
      <t xml:space="preserve"> </t>
    </r>
    <r>
      <rPr>
        <sz val="10"/>
        <color theme="1" tint="0.34998626667073579"/>
        <rFont val="맑은 고딕"/>
        <family val="3"/>
        <charset val="129"/>
        <scheme val="minor"/>
      </rPr>
      <t>성소</t>
    </r>
    <phoneticPr fontId="6" type="noConversion"/>
  </si>
  <si>
    <t>거대 도마뱀 카페</t>
    <phoneticPr fontId="6" type="noConversion"/>
  </si>
  <si>
    <t xml:space="preserve"> 거대한 파충류의 등에 지은 카페. 덕분에 움직이는 카페가 되었지만 차지하는 공간에 비해서 사람이 적게 들어가는 편.</t>
    <phoneticPr fontId="6" type="noConversion"/>
  </si>
  <si>
    <t>허름한 여관</t>
    <phoneticPr fontId="6" type="noConversion"/>
  </si>
  <si>
    <t xml:space="preserve"> 간판은 여관이지만 마구간이라고 해도 믿길 만큼 허름한 여관.</t>
    <phoneticPr fontId="6" type="noConversion"/>
  </si>
  <si>
    <r>
      <rPr>
        <sz val="10"/>
        <color theme="1" tint="0.34998626667073579"/>
        <rFont val="맑은 고딕"/>
        <family val="3"/>
        <charset val="129"/>
        <scheme val="minor"/>
      </rPr>
      <t>허름한</t>
    </r>
    <r>
      <rPr>
        <sz val="10"/>
        <color theme="1" tint="0.34998626667073579"/>
        <rFont val="맑은 고딕"/>
        <family val="2"/>
        <scheme val="minor"/>
      </rPr>
      <t xml:space="preserve"> </t>
    </r>
    <r>
      <rPr>
        <sz val="10"/>
        <color theme="1" tint="0.34998626667073579"/>
        <rFont val="맑은 고딕"/>
        <family val="3"/>
        <charset val="129"/>
        <scheme val="minor"/>
      </rPr>
      <t>여관</t>
    </r>
    <phoneticPr fontId="6" type="noConversion"/>
  </si>
  <si>
    <t>쉼터</t>
    <phoneticPr fontId="6" type="noConversion"/>
  </si>
  <si>
    <t>찜질방</t>
    <phoneticPr fontId="6" type="noConversion"/>
  </si>
  <si>
    <t xml:space="preserve"> 찜질방. 많은 손님을 저렴한 가격으로 수용할 수 있다.</t>
    <phoneticPr fontId="6" type="noConversion"/>
  </si>
  <si>
    <t>펜션</t>
    <phoneticPr fontId="6" type="noConversion"/>
  </si>
  <si>
    <t>펜션</t>
    <phoneticPr fontId="6" type="noConversion"/>
  </si>
  <si>
    <t xml:space="preserve"> 아기자기한 집 6개로 구성된 펜션. 금전에 여유가 있는 손님이 즐겨 찾는다.</t>
    <phoneticPr fontId="6" type="noConversion"/>
  </si>
  <si>
    <t>모텔</t>
    <phoneticPr fontId="6" type="noConversion"/>
  </si>
  <si>
    <t>메모</t>
    <phoneticPr fontId="6" type="noConversion"/>
  </si>
  <si>
    <t xml:space="preserve"> 사우나, 매점 등의 애드온을 달면 수익이 많이 상승</t>
    <phoneticPr fontId="6" type="noConversion"/>
  </si>
  <si>
    <t xml:space="preserve"> 초기효율이 좋지만 애드온이 적음. (바베큐장 정도)</t>
    <phoneticPr fontId="6" type="noConversion"/>
  </si>
  <si>
    <t xml:space="preserve"> 적당한 크기와 형태, 수익률이기 때문에 숙박업의 표준 정도 될 듯. 애드온도 다양. 모험가, 관광객 모두 선호.</t>
    <phoneticPr fontId="6" type="noConversion"/>
  </si>
  <si>
    <t>놀이</t>
    <phoneticPr fontId="6" type="noConversion"/>
  </si>
  <si>
    <t>오락</t>
    <phoneticPr fontId="6" type="noConversion"/>
  </si>
  <si>
    <t>아이템 뽑기</t>
    <phoneticPr fontId="6" type="noConversion"/>
  </si>
  <si>
    <t>놀이</t>
    <phoneticPr fontId="6" type="noConversion"/>
  </si>
  <si>
    <t>다트</t>
    <phoneticPr fontId="6" type="noConversion"/>
  </si>
  <si>
    <t xml:space="preserve"> 흔한 다트 오락기. 동전을 넣으면 즐길 수 있다.</t>
    <phoneticPr fontId="6" type="noConversion"/>
  </si>
  <si>
    <t>공연</t>
    <phoneticPr fontId="6" type="noConversion"/>
  </si>
  <si>
    <r>
      <rPr>
        <sz val="10"/>
        <color theme="1" tint="0.34998626667073579"/>
        <rFont val="맑은 고딕"/>
        <family val="3"/>
        <charset val="129"/>
        <scheme val="minor"/>
      </rPr>
      <t>미니</t>
    </r>
    <r>
      <rPr>
        <sz val="10"/>
        <color theme="1" tint="0.34998626667073579"/>
        <rFont val="맑은 고딕"/>
        <family val="2"/>
        <scheme val="minor"/>
      </rPr>
      <t xml:space="preserve"> </t>
    </r>
    <r>
      <rPr>
        <sz val="10"/>
        <color theme="1" tint="0.34998626667073579"/>
        <rFont val="맑은 고딕"/>
        <family val="3"/>
        <charset val="129"/>
        <scheme val="minor"/>
      </rPr>
      <t>공연장</t>
    </r>
    <phoneticPr fontId="6" type="noConversion"/>
  </si>
  <si>
    <r>
      <rPr>
        <sz val="10"/>
        <color theme="1" tint="0.34998626667073579"/>
        <rFont val="맑은 고딕"/>
        <family val="3"/>
        <charset val="129"/>
        <scheme val="minor"/>
      </rPr>
      <t>아이템</t>
    </r>
    <r>
      <rPr>
        <sz val="10"/>
        <color theme="1" tint="0.34998626667073579"/>
        <rFont val="맑은 고딕"/>
        <family val="2"/>
        <scheme val="minor"/>
      </rPr>
      <t xml:space="preserve"> </t>
    </r>
    <r>
      <rPr>
        <sz val="10"/>
        <color theme="1" tint="0.34998626667073579"/>
        <rFont val="맑은 고딕"/>
        <family val="3"/>
        <charset val="129"/>
        <scheme val="minor"/>
      </rPr>
      <t>뽑기</t>
    </r>
    <phoneticPr fontId="6" type="noConversion"/>
  </si>
  <si>
    <t xml:space="preserve"> 마법으로 움직이는 집게로 아이템을 뽑는 오락기. 유명한 검과 화려한 장신구에 손님들이 이끌리지만 실제로 나오는 건 체력 포션 정도가 고작.</t>
    <phoneticPr fontId="6" type="noConversion"/>
  </si>
  <si>
    <t>소극장</t>
    <phoneticPr fontId="6" type="noConversion"/>
  </si>
  <si>
    <t>작은 공터</t>
    <phoneticPr fontId="6" type="noConversion"/>
  </si>
  <si>
    <t xml:space="preserve"> 의자 몇 개와 조그만 무대가 있는 작은 공터. 거리 음악가들이 연주를 하거나, 인형극 등의 규모가 작은 공연이 열린다.</t>
    <phoneticPr fontId="6" type="noConversion"/>
  </si>
  <si>
    <t xml:space="preserve"> 작은 극장. 무대는 작지만, 일선 모험가들을 주제로 한 꽁트, 뭐든 돈으로 돌아가는 이 나라에 대한 풍자극 등으로 인기를 끌고 있다.</t>
    <phoneticPr fontId="6" type="noConversion"/>
  </si>
  <si>
    <t>소극장</t>
    <phoneticPr fontId="6" type="noConversion"/>
  </si>
  <si>
    <t>바이킹</t>
    <phoneticPr fontId="6" type="noConversion"/>
  </si>
  <si>
    <t xml:space="preserve"> 거인이 움직이는 거대한 배를 타는 놀이기구. 꽤나 재미있지만 땀을 뻘뻘 흘리며 배를 흔드는 거인을 보면 왠지 측은하다…</t>
    <phoneticPr fontId="6" type="noConversion"/>
  </si>
  <si>
    <t>바이킹</t>
    <phoneticPr fontId="6" type="noConversion"/>
  </si>
  <si>
    <t>서커스</t>
    <phoneticPr fontId="6" type="noConversion"/>
  </si>
  <si>
    <t>서커스</t>
    <phoneticPr fontId="6" type="noConversion"/>
  </si>
  <si>
    <t xml:space="preserve"> 다양한 동물, 몬스터가 묘기를 부리는 서커스장. </t>
    <phoneticPr fontId="6" type="noConversion"/>
  </si>
  <si>
    <r>
      <rPr>
        <sz val="10"/>
        <color theme="1" tint="0.34998626667073579"/>
        <rFont val="맑은 고딕"/>
        <family val="3"/>
        <charset val="129"/>
        <scheme val="minor"/>
      </rPr>
      <t>간이</t>
    </r>
    <r>
      <rPr>
        <sz val="10"/>
        <color theme="1" tint="0.34998626667073579"/>
        <rFont val="맑은 고딕"/>
        <family val="2"/>
        <scheme val="minor"/>
      </rPr>
      <t xml:space="preserve"> </t>
    </r>
    <r>
      <rPr>
        <sz val="10"/>
        <color theme="1" tint="0.34998626667073579"/>
        <rFont val="맑은 고딕"/>
        <family val="3"/>
        <charset val="129"/>
        <scheme val="minor"/>
      </rPr>
      <t>구호소</t>
    </r>
    <phoneticPr fontId="6" type="noConversion"/>
  </si>
  <si>
    <t>무기</t>
    <phoneticPr fontId="6" type="noConversion"/>
  </si>
  <si>
    <t>장비</t>
    <phoneticPr fontId="6" type="noConversion"/>
  </si>
  <si>
    <r>
      <rPr>
        <sz val="10"/>
        <color theme="1" tint="0.34998626667073579"/>
        <rFont val="맑은 고딕"/>
        <family val="3"/>
        <charset val="129"/>
        <scheme val="minor"/>
      </rPr>
      <t>포션</t>
    </r>
    <r>
      <rPr>
        <sz val="10"/>
        <color theme="1" tint="0.34998626667073579"/>
        <rFont val="맑은 고딕"/>
        <family val="2"/>
        <scheme val="minor"/>
      </rPr>
      <t xml:space="preserve"> </t>
    </r>
    <r>
      <rPr>
        <sz val="10"/>
        <color theme="1" tint="0.34998626667073579"/>
        <rFont val="맑은 고딕"/>
        <family val="3"/>
        <charset val="129"/>
        <scheme val="minor"/>
      </rPr>
      <t>노점상</t>
    </r>
    <phoneticPr fontId="6" type="noConversion"/>
  </si>
  <si>
    <t>포션 노점</t>
    <phoneticPr fontId="6" type="noConversion"/>
  </si>
  <si>
    <t>이 가게를 이용한 모험가는 2분 동안 다른 '무기' 장르의 선호도가 30감소.</t>
    <phoneticPr fontId="6" type="noConversion"/>
  </si>
  <si>
    <t xml:space="preserve"> 싸구려 포션들을 파는 노점상. 가격은 저렴하지만 마시고 나면 왠지 속이 더부룩한게 단점.</t>
    <phoneticPr fontId="6" type="noConversion"/>
  </si>
  <si>
    <r>
      <rPr>
        <sz val="10"/>
        <color theme="1" tint="0.34998626667073579"/>
        <rFont val="맑은 고딕"/>
        <family val="3"/>
        <charset val="129"/>
        <scheme val="minor"/>
      </rPr>
      <t>싸구려</t>
    </r>
    <r>
      <rPr>
        <sz val="10"/>
        <color theme="1" tint="0.34998626667073579"/>
        <rFont val="맑은 고딕"/>
        <family val="2"/>
        <scheme val="minor"/>
      </rPr>
      <t xml:space="preserve"> </t>
    </r>
    <r>
      <rPr>
        <sz val="10"/>
        <color theme="1" tint="0.34998626667073579"/>
        <rFont val="맑은 고딕"/>
        <family val="3"/>
        <charset val="129"/>
        <scheme val="minor"/>
      </rPr>
      <t>무기점</t>
    </r>
    <phoneticPr fontId="6" type="noConversion"/>
  </si>
  <si>
    <t>방어구</t>
    <phoneticPr fontId="6" type="noConversion"/>
  </si>
  <si>
    <t>이 가게를 이용한 모험가는 2분 동안 다른 '방어구' 장르의 선호도가 30감소.</t>
    <phoneticPr fontId="6" type="noConversion"/>
  </si>
  <si>
    <r>
      <rPr>
        <sz val="10"/>
        <color theme="1" tint="0.34998626667073579"/>
        <rFont val="맑은 고딕"/>
        <family val="3"/>
        <charset val="129"/>
        <scheme val="minor"/>
      </rPr>
      <t>싸구려</t>
    </r>
    <r>
      <rPr>
        <sz val="10"/>
        <color theme="1" tint="0.34998626667073579"/>
        <rFont val="맑은 고딕"/>
        <family val="2"/>
        <scheme val="minor"/>
      </rPr>
      <t xml:space="preserve"> </t>
    </r>
    <r>
      <rPr>
        <sz val="10"/>
        <color theme="1" tint="0.34998626667073579"/>
        <rFont val="맑은 고딕"/>
        <family val="3"/>
        <charset val="129"/>
        <scheme val="minor"/>
      </rPr>
      <t>방어구점</t>
    </r>
    <phoneticPr fontId="6" type="noConversion"/>
  </si>
  <si>
    <t xml:space="preserve"> 저렴한 무기를 파는 구멍가게. 믿을 수 없을 정도로 저렴한 가격에 팔지만 믿을 수 없을 정도로 잘 망가진다. 단골들 말로는 싼 맛에 여러 개 사서 망가지면 그냥 버린다고.</t>
    <phoneticPr fontId="6" type="noConversion"/>
  </si>
  <si>
    <t>일반 포션 가게</t>
    <phoneticPr fontId="6" type="noConversion"/>
  </si>
  <si>
    <t>일반 무기 가게</t>
    <phoneticPr fontId="6" type="noConversion"/>
  </si>
  <si>
    <t>일반 방어구 가게</t>
    <phoneticPr fontId="6" type="noConversion"/>
  </si>
  <si>
    <t xml:space="preserve"> 저렴한 방어구를 파는 작은 가게. 조그만 충격에도 쉽게 찌그러져서 불만이 많지만 가게 주인 말로는 찌그러져야 충격 흡수효과가 있다고.</t>
    <phoneticPr fontId="6" type="noConversion"/>
  </si>
  <si>
    <t xml:space="preserve"> 작지만 제대로 정돈 된 무기 가게. 적당한 가격에 쓸만한 무기들을 팔고 있다. 무기의 내구도도 나쁘지 않은 편.</t>
    <phoneticPr fontId="6" type="noConversion"/>
  </si>
  <si>
    <t xml:space="preserve"> 작지만 제대로 가게 꼴을 갖추고 있는 포션 가게. 적당한 가격에 그럭저럭 쓸만한 포션을 갖추고 있다. 노점상 포션처럼 불안하지 않다.</t>
    <phoneticPr fontId="6" type="noConversion"/>
  </si>
  <si>
    <r>
      <rPr>
        <sz val="10"/>
        <color theme="1" tint="0.34998626667073579"/>
        <rFont val="맑은 고딕"/>
        <family val="3"/>
        <charset val="129"/>
        <scheme val="minor"/>
      </rPr>
      <t>고급</t>
    </r>
    <r>
      <rPr>
        <sz val="10"/>
        <color theme="1" tint="0.34998626667073579"/>
        <rFont val="맑은 고딕"/>
        <family val="2"/>
        <scheme val="minor"/>
      </rPr>
      <t xml:space="preserve"> </t>
    </r>
    <r>
      <rPr>
        <sz val="10"/>
        <color theme="1" tint="0.34998626667073579"/>
        <rFont val="맑은 고딕"/>
        <family val="3"/>
        <charset val="129"/>
        <scheme val="minor"/>
      </rPr>
      <t>포션</t>
    </r>
    <r>
      <rPr>
        <sz val="10"/>
        <color theme="1" tint="0.34998626667073579"/>
        <rFont val="맑은 고딕"/>
        <family val="2"/>
        <scheme val="minor"/>
      </rPr>
      <t xml:space="preserve"> </t>
    </r>
    <r>
      <rPr>
        <sz val="10"/>
        <color theme="1" tint="0.34998626667073579"/>
        <rFont val="맑은 고딕"/>
        <family val="3"/>
        <charset val="129"/>
        <scheme val="minor"/>
      </rPr>
      <t>가게</t>
    </r>
    <phoneticPr fontId="6" type="noConversion"/>
  </si>
  <si>
    <r>
      <rPr>
        <sz val="10"/>
        <color theme="1" tint="0.34998626667073579"/>
        <rFont val="맑은 고딕"/>
        <family val="3"/>
        <charset val="129"/>
        <scheme val="minor"/>
      </rPr>
      <t>일반</t>
    </r>
    <r>
      <rPr>
        <sz val="10"/>
        <color theme="1" tint="0.34998626667073579"/>
        <rFont val="맑은 고딕"/>
        <family val="2"/>
        <scheme val="minor"/>
      </rPr>
      <t xml:space="preserve"> </t>
    </r>
    <r>
      <rPr>
        <sz val="10"/>
        <color theme="1" tint="0.34998626667073579"/>
        <rFont val="맑은 고딕"/>
        <family val="3"/>
        <charset val="129"/>
        <scheme val="minor"/>
      </rPr>
      <t>방어구</t>
    </r>
    <r>
      <rPr>
        <sz val="10"/>
        <color theme="1" tint="0.34998626667073579"/>
        <rFont val="맑은 고딕"/>
        <family val="2"/>
        <scheme val="minor"/>
      </rPr>
      <t xml:space="preserve"> </t>
    </r>
    <r>
      <rPr>
        <sz val="10"/>
        <color theme="1" tint="0.34998626667073579"/>
        <rFont val="맑은 고딕"/>
        <family val="3"/>
        <charset val="129"/>
        <scheme val="minor"/>
      </rPr>
      <t>가게</t>
    </r>
    <phoneticPr fontId="6" type="noConversion"/>
  </si>
  <si>
    <r>
      <rPr>
        <sz val="10"/>
        <color theme="1" tint="0.34998626667073579"/>
        <rFont val="맑은 고딕"/>
        <family val="3"/>
        <charset val="129"/>
        <scheme val="minor"/>
      </rPr>
      <t>일반</t>
    </r>
    <r>
      <rPr>
        <sz val="10"/>
        <color theme="1" tint="0.34998626667073579"/>
        <rFont val="맑은 고딕"/>
        <family val="2"/>
        <scheme val="minor"/>
      </rPr>
      <t xml:space="preserve"> </t>
    </r>
    <r>
      <rPr>
        <sz val="10"/>
        <color theme="1" tint="0.34998626667073579"/>
        <rFont val="맑은 고딕"/>
        <family val="3"/>
        <charset val="129"/>
        <scheme val="minor"/>
      </rPr>
      <t>포션</t>
    </r>
    <r>
      <rPr>
        <sz val="10"/>
        <color theme="1" tint="0.34998626667073579"/>
        <rFont val="맑은 고딕"/>
        <family val="2"/>
        <scheme val="minor"/>
      </rPr>
      <t xml:space="preserve"> </t>
    </r>
    <r>
      <rPr>
        <sz val="10"/>
        <color theme="1" tint="0.34998626667073579"/>
        <rFont val="맑은 고딕"/>
        <family val="3"/>
        <charset val="129"/>
        <scheme val="minor"/>
      </rPr>
      <t>가게</t>
    </r>
    <phoneticPr fontId="6" type="noConversion"/>
  </si>
  <si>
    <t xml:space="preserve"> 꽤 고급 포션을 취급하는 가게. 포션의 기능이 충실한 것은 기본이며, 맛도 좋고 목넘김이 좋아 인기가 높다.</t>
    <phoneticPr fontId="6" type="noConversion"/>
  </si>
  <si>
    <r>
      <rPr>
        <sz val="10"/>
        <color theme="1" tint="0.34998626667073579"/>
        <rFont val="맑은 고딕"/>
        <family val="3"/>
        <charset val="129"/>
        <scheme val="minor"/>
      </rPr>
      <t>고급</t>
    </r>
    <r>
      <rPr>
        <sz val="10"/>
        <color theme="1" tint="0.34998626667073579"/>
        <rFont val="맑은 고딕"/>
        <family val="2"/>
        <scheme val="minor"/>
      </rPr>
      <t xml:space="preserve"> </t>
    </r>
    <r>
      <rPr>
        <sz val="10"/>
        <color theme="1" tint="0.34998626667073579"/>
        <rFont val="맑은 고딕"/>
        <family val="3"/>
        <charset val="129"/>
        <scheme val="minor"/>
      </rPr>
      <t>무기</t>
    </r>
    <r>
      <rPr>
        <sz val="10"/>
        <color theme="1" tint="0.34998626667073579"/>
        <rFont val="맑은 고딕"/>
        <family val="2"/>
        <scheme val="minor"/>
      </rPr>
      <t xml:space="preserve"> </t>
    </r>
    <r>
      <rPr>
        <sz val="10"/>
        <color theme="1" tint="0.34998626667073579"/>
        <rFont val="맑은 고딕"/>
        <family val="3"/>
        <charset val="129"/>
        <scheme val="minor"/>
      </rPr>
      <t>가게</t>
    </r>
    <phoneticPr fontId="6" type="noConversion"/>
  </si>
  <si>
    <t>부유층</t>
    <phoneticPr fontId="6" type="noConversion"/>
  </si>
  <si>
    <t>중산층</t>
    <phoneticPr fontId="6" type="noConversion"/>
  </si>
  <si>
    <t>서민층</t>
    <phoneticPr fontId="6" type="noConversion"/>
  </si>
  <si>
    <t>음료</t>
    <phoneticPr fontId="6" type="noConversion"/>
  </si>
  <si>
    <t>생수노점</t>
    <phoneticPr fontId="6" type="noConversion"/>
  </si>
  <si>
    <t>칵테일노점</t>
    <phoneticPr fontId="6" type="noConversion"/>
  </si>
  <si>
    <t>평균</t>
    <phoneticPr fontId="6" type="noConversion"/>
  </si>
  <si>
    <t>미니카페</t>
    <phoneticPr fontId="6" type="noConversion"/>
  </si>
  <si>
    <t>생과일주스</t>
    <phoneticPr fontId="6" type="noConversion"/>
  </si>
  <si>
    <t>만드라고라주</t>
    <phoneticPr fontId="6" type="noConversion"/>
  </si>
  <si>
    <t>거대 도마뱀 카페</t>
    <phoneticPr fontId="6" type="noConversion"/>
  </si>
  <si>
    <t>포장마차</t>
    <phoneticPr fontId="6" type="noConversion"/>
  </si>
  <si>
    <t>분식집</t>
    <phoneticPr fontId="6" type="noConversion"/>
  </si>
  <si>
    <t>용뼈감자탕</t>
    <phoneticPr fontId="6" type="noConversion"/>
  </si>
  <si>
    <t>돗자리 대여</t>
    <phoneticPr fontId="6" type="noConversion"/>
  </si>
  <si>
    <t>찜질방</t>
    <phoneticPr fontId="6" type="noConversion"/>
  </si>
  <si>
    <t>펜션</t>
    <phoneticPr fontId="6" type="noConversion"/>
  </si>
  <si>
    <t>모텔</t>
    <phoneticPr fontId="6" type="noConversion"/>
  </si>
  <si>
    <t>장비</t>
    <phoneticPr fontId="6" type="noConversion"/>
  </si>
  <si>
    <t>포션 노점</t>
    <phoneticPr fontId="6" type="noConversion"/>
  </si>
  <si>
    <t>다트</t>
  </si>
  <si>
    <t>작은 공터</t>
  </si>
  <si>
    <t>아이템 뽑기</t>
  </si>
  <si>
    <t>소극장</t>
  </si>
  <si>
    <t>바이킹</t>
  </si>
  <si>
    <t>서커스</t>
  </si>
  <si>
    <t>오락</t>
    <phoneticPr fontId="6" type="noConversion"/>
  </si>
  <si>
    <r>
      <rPr>
        <sz val="10"/>
        <color theme="1" tint="0.34998626667073579"/>
        <rFont val="맑은 고딕"/>
        <family val="3"/>
        <charset val="129"/>
        <scheme val="minor"/>
      </rPr>
      <t>소형</t>
    </r>
    <r>
      <rPr>
        <sz val="10"/>
        <color theme="1" tint="0.34998626667073579"/>
        <rFont val="맑은 고딕"/>
        <family val="2"/>
        <scheme val="minor"/>
      </rPr>
      <t xml:space="preserve"> </t>
    </r>
    <r>
      <rPr>
        <sz val="10"/>
        <color theme="1" tint="0.34998626667073579"/>
        <rFont val="맑은 고딕"/>
        <family val="3"/>
        <charset val="129"/>
        <scheme val="minor"/>
      </rPr>
      <t>구호소</t>
    </r>
    <phoneticPr fontId="6" type="noConversion"/>
  </si>
  <si>
    <r>
      <rPr>
        <sz val="10"/>
        <color theme="1" tint="0.34998626667073579"/>
        <rFont val="맑은 고딕"/>
        <family val="3"/>
        <charset val="129"/>
        <scheme val="minor"/>
      </rPr>
      <t>중형</t>
    </r>
    <r>
      <rPr>
        <sz val="10"/>
        <color theme="1" tint="0.34998626667073579"/>
        <rFont val="맑은 고딕"/>
        <family val="2"/>
        <scheme val="minor"/>
      </rPr>
      <t xml:space="preserve"> </t>
    </r>
    <r>
      <rPr>
        <sz val="10"/>
        <color theme="1" tint="0.34998626667073579"/>
        <rFont val="맑은 고딕"/>
        <family val="3"/>
        <charset val="129"/>
        <scheme val="minor"/>
      </rPr>
      <t>구호소</t>
    </r>
    <phoneticPr fontId="6" type="noConversion"/>
  </si>
  <si>
    <r>
      <rPr>
        <sz val="10"/>
        <color theme="1" tint="0.34998626667073579"/>
        <rFont val="맑은 고딕"/>
        <family val="3"/>
        <charset val="129"/>
        <scheme val="minor"/>
      </rPr>
      <t>대형</t>
    </r>
    <r>
      <rPr>
        <sz val="10"/>
        <color theme="1" tint="0.34998626667073579"/>
        <rFont val="맑은 고딕"/>
        <family val="2"/>
        <scheme val="minor"/>
      </rPr>
      <t xml:space="preserve"> </t>
    </r>
    <r>
      <rPr>
        <sz val="10"/>
        <color theme="1" tint="0.34998626667073579"/>
        <rFont val="맑은 고딕"/>
        <family val="3"/>
        <charset val="129"/>
        <scheme val="minor"/>
      </rPr>
      <t>구호소</t>
    </r>
    <phoneticPr fontId="6" type="noConversion"/>
  </si>
  <si>
    <r>
      <rPr>
        <sz val="10"/>
        <color theme="1" tint="0.34998626667073579"/>
        <rFont val="맑은 고딕"/>
        <family val="3"/>
        <charset val="129"/>
        <scheme val="minor"/>
      </rPr>
      <t>구조대</t>
    </r>
    <r>
      <rPr>
        <sz val="10"/>
        <color theme="1" tint="0.34998626667073579"/>
        <rFont val="맑은 고딕"/>
        <family val="2"/>
        <scheme val="minor"/>
      </rPr>
      <t xml:space="preserve"> </t>
    </r>
    <r>
      <rPr>
        <sz val="10"/>
        <color theme="1" tint="0.34998626667073579"/>
        <rFont val="맑은 고딕"/>
        <family val="3"/>
        <charset val="129"/>
        <scheme val="minor"/>
      </rPr>
      <t>본부</t>
    </r>
    <phoneticPr fontId="6" type="noConversion"/>
  </si>
  <si>
    <t>행상인</t>
    <phoneticPr fontId="6" type="noConversion"/>
  </si>
  <si>
    <t>더 안쪽 방에 건설되면 요금이 오름(+10%/1방)</t>
    <phoneticPr fontId="6" type="noConversion"/>
  </si>
  <si>
    <t xml:space="preserve"> 잡다한 생필품을 파는 행상인. 던전 안쪽으로 갈 수록 오르는 물가에 놀라게 된다.</t>
    <phoneticPr fontId="6" type="noConversion"/>
  </si>
  <si>
    <t>생필품</t>
    <phoneticPr fontId="6" type="noConversion"/>
  </si>
  <si>
    <t>세탁소</t>
    <phoneticPr fontId="6" type="noConversion"/>
  </si>
  <si>
    <t xml:space="preserve"> 돈을 내면 세탁을 해주는 세탁소. 마법으로 자동 세탁해주는 기구가 있어 효율이 좋다.</t>
    <phoneticPr fontId="6" type="noConversion"/>
  </si>
  <si>
    <t>편의점</t>
    <phoneticPr fontId="6" type="noConversion"/>
  </si>
  <si>
    <t>오페라극장</t>
    <phoneticPr fontId="6" type="noConversion"/>
  </si>
  <si>
    <t xml:space="preserve"> 호화롭고 거대한 오페라 극장. 티켓 값이 비싸기로 유명하다.</t>
    <phoneticPr fontId="6" type="noConversion"/>
  </si>
  <si>
    <t>수영장</t>
    <phoneticPr fontId="6" type="noConversion"/>
  </si>
  <si>
    <r>
      <rPr>
        <sz val="10"/>
        <color theme="1" tint="0.34998626667073579"/>
        <rFont val="맑은 고딕"/>
        <family val="3"/>
        <charset val="129"/>
        <scheme val="minor"/>
      </rPr>
      <t>오페라</t>
    </r>
    <r>
      <rPr>
        <sz val="10"/>
        <color theme="1" tint="0.34998626667073579"/>
        <rFont val="맑은 고딕"/>
        <family val="2"/>
        <scheme val="minor"/>
      </rPr>
      <t xml:space="preserve"> </t>
    </r>
    <r>
      <rPr>
        <sz val="10"/>
        <color theme="1" tint="0.34998626667073579"/>
        <rFont val="맑은 고딕"/>
        <family val="3"/>
        <charset val="129"/>
        <scheme val="minor"/>
      </rPr>
      <t>극장</t>
    </r>
    <phoneticPr fontId="6" type="noConversion"/>
  </si>
  <si>
    <t>편의</t>
    <phoneticPr fontId="6" type="noConversion"/>
  </si>
  <si>
    <t>생필품</t>
    <phoneticPr fontId="6" type="noConversion"/>
  </si>
  <si>
    <t>포토존</t>
    <phoneticPr fontId="6" type="noConversion"/>
  </si>
  <si>
    <t>안내소</t>
    <phoneticPr fontId="6" type="noConversion"/>
  </si>
  <si>
    <t>던전 체험장</t>
    <phoneticPr fontId="6" type="noConversion"/>
  </si>
  <si>
    <t>박물관</t>
    <phoneticPr fontId="6" type="noConversion"/>
  </si>
  <si>
    <t>몬스터 동물원</t>
    <phoneticPr fontId="6" type="noConversion"/>
  </si>
  <si>
    <t>우체국</t>
    <phoneticPr fontId="6" type="noConversion"/>
  </si>
  <si>
    <t>백화점</t>
    <phoneticPr fontId="6" type="noConversion"/>
  </si>
  <si>
    <t>순간이동기</t>
    <phoneticPr fontId="6" type="noConversion"/>
  </si>
  <si>
    <t>짐꾼 센터</t>
    <phoneticPr fontId="6" type="noConversion"/>
  </si>
  <si>
    <t>원하는 장르 하나 더 붙일 수 있음.</t>
    <phoneticPr fontId="6" type="noConversion"/>
  </si>
  <si>
    <t>매직 무기 가게</t>
    <phoneticPr fontId="6" type="noConversion"/>
  </si>
  <si>
    <t>여관 나무</t>
    <phoneticPr fontId="6" type="noConversion"/>
  </si>
  <si>
    <t>매직 방어구 가게</t>
    <phoneticPr fontId="6" type="noConversion"/>
  </si>
  <si>
    <t>에픽 무기 가게</t>
    <phoneticPr fontId="6" type="noConversion"/>
  </si>
  <si>
    <t>에픽 방어구 가게</t>
    <phoneticPr fontId="6" type="noConversion"/>
  </si>
  <si>
    <t>에픽 포션 가게</t>
    <phoneticPr fontId="6" type="noConversion"/>
  </si>
  <si>
    <t>고급 포션 가게</t>
    <phoneticPr fontId="6" type="noConversion"/>
  </si>
  <si>
    <t xml:space="preserve"> 작은 방어구 가게. 본 기능에 충실한 방어구를 팔고 있다. 방어구에 장식이나 마법이 걸려있지 않아, 약간 아쉽긴 하지만 가격대비 성능은 우수.</t>
    <phoneticPr fontId="6" type="noConversion"/>
  </si>
  <si>
    <t xml:space="preserve"> 마법이 부여된 무기를 파는 가게. 무기의 품질이 좋은 건 물론이며 전투에 도움되는 마법이 걸려있어 인기가 높다. 꽤 화려한 장식은 덤. 사진 못해도 구경이라도 하러 온 사람들이 많다.</t>
    <phoneticPr fontId="6" type="noConversion"/>
  </si>
  <si>
    <t xml:space="preserve"> 마법이 부여된 방어구를 파는 가게. 방어구의 품질이 좋은 건 물론이며 유용한 마법이 걸려있어 인기가 높다. 가장 인기가 높은 건 경량화 마법. 방어구의 디자인이 예뻐 선망의 대상이기도 하다.</t>
    <phoneticPr fontId="6" type="noConversion"/>
  </si>
  <si>
    <t xml:space="preserve"> 강력한 효과를 지닌 포션을 파는 가게. 포션 효과가 매우 좋아 초보 모험가들은 정신을 못 차릴 정도. 단 맛은 매우 묘해서 먹기 힘들다.</t>
    <phoneticPr fontId="6" type="noConversion"/>
  </si>
  <si>
    <t>포션</t>
    <phoneticPr fontId="6" type="noConversion"/>
  </si>
  <si>
    <t>이 가게를 이용한 모험가는 2분 동안 다른 '포션' 장르의 선호도가 30감소.</t>
    <phoneticPr fontId="6" type="noConversion"/>
  </si>
  <si>
    <t>이 가게를 이용한 모험가는 2분 동안 다른 '방어구' 장르의 선호도가 32감소.</t>
    <phoneticPr fontId="6" type="noConversion"/>
  </si>
  <si>
    <t>이 가게를 이용한 모험가는 2분 동안 다른 '무기' 장르의 선호도가 31감소.</t>
    <phoneticPr fontId="6" type="noConversion"/>
  </si>
  <si>
    <t>이 가게를 이용한 모험가는 2분 동안 다른 '포션' 장르의 선호도가 31감소.</t>
    <phoneticPr fontId="6" type="noConversion"/>
  </si>
  <si>
    <t>맞춤형 장비 제작소</t>
    <phoneticPr fontId="6" type="noConversion"/>
  </si>
  <si>
    <t>장비 강화소</t>
    <phoneticPr fontId="6" type="noConversion"/>
  </si>
  <si>
    <t xml:space="preserve"> 그 자체로도 유명세를 가진 무기를 파는 가게. 대단한 무기들이라 무기에 얽힌 이야기도 꽤나 많고 정령 같은 것이 붙어있는 경우도 있다. 무지막지한 가격으로도 유명하다. </t>
    <phoneticPr fontId="6" type="noConversion"/>
  </si>
  <si>
    <t xml:space="preserve"> 그 자체로도 유명세를 가진 방어구를 파는 가게. 이전 사용자의 마력이 스며있기 때문에 방어구에 희귀한 마법이 걸려있거나 세트를 맞추면 더 강력해지는 것도 있다. 가격이 가격이기 때문에 과시용으로 구매하는 사람도 많다.</t>
    <phoneticPr fontId="6" type="noConversion"/>
  </si>
  <si>
    <t xml:space="preserve"> 손님이 가져온 재료로 맞춤형 장비를 만들어주는 가게. 재료만 있다면 좋은 장비를 싸게 맞출 수 있어서 베테랑 모험가들이 선호한다. 강력한 몬스터를 공략해서 얻은 재료일수록 좋은 장비가 제작된다.</t>
    <phoneticPr fontId="6" type="noConversion"/>
  </si>
  <si>
    <t xml:space="preserve"> 장비를 강화해주는 가게. 성공하면 뛰어난 장비를 손에 넣을 수 있지만 실패하면 흔적도 없이 사라지기도 한다. 덕분에 가게 주인은 불을 지른다느니 하는 온갖 협박에 시달리고 있다.</t>
    <phoneticPr fontId="6" type="noConversion"/>
  </si>
  <si>
    <t>무기</t>
    <phoneticPr fontId="6" type="noConversion"/>
  </si>
  <si>
    <t>장비</t>
    <phoneticPr fontId="6" type="noConversion"/>
  </si>
  <si>
    <r>
      <rPr>
        <sz val="10"/>
        <color theme="1" tint="0.34998626667073579"/>
        <rFont val="맑은 고딕"/>
        <family val="3"/>
        <charset val="129"/>
        <scheme val="minor"/>
      </rPr>
      <t>고급</t>
    </r>
    <r>
      <rPr>
        <sz val="10"/>
        <color theme="1" tint="0.34998626667073579"/>
        <rFont val="맑은 고딕"/>
        <family val="2"/>
        <scheme val="minor"/>
      </rPr>
      <t xml:space="preserve"> </t>
    </r>
    <r>
      <rPr>
        <sz val="10"/>
        <color theme="1" tint="0.34998626667073579"/>
        <rFont val="맑은 고딕"/>
        <family val="3"/>
        <charset val="129"/>
        <scheme val="minor"/>
      </rPr>
      <t>방어구</t>
    </r>
    <r>
      <rPr>
        <sz val="10"/>
        <color theme="1" tint="0.34998626667073579"/>
        <rFont val="맑은 고딕"/>
        <family val="2"/>
        <scheme val="minor"/>
      </rPr>
      <t xml:space="preserve"> </t>
    </r>
    <r>
      <rPr>
        <sz val="10"/>
        <color theme="1" tint="0.34998626667073579"/>
        <rFont val="맑은 고딕"/>
        <family val="3"/>
        <charset val="129"/>
        <scheme val="minor"/>
      </rPr>
      <t>가게</t>
    </r>
    <phoneticPr fontId="6" type="noConversion"/>
  </si>
  <si>
    <r>
      <rPr>
        <sz val="10"/>
        <color theme="1" tint="0.34998626667073579"/>
        <rFont val="맑은 고딕"/>
        <family val="3"/>
        <charset val="129"/>
        <scheme val="minor"/>
      </rPr>
      <t>에픽</t>
    </r>
    <r>
      <rPr>
        <sz val="10"/>
        <color theme="1" tint="0.34998626667073579"/>
        <rFont val="맑은 고딕"/>
        <family val="2"/>
        <scheme val="minor"/>
      </rPr>
      <t xml:space="preserve"> </t>
    </r>
    <r>
      <rPr>
        <sz val="10"/>
        <color theme="1" tint="0.34998626667073579"/>
        <rFont val="맑은 고딕"/>
        <family val="3"/>
        <charset val="129"/>
        <scheme val="minor"/>
      </rPr>
      <t>포션</t>
    </r>
    <r>
      <rPr>
        <sz val="10"/>
        <color theme="1" tint="0.34998626667073579"/>
        <rFont val="맑은 고딕"/>
        <family val="2"/>
        <scheme val="minor"/>
      </rPr>
      <t xml:space="preserve"> </t>
    </r>
    <r>
      <rPr>
        <sz val="10"/>
        <color theme="1" tint="0.34998626667073579"/>
        <rFont val="맑은 고딕"/>
        <family val="3"/>
        <charset val="129"/>
        <scheme val="minor"/>
      </rPr>
      <t>가게</t>
    </r>
    <phoneticPr fontId="6" type="noConversion"/>
  </si>
  <si>
    <r>
      <rPr>
        <sz val="10"/>
        <color theme="1" tint="0.34998626667073579"/>
        <rFont val="맑은 고딕"/>
        <family val="3"/>
        <charset val="129"/>
        <scheme val="minor"/>
      </rPr>
      <t>에픽</t>
    </r>
    <r>
      <rPr>
        <sz val="10"/>
        <color theme="1" tint="0.34998626667073579"/>
        <rFont val="맑은 고딕"/>
        <family val="2"/>
        <scheme val="minor"/>
      </rPr>
      <t xml:space="preserve"> </t>
    </r>
    <r>
      <rPr>
        <sz val="10"/>
        <color theme="1" tint="0.34998626667073579"/>
        <rFont val="맑은 고딕"/>
        <family val="3"/>
        <charset val="129"/>
        <scheme val="minor"/>
      </rPr>
      <t>무기</t>
    </r>
    <r>
      <rPr>
        <sz val="10"/>
        <color theme="1" tint="0.34998626667073579"/>
        <rFont val="맑은 고딕"/>
        <family val="2"/>
        <scheme val="minor"/>
      </rPr>
      <t xml:space="preserve"> </t>
    </r>
    <r>
      <rPr>
        <sz val="10"/>
        <color theme="1" tint="0.34998626667073579"/>
        <rFont val="맑은 고딕"/>
        <family val="3"/>
        <charset val="129"/>
        <scheme val="minor"/>
      </rPr>
      <t>가게</t>
    </r>
    <phoneticPr fontId="6" type="noConversion"/>
  </si>
  <si>
    <r>
      <rPr>
        <sz val="10"/>
        <color theme="1" tint="0.34998626667073579"/>
        <rFont val="맑은 고딕"/>
        <family val="3"/>
        <charset val="129"/>
        <scheme val="minor"/>
      </rPr>
      <t>에픽</t>
    </r>
    <r>
      <rPr>
        <sz val="10"/>
        <color theme="1" tint="0.34998626667073579"/>
        <rFont val="맑은 고딕"/>
        <family val="2"/>
        <scheme val="minor"/>
      </rPr>
      <t xml:space="preserve"> </t>
    </r>
    <r>
      <rPr>
        <sz val="10"/>
        <color theme="1" tint="0.34998626667073579"/>
        <rFont val="맑은 고딕"/>
        <family val="3"/>
        <charset val="129"/>
        <scheme val="minor"/>
      </rPr>
      <t>방어구</t>
    </r>
    <r>
      <rPr>
        <sz val="10"/>
        <color theme="1" tint="0.34998626667073579"/>
        <rFont val="맑은 고딕"/>
        <family val="2"/>
        <scheme val="minor"/>
      </rPr>
      <t xml:space="preserve"> </t>
    </r>
    <r>
      <rPr>
        <sz val="10"/>
        <color theme="1" tint="0.34998626667073579"/>
        <rFont val="맑은 고딕"/>
        <family val="3"/>
        <charset val="129"/>
        <scheme val="minor"/>
      </rPr>
      <t>가게</t>
    </r>
    <phoneticPr fontId="6" type="noConversion"/>
  </si>
  <si>
    <t>중산층 손님은 요금+20, 상류층은 +40.</t>
    <phoneticPr fontId="6" type="noConversion"/>
  </si>
  <si>
    <t>50% 확률로 강화 성공. 성공 시 장비 욕구 -20, 실패 시 장비 욕구 +50.</t>
    <phoneticPr fontId="6" type="noConversion"/>
  </si>
  <si>
    <r>
      <rPr>
        <sz val="10"/>
        <color theme="1" tint="0.34998626667073579"/>
        <rFont val="맑은 고딕"/>
        <family val="3"/>
        <charset val="129"/>
        <scheme val="minor"/>
      </rPr>
      <t>맞춤형</t>
    </r>
    <r>
      <rPr>
        <sz val="10"/>
        <color theme="1" tint="0.34998626667073579"/>
        <rFont val="맑은 고딕"/>
        <family val="2"/>
        <scheme val="minor"/>
      </rPr>
      <t xml:space="preserve"> </t>
    </r>
    <r>
      <rPr>
        <sz val="10"/>
        <color theme="1" tint="0.34998626667073579"/>
        <rFont val="맑은 고딕"/>
        <family val="3"/>
        <charset val="129"/>
        <scheme val="minor"/>
      </rPr>
      <t>장비</t>
    </r>
    <r>
      <rPr>
        <sz val="10"/>
        <color theme="1" tint="0.34998626667073579"/>
        <rFont val="맑은 고딕"/>
        <family val="2"/>
        <scheme val="minor"/>
      </rPr>
      <t xml:space="preserve"> </t>
    </r>
    <r>
      <rPr>
        <sz val="10"/>
        <color theme="1" tint="0.34998626667073579"/>
        <rFont val="맑은 고딕"/>
        <family val="3"/>
        <charset val="129"/>
        <scheme val="minor"/>
      </rPr>
      <t>제작소</t>
    </r>
    <phoneticPr fontId="6" type="noConversion"/>
  </si>
  <si>
    <r>
      <rPr>
        <sz val="10"/>
        <color theme="1" tint="0.34998626667073579"/>
        <rFont val="맑은 고딕"/>
        <family val="3"/>
        <charset val="129"/>
        <scheme val="minor"/>
      </rPr>
      <t>장비</t>
    </r>
    <r>
      <rPr>
        <sz val="10"/>
        <color theme="1" tint="0.34998626667073579"/>
        <rFont val="맑은 고딕"/>
        <family val="2"/>
        <scheme val="minor"/>
      </rPr>
      <t xml:space="preserve"> </t>
    </r>
    <r>
      <rPr>
        <sz val="10"/>
        <color theme="1" tint="0.34998626667073579"/>
        <rFont val="맑은 고딕"/>
        <family val="3"/>
        <charset val="129"/>
        <scheme val="minor"/>
      </rPr>
      <t>강화소</t>
    </r>
    <phoneticPr fontId="6" type="noConversion"/>
  </si>
  <si>
    <t>휴식의 장</t>
    <phoneticPr fontId="6" type="noConversion"/>
  </si>
  <si>
    <t xml:space="preserve"> 피로를 회복시켜주는 포션에 몸을 담구어 쉬는 곳. 모험가들 사이에서 인기가 높다. 마사지 등의 서비스도 제공.</t>
    <phoneticPr fontId="6" type="noConversion"/>
  </si>
  <si>
    <t>여관나무</t>
    <phoneticPr fontId="6" type="noConversion"/>
  </si>
  <si>
    <t>호화 호텔</t>
    <phoneticPr fontId="6" type="noConversion"/>
  </si>
  <si>
    <r>
      <rPr>
        <sz val="10"/>
        <color theme="1" tint="0.34998626667073579"/>
        <rFont val="맑은 고딕"/>
        <family val="3"/>
        <charset val="129"/>
        <scheme val="minor"/>
      </rPr>
      <t>휴식의</t>
    </r>
    <r>
      <rPr>
        <sz val="10"/>
        <color theme="1" tint="0.34998626667073579"/>
        <rFont val="맑은 고딕"/>
        <family val="2"/>
        <scheme val="minor"/>
      </rPr>
      <t xml:space="preserve"> </t>
    </r>
    <r>
      <rPr>
        <sz val="10"/>
        <color theme="1" tint="0.34998626667073579"/>
        <rFont val="맑은 고딕"/>
        <family val="3"/>
        <charset val="129"/>
        <scheme val="minor"/>
      </rPr>
      <t>장</t>
    </r>
    <phoneticPr fontId="6" type="noConversion"/>
  </si>
  <si>
    <t>여관 나무</t>
    <phoneticPr fontId="6" type="noConversion"/>
  </si>
  <si>
    <t xml:space="preserve"> 마법으로 움직이는 허수아비가 관리하는 모텔. 종업원이 없는 것 외엔 차이가 없는데도 왠지 모르게 인기가 좋다.</t>
    <phoneticPr fontId="6" type="noConversion"/>
  </si>
  <si>
    <t xml:space="preserve"> 자체가 여관인 독특한 나무. 줄기와 가지의 속이 비어있어 복도로 사용되며 정육면체 모양의 열매 역시 속이 비어있어 방으로 사용된다. 덕분에 많은 손님을 수용할 수 있다.</t>
    <phoneticPr fontId="6" type="noConversion"/>
  </si>
  <si>
    <t xml:space="preserve"> 모험가에게 버프를 줄까 생각 중.</t>
    <phoneticPr fontId="6" type="noConversion"/>
  </si>
  <si>
    <t>허수아비 모텔</t>
    <phoneticPr fontId="6" type="noConversion"/>
  </si>
  <si>
    <t>행상인</t>
    <phoneticPr fontId="6" type="noConversion"/>
  </si>
  <si>
    <t>세탁소</t>
    <phoneticPr fontId="6" type="noConversion"/>
  </si>
  <si>
    <t>편의점</t>
    <phoneticPr fontId="6" type="noConversion"/>
  </si>
  <si>
    <t xml:space="preserve"> 24시간 운영하는 편의점. 필요한 생필품을 시간에 구애받지 않고 살 수 있다.</t>
    <phoneticPr fontId="6" type="noConversion"/>
  </si>
  <si>
    <t xml:space="preserve"> 짐을 대신 들어줄 짐꾼을 고용할 수 있는 장소. 부유한 모험가들이 많이들 고용한다.</t>
    <phoneticPr fontId="6" type="noConversion"/>
  </si>
  <si>
    <t xml:space="preserve"> 온갖 물건을 파는 백화점.</t>
    <phoneticPr fontId="6" type="noConversion"/>
  </si>
  <si>
    <t xml:space="preserve"> 갖가지 우편물을 취급하는 우체국. 던전에 기거하는 사람이 꽤 많기 때문에 의외로 우편량이 많다. 특히 자주 오는 사람들은 돈 벌러 온 부모들.</t>
    <phoneticPr fontId="6" type="noConversion"/>
  </si>
  <si>
    <t xml:space="preserve"> 순간 이동 마법으로 사람과 물자를 전송하는 시설. 장거리 순간 이동 마법은 매우 섬세하기 때문에 정교한 설비와 자격증을 가진 공간마법 마법사가 필요하다</t>
    <phoneticPr fontId="6" type="noConversion"/>
  </si>
  <si>
    <t>짐꾼센터</t>
    <phoneticPr fontId="6" type="noConversion"/>
  </si>
  <si>
    <t>백화점</t>
    <phoneticPr fontId="6" type="noConversion"/>
  </si>
  <si>
    <t>우체국</t>
    <phoneticPr fontId="6" type="noConversion"/>
  </si>
  <si>
    <t>순간이동기</t>
    <phoneticPr fontId="6" type="noConversion"/>
  </si>
  <si>
    <t>직종별 평균</t>
    <phoneticPr fontId="6" type="noConversion"/>
  </si>
  <si>
    <t>종족별 평균</t>
    <phoneticPr fontId="6" type="noConversion"/>
  </si>
  <si>
    <t>소득별 평균</t>
    <phoneticPr fontId="6" type="noConversion"/>
  </si>
  <si>
    <t>오페라 극장</t>
    <phoneticPr fontId="6" type="noConversion"/>
  </si>
  <si>
    <t>선호도 표</t>
    <phoneticPr fontId="6" type="noConversion"/>
  </si>
  <si>
    <t>허름한 여관</t>
    <phoneticPr fontId="6" type="noConversion"/>
  </si>
  <si>
    <t>행상인</t>
    <phoneticPr fontId="6" type="noConversion"/>
  </si>
  <si>
    <t>짐꾼 센터</t>
    <phoneticPr fontId="6" type="noConversion"/>
  </si>
  <si>
    <t>백화점</t>
    <phoneticPr fontId="6" type="noConversion"/>
  </si>
  <si>
    <t>우체국</t>
    <phoneticPr fontId="6" type="noConversion"/>
  </si>
  <si>
    <t>순간이동기</t>
    <phoneticPr fontId="6" type="noConversion"/>
  </si>
  <si>
    <t>규칙</t>
    <phoneticPr fontId="6" type="noConversion"/>
  </si>
  <si>
    <t>공간효율</t>
    <phoneticPr fontId="6" type="noConversion"/>
  </si>
  <si>
    <t>건설비용 대비 수익</t>
    <phoneticPr fontId="6" type="noConversion"/>
  </si>
  <si>
    <t>설명</t>
    <phoneticPr fontId="6" type="noConversion"/>
  </si>
  <si>
    <t>음료수</t>
    <phoneticPr fontId="6" type="noConversion"/>
  </si>
  <si>
    <t xml:space="preserve"> 던전에서 나는 여러 열매로 주스를 만들어 파는 가게.</t>
    <phoneticPr fontId="6" type="noConversion"/>
  </si>
  <si>
    <t>선술집</t>
    <phoneticPr fontId="6" type="noConversion"/>
  </si>
  <si>
    <t xml:space="preserve"> 여러 모험가들이 오가는 선술집. 모험가 사이에서 소문과 의뢰가 오가는 곳이기도 하다.</t>
    <phoneticPr fontId="6" type="noConversion"/>
  </si>
  <si>
    <t xml:space="preserve"> 특수건물이며 의뢰 게시판 같은 애드온 붙여도 괜찮을 듯.</t>
    <phoneticPr fontId="6" type="noConversion"/>
  </si>
  <si>
    <t>공연 내용을 바꿀 수 있음. 내용에 따라 선호도 보너스.</t>
    <phoneticPr fontId="6" type="noConversion"/>
  </si>
  <si>
    <t>드래곤 라이더</t>
    <phoneticPr fontId="6" type="noConversion"/>
  </si>
  <si>
    <t>놀이</t>
    <phoneticPr fontId="6" type="noConversion"/>
  </si>
  <si>
    <t>보스가 있던 방에만 설치 가능. 맞닿아있는 건물에 요금 +30% 보너스.</t>
    <phoneticPr fontId="6" type="noConversion"/>
  </si>
  <si>
    <t xml:space="preserve"> 작은 용을 탈 수 있는 곳. 정교하고 아기자기한 용들이 시선을 끌기 때문에 사람들이 많이 몰린다.</t>
    <phoneticPr fontId="6" type="noConversion"/>
  </si>
  <si>
    <t xml:space="preserve"> 진짜 용으로 할 지, 용모양 스팀펑크 로봇으로 할 지 고민 중.</t>
    <phoneticPr fontId="6" type="noConversion"/>
  </si>
  <si>
    <t>보스 공략 체험장</t>
    <phoneticPr fontId="6" type="noConversion"/>
  </si>
  <si>
    <t>기념품 가게</t>
    <phoneticPr fontId="6" type="noConversion"/>
  </si>
  <si>
    <t>이용한 손님의 이동속도 30초 동안 +30%</t>
    <phoneticPr fontId="6" type="noConversion"/>
  </si>
  <si>
    <t>관광</t>
    <phoneticPr fontId="6" type="noConversion"/>
  </si>
  <si>
    <t>기념</t>
    <phoneticPr fontId="6" type="noConversion"/>
  </si>
  <si>
    <t>관광</t>
    <phoneticPr fontId="6" type="noConversion"/>
  </si>
  <si>
    <t>어디서든 호텔</t>
    <phoneticPr fontId="6" type="noConversion"/>
  </si>
  <si>
    <t xml:space="preserve"> 호화로운 호텔. 좋은 서비스와 세련되고 아늑한 방 덕분에 인기가 높다. 공간 마법으로 연결된 출입구가 여러 개 있어 호텔에서 먼 곳에서도 드나들 수 있는 장점이 있다.</t>
    <phoneticPr fontId="6" type="noConversion"/>
  </si>
  <si>
    <t>1칸 짜리 출입구를 2개까지 건설 가능. 출입구는 건물에서 떨어진 곳에 지을 수 있다.</t>
    <phoneticPr fontId="6" type="noConversion"/>
  </si>
  <si>
    <t>맞닿아 있는 가게 1개당 요금 +15%, 기념품 스프라이트를 플레이어가 지정 가능</t>
    <phoneticPr fontId="6" type="noConversion"/>
  </si>
  <si>
    <t xml:space="preserve"> 관광객들이 사진을 찍는 곳. 사진 찍는데 도움이 되는 각종 물건이 있다.</t>
    <phoneticPr fontId="6" type="noConversion"/>
  </si>
  <si>
    <t xml:space="preserve"> 손님들에게 던전 지리와 관광 명소를 알려주는 곳.</t>
    <phoneticPr fontId="6" type="noConversion"/>
  </si>
  <si>
    <t>보너스</t>
    <phoneticPr fontId="6" type="noConversion"/>
  </si>
  <si>
    <t>건설 비용</t>
    <phoneticPr fontId="6" type="noConversion"/>
  </si>
  <si>
    <t>포토존</t>
    <phoneticPr fontId="6" type="noConversion"/>
  </si>
  <si>
    <t>안내소</t>
    <phoneticPr fontId="6" type="noConversion"/>
  </si>
  <si>
    <r>
      <rPr>
        <sz val="10"/>
        <color theme="1" tint="0.34998626667073579"/>
        <rFont val="맑은 고딕"/>
        <family val="3"/>
        <charset val="129"/>
        <scheme val="minor"/>
      </rPr>
      <t>던전</t>
    </r>
    <r>
      <rPr>
        <sz val="10"/>
        <color theme="1" tint="0.34998626667073579"/>
        <rFont val="맑은 고딕"/>
        <family val="2"/>
        <scheme val="minor"/>
      </rPr>
      <t xml:space="preserve"> </t>
    </r>
    <r>
      <rPr>
        <sz val="10"/>
        <color theme="1" tint="0.34998626667073579"/>
        <rFont val="맑은 고딕"/>
        <family val="3"/>
        <charset val="129"/>
        <scheme val="minor"/>
      </rPr>
      <t>체험장</t>
    </r>
    <phoneticPr fontId="6" type="noConversion"/>
  </si>
  <si>
    <t>박물관</t>
    <phoneticPr fontId="6" type="noConversion"/>
  </si>
  <si>
    <r>
      <rPr>
        <sz val="10"/>
        <color theme="1" tint="0.34998626667073579"/>
        <rFont val="맑은 고딕"/>
        <family val="3"/>
        <charset val="129"/>
        <scheme val="minor"/>
      </rPr>
      <t>기념품</t>
    </r>
    <r>
      <rPr>
        <sz val="10"/>
        <color theme="1" tint="0.34998626667073579"/>
        <rFont val="맑은 고딕"/>
        <family val="2"/>
        <scheme val="minor"/>
      </rPr>
      <t xml:space="preserve"> </t>
    </r>
    <r>
      <rPr>
        <sz val="10"/>
        <color theme="1" tint="0.34998626667073579"/>
        <rFont val="맑은 고딕"/>
        <family val="3"/>
        <charset val="129"/>
        <scheme val="minor"/>
      </rPr>
      <t>가게</t>
    </r>
    <phoneticPr fontId="6" type="noConversion"/>
  </si>
  <si>
    <r>
      <rPr>
        <sz val="10"/>
        <color theme="1" tint="0.34998626667073579"/>
        <rFont val="맑은 고딕"/>
        <family val="3"/>
        <charset val="129"/>
        <scheme val="minor"/>
      </rPr>
      <t>몬스터</t>
    </r>
    <r>
      <rPr>
        <sz val="10"/>
        <color theme="1" tint="0.34998626667073579"/>
        <rFont val="맑은 고딕"/>
        <family val="2"/>
        <scheme val="minor"/>
      </rPr>
      <t xml:space="preserve"> </t>
    </r>
    <r>
      <rPr>
        <sz val="10"/>
        <color theme="1" tint="0.34998626667073579"/>
        <rFont val="맑은 고딕"/>
        <family val="3"/>
        <charset val="129"/>
        <scheme val="minor"/>
      </rPr>
      <t>동물원</t>
    </r>
    <phoneticPr fontId="6" type="noConversion"/>
  </si>
  <si>
    <r>
      <rPr>
        <sz val="10"/>
        <color theme="1" tint="0.34998626667073579"/>
        <rFont val="맑은 고딕"/>
        <family val="3"/>
        <charset val="129"/>
        <scheme val="minor"/>
      </rPr>
      <t>보스</t>
    </r>
    <r>
      <rPr>
        <sz val="10"/>
        <color theme="1" tint="0.34998626667073579"/>
        <rFont val="맑은 고딕"/>
        <family val="2"/>
        <scheme val="minor"/>
      </rPr>
      <t xml:space="preserve"> </t>
    </r>
    <r>
      <rPr>
        <sz val="10"/>
        <color theme="1" tint="0.34998626667073579"/>
        <rFont val="맑은 고딕"/>
        <family val="3"/>
        <charset val="129"/>
        <scheme val="minor"/>
      </rPr>
      <t>공략</t>
    </r>
    <r>
      <rPr>
        <sz val="10"/>
        <color theme="1" tint="0.34998626667073579"/>
        <rFont val="맑은 고딕"/>
        <family val="2"/>
        <scheme val="minor"/>
      </rPr>
      <t xml:space="preserve"> </t>
    </r>
    <r>
      <rPr>
        <sz val="10"/>
        <color theme="1" tint="0.34998626667073579"/>
        <rFont val="맑은 고딕"/>
        <family val="3"/>
        <charset val="129"/>
        <scheme val="minor"/>
      </rPr>
      <t>체험장</t>
    </r>
    <phoneticPr fontId="6" type="noConversion"/>
  </si>
  <si>
    <t xml:space="preserve"> 던전의 여러 지형과 몬스터들을 재현한 체험장. 만들어진 경로를 따라 걸으면 모험가가 된 기분을 만끽할 수 있다.</t>
    <phoneticPr fontId="6" type="noConversion"/>
  </si>
  <si>
    <t xml:space="preserve"> 던전의 역사, 여러 유물, 몬스터의 표본을 전시해놓은 박물관. 호불호가 크게 갈린다고 한다.</t>
    <phoneticPr fontId="6" type="noConversion"/>
  </si>
  <si>
    <t xml:space="preserve"> 여러 기념품을 파는 가게. 몬스터의 이빨, 모험가와 몬스터의 모형 등 여러 굿즈를 팔고 있다.</t>
    <phoneticPr fontId="6" type="noConversion"/>
  </si>
  <si>
    <t xml:space="preserve"> 몬스터를 기르는 동물원. 우리에서 크고 있는 몬스터들을 구경할 수 있다.</t>
    <phoneticPr fontId="6" type="noConversion"/>
  </si>
  <si>
    <t xml:space="preserve"> 움직이는 보스의 모형을 상대하는 체험장. 관광객들이 몰리는 가게이다.</t>
    <phoneticPr fontId="6" type="noConversion"/>
  </si>
  <si>
    <t>맞닿아있는 '장비' 카테고리의 가게에게 요금 +50%</t>
    <phoneticPr fontId="6" type="noConversion"/>
  </si>
  <si>
    <t xml:space="preserve"> 특별한 버프는 없지만 매우 높은 수용량이 장점. 단, 욕구1당 수익은 낮음.</t>
    <phoneticPr fontId="6" type="noConversion"/>
  </si>
  <si>
    <t>기념품 가게</t>
    <phoneticPr fontId="6" type="noConversion"/>
  </si>
  <si>
    <t>용뼈 감자탕</t>
    <phoneticPr fontId="6" type="noConversion"/>
  </si>
  <si>
    <t>고기 뷔페</t>
    <phoneticPr fontId="6" type="noConversion"/>
  </si>
  <si>
    <t>바비큐장</t>
    <phoneticPr fontId="6" type="noConversion"/>
  </si>
  <si>
    <t>고급 레스토랑</t>
    <phoneticPr fontId="6" type="noConversion"/>
  </si>
  <si>
    <t>고기 뷔페</t>
    <phoneticPr fontId="6" type="noConversion"/>
  </si>
  <si>
    <t>식사</t>
    <phoneticPr fontId="6" type="noConversion"/>
  </si>
  <si>
    <t>바비큐장</t>
    <phoneticPr fontId="6" type="noConversion"/>
  </si>
  <si>
    <t>고급 레스토랑</t>
    <phoneticPr fontId="6" type="noConversion"/>
  </si>
  <si>
    <t>사냥터와의 거리가 2칸 이하이면 선호도 +20, 요금 +30%</t>
    <phoneticPr fontId="6" type="noConversion"/>
  </si>
  <si>
    <t>맞닿은 관광, 오락 건물 1개당 요금 +15%</t>
    <phoneticPr fontId="6" type="noConversion"/>
  </si>
  <si>
    <t>선술집</t>
    <phoneticPr fontId="6" type="noConversion"/>
  </si>
  <si>
    <t>던전 라운지</t>
    <phoneticPr fontId="6" type="noConversion"/>
  </si>
  <si>
    <t>음료수</t>
    <phoneticPr fontId="6" type="noConversion"/>
  </si>
  <si>
    <t xml:space="preserve"> 전망이 좋은 곳에 높이 세워진 라운지. 좋은 경치, 분위기 때문에 고소득층 고객이 많이 온다.</t>
    <phoneticPr fontId="6" type="noConversion"/>
  </si>
  <si>
    <t>제과점</t>
    <phoneticPr fontId="6" type="noConversion"/>
  </si>
  <si>
    <t xml:space="preserve"> 중국집이 보기엔 좀 더 좋을 듯. 들어온 손님의 소득분류에 따라 이용시간 +5초 이런 식으로 해도 될 거 같음.</t>
    <phoneticPr fontId="6" type="noConversion"/>
  </si>
  <si>
    <r>
      <rPr>
        <sz val="10"/>
        <color theme="1" tint="0.34998626667073579"/>
        <rFont val="맑은 고딕"/>
        <family val="3"/>
        <charset val="129"/>
        <scheme val="minor"/>
      </rPr>
      <t>고기</t>
    </r>
    <r>
      <rPr>
        <sz val="10"/>
        <color theme="1" tint="0.34998626667073579"/>
        <rFont val="맑은 고딕"/>
        <family val="2"/>
        <scheme val="minor"/>
      </rPr>
      <t xml:space="preserve"> </t>
    </r>
    <r>
      <rPr>
        <sz val="10"/>
        <color theme="1" tint="0.34998626667073579"/>
        <rFont val="맑은 고딕"/>
        <family val="3"/>
        <charset val="129"/>
        <scheme val="minor"/>
      </rPr>
      <t>뷔페</t>
    </r>
    <phoneticPr fontId="6" type="noConversion"/>
  </si>
  <si>
    <t>제과점</t>
    <phoneticPr fontId="6" type="noConversion"/>
  </si>
  <si>
    <r>
      <rPr>
        <sz val="10"/>
        <color theme="1" tint="0.34998626667073579"/>
        <rFont val="맑은 고딕"/>
        <family val="3"/>
        <charset val="129"/>
        <scheme val="minor"/>
      </rPr>
      <t>용뼈</t>
    </r>
    <r>
      <rPr>
        <sz val="10"/>
        <color theme="1" tint="0.34998626667073579"/>
        <rFont val="맑은 고딕"/>
        <family val="2"/>
        <scheme val="minor"/>
      </rPr>
      <t xml:space="preserve"> </t>
    </r>
    <r>
      <rPr>
        <sz val="10"/>
        <color theme="1" tint="0.34998626667073579"/>
        <rFont val="맑은 고딕"/>
        <family val="3"/>
        <charset val="129"/>
        <scheme val="minor"/>
      </rPr>
      <t>감자탕</t>
    </r>
    <phoneticPr fontId="6" type="noConversion"/>
  </si>
  <si>
    <t>바비큐장</t>
    <phoneticPr fontId="6" type="noConversion"/>
  </si>
  <si>
    <r>
      <rPr>
        <sz val="10"/>
        <color theme="1" tint="0.34998626667073579"/>
        <rFont val="맑은 고딕"/>
        <family val="3"/>
        <charset val="129"/>
        <scheme val="minor"/>
      </rPr>
      <t>고급</t>
    </r>
    <r>
      <rPr>
        <sz val="10"/>
        <color theme="1" tint="0.34998626667073579"/>
        <rFont val="맑은 고딕"/>
        <family val="2"/>
        <scheme val="minor"/>
      </rPr>
      <t xml:space="preserve"> </t>
    </r>
    <r>
      <rPr>
        <sz val="10"/>
        <color theme="1" tint="0.34998626667073579"/>
        <rFont val="맑은 고딕"/>
        <family val="3"/>
        <charset val="129"/>
        <scheme val="minor"/>
      </rPr>
      <t>레스토랑</t>
    </r>
    <phoneticPr fontId="6" type="noConversion"/>
  </si>
  <si>
    <r>
      <rPr>
        <sz val="10"/>
        <color theme="1" tint="0.34998626667073579"/>
        <rFont val="맑은 고딕"/>
        <family val="3"/>
        <charset val="129"/>
        <scheme val="minor"/>
      </rPr>
      <t>거대</t>
    </r>
    <r>
      <rPr>
        <sz val="10"/>
        <color theme="1" tint="0.34998626667073579"/>
        <rFont val="맑은 고딕"/>
        <family val="2"/>
        <scheme val="minor"/>
      </rPr>
      <t xml:space="preserve"> </t>
    </r>
    <r>
      <rPr>
        <sz val="10"/>
        <color theme="1" tint="0.34998626667073579"/>
        <rFont val="맑은 고딕"/>
        <family val="3"/>
        <charset val="129"/>
        <scheme val="minor"/>
      </rPr>
      <t>도마뱀</t>
    </r>
    <r>
      <rPr>
        <sz val="10"/>
        <color theme="1" tint="0.34998626667073579"/>
        <rFont val="맑은 고딕"/>
        <family val="2"/>
        <scheme val="minor"/>
      </rPr>
      <t xml:space="preserve"> </t>
    </r>
    <r>
      <rPr>
        <sz val="10"/>
        <color theme="1" tint="0.34998626667073579"/>
        <rFont val="맑은 고딕"/>
        <family val="3"/>
        <charset val="129"/>
        <scheme val="minor"/>
      </rPr>
      <t>카페</t>
    </r>
    <phoneticPr fontId="6" type="noConversion"/>
  </si>
  <si>
    <r>
      <rPr>
        <sz val="10"/>
        <color theme="1" tint="0.34998626667073579"/>
        <rFont val="맑은 고딕"/>
        <family val="3"/>
        <charset val="129"/>
        <scheme val="minor"/>
      </rPr>
      <t>던전</t>
    </r>
    <r>
      <rPr>
        <sz val="10"/>
        <color theme="1" tint="0.34998626667073579"/>
        <rFont val="맑은 고딕"/>
        <family val="2"/>
        <scheme val="minor"/>
      </rPr>
      <t xml:space="preserve"> </t>
    </r>
    <r>
      <rPr>
        <sz val="10"/>
        <color theme="1" tint="0.34998626667073579"/>
        <rFont val="맑은 고딕"/>
        <family val="3"/>
        <charset val="129"/>
        <scheme val="minor"/>
      </rPr>
      <t>라운지</t>
    </r>
    <phoneticPr fontId="6" type="noConversion"/>
  </si>
  <si>
    <t>일반 포션 가게</t>
    <phoneticPr fontId="6" type="noConversion"/>
  </si>
  <si>
    <t>일반 무기 가게</t>
    <phoneticPr fontId="6" type="noConversion"/>
  </si>
  <si>
    <t>싸구려 무기 가게</t>
    <phoneticPr fontId="6" type="noConversion"/>
  </si>
  <si>
    <t>싸구려 방어구 가게</t>
    <phoneticPr fontId="6" type="noConversion"/>
  </si>
  <si>
    <t>일반 방어구 가게</t>
    <phoneticPr fontId="6" type="noConversion"/>
  </si>
  <si>
    <t>매직 무기 가게</t>
    <phoneticPr fontId="6" type="noConversion"/>
  </si>
  <si>
    <t>매직 방어구 가게</t>
    <phoneticPr fontId="6" type="noConversion"/>
  </si>
  <si>
    <t>맞춤형 장비 제작소</t>
    <phoneticPr fontId="6" type="noConversion"/>
  </si>
  <si>
    <t>장비 강화소</t>
    <phoneticPr fontId="6" type="noConversion"/>
  </si>
  <si>
    <t xml:space="preserve"> 던전의 출입구로도 기능. 해당 던전의 손님 수용량을 50(관광객 40/모험가 10) 올려줌.</t>
    <phoneticPr fontId="6" type="noConversion"/>
  </si>
  <si>
    <t>야외 테이블</t>
    <phoneticPr fontId="6" type="noConversion"/>
  </si>
  <si>
    <t xml:space="preserve"> 야외에 설치된 테이블. 바깥 경치를 구경하며 식사할 수 있는 장점이 있다.</t>
    <phoneticPr fontId="6" type="noConversion"/>
  </si>
  <si>
    <t>뮤직박스</t>
    <phoneticPr fontId="6" type="noConversion"/>
  </si>
  <si>
    <t>선호도 +10</t>
    <phoneticPr fontId="6" type="noConversion"/>
  </si>
  <si>
    <t>애드온</t>
    <phoneticPr fontId="6" type="noConversion"/>
  </si>
  <si>
    <t>뮤직박스</t>
    <phoneticPr fontId="6" type="noConversion"/>
  </si>
  <si>
    <t>야외테이블</t>
    <phoneticPr fontId="6" type="noConversion"/>
  </si>
  <si>
    <t>별관</t>
    <phoneticPr fontId="6" type="noConversion"/>
  </si>
  <si>
    <t>별관</t>
    <phoneticPr fontId="6" type="noConversion"/>
  </si>
  <si>
    <t>애드온</t>
    <phoneticPr fontId="6" type="noConversion"/>
  </si>
  <si>
    <t>인게임에서는 시계방향으로 45도 회전한 모양이 정방향임.</t>
    <phoneticPr fontId="6" type="noConversion"/>
  </si>
  <si>
    <t>부지 모양</t>
    <phoneticPr fontId="6" type="noConversion"/>
  </si>
  <si>
    <t>부지 모양</t>
    <phoneticPr fontId="6" type="noConversion"/>
  </si>
  <si>
    <t>구호소</t>
    <phoneticPr fontId="6" type="noConversion"/>
  </si>
  <si>
    <t>`</t>
    <phoneticPr fontId="6" type="noConversion"/>
  </si>
  <si>
    <t>직원 휴게실</t>
    <phoneticPr fontId="6" type="noConversion"/>
  </si>
  <si>
    <t>요금 +10%</t>
    <phoneticPr fontId="6" type="noConversion"/>
  </si>
  <si>
    <t>요금 +15%</t>
    <phoneticPr fontId="6" type="noConversion"/>
  </si>
  <si>
    <t>대형 주방</t>
    <phoneticPr fontId="6" type="noConversion"/>
  </si>
  <si>
    <t>좋은 조리기구와 넓은 공간이 구비된 주방. 요리사들이 보다 좋은 환경에서 요리할 수 있다.</t>
    <phoneticPr fontId="6" type="noConversion"/>
  </si>
  <si>
    <t>자동으로 음악을 연주하는 기계. 가게 내에 적당한 음량의 음악이 깔리는 편이 평판이 좋다.</t>
    <phoneticPr fontId="6" type="noConversion"/>
  </si>
  <si>
    <t>선호도 +20</t>
    <phoneticPr fontId="6" type="noConversion"/>
  </si>
  <si>
    <t>라이브 스테이지</t>
    <phoneticPr fontId="6" type="noConversion"/>
  </si>
  <si>
    <t>테라스</t>
    <phoneticPr fontId="6" type="noConversion"/>
  </si>
  <si>
    <t>밖에 앉아서 음료를 마실 수 있게 설치된 테라스.</t>
    <phoneticPr fontId="6" type="noConversion"/>
  </si>
  <si>
    <t>라이브 공연을 할 수 있는 무대. 분위기 조성에 효과적이지만 유지비가 높다.</t>
    <phoneticPr fontId="6" type="noConversion"/>
  </si>
  <si>
    <t>더 많은 고객을 수용할 수 있는 별관. 수용 인원이 많이 느는 대신 차지하는 공간도 크다.</t>
    <phoneticPr fontId="6" type="noConversion"/>
  </si>
  <si>
    <t>직원들이 잠깐 쉴 수 있는 휴게실.</t>
    <phoneticPr fontId="6" type="noConversion"/>
  </si>
  <si>
    <t>특실</t>
    <phoneticPr fontId="6" type="noConversion"/>
  </si>
  <si>
    <t>매점</t>
    <phoneticPr fontId="6" type="noConversion"/>
  </si>
  <si>
    <t>식당</t>
    <phoneticPr fontId="6" type="noConversion"/>
  </si>
  <si>
    <t>카지노</t>
    <phoneticPr fontId="6" type="noConversion"/>
  </si>
  <si>
    <t>확장 공사</t>
    <phoneticPr fontId="6" type="noConversion"/>
  </si>
  <si>
    <t>1층 더 추가하는 공사를 한다. 고객을 더 많이 받을 수 있다.</t>
    <phoneticPr fontId="6" type="noConversion"/>
  </si>
  <si>
    <t>특별히 고급스러운 방. 부유한 고객들이 선호한다.</t>
    <phoneticPr fontId="6" type="noConversion"/>
  </si>
  <si>
    <t>레스토랑을 추가하여서 투숙객들에게 식사를 제공한다.</t>
    <phoneticPr fontId="6" type="noConversion"/>
  </si>
  <si>
    <t>투숙객들에게 간단한 생필품과 먹을거리를 파는 매점.</t>
    <phoneticPr fontId="6" type="noConversion"/>
  </si>
  <si>
    <t>숙소에 부속된 카지노. 투숙객들뿐만 아니라 카지노만 이용하러 오는 손님들도 많다.</t>
    <phoneticPr fontId="6" type="noConversion"/>
  </si>
  <si>
    <t>피트니스 센터</t>
    <phoneticPr fontId="6" type="noConversion"/>
  </si>
  <si>
    <t>지하에 수영장과 운동기구가 있는 피트니스 센터를 건설한다. 선호도가 상승한다.</t>
    <phoneticPr fontId="6" type="noConversion"/>
  </si>
  <si>
    <t>망원경</t>
    <phoneticPr fontId="6" type="noConversion"/>
  </si>
  <si>
    <t>안내원 대기실</t>
    <phoneticPr fontId="6" type="noConversion"/>
  </si>
  <si>
    <t>관광지를 안내해줄 안내원들이 대기하는 곳.</t>
    <phoneticPr fontId="6" type="noConversion"/>
  </si>
  <si>
    <t>일회용 카메라 자판기</t>
    <phoneticPr fontId="6" type="noConversion"/>
  </si>
  <si>
    <t>멀리까지 둘러볼 수 있는 망원경. 동전을 넣으면 작동한다.</t>
    <phoneticPr fontId="6" type="noConversion"/>
  </si>
  <si>
    <t>일회용 카메라를 파는 자판기.</t>
    <phoneticPr fontId="6" type="noConversion"/>
  </si>
  <si>
    <t>쇼핑카트</t>
    <phoneticPr fontId="6" type="noConversion"/>
  </si>
  <si>
    <t>쇼핑을 할 때 쓰는 카트. 장 보기가 편해진다.</t>
    <phoneticPr fontId="6" type="noConversion"/>
  </si>
  <si>
    <t>선호도 +15</t>
    <phoneticPr fontId="6" type="noConversion"/>
  </si>
  <si>
    <t>쇼핑 도중 짐을 보관해주는 보관소.</t>
    <phoneticPr fontId="6" type="noConversion"/>
  </si>
  <si>
    <t>배달 센터</t>
    <phoneticPr fontId="6" type="noConversion"/>
  </si>
  <si>
    <t>`</t>
    <phoneticPr fontId="6" type="noConversion"/>
  </si>
  <si>
    <t>배달 서비스를 제공해주는 곳. 주로 마법사가 마법으로 보내준다.</t>
    <phoneticPr fontId="6" type="noConversion"/>
  </si>
  <si>
    <t>자판기</t>
    <phoneticPr fontId="6" type="noConversion"/>
  </si>
  <si>
    <t>대형 간판</t>
    <phoneticPr fontId="6" type="noConversion"/>
  </si>
  <si>
    <t>가게 홍보용 대형 간판.</t>
    <phoneticPr fontId="6" type="noConversion"/>
  </si>
  <si>
    <t>간단히 먹을 거리를 파는 매점.</t>
    <phoneticPr fontId="6" type="noConversion"/>
  </si>
  <si>
    <t>건설 가능 애드온</t>
    <phoneticPr fontId="6" type="noConversion"/>
  </si>
  <si>
    <t>자판기, 대형 간판</t>
    <phoneticPr fontId="6" type="noConversion"/>
  </si>
  <si>
    <t>매점, 대형 간판</t>
    <phoneticPr fontId="6" type="noConversion"/>
  </si>
  <si>
    <t>쇼핑카트</t>
    <phoneticPr fontId="6" type="noConversion"/>
  </si>
  <si>
    <t>쇼핑카트, 물품 보관소, 배달 센터</t>
    <phoneticPr fontId="6" type="noConversion"/>
  </si>
  <si>
    <t>예약 센터</t>
    <phoneticPr fontId="6" type="noConversion"/>
  </si>
  <si>
    <t>손님에게 예약을 받는 곳. 손님이 오자마자 준비된 서비스를 제공하기 때문에 보다 빠르다.</t>
    <phoneticPr fontId="6" type="noConversion"/>
  </si>
  <si>
    <t>배달 센터</t>
    <phoneticPr fontId="6" type="noConversion"/>
  </si>
  <si>
    <t>건설 가능 애드온</t>
    <phoneticPr fontId="6" type="noConversion"/>
  </si>
  <si>
    <t>안내원 대기실, 일회용 카메라 자판기.</t>
    <phoneticPr fontId="6" type="noConversion"/>
  </si>
  <si>
    <t>망원경, 일회용 카메라 자판기</t>
    <phoneticPr fontId="6" type="noConversion"/>
  </si>
  <si>
    <t>망원경</t>
    <phoneticPr fontId="6" type="noConversion"/>
  </si>
  <si>
    <t>포션 시음회</t>
    <phoneticPr fontId="6" type="noConversion"/>
  </si>
  <si>
    <t>전시장</t>
    <phoneticPr fontId="6" type="noConversion"/>
  </si>
  <si>
    <t>포션 시음회, 창고</t>
    <phoneticPr fontId="6" type="noConversion"/>
  </si>
  <si>
    <t>전시장, 창고</t>
    <phoneticPr fontId="6" type="noConversion"/>
  </si>
  <si>
    <t>매점, 특실, 확장공사</t>
    <phoneticPr fontId="6" type="noConversion"/>
  </si>
  <si>
    <t>식당, 카지노, 피트니스 센터, 확장 공사</t>
    <phoneticPr fontId="6" type="noConversion"/>
  </si>
  <si>
    <t>매점, 특실, 카지노, 확장공사</t>
    <phoneticPr fontId="6" type="noConversion"/>
  </si>
  <si>
    <t>매점, 식당, 특실</t>
    <phoneticPr fontId="6" type="noConversion"/>
  </si>
  <si>
    <t>매점, 피트니스 센터, 확장 공사</t>
    <phoneticPr fontId="6" type="noConversion"/>
  </si>
  <si>
    <t>카지노, 매점, 정원사 고용</t>
    <phoneticPr fontId="6" type="noConversion"/>
  </si>
  <si>
    <t>피트니스 센터, 매점</t>
    <phoneticPr fontId="6" type="noConversion"/>
  </si>
  <si>
    <t>야외 테이블</t>
    <phoneticPr fontId="6" type="noConversion"/>
  </si>
  <si>
    <t>야외 테이블, 뮤직박스</t>
    <phoneticPr fontId="6" type="noConversion"/>
  </si>
  <si>
    <t>뮤직박스</t>
    <phoneticPr fontId="6" type="noConversion"/>
  </si>
  <si>
    <t>야외 테이블, 별관</t>
    <phoneticPr fontId="6" type="noConversion"/>
  </si>
  <si>
    <t>뮤직박스, 대형 주방</t>
    <phoneticPr fontId="6" type="noConversion"/>
  </si>
  <si>
    <t>야외 테이블, 별관, 대형주방</t>
    <phoneticPr fontId="6" type="noConversion"/>
  </si>
  <si>
    <t>뮤직박스, 별관</t>
    <phoneticPr fontId="6" type="noConversion"/>
  </si>
  <si>
    <t>야외 테이블, 뮤직박스, 별관, 대형 주방</t>
    <phoneticPr fontId="6" type="noConversion"/>
  </si>
  <si>
    <t>테라스</t>
    <phoneticPr fontId="6" type="noConversion"/>
  </si>
  <si>
    <t>테라스, 별관</t>
    <phoneticPr fontId="6" type="noConversion"/>
  </si>
  <si>
    <t>철거시 건설비용의 100% 환수(애드온 제외)</t>
    <phoneticPr fontId="6" type="noConversion"/>
  </si>
  <si>
    <t>테라스, 라이브 스테이지, 별관, 직원 휴게실</t>
    <phoneticPr fontId="6" type="noConversion"/>
  </si>
  <si>
    <t>라이브 스테이지, 별관, 직원 휴게실</t>
    <phoneticPr fontId="6" type="noConversion"/>
  </si>
  <si>
    <t>건설 비용 회수 시간</t>
    <phoneticPr fontId="6" type="noConversion"/>
  </si>
  <si>
    <t>건설 비용 대비 수익</t>
    <phoneticPr fontId="6" type="noConversion"/>
  </si>
  <si>
    <t>욕구 해소량</t>
    <phoneticPr fontId="6" type="noConversion"/>
  </si>
  <si>
    <t>욕구 종류</t>
    <phoneticPr fontId="6" type="noConversion"/>
  </si>
  <si>
    <t>건설 부지는 최대 12칸.</t>
    <phoneticPr fontId="6" type="noConversion"/>
  </si>
  <si>
    <t>건설 부지가 클수록 수익률, 공간효율, 건설비용, 공간효율이 증가.</t>
    <phoneticPr fontId="6" type="noConversion"/>
  </si>
  <si>
    <t xml:space="preserve">건설 부지가 클수록 건설비용 대비 수익은 감소. </t>
    <phoneticPr fontId="6" type="noConversion"/>
  </si>
  <si>
    <t>한 카테고리당 2개의 특수 가게가 있다. 특수 가게는 고유의 보너스를 가진다.</t>
    <phoneticPr fontId="6" type="noConversion"/>
  </si>
  <si>
    <t>한 방에 여유 공간은 51칸이며 너비는 4칸 이하가 표준이다. -&gt; 최고 티어 가게 3개 +a가 들어갈 수 있다.</t>
    <phoneticPr fontId="6" type="noConversion"/>
  </si>
  <si>
    <t>게임 진행 속도는 2배속까지 올릴 수 있다.</t>
    <phoneticPr fontId="6" type="noConversion"/>
  </si>
  <si>
    <t>초당 욕구 해소량</t>
    <phoneticPr fontId="6" type="noConversion"/>
  </si>
  <si>
    <t>스테이지 시작 시 캐릭터 100명이 입장한다.</t>
    <phoneticPr fontId="6" type="noConversion"/>
  </si>
  <si>
    <t>직업</t>
  </si>
  <si>
    <t>모험가(일선 모험가 포함)</t>
  </si>
  <si>
    <t>관광객</t>
  </si>
  <si>
    <t>욕구 생성 시점</t>
  </si>
  <si>
    <t>초기치</t>
  </si>
  <si>
    <t>생성량</t>
  </si>
  <si>
    <r>
      <t>1</t>
    </r>
    <r>
      <rPr>
        <sz val="10"/>
        <color rgb="FF595959"/>
        <rFont val="KoPub돋움체 Medium"/>
        <family val="1"/>
        <charset val="129"/>
      </rPr>
      <t>초</t>
    </r>
    <r>
      <rPr>
        <sz val="10"/>
        <color rgb="FF595959"/>
        <rFont val="맑은 고딕"/>
        <family val="3"/>
        <charset val="129"/>
      </rPr>
      <t xml:space="preserve"> </t>
    </r>
    <r>
      <rPr>
        <sz val="10"/>
        <color rgb="FF595959"/>
        <rFont val="KoPub돋움체 Medium"/>
        <family val="1"/>
        <charset val="129"/>
      </rPr>
      <t>경과</t>
    </r>
    <r>
      <rPr>
        <sz val="10"/>
        <color rgb="FF595959"/>
        <rFont val="맑은 고딕"/>
        <family val="3"/>
        <charset val="129"/>
      </rPr>
      <t xml:space="preserve"> </t>
    </r>
    <r>
      <rPr>
        <sz val="10"/>
        <color rgb="FF595959"/>
        <rFont val="KoPub돋움체 Medium"/>
        <family val="1"/>
        <charset val="129"/>
      </rPr>
      <t>시</t>
    </r>
  </si>
  <si>
    <r>
      <t>몬스터</t>
    </r>
    <r>
      <rPr>
        <sz val="10"/>
        <color rgb="FF595959"/>
        <rFont val="맑은 고딕"/>
        <family val="3"/>
        <charset val="129"/>
      </rPr>
      <t>(1</t>
    </r>
    <r>
      <rPr>
        <sz val="10"/>
        <color rgb="FF595959"/>
        <rFont val="KoPub돋움체 Medium"/>
        <family val="1"/>
        <charset val="129"/>
      </rPr>
      <t>마리</t>
    </r>
    <r>
      <rPr>
        <sz val="10"/>
        <color rgb="FF595959"/>
        <rFont val="맑은 고딕"/>
        <family val="3"/>
        <charset val="129"/>
      </rPr>
      <t xml:space="preserve">) </t>
    </r>
    <r>
      <rPr>
        <sz val="10"/>
        <color rgb="FF595959"/>
        <rFont val="KoPub돋움체 Medium"/>
        <family val="1"/>
        <charset val="129"/>
      </rPr>
      <t>사냥</t>
    </r>
    <r>
      <rPr>
        <sz val="10"/>
        <color rgb="FF595959"/>
        <rFont val="맑은 고딕"/>
        <family val="3"/>
        <charset val="129"/>
      </rPr>
      <t xml:space="preserve"> </t>
    </r>
    <r>
      <rPr>
        <sz val="10"/>
        <color rgb="FF595959"/>
        <rFont val="KoPub돋움체 Medium"/>
        <family val="1"/>
        <charset val="129"/>
      </rPr>
      <t>성공</t>
    </r>
    <r>
      <rPr>
        <sz val="10"/>
        <color rgb="FF595959"/>
        <rFont val="맑은 고딕"/>
        <family val="3"/>
        <charset val="129"/>
      </rPr>
      <t xml:space="preserve"> </t>
    </r>
    <r>
      <rPr>
        <sz val="10"/>
        <color rgb="FF595959"/>
        <rFont val="KoPub돋움체 Medium"/>
        <family val="1"/>
        <charset val="129"/>
      </rPr>
      <t>시</t>
    </r>
  </si>
  <si>
    <r>
      <t>레벨업</t>
    </r>
    <r>
      <rPr>
        <sz val="10"/>
        <color rgb="FF595959"/>
        <rFont val="맑은 고딕"/>
        <family val="3"/>
        <charset val="129"/>
      </rPr>
      <t xml:space="preserve"> </t>
    </r>
    <r>
      <rPr>
        <sz val="10"/>
        <color rgb="FF595959"/>
        <rFont val="KoPub돋움체 Medium"/>
        <family val="1"/>
        <charset val="129"/>
      </rPr>
      <t>시</t>
    </r>
  </si>
  <si>
    <t>최소</t>
    <phoneticPr fontId="6" type="noConversion"/>
  </si>
  <si>
    <t>최대</t>
    <phoneticPr fontId="6" type="noConversion"/>
  </si>
  <si>
    <t>값 구분</t>
    <phoneticPr fontId="6" type="noConversion"/>
  </si>
  <si>
    <r>
      <t>체력이</t>
    </r>
    <r>
      <rPr>
        <sz val="10"/>
        <color rgb="FF595959"/>
        <rFont val="맑은 고딕"/>
        <family val="3"/>
        <charset val="129"/>
      </rPr>
      <t xml:space="preserve"> 100%</t>
    </r>
    <r>
      <rPr>
        <sz val="10"/>
        <color rgb="FF595959"/>
        <rFont val="KoPub돋움체 Medium"/>
        <family val="1"/>
        <charset val="129"/>
      </rPr>
      <t>가</t>
    </r>
    <r>
      <rPr>
        <sz val="10"/>
        <color rgb="FF595959"/>
        <rFont val="맑은 고딕"/>
        <family val="3"/>
        <charset val="129"/>
      </rPr>
      <t xml:space="preserve"> </t>
    </r>
    <r>
      <rPr>
        <sz val="10"/>
        <color rgb="FF595959"/>
        <rFont val="KoPub돋움체 Medium"/>
        <family val="1"/>
        <charset val="129"/>
      </rPr>
      <t>아닌</t>
    </r>
    <r>
      <rPr>
        <sz val="10"/>
        <color rgb="FF595959"/>
        <rFont val="맑은 고딕"/>
        <family val="3"/>
        <charset val="129"/>
      </rPr>
      <t xml:space="preserve"> </t>
    </r>
    <r>
      <rPr>
        <sz val="10"/>
        <color rgb="FF595959"/>
        <rFont val="KoPub돋움체 Medium"/>
        <family val="1"/>
        <charset val="129"/>
      </rPr>
      <t>모험가가</t>
    </r>
    <r>
      <rPr>
        <sz val="10"/>
        <color rgb="FF595959"/>
        <rFont val="맑은 고딕"/>
        <family val="3"/>
        <charset val="129"/>
      </rPr>
      <t xml:space="preserve"> </t>
    </r>
    <r>
      <rPr>
        <sz val="10"/>
        <color rgb="FF595959"/>
        <rFont val="KoPub돋움체 Medium"/>
        <family val="1"/>
        <charset val="129"/>
      </rPr>
      <t>사냥터에서</t>
    </r>
    <r>
      <rPr>
        <sz val="10"/>
        <color rgb="FF595959"/>
        <rFont val="맑은 고딕"/>
        <family val="3"/>
        <charset val="129"/>
      </rPr>
      <t xml:space="preserve"> </t>
    </r>
    <r>
      <rPr>
        <sz val="10"/>
        <color rgb="FF595959"/>
        <rFont val="KoPub돋움체 Medium"/>
        <family val="1"/>
        <charset val="129"/>
      </rPr>
      <t>퇴장할</t>
    </r>
    <r>
      <rPr>
        <sz val="10"/>
        <color rgb="FF595959"/>
        <rFont val="맑은 고딕"/>
        <family val="3"/>
        <charset val="129"/>
      </rPr>
      <t xml:space="preserve"> </t>
    </r>
    <r>
      <rPr>
        <sz val="10"/>
        <color rgb="FF595959"/>
        <rFont val="KoPub돋움체 Medium"/>
        <family val="1"/>
        <charset val="129"/>
      </rPr>
      <t>때</t>
    </r>
    <phoneticPr fontId="6" type="noConversion"/>
  </si>
  <si>
    <t>시작 골드</t>
    <phoneticPr fontId="6" type="noConversion"/>
  </si>
  <si>
    <t>스테이지 최대 캐릭터 수</t>
    <phoneticPr fontId="6" type="noConversion"/>
  </si>
  <si>
    <t>스테이지 시작</t>
    <phoneticPr fontId="6" type="noConversion"/>
  </si>
  <si>
    <t>사냥터 방 개방</t>
    <phoneticPr fontId="6" type="noConversion"/>
  </si>
  <si>
    <t>보스 방 개방</t>
    <phoneticPr fontId="6" type="noConversion"/>
  </si>
  <si>
    <t>골드 관련</t>
    <phoneticPr fontId="6" type="noConversion"/>
  </si>
  <si>
    <t>캐릭터 관련</t>
    <phoneticPr fontId="6" type="noConversion"/>
  </si>
  <si>
    <t>각 시점별 추가되는 캐릭터 수</t>
    <phoneticPr fontId="6" type="noConversion"/>
  </si>
  <si>
    <t>방 하나 당 초당 욕구 생성량</t>
    <phoneticPr fontId="6" type="noConversion"/>
  </si>
  <si>
    <t>평균 사냥 시간(초)</t>
    <phoneticPr fontId="6" type="noConversion"/>
  </si>
  <si>
    <t>합계</t>
    <phoneticPr fontId="6" type="noConversion"/>
  </si>
  <si>
    <t>최대 욕구 생성량</t>
    <phoneticPr fontId="6" type="noConversion"/>
  </si>
  <si>
    <t>가게 수</t>
    <phoneticPr fontId="6" type="noConversion"/>
  </si>
  <si>
    <t>카테고리 최대 수익률</t>
    <phoneticPr fontId="6" type="noConversion"/>
  </si>
  <si>
    <t>가게 당 초당 욕구 해소량</t>
    <phoneticPr fontId="6" type="noConversion"/>
  </si>
  <si>
    <t>모험가들의 체력을 채워줌. 수익률은 다른 카테고리의 절반 수준이지만 모험가 유치를 위해 필요. 수용량과 회전율이 낮아서, 금방 포화된다. 모험가들이 성소에 묶여있지 않게 수용량이 더 큰 성소를 계속 지어줘야 한다.</t>
    <phoneticPr fontId="6" type="noConversion"/>
  </si>
  <si>
    <t>가장 높은 가게</t>
    <phoneticPr fontId="6" type="noConversion"/>
  </si>
  <si>
    <t>가장 낮은 가게</t>
    <phoneticPr fontId="6" type="noConversion"/>
  </si>
  <si>
    <t>카테고리</t>
    <phoneticPr fontId="6" type="noConversion"/>
  </si>
  <si>
    <t>중간 가게</t>
    <phoneticPr fontId="6" type="noConversion"/>
  </si>
  <si>
    <t>가장 낮은 가게</t>
  </si>
  <si>
    <t>원본</t>
    <phoneticPr fontId="6" type="noConversion"/>
  </si>
  <si>
    <t>보너스가 있는 건물은 건설 비용이 20% 더 비쌈</t>
    <phoneticPr fontId="6" type="noConversion"/>
  </si>
  <si>
    <t>수용량 +10%</t>
    <phoneticPr fontId="6" type="noConversion"/>
  </si>
  <si>
    <t>수용량 +20%</t>
    <phoneticPr fontId="6" type="noConversion"/>
  </si>
  <si>
    <t>부유층 선호도 +20, 수용량 +5%</t>
    <phoneticPr fontId="6" type="noConversion"/>
  </si>
  <si>
    <t>맞닿아있는 가게에 선호도 보너스 +15, 요금 +10</t>
    <phoneticPr fontId="6" type="noConversion"/>
  </si>
  <si>
    <t>애드온의 건설 비용은, 원본 건물의 건설 비용에 비례한다. 건설 비용은 각 퍼센트 보너스의 1.5배, 선호도는 그대로 퍼센트로 친다. 장르 추가 시에는 15%의 비용이 발생한다.</t>
    <phoneticPr fontId="6" type="noConversion"/>
  </si>
  <si>
    <t xml:space="preserve"> 애드온의 건설 비용은, 원본 건물의 건설 비용에 비례한다. 건설 비용은 각 퍼센트 보너스의 1.5배, 선호도는 그대로 퍼센트로 친다. 장르 추가 시에는 15%의 비용이 발생한다. </t>
    <phoneticPr fontId="6" type="noConversion"/>
  </si>
  <si>
    <t>수용량 +5%</t>
    <phoneticPr fontId="6" type="noConversion"/>
  </si>
  <si>
    <t>요금 +5%</t>
    <phoneticPr fontId="6" type="noConversion"/>
  </si>
  <si>
    <t>선호도 +30</t>
    <phoneticPr fontId="6" type="noConversion"/>
  </si>
  <si>
    <t>요금 +20%, 장르에 식사 추가</t>
    <phoneticPr fontId="6" type="noConversion"/>
  </si>
  <si>
    <t>요금 +20%,  장르에 놀이 추가</t>
    <phoneticPr fontId="6" type="noConversion"/>
  </si>
  <si>
    <t xml:space="preserve">모험가의 장비 욕구를 충족. 모험가에게 무기,방어구 등의 다양한 장비를 판매. 공간 효율이 기본적으로 높지만 애드온이 없다. </t>
    <phoneticPr fontId="6" type="noConversion"/>
  </si>
  <si>
    <t>공간 효율이 낮지만 애드온이 좋다.</t>
    <phoneticPr fontId="6" type="noConversion"/>
  </si>
  <si>
    <t>완공 시간</t>
    <phoneticPr fontId="6" type="noConversion"/>
  </si>
  <si>
    <t>초반 구간은 공간도 남아돌고 큰 차등을 둘 필요가 없음. 2칸~3칸은 초반용, 자투리 메꾸기용이므로 용도에 차이가 없다.</t>
    <phoneticPr fontId="6" type="noConversion"/>
  </si>
  <si>
    <t>8~9 구간에서 기울기가 가파른 이유 = 9부터 최종 테크 건물들이 존재. 최종테크는 달성하기 어렵고, 가치가 높게</t>
    <phoneticPr fontId="6" type="noConversion"/>
  </si>
  <si>
    <t>총 건설 비용</t>
    <phoneticPr fontId="6" type="noConversion"/>
  </si>
  <si>
    <t>시그마 계산용</t>
    <phoneticPr fontId="6" type="noConversion"/>
  </si>
  <si>
    <t>각 항</t>
    <phoneticPr fontId="6" type="noConversion"/>
  </si>
  <si>
    <t>1/(지금까지 건설한 가게 수익합)</t>
    <phoneticPr fontId="6" type="noConversion"/>
  </si>
  <si>
    <t>카테고리 순서 고정, 가게 1개부터 스타트로 침</t>
    <phoneticPr fontId="6" type="noConversion"/>
  </si>
  <si>
    <t>최대 수익률 합</t>
    <phoneticPr fontId="6" type="noConversion"/>
  </si>
  <si>
    <t>초기 자금 반영된 완공 시간</t>
    <phoneticPr fontId="6" type="noConversion"/>
  </si>
  <si>
    <t>목표 플레이 타임</t>
    <phoneticPr fontId="6" type="noConversion"/>
  </si>
  <si>
    <t>좌측의 값은 1/((이전 카테고리의 최대 수익률)+(현재 카테고리의 총 수익률)) 여기에 *(가게 건설 비용) 해주면 각 가게의 건설시간이 나옴.</t>
    <phoneticPr fontId="6" type="noConversion"/>
  </si>
  <si>
    <t>던전의 모험가 수용량(상한치) 20 증가</t>
    <phoneticPr fontId="6" type="noConversion"/>
  </si>
  <si>
    <t>목표 완공시간 합</t>
    <phoneticPr fontId="6" type="noConversion"/>
  </si>
  <si>
    <t>게임 시간 배속</t>
    <phoneticPr fontId="6" type="noConversion"/>
  </si>
  <si>
    <t>목표 게임 시간</t>
    <phoneticPr fontId="6" type="noConversion"/>
  </si>
  <si>
    <t>총합</t>
    <phoneticPr fontId="6" type="noConversion"/>
  </si>
  <si>
    <t>스테이지 시작 시 가게의 수</t>
    <phoneticPr fontId="6" type="noConversion"/>
  </si>
  <si>
    <t>완공 시간 합</t>
    <phoneticPr fontId="6" type="noConversion"/>
  </si>
  <si>
    <t>완공 이후</t>
    <phoneticPr fontId="6" type="noConversion"/>
  </si>
  <si>
    <t>한 카테고리당 7~8개의 가게.(장비, 성소는 예외)</t>
    <phoneticPr fontId="6" type="noConversion"/>
  </si>
  <si>
    <t>건설 비용을 몇 초가 지나면 회수할 수 있는지(건설비용/수익률)</t>
    <phoneticPr fontId="6" type="noConversion"/>
  </si>
  <si>
    <t>건설비용 대비 얼마만큼의 수익이 나는지(수익률/건설비용)</t>
    <phoneticPr fontId="6" type="noConversion"/>
  </si>
  <si>
    <t>1초 동안 가장 많이 벌 수 있는 금액(수용량*회전율*요금)</t>
    <phoneticPr fontId="6" type="noConversion"/>
  </si>
  <si>
    <t>이 가게를 건설하기 위해 필요한 부지</t>
    <phoneticPr fontId="6" type="noConversion"/>
  </si>
  <si>
    <t>이 가게를 건설하기 위해 필요한 돈</t>
    <phoneticPr fontId="6" type="noConversion"/>
  </si>
  <si>
    <t>인접한 가게에 주는 버프</t>
    <phoneticPr fontId="6" type="noConversion"/>
  </si>
  <si>
    <t>이 가게가 어떤 종류의 가게인가? (ex:음식점, 기념품점, 학원, 치료시설)</t>
    <phoneticPr fontId="6" type="noConversion"/>
  </si>
  <si>
    <t>이 가게를 이용해서 손님이 해소할 수 있는 욕구의 종류와 양</t>
    <phoneticPr fontId="6" type="noConversion"/>
  </si>
  <si>
    <t>손님의 종류별로 이 가게를 좋아하는 수치</t>
    <phoneticPr fontId="6" type="noConversion"/>
  </si>
  <si>
    <t>1명의 손님이 가게 이용 시 내는 돈</t>
    <phoneticPr fontId="6" type="noConversion"/>
  </si>
  <si>
    <t>손님이 가게에 머무르는 시간(초)</t>
    <phoneticPr fontId="6" type="noConversion"/>
  </si>
  <si>
    <t>동시에 들어갈 수 있는 손님의 수(최대치)</t>
    <phoneticPr fontId="6" type="noConversion"/>
  </si>
  <si>
    <t>가게의 생김새</t>
    <phoneticPr fontId="6" type="noConversion"/>
  </si>
  <si>
    <t>가게의 이름</t>
    <phoneticPr fontId="6" type="noConversion"/>
  </si>
  <si>
    <t>차지하는 공간 1칸당 얼마의 돈을 벌 수 있는지(수익률/건설 부지)</t>
    <phoneticPr fontId="6" type="noConversion"/>
  </si>
  <si>
    <t>욕구 1당 얼마의 돈을 벌 수 있는지(요금/욕구)</t>
    <phoneticPr fontId="6" type="noConversion"/>
  </si>
  <si>
    <t>1초에 최대로 받을 수 있는 손님의 수(수용량/이용시간)</t>
    <phoneticPr fontId="6" type="noConversion"/>
  </si>
  <si>
    <t>가게에 관한 간단한 설명</t>
    <phoneticPr fontId="6" type="noConversion"/>
  </si>
  <si>
    <t>이 가게가 1초에 얼마만큼의 욕구를 해소해주는지(수용량*욕구 해소량/이용시간)</t>
    <phoneticPr fontId="6" type="noConversion"/>
  </si>
  <si>
    <t>시트 설명</t>
    <phoneticPr fontId="6" type="noConversion"/>
  </si>
  <si>
    <t>음료, 음식, 숙박, 장비, 편의, 관광, 오락, 성소</t>
    <phoneticPr fontId="6" type="noConversion"/>
  </si>
  <si>
    <t>건설 부지에 따른 수치표</t>
    <phoneticPr fontId="6" type="noConversion"/>
  </si>
  <si>
    <t>캐릭터 욕구 생성표</t>
    <phoneticPr fontId="6" type="noConversion"/>
  </si>
  <si>
    <t>스테이지 관련 수치</t>
    <phoneticPr fontId="6" type="noConversion"/>
  </si>
  <si>
    <t>스테이지 관련 수치인 시작시 골드, 최대 캐릭터 수 등</t>
    <phoneticPr fontId="6" type="noConversion"/>
  </si>
  <si>
    <t>각 캐릭터의 욕구 초기치, 생성치 정리</t>
    <phoneticPr fontId="6" type="noConversion"/>
  </si>
  <si>
    <t>건설 부지 크기에 따른 건물 수치</t>
    <phoneticPr fontId="6" type="noConversion"/>
  </si>
  <si>
    <t>밸런스 계산</t>
    <phoneticPr fontId="6" type="noConversion"/>
  </si>
  <si>
    <t>ref</t>
    <phoneticPr fontId="6" type="noConversion"/>
  </si>
  <si>
    <t>밸런스 계산용 참조 시트</t>
    <phoneticPr fontId="6" type="noConversion"/>
  </si>
  <si>
    <t>각 카테고리의 가게들 수치</t>
    <phoneticPr fontId="6" type="noConversion"/>
  </si>
  <si>
    <t>각 가게들의 선호도 상세</t>
    <phoneticPr fontId="6" type="noConversion"/>
  </si>
  <si>
    <t>각 가게들의 건설 부지 상세(모양)</t>
    <phoneticPr fontId="6" type="noConversion"/>
  </si>
  <si>
    <t>스테이지 진행 속도, 획득 골드 밸런싱을 위한 시트</t>
    <phoneticPr fontId="6" type="noConversion"/>
  </si>
  <si>
    <t>잉여 자금(추정)</t>
    <phoneticPr fontId="6" type="noConversion"/>
  </si>
  <si>
    <t>9~12구간에서 기울기가 완만한 이유 = 각 카테고리의 최종 테크 건물들이므로 최종 테크 간에는 큰 차이를 두지 않음</t>
    <phoneticPr fontId="6" type="noConversion"/>
  </si>
  <si>
    <t>가정1</t>
    <phoneticPr fontId="6" type="noConversion"/>
  </si>
  <si>
    <t>가정3</t>
    <phoneticPr fontId="6" type="noConversion"/>
  </si>
  <si>
    <t>가정2</t>
    <phoneticPr fontId="6" type="noConversion"/>
  </si>
  <si>
    <t>가게 건설의 과정을 3개 티어(욕구 1당 수익 가장 낮은/중간/높은 가게)로 나눈다.</t>
    <phoneticPr fontId="6" type="noConversion"/>
  </si>
  <si>
    <t>가게를 건설할 때에는 해당 티어에서 나오는 수익만으로 짓는다. 나머지 잉여자금(이전 티어 가게들에서 얻은 수익)으론 아이템을 구매한다고 가정한다.</t>
    <phoneticPr fontId="6" type="noConversion"/>
  </si>
  <si>
    <t>가정4</t>
    <phoneticPr fontId="6" type="noConversion"/>
  </si>
  <si>
    <t>해당 티어 내에서 음료-&gt;음식-&gt;숙박-&gt;장비-&gt;편의-&gt;관광 순으로 최대 수익에 도달할 때까지 가게를 건설한다.</t>
    <phoneticPr fontId="6" type="noConversion"/>
  </si>
  <si>
    <t>가정5</t>
    <phoneticPr fontId="6" type="noConversion"/>
  </si>
  <si>
    <t>한 티어 내에서 최대 수익을 실현하면(다 지으면) 다음 티어로 넘어간다.</t>
    <phoneticPr fontId="6" type="noConversion"/>
  </si>
  <si>
    <t>스테이지 시작 자금으로 음료에서 가장 저렴한 가게를 최대한 건설하고 시작한다.</t>
    <phoneticPr fontId="6" type="noConversion"/>
  </si>
  <si>
    <t>쇼핑 카트</t>
    <phoneticPr fontId="6" type="noConversion"/>
  </si>
  <si>
    <t>물품 보관소</t>
    <phoneticPr fontId="6" type="noConversion"/>
  </si>
  <si>
    <t>물품 보관소</t>
    <phoneticPr fontId="6" type="noConversion"/>
  </si>
  <si>
    <t>배달 센터</t>
  </si>
  <si>
    <t>예약 센터</t>
  </si>
  <si>
    <t>일회용 카메라 자판기</t>
  </si>
  <si>
    <t>안내원 대기실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</si>
</sst>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6">
    <numFmt numFmtId="176" formatCode="_-[$₩-412]* #,##0_-;\-[$₩-412]* #,##0_-;_-[$₩-412]* &quot;-&quot;??_-;_-@_-"/>
    <numFmt numFmtId="177" formatCode="yy&quot;-&quot;mm&quot;-&quot;dd\ h:mm;@"/>
    <numFmt numFmtId="178" formatCode="0_);[Red]\(0\)"/>
    <numFmt numFmtId="179" formatCode="0\ &quot;명&quot;"/>
    <numFmt numFmtId="180" formatCode="0\ &quot;G&quot;"/>
    <numFmt numFmtId="181" formatCode="0\ &quot;초&quot;"/>
    <numFmt numFmtId="182" formatCode="0\ &quot;칸 &quot;"/>
    <numFmt numFmtId="183" formatCode="0.00\ &quot;G/초*칸&quot;"/>
    <numFmt numFmtId="184" formatCode="0.0\ &quot;G/초&quot;"/>
    <numFmt numFmtId="185" formatCode="0.0\ &quot;명&quot;"/>
    <numFmt numFmtId="186" formatCode="0.00\ &quot;G&quot;"/>
    <numFmt numFmtId="187" formatCode="0.00&quot;초&quot;"/>
    <numFmt numFmtId="188" formatCode="0.0%"/>
    <numFmt numFmtId="189" formatCode="#\ ????/????"/>
    <numFmt numFmtId="190" formatCode="0.00\ &quot;분&quot;"/>
    <numFmt numFmtId="191" formatCode="0.00\ &quot;초&quot;"/>
  </numFmts>
  <fonts count="58">
    <font>
      <sz val="10"/>
      <color theme="0" tint="-0.34998626667073579"/>
      <name val="맑은 고딕"/>
      <family val="2"/>
      <scheme val="minor"/>
    </font>
    <font>
      <sz val="11"/>
      <color theme="1"/>
      <name val="맑은 고딕"/>
      <family val="2"/>
      <scheme val="minor"/>
    </font>
    <font>
      <b/>
      <sz val="11"/>
      <color theme="0" tint="-0.34998626667073579"/>
      <name val="맑은 고딕"/>
      <family val="2"/>
      <scheme val="minor"/>
    </font>
    <font>
      <b/>
      <sz val="10.5"/>
      <color theme="0" tint="-0.34998626667073579"/>
      <name val="맑은 고딕"/>
      <family val="1"/>
      <scheme val="major"/>
    </font>
    <font>
      <sz val="10"/>
      <color theme="0" tint="-0.34998626667073579"/>
      <name val="맑은 고딕"/>
      <family val="1"/>
      <scheme val="major"/>
    </font>
    <font>
      <b/>
      <sz val="10"/>
      <color theme="0" tint="-0.34998626667073579"/>
      <name val="맑은 고딕"/>
      <family val="1"/>
      <scheme val="major"/>
    </font>
    <font>
      <sz val="8"/>
      <name val="맑은 고딕"/>
      <family val="3"/>
      <charset val="129"/>
      <scheme val="minor"/>
    </font>
    <font>
      <sz val="11"/>
      <color theme="1"/>
      <name val="Malgun gothic"/>
      <family val="3"/>
      <charset val="129"/>
    </font>
    <font>
      <sz val="10"/>
      <color theme="0" tint="-0.34998626667073579"/>
      <name val="Malgun gothic"/>
      <family val="3"/>
      <charset val="129"/>
    </font>
    <font>
      <b/>
      <sz val="14"/>
      <color theme="0" tint="-0.34998626667073579"/>
      <name val="Malgun gothic"/>
      <family val="3"/>
      <charset val="129"/>
    </font>
    <font>
      <b/>
      <sz val="10.5"/>
      <color theme="0" tint="-0.34998626667073579"/>
      <name val="Malgun gothic"/>
      <family val="3"/>
      <charset val="129"/>
    </font>
    <font>
      <sz val="10"/>
      <color theme="1"/>
      <name val="Malgun gothic"/>
      <family val="3"/>
      <charset val="129"/>
    </font>
    <font>
      <sz val="9"/>
      <color theme="0" tint="-0.34998626667073579"/>
      <name val="Malgun gothic"/>
      <family val="3"/>
      <charset val="129"/>
    </font>
    <font>
      <i/>
      <sz val="11"/>
      <color rgb="FF7F7F7F"/>
      <name val="맑은 고딕"/>
      <family val="2"/>
      <charset val="129"/>
      <scheme val="minor"/>
    </font>
    <font>
      <b/>
      <sz val="26"/>
      <color theme="0" tint="-0.499984740745262"/>
      <name val="Bookman Old Style"/>
      <family val="2"/>
    </font>
    <font>
      <b/>
      <sz val="26"/>
      <color theme="0" tint="-0.499984740745262"/>
      <name val="Malgun gothic"/>
      <family val="3"/>
      <charset val="129"/>
    </font>
    <font>
      <b/>
      <i/>
      <sz val="11"/>
      <color rgb="FF7F7F7F"/>
      <name val="맑은 고딕"/>
      <family val="3"/>
      <charset val="129"/>
    </font>
    <font>
      <sz val="14"/>
      <color theme="0" tint="-0.34998626667073579"/>
      <name val="Malgun gothic"/>
      <family val="3"/>
      <charset val="129"/>
    </font>
    <font>
      <b/>
      <sz val="11"/>
      <color theme="1" tint="0.499984740745262"/>
      <name val="Malgun gothic"/>
      <family val="3"/>
      <charset val="129"/>
    </font>
    <font>
      <sz val="12"/>
      <color rgb="FF7F7F7F"/>
      <name val="맑은 고딕"/>
      <family val="3"/>
      <charset val="129"/>
    </font>
    <font>
      <b/>
      <sz val="26"/>
      <color theme="1" tint="0.34998626667073579"/>
      <name val="Malgun gothic"/>
      <family val="3"/>
      <charset val="129"/>
    </font>
    <font>
      <b/>
      <sz val="22"/>
      <color theme="0" tint="-0.499984740745262"/>
      <name val="Malgun gothic"/>
      <family val="3"/>
      <charset val="129"/>
    </font>
    <font>
      <b/>
      <sz val="30"/>
      <color theme="1" tint="0.34998626667073579"/>
      <name val="Malgun gothic"/>
      <family val="3"/>
      <charset val="129"/>
    </font>
    <font>
      <sz val="12"/>
      <color theme="1" tint="0.34998626667073579"/>
      <name val="Malgun gothic"/>
      <family val="3"/>
      <charset val="129"/>
    </font>
    <font>
      <sz val="12"/>
      <color theme="3" tint="0.499984740745262"/>
      <name val="맑은 고딕"/>
      <family val="3"/>
      <charset val="129"/>
    </font>
    <font>
      <b/>
      <sz val="12"/>
      <color theme="0"/>
      <name val="Malgun gothic"/>
      <family val="3"/>
      <charset val="129"/>
    </font>
    <font>
      <sz val="12"/>
      <color theme="0" tint="-0.34998626667073579"/>
      <name val="Malgun gothic"/>
      <family val="3"/>
      <charset val="129"/>
    </font>
    <font>
      <sz val="12"/>
      <color theme="0" tint="-0.34998626667073579"/>
      <name val="맑은 고딕"/>
      <family val="2"/>
      <scheme val="minor"/>
    </font>
    <font>
      <b/>
      <sz val="11"/>
      <color rgb="FF0F76CB"/>
      <name val="맑은 고딕"/>
      <family val="3"/>
      <charset val="129"/>
    </font>
    <font>
      <sz val="11"/>
      <color rgb="FF7F7F7F"/>
      <name val="맑은 고딕"/>
      <family val="3"/>
      <charset val="129"/>
    </font>
    <font>
      <u/>
      <sz val="10"/>
      <color theme="10"/>
      <name val="맑은 고딕"/>
      <family val="2"/>
      <scheme val="minor"/>
    </font>
    <font>
      <sz val="10"/>
      <color theme="1" tint="0.34998626667073579"/>
      <name val="맑은 고딕"/>
      <family val="2"/>
      <scheme val="minor"/>
    </font>
    <font>
      <sz val="10"/>
      <color theme="1" tint="0.34998626667073579"/>
      <name val="맑은 고딕"/>
      <family val="3"/>
      <charset val="129"/>
      <scheme val="minor"/>
    </font>
    <font>
      <sz val="10"/>
      <color theme="1" tint="0.34998626667073579"/>
      <name val="맑은 고딕"/>
      <family val="3"/>
      <charset val="129"/>
      <scheme val="minor"/>
    </font>
    <font>
      <sz val="12"/>
      <color theme="3" tint="0.499984740745262"/>
      <name val="Malgun gothic"/>
      <family val="3"/>
      <charset val="129"/>
    </font>
    <font>
      <b/>
      <sz val="10"/>
      <color theme="1" tint="0.34998626667073579"/>
      <name val="맑은 고딕"/>
      <family val="3"/>
      <charset val="129"/>
    </font>
    <font>
      <sz val="10"/>
      <color theme="1" tint="0.34998626667073579"/>
      <name val="맑은 고딕"/>
      <family val="3"/>
      <charset val="129"/>
    </font>
    <font>
      <sz val="26"/>
      <color theme="1" tint="0.34998626667073579"/>
      <name val="맑은 고딕"/>
      <family val="3"/>
      <charset val="129"/>
    </font>
    <font>
      <b/>
      <sz val="20"/>
      <color theme="1" tint="0.34998626667073579"/>
      <name val="맑은 고딕"/>
      <family val="3"/>
      <charset val="129"/>
    </font>
    <font>
      <sz val="12"/>
      <name val="맑은 고딕"/>
      <family val="3"/>
      <charset val="129"/>
    </font>
    <font>
      <sz val="10"/>
      <name val="Malgun gothic"/>
      <family val="3"/>
      <charset val="129"/>
    </font>
    <font>
      <b/>
      <sz val="14"/>
      <color theme="0"/>
      <name val="Malgun gothic"/>
      <family val="3"/>
      <charset val="129"/>
    </font>
    <font>
      <u/>
      <sz val="12"/>
      <color theme="10"/>
      <name val="맑은 고딕"/>
      <family val="3"/>
      <charset val="129"/>
    </font>
    <font>
      <b/>
      <sz val="20"/>
      <color theme="1" tint="0.499984740745262"/>
      <name val="Malgun gothic"/>
      <family val="3"/>
      <charset val="129"/>
    </font>
    <font>
      <sz val="12"/>
      <name val="Malgun gothic"/>
      <family val="3"/>
      <charset val="129"/>
    </font>
    <font>
      <sz val="12"/>
      <name val="맑은 고딕"/>
      <family val="2"/>
      <scheme val="minor"/>
    </font>
    <font>
      <b/>
      <sz val="12"/>
      <name val="Malgun gothic"/>
      <family val="3"/>
      <charset val="129"/>
    </font>
    <font>
      <sz val="10"/>
      <color rgb="FF595959"/>
      <name val="맑은 고딕"/>
      <family val="3"/>
      <charset val="129"/>
    </font>
    <font>
      <sz val="10"/>
      <color rgb="FF595959"/>
      <name val="KoPub돋움체 Bold"/>
      <family val="1"/>
      <charset val="129"/>
    </font>
    <font>
      <sz val="10"/>
      <color rgb="FF595959"/>
      <name val="KoPub돋움체 Medium"/>
      <family val="1"/>
      <charset val="129"/>
    </font>
    <font>
      <sz val="12"/>
      <name val="맑은 고딕"/>
      <family val="2"/>
      <scheme val="major"/>
    </font>
    <font>
      <sz val="10"/>
      <color theme="0" tint="-0.34998626667073579"/>
      <name val="맑은 고딕"/>
      <family val="2"/>
      <scheme val="minor"/>
    </font>
    <font>
      <sz val="12"/>
      <name val="맑은 고딕"/>
      <family val="3"/>
      <charset val="129"/>
      <scheme val="major"/>
    </font>
    <font>
      <sz val="12"/>
      <name val="맑은 고딕"/>
      <family val="3"/>
      <charset val="129"/>
      <scheme val="minor"/>
    </font>
    <font>
      <sz val="12"/>
      <color theme="1" tint="0.14999847407452621"/>
      <name val="맑은 고딕"/>
      <family val="3"/>
      <charset val="129"/>
    </font>
    <font>
      <sz val="12"/>
      <color theme="1" tint="0.14999847407452621"/>
      <name val="Malgun gothic"/>
      <family val="3"/>
      <charset val="129"/>
    </font>
    <font>
      <b/>
      <sz val="14"/>
      <color theme="1" tint="0.34998626667073579"/>
      <name val="맑은 고딕"/>
      <family val="3"/>
      <charset val="129"/>
      <scheme val="major"/>
    </font>
    <font>
      <u/>
      <sz val="12"/>
      <color theme="10"/>
      <name val="맑은 고딕"/>
      <family val="3"/>
      <charset val="129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/>
        <bgColor indexed="64"/>
      </patternFill>
    </fill>
    <fill>
      <patternFill patternType="solid">
        <fgColor rgb="FFCDE488"/>
        <bgColor indexed="64"/>
      </patternFill>
    </fill>
    <fill>
      <patternFill patternType="solid">
        <fgColor rgb="FF75CAE5"/>
        <bgColor indexed="64"/>
      </patternFill>
    </fill>
    <fill>
      <patternFill patternType="solid">
        <fgColor rgb="FFF8A7A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rgb="FFB5DC94"/>
        <bgColor indexed="64"/>
      </patternFill>
    </fill>
    <fill>
      <patternFill patternType="solid">
        <fgColor theme="0"/>
        <bgColor indexed="64"/>
      </patternFill>
    </fill>
  </fills>
  <borders count="76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ck">
        <color theme="6" tint="0.39994506668294322"/>
      </top>
      <bottom style="medium">
        <color theme="6" tint="0.39994506668294322"/>
      </bottom>
      <diagonal/>
    </border>
    <border>
      <left/>
      <right/>
      <top style="thick">
        <color rgb="FF75CAE5"/>
      </top>
      <bottom style="medium">
        <color rgb="FF75CAE5"/>
      </bottom>
      <diagonal/>
    </border>
    <border>
      <left/>
      <right/>
      <top style="thick">
        <color rgb="FFCEE488"/>
      </top>
      <bottom style="medium">
        <color rgb="FFCEE488"/>
      </bottom>
      <diagonal/>
    </border>
    <border>
      <left/>
      <right style="thick">
        <color theme="0"/>
      </right>
      <top style="thick">
        <color theme="0"/>
      </top>
      <bottom style="thick">
        <color theme="0"/>
      </bottom>
      <diagonal/>
    </border>
    <border>
      <left/>
      <right style="thick">
        <color theme="0"/>
      </right>
      <top/>
      <bottom style="thick">
        <color theme="0"/>
      </bottom>
      <diagonal/>
    </border>
    <border>
      <left/>
      <right/>
      <top style="thick">
        <color rgb="FF0070C0"/>
      </top>
      <bottom style="medium">
        <color rgb="FF0070C0"/>
      </bottom>
      <diagonal/>
    </border>
    <border>
      <left/>
      <right/>
      <top style="medium">
        <color theme="5"/>
      </top>
      <bottom style="thin">
        <color theme="5"/>
      </bottom>
      <diagonal/>
    </border>
    <border>
      <left/>
      <right/>
      <top style="medium">
        <color theme="0" tint="-0.34998626667073579"/>
      </top>
      <bottom style="thin">
        <color theme="0" tint="-0.34998626667073579"/>
      </bottom>
      <diagonal/>
    </border>
    <border>
      <left style="dashed">
        <color theme="3" tint="0.499984740745262"/>
      </left>
      <right style="dashed">
        <color theme="3" tint="0.499984740745262"/>
      </right>
      <top style="dashed">
        <color theme="3" tint="0.499984740745262"/>
      </top>
      <bottom style="dashed">
        <color theme="3" tint="0.499984740745262"/>
      </bottom>
      <diagonal/>
    </border>
    <border>
      <left style="dashed">
        <color theme="3" tint="0.499984740745262"/>
      </left>
      <right style="dashed">
        <color theme="3" tint="0.499984740745262"/>
      </right>
      <top/>
      <bottom style="dashed">
        <color theme="3" tint="0.499984740745262"/>
      </bottom>
      <diagonal/>
    </border>
    <border>
      <left style="dashed">
        <color theme="3" tint="0.499984740745262"/>
      </left>
      <right style="dashed">
        <color theme="3" tint="0.499984740745262"/>
      </right>
      <top style="dashed">
        <color theme="3" tint="0.499984740745262"/>
      </top>
      <bottom style="thick">
        <color rgb="FF0070C0"/>
      </bottom>
      <diagonal/>
    </border>
    <border>
      <left style="dashed">
        <color theme="3" tint="0.499984740745262"/>
      </left>
      <right style="thick">
        <color rgb="FF0070C0"/>
      </right>
      <top style="dashed">
        <color theme="3" tint="0.499984740745262"/>
      </top>
      <bottom style="dashed">
        <color theme="3" tint="0.499984740745262"/>
      </bottom>
      <diagonal/>
    </border>
    <border>
      <left/>
      <right style="dashed">
        <color theme="3" tint="0.499984740745262"/>
      </right>
      <top style="dashed">
        <color theme="3" tint="0.499984740745262"/>
      </top>
      <bottom style="dashed">
        <color theme="3" tint="0.499984740745262"/>
      </bottom>
      <diagonal/>
    </border>
    <border>
      <left/>
      <right/>
      <top style="thin">
        <color theme="0" tint="-0.34998626667073579"/>
      </top>
      <bottom/>
      <diagonal/>
    </border>
    <border>
      <left/>
      <right/>
      <top/>
      <bottom style="thin">
        <color theme="0" tint="-4.9989318521683403E-2"/>
      </bottom>
      <diagonal/>
    </border>
    <border>
      <left/>
      <right/>
      <top/>
      <bottom style="thin">
        <color theme="0" tint="-0.14996795556505021"/>
      </bottom>
      <diagonal/>
    </border>
    <border>
      <left/>
      <right/>
      <top style="thin">
        <color theme="0" tint="-0.14996795556505021"/>
      </top>
      <bottom style="thin">
        <color theme="0" tint="-0.14996795556505021"/>
      </bottom>
      <diagonal/>
    </border>
    <border>
      <left style="thick">
        <color rgb="FF0070C0"/>
      </left>
      <right style="dashed">
        <color theme="3" tint="0.499984740745262"/>
      </right>
      <top style="thick">
        <color rgb="FF0070C0"/>
      </top>
      <bottom style="thick">
        <color rgb="FF0070C0"/>
      </bottom>
      <diagonal/>
    </border>
    <border>
      <left style="thick">
        <color rgb="FF0070C0"/>
      </left>
      <right style="dashed">
        <color theme="3" tint="0.499984740745262"/>
      </right>
      <top style="dashed">
        <color theme="3" tint="0.499984740745262"/>
      </top>
      <bottom style="thick">
        <color rgb="FF0070C0"/>
      </bottom>
      <diagonal/>
    </border>
    <border>
      <left style="dashed">
        <color theme="3" tint="0.499984740745262"/>
      </left>
      <right style="thick">
        <color rgb="FF0070C0"/>
      </right>
      <top style="dashed">
        <color theme="3" tint="0.499984740745262"/>
      </top>
      <bottom style="thick">
        <color rgb="FF0070C0"/>
      </bottom>
      <diagonal/>
    </border>
    <border>
      <left style="dashed">
        <color theme="3" tint="0.499984740745262"/>
      </left>
      <right style="thick">
        <color rgb="FF0070C0"/>
      </right>
      <top style="thick">
        <color rgb="FF0070C0"/>
      </top>
      <bottom style="dashed">
        <color theme="3" tint="0.499984740745262"/>
      </bottom>
      <diagonal/>
    </border>
    <border>
      <left/>
      <right style="dashed">
        <color theme="3" tint="0.499984740745262"/>
      </right>
      <top/>
      <bottom style="dashed">
        <color theme="3" tint="0.499984740745262"/>
      </bottom>
      <diagonal/>
    </border>
    <border>
      <left style="dashed">
        <color theme="3" tint="0.499984740745262"/>
      </left>
      <right style="thick">
        <color rgb="FF0070C0"/>
      </right>
      <top/>
      <bottom style="thick">
        <color rgb="FF0070C0"/>
      </bottom>
      <diagonal/>
    </border>
    <border>
      <left/>
      <right style="thick">
        <color rgb="FF0070C0"/>
      </right>
      <top style="dashed">
        <color theme="3" tint="0.499984740745262"/>
      </top>
      <bottom style="dashed">
        <color theme="3" tint="0.499984740745262"/>
      </bottom>
      <diagonal/>
    </border>
    <border>
      <left style="dashed">
        <color theme="3" tint="0.499984740745262"/>
      </left>
      <right style="dashed">
        <color theme="3" tint="0.499984740745262"/>
      </right>
      <top style="dashed">
        <color theme="3" tint="0.499984740745262"/>
      </top>
      <bottom style="thick">
        <color rgb="FF0F76CB"/>
      </bottom>
      <diagonal/>
    </border>
    <border>
      <left style="dashed">
        <color theme="3" tint="0.499984740745262"/>
      </left>
      <right style="thick">
        <color rgb="FF0F76CB"/>
      </right>
      <top style="dashed">
        <color theme="3" tint="0.499984740745262"/>
      </top>
      <bottom style="dashed">
        <color theme="3" tint="0.499984740745262"/>
      </bottom>
      <diagonal/>
    </border>
    <border>
      <left style="thick">
        <color rgb="FF0070C0"/>
      </left>
      <right style="thick">
        <color rgb="FF0070C0"/>
      </right>
      <top style="dashed">
        <color theme="3" tint="0.499984740745262"/>
      </top>
      <bottom style="dashed">
        <color theme="3" tint="0.499984740745262"/>
      </bottom>
      <diagonal/>
    </border>
    <border>
      <left style="dashed">
        <color theme="3" tint="0.499984740745262"/>
      </left>
      <right/>
      <top style="dashed">
        <color theme="3" tint="0.499984740745262"/>
      </top>
      <bottom style="dashed">
        <color theme="3" tint="0.499984740745262"/>
      </bottom>
      <diagonal/>
    </border>
    <border>
      <left style="dashed">
        <color theme="3" tint="0.499984740745262"/>
      </left>
      <right style="dashed">
        <color theme="3" tint="0.499984740745262"/>
      </right>
      <top style="thick">
        <color rgb="FF0070C0"/>
      </top>
      <bottom style="dashed">
        <color theme="3" tint="0.499984740745262"/>
      </bottom>
      <diagonal/>
    </border>
    <border>
      <left style="dashed">
        <color theme="3" tint="0.499984740745262"/>
      </left>
      <right style="dashed">
        <color theme="3" tint="0.499984740745262"/>
      </right>
      <top style="dashed">
        <color theme="3" tint="0.499984740745262"/>
      </top>
      <bottom/>
      <diagonal/>
    </border>
    <border>
      <left/>
      <right/>
      <top style="thin">
        <color theme="0" tint="-0.14996795556505021"/>
      </top>
      <bottom/>
      <diagonal/>
    </border>
    <border>
      <left style="dashed">
        <color theme="3" tint="0.499984740745262"/>
      </left>
      <right style="thick">
        <color rgb="FF0F76CB"/>
      </right>
      <top style="dashed">
        <color theme="3" tint="0.499984740745262"/>
      </top>
      <bottom style="thick">
        <color rgb="FF0F76CB"/>
      </bottom>
      <diagonal/>
    </border>
    <border>
      <left style="thick">
        <color rgb="FF0F76CB"/>
      </left>
      <right style="thick">
        <color rgb="FF0F76CB"/>
      </right>
      <top style="thick">
        <color rgb="FF0F76CB"/>
      </top>
      <bottom style="dashed">
        <color theme="3" tint="0.499984740745262"/>
      </bottom>
      <diagonal/>
    </border>
    <border>
      <left style="thick">
        <color rgb="FF0F76CB"/>
      </left>
      <right style="thick">
        <color rgb="FF0F76CB"/>
      </right>
      <top style="dashed">
        <color theme="3" tint="0.499984740745262"/>
      </top>
      <bottom style="dashed">
        <color theme="3" tint="0.499984740745262"/>
      </bottom>
      <diagonal/>
    </border>
    <border>
      <left style="thick">
        <color rgb="FF0F76CB"/>
      </left>
      <right style="dashed">
        <color theme="3" tint="0.499984740745262"/>
      </right>
      <top style="dashed">
        <color theme="3" tint="0.499984740745262"/>
      </top>
      <bottom style="thick">
        <color rgb="FF0F76CB"/>
      </bottom>
      <diagonal/>
    </border>
    <border>
      <left/>
      <right style="dashed">
        <color theme="3" tint="0.499984740745262"/>
      </right>
      <top style="dashed">
        <color theme="3" tint="0.499984740745262"/>
      </top>
      <bottom style="thick">
        <color rgb="FF0070C0"/>
      </bottom>
      <diagonal/>
    </border>
    <border>
      <left style="thick">
        <color rgb="FF0F76CB"/>
      </left>
      <right style="dashed">
        <color theme="3" tint="0.499984740745262"/>
      </right>
      <top style="thick">
        <color rgb="FF0F76CB"/>
      </top>
      <bottom style="dashed">
        <color theme="3" tint="0.499984740745262"/>
      </bottom>
      <diagonal/>
    </border>
    <border>
      <left style="dashed">
        <color theme="3" tint="0.499984740745262"/>
      </left>
      <right style="thick">
        <color rgb="FF0F76CB"/>
      </right>
      <top style="thick">
        <color rgb="FF0F76CB"/>
      </top>
      <bottom style="dashed">
        <color theme="3" tint="0.499984740745262"/>
      </bottom>
      <diagonal/>
    </border>
    <border>
      <left/>
      <right/>
      <top style="dashed">
        <color theme="3" tint="0.499984740745262"/>
      </top>
      <bottom style="dashed">
        <color theme="3" tint="0.499984740745262"/>
      </bottom>
      <diagonal/>
    </border>
    <border>
      <left/>
      <right style="dashed">
        <color theme="3" tint="0.499984740745262"/>
      </right>
      <top style="dashed">
        <color theme="3" tint="0.499984740745262"/>
      </top>
      <bottom style="thick">
        <color rgb="FF0F76CB"/>
      </bottom>
      <diagonal/>
    </border>
    <border>
      <left/>
      <right style="thick">
        <color theme="0"/>
      </right>
      <top style="medium">
        <color theme="5"/>
      </top>
      <bottom style="medium">
        <color theme="5"/>
      </bottom>
      <diagonal/>
    </border>
    <border>
      <left style="thick">
        <color theme="0"/>
      </left>
      <right style="thick">
        <color theme="0"/>
      </right>
      <top/>
      <bottom style="thin">
        <color theme="0" tint="-0.14996795556505021"/>
      </bottom>
      <diagonal/>
    </border>
    <border>
      <left style="thick">
        <color theme="0"/>
      </left>
      <right style="thick">
        <color theme="0"/>
      </right>
      <top style="thick">
        <color theme="6" tint="0.39994506668294322"/>
      </top>
      <bottom style="thin">
        <color rgb="FFF8A7A0"/>
      </bottom>
      <diagonal/>
    </border>
    <border>
      <left style="thick">
        <color theme="0"/>
      </left>
      <right style="thick">
        <color theme="0"/>
      </right>
      <top style="thick">
        <color rgb="FFCEE488"/>
      </top>
      <bottom style="thin">
        <color rgb="FFCDE488"/>
      </bottom>
      <diagonal/>
    </border>
    <border>
      <left style="thick">
        <color theme="0"/>
      </left>
      <right/>
      <top style="thick">
        <color theme="5"/>
      </top>
      <bottom style="thin">
        <color theme="5"/>
      </bottom>
      <diagonal/>
    </border>
    <border>
      <left/>
      <right/>
      <top style="thick">
        <color theme="5"/>
      </top>
      <bottom style="thin">
        <color theme="5"/>
      </bottom>
      <diagonal/>
    </border>
    <border>
      <left/>
      <right style="thick">
        <color theme="0"/>
      </right>
      <top style="thick">
        <color theme="5"/>
      </top>
      <bottom style="thin">
        <color theme="5"/>
      </bottom>
      <diagonal/>
    </border>
    <border>
      <left style="thick">
        <color theme="0"/>
      </left>
      <right style="thick">
        <color theme="0"/>
      </right>
      <top/>
      <bottom style="thin">
        <color theme="2" tint="-0.14996795556505021"/>
      </bottom>
      <diagonal/>
    </border>
    <border>
      <left style="thick">
        <color theme="0"/>
      </left>
      <right style="thick">
        <color theme="0"/>
      </right>
      <top style="thin">
        <color theme="5"/>
      </top>
      <bottom style="thin">
        <color theme="2" tint="-0.14996795556505021"/>
      </bottom>
      <diagonal/>
    </border>
    <border>
      <left style="thick">
        <color theme="0"/>
      </left>
      <right/>
      <top style="thin">
        <color theme="2" tint="-0.14996795556505021"/>
      </top>
      <bottom style="thin">
        <color theme="2" tint="-0.14996795556505021"/>
      </bottom>
      <diagonal/>
    </border>
    <border>
      <left/>
      <right/>
      <top style="thin">
        <color theme="2" tint="-0.14996795556505021"/>
      </top>
      <bottom style="thin">
        <color theme="2" tint="-0.14996795556505021"/>
      </bottom>
      <diagonal/>
    </border>
    <border>
      <left/>
      <right style="thick">
        <color theme="0"/>
      </right>
      <top style="thin">
        <color theme="2" tint="-0.14996795556505021"/>
      </top>
      <bottom style="thin">
        <color theme="2" tint="-0.14996795556505021"/>
      </bottom>
      <diagonal/>
    </border>
    <border>
      <left style="thick">
        <color theme="0"/>
      </left>
      <right/>
      <top style="thin">
        <color theme="5"/>
      </top>
      <bottom style="thin">
        <color theme="2" tint="-0.14996795556505021"/>
      </bottom>
      <diagonal/>
    </border>
    <border>
      <left/>
      <right/>
      <top style="thin">
        <color theme="5"/>
      </top>
      <bottom style="thin">
        <color theme="2" tint="-0.14996795556505021"/>
      </bottom>
      <diagonal/>
    </border>
    <border>
      <left/>
      <right style="thick">
        <color theme="0"/>
      </right>
      <top style="thin">
        <color theme="5"/>
      </top>
      <bottom style="thin">
        <color theme="2" tint="-0.14996795556505021"/>
      </bottom>
      <diagonal/>
    </border>
    <border>
      <left style="thick">
        <color theme="0"/>
      </left>
      <right/>
      <top style="thick">
        <color theme="6" tint="0.39994506668294322"/>
      </top>
      <bottom style="thin">
        <color rgb="FFF8A7A0"/>
      </bottom>
      <diagonal/>
    </border>
    <border>
      <left style="thick">
        <color theme="0"/>
      </left>
      <right/>
      <top style="thin">
        <color rgb="FFF8A7A0"/>
      </top>
      <bottom style="thin">
        <color theme="2" tint="-0.14996795556505021"/>
      </bottom>
      <diagonal/>
    </border>
    <border>
      <left style="medium">
        <color rgb="FFBFBFBF"/>
      </left>
      <right style="medium">
        <color rgb="FFBFBFBF"/>
      </right>
      <top style="medium">
        <color rgb="FFBFBFBF"/>
      </top>
      <bottom style="medium">
        <color rgb="FFBFBFBF"/>
      </bottom>
      <diagonal/>
    </border>
    <border>
      <left style="medium">
        <color theme="0" tint="-0.34998626667073579"/>
      </left>
      <right/>
      <top style="medium">
        <color theme="0" tint="-0.34998626667073579"/>
      </top>
      <bottom/>
      <diagonal/>
    </border>
    <border>
      <left/>
      <right style="medium">
        <color theme="0" tint="-0.34998626667073579"/>
      </right>
      <top style="medium">
        <color theme="0" tint="-0.34998626667073579"/>
      </top>
      <bottom/>
      <diagonal/>
    </border>
    <border>
      <left style="medium">
        <color theme="0" tint="-0.34998626667073579"/>
      </left>
      <right/>
      <top/>
      <bottom/>
      <diagonal/>
    </border>
    <border>
      <left/>
      <right style="medium">
        <color theme="0" tint="-0.34998626667073579"/>
      </right>
      <top/>
      <bottom/>
      <diagonal/>
    </border>
    <border>
      <left style="medium">
        <color theme="0" tint="-0.34998626667073579"/>
      </left>
      <right/>
      <top/>
      <bottom style="medium">
        <color theme="0" tint="-0.34998626667073579"/>
      </bottom>
      <diagonal/>
    </border>
    <border>
      <left/>
      <right style="medium">
        <color theme="0" tint="-0.34998626667073579"/>
      </right>
      <top/>
      <bottom style="medium">
        <color theme="0" tint="-0.34998626667073579"/>
      </bottom>
      <diagonal/>
    </border>
    <border>
      <left/>
      <right style="thick">
        <color theme="0"/>
      </right>
      <top style="thick">
        <color theme="6" tint="0.39994506668294322"/>
      </top>
      <bottom style="thin">
        <color rgb="FFF8A7A0"/>
      </bottom>
      <diagonal/>
    </border>
    <border>
      <left/>
      <right style="thick">
        <color theme="0"/>
      </right>
      <top style="thin">
        <color rgb="FFF8A7A0"/>
      </top>
      <bottom style="thin">
        <color theme="2" tint="-0.14996795556505021"/>
      </bottom>
      <diagonal/>
    </border>
    <border>
      <left style="medium">
        <color theme="0" tint="-0.499984740745262"/>
      </left>
      <right style="medium">
        <color theme="0" tint="-0.499984740745262"/>
      </right>
      <top style="medium">
        <color theme="0" tint="-0.499984740745262"/>
      </top>
      <bottom/>
      <diagonal/>
    </border>
    <border>
      <left style="medium">
        <color theme="0" tint="-0.499984740745262"/>
      </left>
      <right style="medium">
        <color theme="0" tint="-0.499984740745262"/>
      </right>
      <top/>
      <bottom/>
      <diagonal/>
    </border>
    <border>
      <left style="medium">
        <color theme="0" tint="-0.499984740745262"/>
      </left>
      <right style="medium">
        <color theme="0" tint="-0.499984740745262"/>
      </right>
      <top/>
      <bottom style="medium">
        <color theme="0" tint="-0.499984740745262"/>
      </bottom>
      <diagonal/>
    </border>
    <border>
      <left/>
      <right/>
      <top style="medium">
        <color theme="0" tint="-0.34998626667073579"/>
      </top>
      <bottom/>
      <diagonal/>
    </border>
    <border>
      <left/>
      <right/>
      <top/>
      <bottom style="medium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/>
      <diagonal/>
    </border>
    <border>
      <left/>
      <right style="thin">
        <color theme="0" tint="-0.34998626667073579"/>
      </right>
      <top/>
      <bottom/>
      <diagonal/>
    </border>
    <border>
      <left/>
      <right/>
      <top/>
      <bottom style="thick">
        <color theme="6" tint="0.39994506668294322"/>
      </bottom>
      <diagonal/>
    </border>
  </borders>
  <cellStyleXfs count="11">
    <xf numFmtId="0" fontId="0" fillId="0" borderId="0">
      <alignment vertical="center"/>
    </xf>
    <xf numFmtId="0" fontId="3" fillId="0" borderId="0" applyNumberFormat="0" applyFill="0" applyBorder="0" applyAlignment="0" applyProtection="0"/>
    <xf numFmtId="0" fontId="1" fillId="2" borderId="0" applyNumberFormat="0" applyBorder="0" applyAlignment="0" applyProtection="0"/>
    <xf numFmtId="0" fontId="1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0" borderId="1" applyNumberFormat="0" applyFill="0" applyAlignment="0" applyProtection="0"/>
    <xf numFmtId="0" fontId="13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9" fontId="51" fillId="0" borderId="0" applyFont="0" applyFill="0" applyBorder="0" applyAlignment="0" applyProtection="0">
      <alignment vertical="center"/>
    </xf>
  </cellStyleXfs>
  <cellXfs count="354">
    <xf numFmtId="0" fontId="0" fillId="0" borderId="0" xfId="0">
      <alignment vertical="center"/>
    </xf>
    <xf numFmtId="0" fontId="7" fillId="0" borderId="0" xfId="2" applyFont="1" applyFill="1"/>
    <xf numFmtId="0" fontId="8" fillId="0" borderId="0" xfId="0" applyFont="1" applyFill="1">
      <alignment vertical="center"/>
    </xf>
    <xf numFmtId="0" fontId="8" fillId="0" borderId="0" xfId="0" applyFont="1">
      <alignment vertical="center"/>
    </xf>
    <xf numFmtId="0" fontId="9" fillId="0" borderId="0" xfId="0" applyFont="1" applyFill="1" applyAlignment="1">
      <alignment horizontal="right"/>
    </xf>
    <xf numFmtId="0" fontId="7" fillId="0" borderId="0" xfId="2" applyFont="1" applyFill="1" applyAlignment="1">
      <alignment vertical="center"/>
    </xf>
    <xf numFmtId="0" fontId="10" fillId="0" borderId="0" xfId="1" applyFont="1" applyAlignment="1">
      <alignment vertical="center"/>
    </xf>
    <xf numFmtId="0" fontId="10" fillId="0" borderId="0" xfId="1" applyFont="1" applyFill="1" applyBorder="1" applyAlignment="1">
      <alignment horizontal="right" vertical="center"/>
    </xf>
    <xf numFmtId="0" fontId="11" fillId="0" borderId="0" xfId="0" applyFont="1" applyFill="1" applyAlignment="1">
      <alignment vertical="center"/>
    </xf>
    <xf numFmtId="0" fontId="8" fillId="0" borderId="0" xfId="0" applyFont="1" applyAlignment="1">
      <alignment horizontal="left" vertical="center" indent="1"/>
    </xf>
    <xf numFmtId="0" fontId="8" fillId="0" borderId="0" xfId="2" applyFont="1" applyFill="1" applyBorder="1" applyAlignment="1">
      <alignment vertical="center"/>
    </xf>
    <xf numFmtId="0" fontId="8" fillId="0" borderId="0" xfId="0" applyFont="1" applyFill="1" applyAlignment="1">
      <alignment vertical="center"/>
    </xf>
    <xf numFmtId="0" fontId="10" fillId="0" borderId="0" xfId="1" applyFont="1" applyFill="1" applyBorder="1" applyAlignment="1">
      <alignment vertical="center"/>
    </xf>
    <xf numFmtId="0" fontId="7" fillId="0" borderId="0" xfId="2" applyFont="1" applyFill="1" applyAlignment="1">
      <alignment horizontal="left" vertical="center" indent="1"/>
    </xf>
    <xf numFmtId="0" fontId="8" fillId="0" borderId="0" xfId="0" applyFont="1" applyFill="1" applyBorder="1" applyAlignment="1">
      <alignment horizontal="left" vertical="center" indent="1"/>
    </xf>
    <xf numFmtId="0" fontId="8" fillId="0" borderId="0" xfId="0" applyFont="1" applyFill="1" applyAlignment="1">
      <alignment horizontal="left" vertical="center" indent="1"/>
    </xf>
    <xf numFmtId="0" fontId="8" fillId="0" borderId="0" xfId="0" applyFont="1" applyFill="1" applyBorder="1">
      <alignment vertical="center"/>
    </xf>
    <xf numFmtId="0" fontId="8" fillId="0" borderId="0" xfId="0" applyFont="1" applyFill="1" applyBorder="1" applyAlignment="1">
      <alignment vertical="center"/>
    </xf>
    <xf numFmtId="176" fontId="12" fillId="0" borderId="0" xfId="2" applyNumberFormat="1" applyFont="1" applyFill="1" applyBorder="1" applyAlignment="1">
      <alignment vertical="center"/>
    </xf>
    <xf numFmtId="176" fontId="12" fillId="0" borderId="0" xfId="0" applyNumberFormat="1" applyFont="1" applyFill="1" applyBorder="1" applyAlignment="1">
      <alignment vertical="center"/>
    </xf>
    <xf numFmtId="176" fontId="12" fillId="0" borderId="0" xfId="0" applyNumberFormat="1" applyFont="1" applyFill="1" applyBorder="1">
      <alignment vertical="center"/>
    </xf>
    <xf numFmtId="0" fontId="14" fillId="0" borderId="0" xfId="3" applyFill="1"/>
    <xf numFmtId="0" fontId="15" fillId="0" borderId="0" xfId="3" applyFont="1" applyFill="1" applyBorder="1" applyAlignment="1">
      <alignment horizontal="left"/>
    </xf>
    <xf numFmtId="22" fontId="16" fillId="0" borderId="0" xfId="8" applyNumberFormat="1" applyFont="1" applyFill="1" applyAlignment="1">
      <alignment horizontal="right"/>
    </xf>
    <xf numFmtId="0" fontId="17" fillId="0" borderId="0" xfId="0" applyFont="1" applyFill="1" applyBorder="1" applyAlignment="1">
      <alignment horizontal="center" vertical="center"/>
    </xf>
    <xf numFmtId="177" fontId="16" fillId="0" borderId="0" xfId="8" applyNumberFormat="1" applyFont="1" applyFill="1" applyAlignment="1"/>
    <xf numFmtId="0" fontId="20" fillId="0" borderId="0" xfId="3" applyFont="1" applyFill="1" applyBorder="1" applyAlignment="1">
      <alignment horizontal="left"/>
    </xf>
    <xf numFmtId="22" fontId="19" fillId="0" borderId="0" xfId="8" applyNumberFormat="1" applyFont="1" applyFill="1" applyAlignment="1"/>
    <xf numFmtId="0" fontId="18" fillId="0" borderId="0" xfId="1" applyFont="1" applyFill="1" applyBorder="1" applyAlignment="1">
      <alignment horizontal="center" vertical="center"/>
    </xf>
    <xf numFmtId="22" fontId="24" fillId="0" borderId="0" xfId="8" applyNumberFormat="1" applyFont="1" applyFill="1" applyAlignment="1"/>
    <xf numFmtId="0" fontId="26" fillId="0" borderId="0" xfId="0" applyFont="1" applyFill="1">
      <alignment vertical="center"/>
    </xf>
    <xf numFmtId="0" fontId="27" fillId="0" borderId="0" xfId="0" applyFont="1">
      <alignment vertical="center"/>
    </xf>
    <xf numFmtId="0" fontId="25" fillId="3" borderId="5" xfId="0" applyFont="1" applyFill="1" applyBorder="1" applyAlignment="1">
      <alignment horizontal="left" vertical="center" indent="1"/>
    </xf>
    <xf numFmtId="0" fontId="25" fillId="4" borderId="6" xfId="0" applyFont="1" applyFill="1" applyBorder="1" applyAlignment="1">
      <alignment horizontal="left" vertical="center" indent="1"/>
    </xf>
    <xf numFmtId="0" fontId="25" fillId="5" borderId="5" xfId="0" applyFont="1" applyFill="1" applyBorder="1" applyAlignment="1">
      <alignment horizontal="left" vertical="center" indent="1"/>
    </xf>
    <xf numFmtId="0" fontId="25" fillId="6" borderId="5" xfId="0" applyFont="1" applyFill="1" applyBorder="1" applyAlignment="1">
      <alignment horizontal="left" vertical="center" indent="1"/>
    </xf>
    <xf numFmtId="0" fontId="25" fillId="7" borderId="5" xfId="0" applyFont="1" applyFill="1" applyBorder="1" applyAlignment="1">
      <alignment horizontal="left" vertical="center" indent="1"/>
    </xf>
    <xf numFmtId="0" fontId="25" fillId="3" borderId="6" xfId="0" applyFont="1" applyFill="1" applyBorder="1" applyAlignment="1">
      <alignment horizontal="left" vertical="center" indent="1"/>
    </xf>
    <xf numFmtId="0" fontId="0" fillId="0" borderId="0" xfId="0" applyBorder="1">
      <alignment vertical="center"/>
    </xf>
    <xf numFmtId="22" fontId="28" fillId="0" borderId="0" xfId="8" applyNumberFormat="1" applyFont="1" applyFill="1" applyBorder="1" applyAlignment="1">
      <alignment horizontal="right"/>
    </xf>
    <xf numFmtId="22" fontId="29" fillId="0" borderId="0" xfId="8" applyNumberFormat="1" applyFont="1" applyFill="1" applyAlignment="1">
      <alignment horizontal="right"/>
    </xf>
    <xf numFmtId="0" fontId="18" fillId="0" borderId="4" xfId="1" applyFont="1" applyFill="1" applyBorder="1" applyAlignment="1">
      <alignment horizontal="center" vertical="center"/>
    </xf>
    <xf numFmtId="0" fontId="18" fillId="0" borderId="3" xfId="1" applyFont="1" applyFill="1" applyBorder="1" applyAlignment="1">
      <alignment horizontal="center" vertical="center"/>
    </xf>
    <xf numFmtId="0" fontId="18" fillId="0" borderId="2" xfId="1" applyFont="1" applyFill="1" applyBorder="1" applyAlignment="1">
      <alignment horizontal="center" vertical="center"/>
    </xf>
    <xf numFmtId="0" fontId="18" fillId="0" borderId="7" xfId="1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8" fillId="0" borderId="0" xfId="0" applyFont="1" applyFill="1" applyBorder="1" applyAlignment="1">
      <alignment horizontal="left" vertical="center"/>
    </xf>
    <xf numFmtId="0" fontId="17" fillId="0" borderId="16" xfId="0" applyFont="1" applyFill="1" applyBorder="1" applyAlignment="1">
      <alignment horizontal="center" vertical="center"/>
    </xf>
    <xf numFmtId="176" fontId="12" fillId="0" borderId="17" xfId="0" applyNumberFormat="1" applyFont="1" applyFill="1" applyBorder="1" applyAlignment="1">
      <alignment vertical="center"/>
    </xf>
    <xf numFmtId="179" fontId="23" fillId="0" borderId="17" xfId="0" applyNumberFormat="1" applyFont="1" applyFill="1" applyBorder="1" applyAlignment="1">
      <alignment horizontal="center" vertical="center"/>
    </xf>
    <xf numFmtId="181" fontId="23" fillId="0" borderId="17" xfId="0" applyNumberFormat="1" applyFont="1" applyFill="1" applyBorder="1" applyAlignment="1">
      <alignment horizontal="center" vertical="center"/>
    </xf>
    <xf numFmtId="180" fontId="23" fillId="0" borderId="17" xfId="0" applyNumberFormat="1" applyFont="1" applyFill="1" applyBorder="1" applyAlignment="1">
      <alignment horizontal="center" vertical="center"/>
    </xf>
    <xf numFmtId="178" fontId="23" fillId="0" borderId="17" xfId="0" applyNumberFormat="1" applyFont="1" applyFill="1" applyBorder="1" applyAlignment="1">
      <alignment horizontal="center" vertical="center"/>
    </xf>
    <xf numFmtId="184" fontId="23" fillId="0" borderId="17" xfId="0" applyNumberFormat="1" applyFont="1" applyFill="1" applyBorder="1" applyAlignment="1">
      <alignment horizontal="center" vertical="center"/>
    </xf>
    <xf numFmtId="10" fontId="23" fillId="0" borderId="17" xfId="0" applyNumberFormat="1" applyFont="1" applyFill="1" applyBorder="1" applyAlignment="1">
      <alignment horizontal="center" vertical="center"/>
    </xf>
    <xf numFmtId="183" fontId="23" fillId="0" borderId="17" xfId="0" applyNumberFormat="1" applyFont="1" applyFill="1" applyBorder="1" applyAlignment="1">
      <alignment horizontal="center" vertical="center"/>
    </xf>
    <xf numFmtId="0" fontId="23" fillId="0" borderId="17" xfId="0" applyNumberFormat="1" applyFont="1" applyFill="1" applyBorder="1" applyAlignment="1">
      <alignment vertical="center" wrapText="1"/>
    </xf>
    <xf numFmtId="176" fontId="12" fillId="0" borderId="18" xfId="0" applyNumberFormat="1" applyFont="1" applyFill="1" applyBorder="1" applyAlignment="1">
      <alignment vertical="center"/>
    </xf>
    <xf numFmtId="179" fontId="23" fillId="0" borderId="18" xfId="0" applyNumberFormat="1" applyFont="1" applyFill="1" applyBorder="1" applyAlignment="1">
      <alignment horizontal="center" vertical="center"/>
    </xf>
    <xf numFmtId="181" fontId="23" fillId="0" borderId="18" xfId="0" applyNumberFormat="1" applyFont="1" applyFill="1" applyBorder="1" applyAlignment="1">
      <alignment horizontal="center" vertical="center"/>
    </xf>
    <xf numFmtId="180" fontId="23" fillId="0" borderId="18" xfId="0" applyNumberFormat="1" applyFont="1" applyFill="1" applyBorder="1" applyAlignment="1">
      <alignment horizontal="center" vertical="center"/>
    </xf>
    <xf numFmtId="178" fontId="23" fillId="0" borderId="18" xfId="0" applyNumberFormat="1" applyFont="1" applyFill="1" applyBorder="1" applyAlignment="1">
      <alignment horizontal="center" vertical="center"/>
    </xf>
    <xf numFmtId="184" fontId="23" fillId="0" borderId="18" xfId="0" applyNumberFormat="1" applyFont="1" applyFill="1" applyBorder="1" applyAlignment="1">
      <alignment horizontal="center" vertical="center"/>
    </xf>
    <xf numFmtId="10" fontId="23" fillId="0" borderId="18" xfId="0" applyNumberFormat="1" applyFont="1" applyFill="1" applyBorder="1" applyAlignment="1">
      <alignment horizontal="center" vertical="center"/>
    </xf>
    <xf numFmtId="183" fontId="23" fillId="0" borderId="18" xfId="0" applyNumberFormat="1" applyFont="1" applyFill="1" applyBorder="1" applyAlignment="1">
      <alignment horizontal="center" vertical="center"/>
    </xf>
    <xf numFmtId="0" fontId="23" fillId="0" borderId="18" xfId="0" applyNumberFormat="1" applyFont="1" applyFill="1" applyBorder="1" applyAlignment="1">
      <alignment vertical="center" wrapText="1"/>
    </xf>
    <xf numFmtId="0" fontId="8" fillId="0" borderId="0" xfId="0" applyFont="1" applyAlignment="1">
      <alignment horizontal="center"/>
    </xf>
    <xf numFmtId="178" fontId="23" fillId="0" borderId="17" xfId="0" applyNumberFormat="1" applyFont="1" applyFill="1" applyBorder="1" applyAlignment="1">
      <alignment horizontal="center" vertical="center" wrapText="1"/>
    </xf>
    <xf numFmtId="178" fontId="23" fillId="0" borderId="18" xfId="0" applyNumberFormat="1" applyFont="1" applyFill="1" applyBorder="1" applyAlignment="1">
      <alignment horizontal="center" vertical="center" wrapText="1"/>
    </xf>
    <xf numFmtId="0" fontId="8" fillId="0" borderId="0" xfId="0" applyFont="1" applyAlignment="1">
      <alignment horizontal="center"/>
    </xf>
    <xf numFmtId="0" fontId="31" fillId="0" borderId="10" xfId="0" applyFont="1" applyBorder="1">
      <alignment vertical="center"/>
    </xf>
    <xf numFmtId="0" fontId="32" fillId="0" borderId="10" xfId="0" applyFont="1" applyBorder="1">
      <alignment vertical="center"/>
    </xf>
    <xf numFmtId="0" fontId="31" fillId="0" borderId="12" xfId="0" applyFont="1" applyBorder="1">
      <alignment vertical="center"/>
    </xf>
    <xf numFmtId="0" fontId="33" fillId="0" borderId="10" xfId="0" applyFont="1" applyBorder="1">
      <alignment vertical="center"/>
    </xf>
    <xf numFmtId="0" fontId="31" fillId="8" borderId="12" xfId="0" applyFont="1" applyFill="1" applyBorder="1">
      <alignment vertical="center"/>
    </xf>
    <xf numFmtId="0" fontId="31" fillId="0" borderId="13" xfId="0" applyFont="1" applyBorder="1">
      <alignment vertical="center"/>
    </xf>
    <xf numFmtId="0" fontId="31" fillId="8" borderId="14" xfId="0" applyFont="1" applyFill="1" applyBorder="1">
      <alignment vertical="center"/>
    </xf>
    <xf numFmtId="0" fontId="31" fillId="8" borderId="10" xfId="0" applyFont="1" applyFill="1" applyBorder="1">
      <alignment vertical="center"/>
    </xf>
    <xf numFmtId="0" fontId="31" fillId="8" borderId="11" xfId="0" applyFont="1" applyFill="1" applyBorder="1">
      <alignment vertical="center"/>
    </xf>
    <xf numFmtId="0" fontId="31" fillId="8" borderId="13" xfId="0" applyFont="1" applyFill="1" applyBorder="1">
      <alignment vertical="center"/>
    </xf>
    <xf numFmtId="0" fontId="31" fillId="0" borderId="11" xfId="0" applyFont="1" applyBorder="1">
      <alignment vertical="center"/>
    </xf>
    <xf numFmtId="0" fontId="31" fillId="0" borderId="14" xfId="0" applyFont="1" applyBorder="1">
      <alignment vertical="center"/>
    </xf>
    <xf numFmtId="0" fontId="32" fillId="0" borderId="12" xfId="0" applyFont="1" applyBorder="1">
      <alignment vertical="center"/>
    </xf>
    <xf numFmtId="0" fontId="31" fillId="8" borderId="19" xfId="0" applyFont="1" applyFill="1" applyBorder="1">
      <alignment vertical="center"/>
    </xf>
    <xf numFmtId="185" fontId="23" fillId="0" borderId="17" xfId="0" applyNumberFormat="1" applyFont="1" applyFill="1" applyBorder="1" applyAlignment="1">
      <alignment horizontal="center" vertical="center"/>
    </xf>
    <xf numFmtId="185" fontId="23" fillId="0" borderId="18" xfId="0" applyNumberFormat="1" applyFont="1" applyFill="1" applyBorder="1" applyAlignment="1">
      <alignment horizontal="center" vertical="center"/>
    </xf>
    <xf numFmtId="0" fontId="34" fillId="0" borderId="0" xfId="0" applyFont="1">
      <alignment vertical="center"/>
    </xf>
    <xf numFmtId="0" fontId="34" fillId="0" borderId="0" xfId="0" applyFont="1" applyAlignment="1">
      <alignment vertical="center" wrapText="1"/>
    </xf>
    <xf numFmtId="0" fontId="31" fillId="8" borderId="20" xfId="0" applyFont="1" applyFill="1" applyBorder="1">
      <alignment vertical="center"/>
    </xf>
    <xf numFmtId="0" fontId="31" fillId="8" borderId="21" xfId="0" applyFont="1" applyFill="1" applyBorder="1">
      <alignment vertical="center"/>
    </xf>
    <xf numFmtId="186" fontId="23" fillId="0" borderId="17" xfId="0" applyNumberFormat="1" applyFont="1" applyFill="1" applyBorder="1" applyAlignment="1">
      <alignment horizontal="center" vertical="center"/>
    </xf>
    <xf numFmtId="186" fontId="23" fillId="0" borderId="18" xfId="0" applyNumberFormat="1" applyFont="1" applyFill="1" applyBorder="1" applyAlignment="1">
      <alignment horizontal="center" vertical="center"/>
    </xf>
    <xf numFmtId="0" fontId="31" fillId="8" borderId="22" xfId="0" applyFont="1" applyFill="1" applyBorder="1">
      <alignment vertical="center"/>
    </xf>
    <xf numFmtId="0" fontId="31" fillId="8" borderId="23" xfId="0" applyFont="1" applyFill="1" applyBorder="1">
      <alignment vertical="center"/>
    </xf>
    <xf numFmtId="0" fontId="31" fillId="8" borderId="24" xfId="0" applyFont="1" applyFill="1" applyBorder="1">
      <alignment vertical="center"/>
    </xf>
    <xf numFmtId="0" fontId="31" fillId="0" borderId="25" xfId="0" applyFont="1" applyBorder="1">
      <alignment vertical="center"/>
    </xf>
    <xf numFmtId="0" fontId="31" fillId="8" borderId="26" xfId="0" applyFont="1" applyFill="1" applyBorder="1">
      <alignment vertical="center"/>
    </xf>
    <xf numFmtId="0" fontId="31" fillId="0" borderId="27" xfId="0" applyFont="1" applyBorder="1">
      <alignment vertical="center"/>
    </xf>
    <xf numFmtId="0" fontId="8" fillId="0" borderId="0" xfId="0" applyFont="1" applyAlignment="1">
      <alignment horizontal="center"/>
    </xf>
    <xf numFmtId="0" fontId="33" fillId="0" borderId="12" xfId="0" applyFont="1" applyBorder="1">
      <alignment vertical="center"/>
    </xf>
    <xf numFmtId="0" fontId="31" fillId="0" borderId="28" xfId="0" applyFont="1" applyBorder="1">
      <alignment vertical="center"/>
    </xf>
    <xf numFmtId="0" fontId="31" fillId="0" borderId="10" xfId="0" applyFont="1" applyFill="1" applyBorder="1">
      <alignment vertical="center"/>
    </xf>
    <xf numFmtId="0" fontId="31" fillId="0" borderId="29" xfId="0" applyFont="1" applyBorder="1">
      <alignment vertical="center"/>
    </xf>
    <xf numFmtId="0" fontId="32" fillId="0" borderId="31" xfId="0" applyFont="1" applyBorder="1">
      <alignment vertical="center"/>
    </xf>
    <xf numFmtId="0" fontId="31" fillId="8" borderId="30" xfId="0" applyFont="1" applyFill="1" applyBorder="1">
      <alignment vertical="center"/>
    </xf>
    <xf numFmtId="176" fontId="12" fillId="0" borderId="32" xfId="0" applyNumberFormat="1" applyFont="1" applyFill="1" applyBorder="1" applyAlignment="1">
      <alignment vertical="center"/>
    </xf>
    <xf numFmtId="0" fontId="23" fillId="0" borderId="32" xfId="0" applyNumberFormat="1" applyFont="1" applyFill="1" applyBorder="1" applyAlignment="1">
      <alignment vertical="center" wrapText="1"/>
    </xf>
    <xf numFmtId="0" fontId="31" fillId="8" borderId="33" xfId="0" applyFont="1" applyFill="1" applyBorder="1">
      <alignment vertical="center"/>
    </xf>
    <xf numFmtId="0" fontId="31" fillId="8" borderId="27" xfId="0" applyFont="1" applyFill="1" applyBorder="1">
      <alignment vertical="center"/>
    </xf>
    <xf numFmtId="0" fontId="31" fillId="0" borderId="34" xfId="0" applyFont="1" applyBorder="1">
      <alignment vertical="center"/>
    </xf>
    <xf numFmtId="0" fontId="31" fillId="0" borderId="35" xfId="0" applyFont="1" applyBorder="1">
      <alignment vertical="center"/>
    </xf>
    <xf numFmtId="0" fontId="31" fillId="8" borderId="36" xfId="0" applyFont="1" applyFill="1" applyBorder="1">
      <alignment vertical="center"/>
    </xf>
    <xf numFmtId="0" fontId="31" fillId="0" borderId="26" xfId="0" applyFont="1" applyBorder="1">
      <alignment vertical="center"/>
    </xf>
    <xf numFmtId="0" fontId="31" fillId="8" borderId="37" xfId="0" applyFont="1" applyFill="1" applyBorder="1">
      <alignment vertical="center"/>
    </xf>
    <xf numFmtId="0" fontId="31" fillId="0" borderId="23" xfId="0" applyFont="1" applyBorder="1">
      <alignment vertical="center"/>
    </xf>
    <xf numFmtId="0" fontId="35" fillId="0" borderId="0" xfId="0" applyFont="1">
      <alignment vertical="center"/>
    </xf>
    <xf numFmtId="0" fontId="36" fillId="0" borderId="0" xfId="0" applyFont="1">
      <alignment vertical="center"/>
    </xf>
    <xf numFmtId="0" fontId="37" fillId="0" borderId="0" xfId="0" applyFont="1">
      <alignment vertical="center"/>
    </xf>
    <xf numFmtId="0" fontId="38" fillId="0" borderId="0" xfId="0" applyFont="1">
      <alignment vertical="center"/>
    </xf>
    <xf numFmtId="0" fontId="39" fillId="0" borderId="15" xfId="9" applyFont="1" applyBorder="1" applyAlignment="1">
      <alignment vertical="center"/>
    </xf>
    <xf numFmtId="0" fontId="39" fillId="0" borderId="15" xfId="0" applyFont="1" applyBorder="1" applyAlignment="1">
      <alignment vertical="center"/>
    </xf>
    <xf numFmtId="0" fontId="39" fillId="0" borderId="15" xfId="0" applyFont="1" applyFill="1" applyBorder="1" applyAlignment="1">
      <alignment vertical="center"/>
    </xf>
    <xf numFmtId="0" fontId="39" fillId="0" borderId="0" xfId="9" applyFont="1" applyAlignment="1">
      <alignment vertical="center"/>
    </xf>
    <xf numFmtId="0" fontId="39" fillId="0" borderId="0" xfId="0" applyFont="1" applyAlignment="1">
      <alignment vertical="center"/>
    </xf>
    <xf numFmtId="0" fontId="39" fillId="0" borderId="0" xfId="0" applyFont="1" applyFill="1" applyAlignment="1">
      <alignment vertical="center"/>
    </xf>
    <xf numFmtId="0" fontId="39" fillId="0" borderId="0" xfId="0" applyFont="1">
      <alignment vertical="center"/>
    </xf>
    <xf numFmtId="0" fontId="39" fillId="0" borderId="0" xfId="0" applyFont="1" applyFill="1" applyAlignment="1">
      <alignment horizontal="left" vertical="center" indent="1"/>
    </xf>
    <xf numFmtId="0" fontId="39" fillId="0" borderId="0" xfId="0" applyFont="1" applyAlignment="1">
      <alignment horizontal="left" vertical="center" indent="1"/>
    </xf>
    <xf numFmtId="0" fontId="39" fillId="0" borderId="0" xfId="0" applyFont="1" applyFill="1">
      <alignment vertical="center"/>
    </xf>
    <xf numFmtId="0" fontId="40" fillId="0" borderId="0" xfId="0" applyFont="1" applyFill="1">
      <alignment vertical="center"/>
    </xf>
    <xf numFmtId="0" fontId="31" fillId="8" borderId="38" xfId="0" applyFont="1" applyFill="1" applyBorder="1">
      <alignment vertical="center"/>
    </xf>
    <xf numFmtId="0" fontId="31" fillId="8" borderId="39" xfId="0" applyFont="1" applyFill="1" applyBorder="1">
      <alignment vertical="center"/>
    </xf>
    <xf numFmtId="0" fontId="31" fillId="0" borderId="40" xfId="0" applyFont="1" applyBorder="1">
      <alignment vertical="center"/>
    </xf>
    <xf numFmtId="0" fontId="31" fillId="0" borderId="31" xfId="0" applyFont="1" applyBorder="1">
      <alignment vertical="center"/>
    </xf>
    <xf numFmtId="0" fontId="31" fillId="8" borderId="41" xfId="0" applyFont="1" applyFill="1" applyBorder="1">
      <alignment vertical="center"/>
    </xf>
    <xf numFmtId="176" fontId="23" fillId="0" borderId="18" xfId="0" applyNumberFormat="1" applyFont="1" applyBorder="1" applyAlignment="1">
      <alignment horizontal="center" vertical="center" wrapText="1"/>
    </xf>
    <xf numFmtId="178" fontId="23" fillId="0" borderId="18" xfId="0" applyNumberFormat="1" applyFont="1" applyFill="1" applyBorder="1" applyAlignment="1">
      <alignment horizontal="center" vertical="top" wrapText="1"/>
    </xf>
    <xf numFmtId="178" fontId="23" fillId="0" borderId="17" xfId="0" applyNumberFormat="1" applyFont="1" applyFill="1" applyBorder="1" applyAlignment="1">
      <alignment horizontal="center" vertical="top" wrapText="1"/>
    </xf>
    <xf numFmtId="0" fontId="18" fillId="0" borderId="42" xfId="1" applyFont="1" applyFill="1" applyBorder="1" applyAlignment="1">
      <alignment horizontal="center" vertical="center"/>
    </xf>
    <xf numFmtId="0" fontId="8" fillId="0" borderId="0" xfId="0" applyFont="1" applyAlignment="1">
      <alignment horizontal="center"/>
    </xf>
    <xf numFmtId="0" fontId="41" fillId="9" borderId="5" xfId="0" applyFont="1" applyFill="1" applyBorder="1" applyAlignment="1">
      <alignment horizontal="center" vertical="center"/>
    </xf>
    <xf numFmtId="182" fontId="23" fillId="0" borderId="17" xfId="0" applyNumberFormat="1" applyFont="1" applyFill="1" applyBorder="1" applyAlignment="1">
      <alignment horizontal="center" vertical="center"/>
    </xf>
    <xf numFmtId="182" fontId="23" fillId="0" borderId="18" xfId="0" applyNumberFormat="1" applyFont="1" applyFill="1" applyBorder="1" applyAlignment="1">
      <alignment horizontal="center" vertical="center"/>
    </xf>
    <xf numFmtId="0" fontId="8" fillId="0" borderId="0" xfId="0" applyFont="1" applyFill="1" applyAlignment="1">
      <alignment horizontal="center" vertical="center"/>
    </xf>
    <xf numFmtId="0" fontId="7" fillId="0" borderId="0" xfId="2" applyFont="1" applyFill="1" applyAlignment="1">
      <alignment horizontal="center"/>
    </xf>
    <xf numFmtId="176" fontId="12" fillId="0" borderId="0" xfId="0" applyNumberFormat="1" applyFont="1" applyFill="1" applyBorder="1" applyAlignment="1">
      <alignment horizontal="center" vertical="center"/>
    </xf>
    <xf numFmtId="0" fontId="10" fillId="0" borderId="0" xfId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2" fillId="0" borderId="0" xfId="9" applyFont="1" applyFill="1" applyAlignment="1">
      <alignment horizontal="center"/>
    </xf>
    <xf numFmtId="0" fontId="18" fillId="0" borderId="44" xfId="1" applyFont="1" applyFill="1" applyBorder="1" applyAlignment="1">
      <alignment horizontal="center" vertical="center"/>
    </xf>
    <xf numFmtId="176" fontId="12" fillId="0" borderId="43" xfId="0" applyNumberFormat="1" applyFont="1" applyBorder="1" applyAlignment="1">
      <alignment vertical="center"/>
    </xf>
    <xf numFmtId="0" fontId="18" fillId="0" borderId="45" xfId="1" applyFont="1" applyFill="1" applyBorder="1" applyAlignment="1">
      <alignment horizontal="center" vertical="center"/>
    </xf>
    <xf numFmtId="176" fontId="43" fillId="0" borderId="0" xfId="0" applyNumberFormat="1" applyFont="1" applyFill="1" applyBorder="1" applyAlignment="1">
      <alignment vertical="center"/>
    </xf>
    <xf numFmtId="176" fontId="12" fillId="0" borderId="49" xfId="0" applyNumberFormat="1" applyFont="1" applyBorder="1" applyAlignment="1">
      <alignment vertical="center"/>
    </xf>
    <xf numFmtId="180" fontId="23" fillId="0" borderId="49" xfId="0" applyNumberFormat="1" applyFont="1" applyBorder="1" applyAlignment="1">
      <alignment horizontal="center" vertical="center" wrapText="1"/>
    </xf>
    <xf numFmtId="0" fontId="41" fillId="9" borderId="5" xfId="0" applyFont="1" applyFill="1" applyBorder="1" applyAlignment="1">
      <alignment horizontal="center" vertical="center" wrapText="1"/>
    </xf>
    <xf numFmtId="185" fontId="23" fillId="0" borderId="17" xfId="0" applyNumberFormat="1" applyFont="1" applyFill="1" applyBorder="1" applyAlignment="1">
      <alignment horizontal="center" vertical="center" wrapText="1"/>
    </xf>
    <xf numFmtId="185" fontId="23" fillId="0" borderId="18" xfId="0" applyNumberFormat="1" applyFont="1" applyFill="1" applyBorder="1" applyAlignment="1">
      <alignment horizontal="center" vertical="center" wrapText="1"/>
    </xf>
    <xf numFmtId="0" fontId="8" fillId="0" borderId="0" xfId="0" applyFont="1" applyAlignment="1">
      <alignment horizontal="center"/>
    </xf>
    <xf numFmtId="187" fontId="8" fillId="0" borderId="0" xfId="0" applyNumberFormat="1" applyFont="1">
      <alignment vertical="center"/>
    </xf>
    <xf numFmtId="187" fontId="7" fillId="0" borderId="0" xfId="2" applyNumberFormat="1" applyFont="1" applyFill="1"/>
    <xf numFmtId="187" fontId="23" fillId="0" borderId="17" xfId="0" applyNumberFormat="1" applyFont="1" applyFill="1" applyBorder="1" applyAlignment="1">
      <alignment horizontal="center" vertical="center"/>
    </xf>
    <xf numFmtId="187" fontId="23" fillId="0" borderId="18" xfId="0" applyNumberFormat="1" applyFont="1" applyFill="1" applyBorder="1" applyAlignment="1">
      <alignment horizontal="center" vertical="center"/>
    </xf>
    <xf numFmtId="187" fontId="8" fillId="0" borderId="0" xfId="0" applyNumberFormat="1" applyFont="1" applyAlignment="1">
      <alignment horizontal="center"/>
    </xf>
    <xf numFmtId="187" fontId="10" fillId="0" borderId="0" xfId="1" applyNumberFormat="1" applyFont="1" applyFill="1" applyBorder="1" applyAlignment="1">
      <alignment horizontal="right" vertical="center"/>
    </xf>
    <xf numFmtId="187" fontId="12" fillId="0" borderId="0" xfId="0" applyNumberFormat="1" applyFont="1" applyFill="1" applyBorder="1" applyAlignment="1">
      <alignment vertical="center"/>
    </xf>
    <xf numFmtId="187" fontId="8" fillId="0" borderId="0" xfId="0" applyNumberFormat="1" applyFont="1" applyFill="1">
      <alignment vertical="center"/>
    </xf>
    <xf numFmtId="187" fontId="18" fillId="0" borderId="0" xfId="1" applyNumberFormat="1" applyFont="1" applyFill="1" applyBorder="1" applyAlignment="1">
      <alignment horizontal="center" vertical="center"/>
    </xf>
    <xf numFmtId="187" fontId="23" fillId="0" borderId="0" xfId="0" applyNumberFormat="1" applyFont="1" applyBorder="1" applyAlignment="1">
      <alignment horizontal="center" vertical="center" wrapText="1"/>
    </xf>
    <xf numFmtId="187" fontId="8" fillId="0" borderId="0" xfId="0" applyNumberFormat="1" applyFont="1" applyFill="1" applyBorder="1" applyAlignment="1">
      <alignment horizontal="center" vertical="center"/>
    </xf>
    <xf numFmtId="187" fontId="12" fillId="0" borderId="0" xfId="0" applyNumberFormat="1" applyFont="1" applyFill="1" applyBorder="1">
      <alignment vertical="center"/>
    </xf>
    <xf numFmtId="0" fontId="8" fillId="0" borderId="0" xfId="0" applyFont="1" applyAlignment="1">
      <alignment horizontal="center"/>
    </xf>
    <xf numFmtId="187" fontId="0" fillId="0" borderId="0" xfId="0" applyNumberFormat="1">
      <alignment vertical="center"/>
    </xf>
    <xf numFmtId="187" fontId="0" fillId="0" borderId="0" xfId="0" applyNumberFormat="1" applyAlignment="1">
      <alignment vertical="center"/>
    </xf>
    <xf numFmtId="0" fontId="8" fillId="0" borderId="0" xfId="0" applyNumberFormat="1" applyFont="1" applyFill="1">
      <alignment vertical="center"/>
    </xf>
    <xf numFmtId="0" fontId="7" fillId="0" borderId="0" xfId="2" applyNumberFormat="1" applyFont="1" applyFill="1"/>
    <xf numFmtId="0" fontId="18" fillId="0" borderId="3" xfId="1" applyNumberFormat="1" applyFont="1" applyFill="1" applyBorder="1" applyAlignment="1">
      <alignment horizontal="center" vertical="center"/>
    </xf>
    <xf numFmtId="0" fontId="23" fillId="0" borderId="17" xfId="0" applyNumberFormat="1" applyFont="1" applyFill="1" applyBorder="1" applyAlignment="1">
      <alignment horizontal="center" vertical="center"/>
    </xf>
    <xf numFmtId="0" fontId="23" fillId="0" borderId="18" xfId="0" applyNumberFormat="1" applyFont="1" applyFill="1" applyBorder="1" applyAlignment="1">
      <alignment horizontal="center" vertical="center"/>
    </xf>
    <xf numFmtId="0" fontId="8" fillId="0" borderId="0" xfId="0" applyNumberFormat="1" applyFont="1" applyAlignment="1">
      <alignment horizontal="center"/>
    </xf>
    <xf numFmtId="0" fontId="10" fillId="0" borderId="0" xfId="1" applyNumberFormat="1" applyFont="1" applyFill="1" applyBorder="1" applyAlignment="1">
      <alignment horizontal="right" vertical="center"/>
    </xf>
    <xf numFmtId="0" fontId="12" fillId="0" borderId="0" xfId="0" applyNumberFormat="1" applyFont="1" applyFill="1" applyBorder="1" applyAlignment="1">
      <alignment vertical="center"/>
    </xf>
    <xf numFmtId="0" fontId="23" fillId="0" borderId="49" xfId="0" applyNumberFormat="1" applyFont="1" applyBorder="1" applyAlignment="1">
      <alignment horizontal="center" vertical="center"/>
    </xf>
    <xf numFmtId="0" fontId="12" fillId="0" borderId="0" xfId="0" applyNumberFormat="1" applyFont="1" applyFill="1" applyBorder="1">
      <alignment vertical="center"/>
    </xf>
    <xf numFmtId="0" fontId="23" fillId="0" borderId="17" xfId="0" applyNumberFormat="1" applyFont="1" applyFill="1" applyBorder="1" applyAlignment="1">
      <alignment horizontal="center" vertical="center" wrapText="1"/>
    </xf>
    <xf numFmtId="0" fontId="23" fillId="0" borderId="18" xfId="0" applyNumberFormat="1" applyFont="1" applyFill="1" applyBorder="1" applyAlignment="1">
      <alignment horizontal="center" vertical="center" wrapText="1"/>
    </xf>
    <xf numFmtId="0" fontId="44" fillId="0" borderId="0" xfId="0" applyFont="1" applyFill="1">
      <alignment vertical="center"/>
    </xf>
    <xf numFmtId="14" fontId="39" fillId="0" borderId="0" xfId="8" applyNumberFormat="1" applyFont="1" applyFill="1" applyAlignment="1"/>
    <xf numFmtId="0" fontId="44" fillId="0" borderId="0" xfId="2" applyFont="1" applyFill="1"/>
    <xf numFmtId="0" fontId="45" fillId="0" borderId="0" xfId="0" applyFont="1">
      <alignment vertical="center"/>
    </xf>
    <xf numFmtId="0" fontId="44" fillId="0" borderId="0" xfId="0" applyFont="1">
      <alignment vertical="center"/>
    </xf>
    <xf numFmtId="0" fontId="46" fillId="0" borderId="0" xfId="1" applyFont="1" applyFill="1" applyBorder="1" applyAlignment="1">
      <alignment horizontal="right" vertical="center"/>
    </xf>
    <xf numFmtId="176" fontId="44" fillId="0" borderId="0" xfId="2" applyNumberFormat="1" applyFont="1" applyFill="1" applyBorder="1" applyAlignment="1">
      <alignment vertical="center"/>
    </xf>
    <xf numFmtId="176" fontId="44" fillId="0" borderId="0" xfId="0" applyNumberFormat="1" applyFont="1" applyFill="1" applyBorder="1" applyAlignment="1">
      <alignment vertical="center"/>
    </xf>
    <xf numFmtId="176" fontId="44" fillId="0" borderId="0" xfId="0" applyNumberFormat="1" applyFont="1" applyFill="1" applyBorder="1">
      <alignment vertical="center"/>
    </xf>
    <xf numFmtId="0" fontId="44" fillId="0" borderId="0" xfId="0" applyFont="1" applyFill="1" applyAlignment="1">
      <alignment horizontal="center" vertical="center"/>
    </xf>
    <xf numFmtId="0" fontId="39" fillId="0" borderId="0" xfId="9" applyFont="1" applyAlignment="1">
      <alignment horizontal="center" vertical="center"/>
    </xf>
    <xf numFmtId="0" fontId="17" fillId="10" borderId="16" xfId="0" applyFont="1" applyFill="1" applyBorder="1" applyAlignment="1">
      <alignment horizontal="center" vertical="center"/>
    </xf>
    <xf numFmtId="176" fontId="12" fillId="10" borderId="18" xfId="0" applyNumberFormat="1" applyFont="1" applyFill="1" applyBorder="1" applyAlignment="1">
      <alignment vertical="center"/>
    </xf>
    <xf numFmtId="179" fontId="23" fillId="10" borderId="18" xfId="0" applyNumberFormat="1" applyFont="1" applyFill="1" applyBorder="1" applyAlignment="1">
      <alignment horizontal="center" vertical="center"/>
    </xf>
    <xf numFmtId="181" fontId="23" fillId="10" borderId="18" xfId="0" applyNumberFormat="1" applyFont="1" applyFill="1" applyBorder="1" applyAlignment="1">
      <alignment horizontal="center" vertical="center"/>
    </xf>
    <xf numFmtId="180" fontId="23" fillId="10" borderId="18" xfId="0" applyNumberFormat="1" applyFont="1" applyFill="1" applyBorder="1" applyAlignment="1">
      <alignment horizontal="center" vertical="center"/>
    </xf>
    <xf numFmtId="178" fontId="23" fillId="10" borderId="18" xfId="0" applyNumberFormat="1" applyFont="1" applyFill="1" applyBorder="1" applyAlignment="1">
      <alignment horizontal="center" vertical="center"/>
    </xf>
    <xf numFmtId="178" fontId="23" fillId="10" borderId="17" xfId="0" applyNumberFormat="1" applyFont="1" applyFill="1" applyBorder="1" applyAlignment="1">
      <alignment horizontal="center" vertical="center"/>
    </xf>
    <xf numFmtId="0" fontId="23" fillId="10" borderId="17" xfId="0" applyNumberFormat="1" applyFont="1" applyFill="1" applyBorder="1" applyAlignment="1">
      <alignment horizontal="center" vertical="center"/>
    </xf>
    <xf numFmtId="178" fontId="23" fillId="10" borderId="18" xfId="0" applyNumberFormat="1" applyFont="1" applyFill="1" applyBorder="1" applyAlignment="1">
      <alignment horizontal="center" vertical="center" wrapText="1"/>
    </xf>
    <xf numFmtId="182" fontId="23" fillId="10" borderId="18" xfId="0" applyNumberFormat="1" applyFont="1" applyFill="1" applyBorder="1" applyAlignment="1">
      <alignment horizontal="center" vertical="center"/>
    </xf>
    <xf numFmtId="184" fontId="23" fillId="10" borderId="18" xfId="0" applyNumberFormat="1" applyFont="1" applyFill="1" applyBorder="1" applyAlignment="1">
      <alignment horizontal="center" vertical="center"/>
    </xf>
    <xf numFmtId="10" fontId="23" fillId="10" borderId="18" xfId="0" applyNumberFormat="1" applyFont="1" applyFill="1" applyBorder="1" applyAlignment="1">
      <alignment horizontal="center" vertical="center"/>
    </xf>
    <xf numFmtId="187" fontId="23" fillId="10" borderId="18" xfId="0" applyNumberFormat="1" applyFont="1" applyFill="1" applyBorder="1" applyAlignment="1">
      <alignment horizontal="center" vertical="center"/>
    </xf>
    <xf numFmtId="183" fontId="23" fillId="10" borderId="18" xfId="0" applyNumberFormat="1" applyFont="1" applyFill="1" applyBorder="1" applyAlignment="1">
      <alignment horizontal="center" vertical="center"/>
    </xf>
    <xf numFmtId="186" fontId="23" fillId="10" borderId="17" xfId="0" applyNumberFormat="1" applyFont="1" applyFill="1" applyBorder="1" applyAlignment="1">
      <alignment horizontal="center" vertical="center"/>
    </xf>
    <xf numFmtId="185" fontId="23" fillId="10" borderId="17" xfId="0" applyNumberFormat="1" applyFont="1" applyFill="1" applyBorder="1" applyAlignment="1">
      <alignment horizontal="center" vertical="center"/>
    </xf>
    <xf numFmtId="0" fontId="23" fillId="10" borderId="18" xfId="0" applyNumberFormat="1" applyFont="1" applyFill="1" applyBorder="1" applyAlignment="1">
      <alignment vertical="center" wrapText="1"/>
    </xf>
    <xf numFmtId="0" fontId="7" fillId="10" borderId="0" xfId="2" applyFont="1" applyFill="1"/>
    <xf numFmtId="0" fontId="8" fillId="10" borderId="0" xfId="0" applyFont="1" applyFill="1">
      <alignment vertical="center"/>
    </xf>
    <xf numFmtId="2" fontId="8" fillId="0" borderId="0" xfId="0" applyNumberFormat="1" applyFont="1">
      <alignment vertical="center"/>
    </xf>
    <xf numFmtId="2" fontId="8" fillId="0" borderId="0" xfId="0" applyNumberFormat="1" applyFont="1" applyFill="1">
      <alignment vertical="center"/>
    </xf>
    <xf numFmtId="2" fontId="23" fillId="0" borderId="17" xfId="0" applyNumberFormat="1" applyFont="1" applyFill="1" applyBorder="1" applyAlignment="1">
      <alignment horizontal="center" vertical="center"/>
    </xf>
    <xf numFmtId="2" fontId="8" fillId="0" borderId="0" xfId="0" applyNumberFormat="1" applyFont="1" applyAlignment="1">
      <alignment horizontal="center"/>
    </xf>
    <xf numFmtId="2" fontId="10" fillId="0" borderId="0" xfId="1" applyNumberFormat="1" applyFont="1" applyFill="1" applyBorder="1" applyAlignment="1">
      <alignment horizontal="right" vertical="center"/>
    </xf>
    <xf numFmtId="2" fontId="12" fillId="0" borderId="0" xfId="0" applyNumberFormat="1" applyFont="1" applyFill="1" applyBorder="1" applyAlignment="1">
      <alignment vertical="center"/>
    </xf>
    <xf numFmtId="2" fontId="12" fillId="0" borderId="0" xfId="0" applyNumberFormat="1" applyFont="1" applyFill="1" applyBorder="1">
      <alignment vertical="center"/>
    </xf>
    <xf numFmtId="0" fontId="48" fillId="0" borderId="59" xfId="0" applyFont="1" applyBorder="1" applyAlignment="1">
      <alignment horizontal="center" vertical="center" wrapText="1"/>
    </xf>
    <xf numFmtId="0" fontId="18" fillId="0" borderId="7" xfId="1" applyFont="1" applyFill="1" applyBorder="1" applyAlignment="1">
      <alignment horizontal="center" vertical="center" wrapText="1"/>
    </xf>
    <xf numFmtId="187" fontId="18" fillId="0" borderId="7" xfId="1" applyNumberFormat="1" applyFont="1" applyFill="1" applyBorder="1" applyAlignment="1">
      <alignment horizontal="center" vertical="center" wrapText="1"/>
    </xf>
    <xf numFmtId="2" fontId="18" fillId="0" borderId="7" xfId="1" applyNumberFormat="1" applyFont="1" applyFill="1" applyBorder="1" applyAlignment="1">
      <alignment horizontal="center" vertical="center" wrapText="1"/>
    </xf>
    <xf numFmtId="0" fontId="48" fillId="0" borderId="0" xfId="0" applyFont="1" applyBorder="1" applyAlignment="1">
      <alignment horizontal="center" vertical="center" wrapText="1"/>
    </xf>
    <xf numFmtId="0" fontId="47" fillId="0" borderId="0" xfId="0" applyFont="1" applyBorder="1" applyAlignment="1">
      <alignment horizontal="center" vertical="center" wrapText="1"/>
    </xf>
    <xf numFmtId="0" fontId="49" fillId="0" borderId="0" xfId="0" applyFont="1" applyBorder="1" applyAlignment="1">
      <alignment vertical="center" wrapText="1"/>
    </xf>
    <xf numFmtId="0" fontId="47" fillId="0" borderId="0" xfId="0" applyFont="1" applyBorder="1" applyAlignment="1">
      <alignment vertical="center" wrapText="1"/>
    </xf>
    <xf numFmtId="0" fontId="49" fillId="0" borderId="0" xfId="0" applyFont="1" applyBorder="1" applyAlignment="1">
      <alignment horizontal="center" vertical="center" wrapText="1"/>
    </xf>
    <xf numFmtId="0" fontId="49" fillId="0" borderId="59" xfId="0" applyFont="1" applyBorder="1" applyAlignment="1">
      <alignment horizontal="center" vertical="center" wrapText="1"/>
    </xf>
    <xf numFmtId="0" fontId="47" fillId="0" borderId="59" xfId="0" applyFont="1" applyBorder="1" applyAlignment="1">
      <alignment horizontal="center" vertical="center" wrapText="1"/>
    </xf>
    <xf numFmtId="0" fontId="39" fillId="0" borderId="0" xfId="0" applyFont="1" applyAlignment="1">
      <alignment vertical="center" wrapText="1"/>
    </xf>
    <xf numFmtId="177" fontId="39" fillId="0" borderId="0" xfId="8" applyNumberFormat="1" applyFont="1" applyFill="1" applyAlignment="1"/>
    <xf numFmtId="0" fontId="44" fillId="0" borderId="0" xfId="2" applyNumberFormat="1" applyFont="1" applyFill="1"/>
    <xf numFmtId="0" fontId="44" fillId="0" borderId="0" xfId="2" applyNumberFormat="1" applyFont="1" applyFill="1" applyAlignment="1">
      <alignment horizontal="center"/>
    </xf>
    <xf numFmtId="0" fontId="49" fillId="0" borderId="59" xfId="0" applyFont="1" applyBorder="1" applyAlignment="1">
      <alignment horizontal="center" vertical="center"/>
    </xf>
    <xf numFmtId="0" fontId="7" fillId="0" borderId="0" xfId="2" applyFont="1" applyFill="1" applyAlignment="1">
      <alignment vertical="center" wrapText="1"/>
    </xf>
    <xf numFmtId="0" fontId="18" fillId="0" borderId="0" xfId="1" applyFont="1" applyFill="1" applyBorder="1" applyAlignment="1">
      <alignment horizontal="center" vertical="center" wrapText="1"/>
    </xf>
    <xf numFmtId="0" fontId="18" fillId="0" borderId="4" xfId="1" applyFont="1" applyFill="1" applyBorder="1" applyAlignment="1">
      <alignment horizontal="center" vertical="center" wrapText="1"/>
    </xf>
    <xf numFmtId="0" fontId="18" fillId="0" borderId="3" xfId="1" applyNumberFormat="1" applyFont="1" applyFill="1" applyBorder="1" applyAlignment="1">
      <alignment horizontal="center" vertical="center" wrapText="1"/>
    </xf>
    <xf numFmtId="0" fontId="18" fillId="0" borderId="3" xfId="1" applyFont="1" applyFill="1" applyBorder="1" applyAlignment="1">
      <alignment horizontal="center" vertical="center" wrapText="1"/>
    </xf>
    <xf numFmtId="0" fontId="18" fillId="0" borderId="2" xfId="1" applyFont="1" applyFill="1" applyBorder="1" applyAlignment="1">
      <alignment horizontal="center" vertical="center" wrapText="1"/>
    </xf>
    <xf numFmtId="0" fontId="11" fillId="0" borderId="0" xfId="0" applyFont="1" applyFill="1" applyAlignment="1">
      <alignment vertical="center" wrapText="1"/>
    </xf>
    <xf numFmtId="2" fontId="23" fillId="10" borderId="17" xfId="0" applyNumberFormat="1" applyFont="1" applyFill="1" applyBorder="1" applyAlignment="1">
      <alignment horizontal="center" vertical="center"/>
    </xf>
    <xf numFmtId="0" fontId="50" fillId="0" borderId="0" xfId="0" applyFont="1">
      <alignment vertical="center"/>
    </xf>
    <xf numFmtId="0" fontId="50" fillId="0" borderId="0" xfId="0" applyFont="1" applyAlignment="1">
      <alignment vertical="center" wrapText="1"/>
    </xf>
    <xf numFmtId="10" fontId="8" fillId="0" borderId="0" xfId="0" applyNumberFormat="1" applyFont="1">
      <alignment vertical="center"/>
    </xf>
    <xf numFmtId="10" fontId="7" fillId="0" borderId="0" xfId="2" applyNumberFormat="1" applyFont="1" applyFill="1"/>
    <xf numFmtId="10" fontId="18" fillId="0" borderId="7" xfId="1" applyNumberFormat="1" applyFont="1" applyFill="1" applyBorder="1" applyAlignment="1">
      <alignment horizontal="center" vertical="center" wrapText="1"/>
    </xf>
    <xf numFmtId="10" fontId="8" fillId="0" borderId="0" xfId="0" applyNumberFormat="1" applyFont="1" applyAlignment="1">
      <alignment horizontal="center"/>
    </xf>
    <xf numFmtId="10" fontId="10" fillId="0" borderId="0" xfId="1" applyNumberFormat="1" applyFont="1" applyFill="1" applyBorder="1" applyAlignment="1">
      <alignment horizontal="right" vertical="center"/>
    </xf>
    <xf numFmtId="10" fontId="8" fillId="0" borderId="0" xfId="0" applyNumberFormat="1" applyFont="1" applyFill="1">
      <alignment vertical="center"/>
    </xf>
    <xf numFmtId="10" fontId="12" fillId="0" borderId="0" xfId="0" applyNumberFormat="1" applyFont="1" applyFill="1" applyBorder="1" applyAlignment="1">
      <alignment vertical="center"/>
    </xf>
    <xf numFmtId="10" fontId="12" fillId="0" borderId="0" xfId="0" applyNumberFormat="1" applyFont="1" applyFill="1" applyBorder="1">
      <alignment vertical="center"/>
    </xf>
    <xf numFmtId="0" fontId="39" fillId="0" borderId="62" xfId="0" applyFont="1" applyBorder="1" applyAlignment="1">
      <alignment vertical="center" wrapText="1"/>
    </xf>
    <xf numFmtId="0" fontId="39" fillId="0" borderId="63" xfId="0" applyFont="1" applyBorder="1">
      <alignment vertical="center"/>
    </xf>
    <xf numFmtId="0" fontId="39" fillId="0" borderId="64" xfId="0" applyFont="1" applyBorder="1" applyAlignment="1">
      <alignment vertical="center" wrapText="1"/>
    </xf>
    <xf numFmtId="0" fontId="39" fillId="0" borderId="65" xfId="0" applyFont="1" applyBorder="1" applyAlignment="1">
      <alignment vertical="center" wrapText="1"/>
    </xf>
    <xf numFmtId="0" fontId="39" fillId="0" borderId="64" xfId="0" applyFont="1" applyBorder="1">
      <alignment vertical="center"/>
    </xf>
    <xf numFmtId="0" fontId="39" fillId="0" borderId="65" xfId="0" applyFont="1" applyBorder="1">
      <alignment vertical="center"/>
    </xf>
    <xf numFmtId="176" fontId="52" fillId="0" borderId="0" xfId="0" applyNumberFormat="1" applyFont="1" applyFill="1" applyBorder="1" applyAlignment="1">
      <alignment vertical="center"/>
    </xf>
    <xf numFmtId="188" fontId="23" fillId="0" borderId="49" xfId="10" applyNumberFormat="1" applyFont="1" applyBorder="1" applyAlignment="1">
      <alignment horizontal="center" vertical="center" wrapText="1"/>
    </xf>
    <xf numFmtId="12" fontId="45" fillId="0" borderId="0" xfId="0" applyNumberFormat="1" applyFont="1">
      <alignment vertical="center"/>
    </xf>
    <xf numFmtId="0" fontId="53" fillId="0" borderId="0" xfId="0" applyFont="1">
      <alignment vertical="center"/>
    </xf>
    <xf numFmtId="189" fontId="45" fillId="0" borderId="0" xfId="0" applyNumberFormat="1" applyFont="1">
      <alignment vertical="center"/>
    </xf>
    <xf numFmtId="0" fontId="45" fillId="0" borderId="68" xfId="0" applyFont="1" applyBorder="1">
      <alignment vertical="center"/>
    </xf>
    <xf numFmtId="0" fontId="39" fillId="0" borderId="69" xfId="0" applyFont="1" applyBorder="1">
      <alignment vertical="center"/>
    </xf>
    <xf numFmtId="0" fontId="39" fillId="0" borderId="70" xfId="0" applyFont="1" applyBorder="1">
      <alignment vertical="center"/>
    </xf>
    <xf numFmtId="0" fontId="39" fillId="0" borderId="0" xfId="0" applyFont="1" applyBorder="1">
      <alignment vertical="center"/>
    </xf>
    <xf numFmtId="2" fontId="39" fillId="0" borderId="0" xfId="0" applyNumberFormat="1" applyFont="1" applyBorder="1">
      <alignment vertical="center"/>
    </xf>
    <xf numFmtId="191" fontId="39" fillId="0" borderId="0" xfId="0" applyNumberFormat="1" applyFont="1" applyBorder="1">
      <alignment vertical="center"/>
    </xf>
    <xf numFmtId="184" fontId="39" fillId="0" borderId="0" xfId="0" applyNumberFormat="1" applyFont="1" applyBorder="1">
      <alignment vertical="center"/>
    </xf>
    <xf numFmtId="0" fontId="39" fillId="0" borderId="60" xfId="0" applyFont="1" applyBorder="1">
      <alignment vertical="center"/>
    </xf>
    <xf numFmtId="0" fontId="39" fillId="0" borderId="71" xfId="0" applyFont="1" applyBorder="1">
      <alignment vertical="center"/>
    </xf>
    <xf numFmtId="190" fontId="39" fillId="0" borderId="71" xfId="0" applyNumberFormat="1" applyFont="1" applyBorder="1">
      <alignment vertical="center"/>
    </xf>
    <xf numFmtId="190" fontId="39" fillId="0" borderId="61" xfId="0" applyNumberFormat="1" applyFont="1" applyBorder="1">
      <alignment vertical="center"/>
    </xf>
    <xf numFmtId="0" fontId="39" fillId="0" borderId="72" xfId="0" applyFont="1" applyBorder="1">
      <alignment vertical="center"/>
    </xf>
    <xf numFmtId="190" fontId="39" fillId="0" borderId="65" xfId="0" applyNumberFormat="1" applyFont="1" applyBorder="1">
      <alignment vertical="center"/>
    </xf>
    <xf numFmtId="190" fontId="39" fillId="0" borderId="63" xfId="0" applyNumberFormat="1" applyFont="1" applyBorder="1">
      <alignment vertical="center"/>
    </xf>
    <xf numFmtId="0" fontId="39" fillId="0" borderId="61" xfId="0" applyFont="1" applyBorder="1">
      <alignment vertical="center"/>
    </xf>
    <xf numFmtId="0" fontId="39" fillId="0" borderId="62" xfId="0" applyFont="1" applyBorder="1">
      <alignment vertical="center"/>
    </xf>
    <xf numFmtId="180" fontId="39" fillId="0" borderId="63" xfId="0" applyNumberFormat="1" applyFont="1" applyBorder="1">
      <alignment vertical="center"/>
    </xf>
    <xf numFmtId="190" fontId="39" fillId="0" borderId="72" xfId="0" applyNumberFormat="1" applyFont="1" applyBorder="1">
      <alignment vertical="center"/>
    </xf>
    <xf numFmtId="191" fontId="39" fillId="0" borderId="71" xfId="0" applyNumberFormat="1" applyFont="1" applyBorder="1">
      <alignment vertical="center"/>
    </xf>
    <xf numFmtId="0" fontId="45" fillId="0" borderId="61" xfId="0" applyFont="1" applyBorder="1">
      <alignment vertical="center"/>
    </xf>
    <xf numFmtId="2" fontId="39" fillId="0" borderId="63" xfId="0" applyNumberFormat="1" applyFont="1" applyBorder="1">
      <alignment vertical="center"/>
    </xf>
    <xf numFmtId="0" fontId="45" fillId="0" borderId="63" xfId="0" applyFont="1" applyBorder="1">
      <alignment vertical="center"/>
    </xf>
    <xf numFmtId="191" fontId="39" fillId="0" borderId="72" xfId="0" applyNumberFormat="1" applyFont="1" applyBorder="1">
      <alignment vertical="center"/>
    </xf>
    <xf numFmtId="191" fontId="45" fillId="0" borderId="63" xfId="0" applyNumberFormat="1" applyFont="1" applyBorder="1">
      <alignment vertical="center"/>
    </xf>
    <xf numFmtId="190" fontId="45" fillId="0" borderId="65" xfId="0" applyNumberFormat="1" applyFont="1" applyBorder="1">
      <alignment vertical="center"/>
    </xf>
    <xf numFmtId="184" fontId="39" fillId="0" borderId="72" xfId="0" applyNumberFormat="1" applyFont="1" applyBorder="1">
      <alignment vertical="center"/>
    </xf>
    <xf numFmtId="180" fontId="39" fillId="0" borderId="65" xfId="0" applyNumberFormat="1" applyFont="1" applyBorder="1">
      <alignment vertical="center"/>
    </xf>
    <xf numFmtId="0" fontId="45" fillId="0" borderId="0" xfId="0" applyFont="1" applyBorder="1">
      <alignment vertical="center"/>
    </xf>
    <xf numFmtId="0" fontId="54" fillId="0" borderId="0" xfId="0" applyFont="1" applyFill="1" applyAlignment="1">
      <alignment horizontal="left" vertical="center" indent="1"/>
    </xf>
    <xf numFmtId="0" fontId="54" fillId="0" borderId="0" xfId="0" applyFont="1" applyAlignment="1">
      <alignment horizontal="left" vertical="center" indent="1"/>
    </xf>
    <xf numFmtId="0" fontId="55" fillId="0" borderId="0" xfId="0" applyFont="1" applyFill="1" applyAlignment="1">
      <alignment horizontal="left" vertical="center" indent="1"/>
    </xf>
    <xf numFmtId="0" fontId="39" fillId="0" borderId="0" xfId="0" applyFont="1" applyFill="1" applyAlignment="1">
      <alignment horizontal="center" vertical="center"/>
    </xf>
    <xf numFmtId="0" fontId="44" fillId="0" borderId="15" xfId="0" applyFont="1" applyFill="1" applyBorder="1" applyAlignment="1">
      <alignment vertical="center"/>
    </xf>
    <xf numFmtId="0" fontId="39" fillId="0" borderId="0" xfId="9" applyFont="1" applyAlignment="1">
      <alignment horizontal="left" vertical="center"/>
    </xf>
    <xf numFmtId="0" fontId="44" fillId="0" borderId="15" xfId="0" applyFont="1" applyFill="1" applyBorder="1" applyAlignment="1">
      <alignment horizontal="left" vertical="center"/>
    </xf>
    <xf numFmtId="0" fontId="44" fillId="0" borderId="0" xfId="0" applyFont="1" applyFill="1" applyAlignment="1">
      <alignment horizontal="left" vertical="center"/>
    </xf>
    <xf numFmtId="0" fontId="44" fillId="0" borderId="0" xfId="0" applyFont="1" applyFill="1" applyAlignment="1">
      <alignment vertical="center"/>
    </xf>
    <xf numFmtId="0" fontId="8" fillId="0" borderId="73" xfId="0" applyFont="1" applyFill="1" applyBorder="1">
      <alignment vertical="center"/>
    </xf>
    <xf numFmtId="0" fontId="8" fillId="0" borderId="74" xfId="0" applyFont="1" applyFill="1" applyBorder="1">
      <alignment vertical="center"/>
    </xf>
    <xf numFmtId="0" fontId="39" fillId="0" borderId="74" xfId="0" applyFont="1" applyFill="1" applyBorder="1">
      <alignment vertical="center"/>
    </xf>
    <xf numFmtId="0" fontId="40" fillId="0" borderId="74" xfId="0" applyFont="1" applyFill="1" applyBorder="1">
      <alignment vertical="center"/>
    </xf>
    <xf numFmtId="0" fontId="45" fillId="0" borderId="60" xfId="0" applyFont="1" applyBorder="1">
      <alignment vertical="center"/>
    </xf>
    <xf numFmtId="0" fontId="0" fillId="0" borderId="71" xfId="0" applyBorder="1">
      <alignment vertical="center"/>
    </xf>
    <xf numFmtId="0" fontId="0" fillId="0" borderId="61" xfId="0" applyBorder="1">
      <alignment vertical="center"/>
    </xf>
    <xf numFmtId="0" fontId="45" fillId="0" borderId="62" xfId="0" applyFont="1" applyBorder="1">
      <alignment vertical="center"/>
    </xf>
    <xf numFmtId="0" fontId="45" fillId="0" borderId="64" xfId="0" applyFont="1" applyBorder="1">
      <alignment vertical="center"/>
    </xf>
    <xf numFmtId="0" fontId="39" fillId="0" borderId="0" xfId="0" applyNumberFormat="1" applyFont="1">
      <alignment vertical="center"/>
    </xf>
    <xf numFmtId="177" fontId="28" fillId="0" borderId="0" xfId="8" applyNumberFormat="1" applyFont="1" applyFill="1" applyBorder="1" applyAlignment="1">
      <alignment horizontal="left"/>
    </xf>
    <xf numFmtId="0" fontId="56" fillId="0" borderId="9" xfId="0" applyFont="1" applyBorder="1" applyAlignment="1">
      <alignment horizontal="center" vertical="center"/>
    </xf>
    <xf numFmtId="0" fontId="8" fillId="0" borderId="0" xfId="0" applyFont="1" applyAlignment="1">
      <alignment horizontal="center"/>
    </xf>
    <xf numFmtId="0" fontId="56" fillId="0" borderId="8" xfId="0" applyFont="1" applyBorder="1" applyAlignment="1">
      <alignment horizontal="center" vertical="center"/>
    </xf>
    <xf numFmtId="0" fontId="57" fillId="0" borderId="75" xfId="9" applyFont="1" applyFill="1" applyBorder="1" applyAlignment="1">
      <alignment horizontal="center"/>
    </xf>
    <xf numFmtId="178" fontId="23" fillId="0" borderId="49" xfId="0" applyNumberFormat="1" applyFont="1" applyBorder="1" applyAlignment="1">
      <alignment horizontal="center" vertical="center" wrapText="1"/>
    </xf>
    <xf numFmtId="178" fontId="23" fillId="0" borderId="51" xfId="0" applyNumberFormat="1" applyFont="1" applyBorder="1" applyAlignment="1">
      <alignment horizontal="center" vertical="center" wrapText="1"/>
    </xf>
    <xf numFmtId="178" fontId="23" fillId="0" borderId="52" xfId="0" applyNumberFormat="1" applyFont="1" applyBorder="1" applyAlignment="1">
      <alignment horizontal="center" vertical="center" wrapText="1"/>
    </xf>
    <xf numFmtId="178" fontId="23" fillId="0" borderId="53" xfId="0" applyNumberFormat="1" applyFont="1" applyBorder="1" applyAlignment="1">
      <alignment horizontal="center" vertical="center" wrapText="1"/>
    </xf>
    <xf numFmtId="0" fontId="18" fillId="0" borderId="46" xfId="1" applyFont="1" applyFill="1" applyBorder="1" applyAlignment="1">
      <alignment horizontal="center" vertical="center"/>
    </xf>
    <xf numFmtId="0" fontId="18" fillId="0" borderId="47" xfId="1" applyFont="1" applyFill="1" applyBorder="1" applyAlignment="1">
      <alignment horizontal="center" vertical="center"/>
    </xf>
    <xf numFmtId="0" fontId="18" fillId="0" borderId="48" xfId="1" applyFont="1" applyFill="1" applyBorder="1" applyAlignment="1">
      <alignment horizontal="center" vertical="center"/>
    </xf>
    <xf numFmtId="0" fontId="8" fillId="0" borderId="51" xfId="0" applyFont="1" applyFill="1" applyBorder="1" applyAlignment="1">
      <alignment horizontal="center" vertical="center"/>
    </xf>
    <xf numFmtId="0" fontId="8" fillId="0" borderId="52" xfId="0" applyFont="1" applyFill="1" applyBorder="1" applyAlignment="1">
      <alignment horizontal="center" vertical="center"/>
    </xf>
    <xf numFmtId="0" fontId="23" fillId="0" borderId="51" xfId="0" applyNumberFormat="1" applyFont="1" applyBorder="1" applyAlignment="1">
      <alignment horizontal="center" vertical="center" wrapText="1"/>
    </xf>
    <xf numFmtId="0" fontId="23" fillId="0" borderId="52" xfId="0" applyNumberFormat="1" applyFont="1" applyBorder="1" applyAlignment="1">
      <alignment horizontal="center" vertical="center" wrapText="1"/>
    </xf>
    <xf numFmtId="0" fontId="23" fillId="0" borderId="53" xfId="0" applyNumberFormat="1" applyFont="1" applyBorder="1" applyAlignment="1">
      <alignment horizontal="center" vertical="center" wrapText="1"/>
    </xf>
    <xf numFmtId="0" fontId="23" fillId="0" borderId="54" xfId="0" applyNumberFormat="1" applyFont="1" applyBorder="1" applyAlignment="1">
      <alignment horizontal="center" vertical="center" wrapText="1"/>
    </xf>
    <xf numFmtId="0" fontId="23" fillId="0" borderId="55" xfId="0" applyNumberFormat="1" applyFont="1" applyBorder="1" applyAlignment="1">
      <alignment horizontal="center" vertical="center" wrapText="1"/>
    </xf>
    <xf numFmtId="0" fontId="23" fillId="0" borderId="56" xfId="0" applyNumberFormat="1" applyFont="1" applyBorder="1" applyAlignment="1">
      <alignment horizontal="center" vertical="center" wrapText="1"/>
    </xf>
    <xf numFmtId="0" fontId="23" fillId="0" borderId="58" xfId="0" applyNumberFormat="1" applyFont="1" applyBorder="1" applyAlignment="1">
      <alignment horizontal="center" vertical="center"/>
    </xf>
    <xf numFmtId="0" fontId="23" fillId="0" borderId="67" xfId="0" applyNumberFormat="1" applyFont="1" applyBorder="1" applyAlignment="1">
      <alignment horizontal="center" vertical="center"/>
    </xf>
    <xf numFmtId="0" fontId="23" fillId="0" borderId="51" xfId="0" applyNumberFormat="1" applyFont="1" applyBorder="1" applyAlignment="1">
      <alignment horizontal="center" vertical="center"/>
    </xf>
    <xf numFmtId="0" fontId="23" fillId="0" borderId="53" xfId="0" applyNumberFormat="1" applyFont="1" applyBorder="1" applyAlignment="1">
      <alignment horizontal="center" vertical="center"/>
    </xf>
    <xf numFmtId="0" fontId="18" fillId="0" borderId="57" xfId="1" applyNumberFormat="1" applyFont="1" applyFill="1" applyBorder="1" applyAlignment="1">
      <alignment horizontal="center" vertical="center"/>
    </xf>
    <xf numFmtId="0" fontId="18" fillId="0" borderId="66" xfId="1" applyNumberFormat="1" applyFont="1" applyFill="1" applyBorder="1" applyAlignment="1">
      <alignment horizontal="center" vertical="center"/>
    </xf>
    <xf numFmtId="0" fontId="23" fillId="0" borderId="50" xfId="0" applyNumberFormat="1" applyFont="1" applyBorder="1" applyAlignment="1">
      <alignment horizontal="center" vertical="center" wrapText="1"/>
    </xf>
    <xf numFmtId="0" fontId="18" fillId="0" borderId="57" xfId="1" applyNumberFormat="1" applyFont="1" applyFill="1" applyBorder="1" applyAlignment="1">
      <alignment horizontal="center" vertical="center" wrapText="1"/>
    </xf>
    <xf numFmtId="0" fontId="18" fillId="0" borderId="66" xfId="1" applyNumberFormat="1" applyFont="1" applyFill="1" applyBorder="1" applyAlignment="1">
      <alignment horizontal="center" vertical="center" wrapText="1"/>
    </xf>
    <xf numFmtId="0" fontId="23" fillId="0" borderId="58" xfId="0" applyNumberFormat="1" applyFont="1" applyBorder="1" applyAlignment="1">
      <alignment horizontal="center" vertical="center" wrapText="1"/>
    </xf>
    <xf numFmtId="0" fontId="23" fillId="0" borderId="67" xfId="0" applyNumberFormat="1" applyFont="1" applyBorder="1" applyAlignment="1">
      <alignment horizontal="center" vertical="center" wrapText="1"/>
    </xf>
    <xf numFmtId="0" fontId="48" fillId="0" borderId="59" xfId="0" applyFont="1" applyBorder="1" applyAlignment="1">
      <alignment horizontal="center" vertical="center" wrapText="1"/>
    </xf>
    <xf numFmtId="0" fontId="47" fillId="0" borderId="59" xfId="0" applyFont="1" applyBorder="1" applyAlignment="1">
      <alignment horizontal="center" vertical="center" wrapText="1"/>
    </xf>
    <xf numFmtId="0" fontId="49" fillId="0" borderId="0" xfId="0" applyFont="1" applyBorder="1" applyAlignment="1">
      <alignment horizontal="center" vertical="center" wrapText="1"/>
    </xf>
    <xf numFmtId="0" fontId="39" fillId="0" borderId="60" xfId="0" applyFont="1" applyBorder="1" applyAlignment="1">
      <alignment horizontal="center" vertical="center"/>
    </xf>
    <xf numFmtId="0" fontId="39" fillId="0" borderId="61" xfId="0" applyFont="1" applyBorder="1" applyAlignment="1">
      <alignment horizontal="center" vertical="center"/>
    </xf>
    <xf numFmtId="0" fontId="39" fillId="0" borderId="62" xfId="0" applyFont="1" applyBorder="1" applyAlignment="1">
      <alignment horizontal="center" vertical="center" wrapText="1"/>
    </xf>
    <xf numFmtId="0" fontId="39" fillId="0" borderId="63" xfId="0" applyFont="1" applyBorder="1" applyAlignment="1">
      <alignment horizontal="center" vertical="center" wrapText="1"/>
    </xf>
    <xf numFmtId="0" fontId="39" fillId="0" borderId="0" xfId="0" applyFont="1" applyAlignment="1">
      <alignment horizontal="center" vertical="center"/>
    </xf>
  </cellXfs>
  <cellStyles count="11">
    <cellStyle name="20% - 강조색1" xfId="2" builtinId="30"/>
    <cellStyle name="백분율" xfId="10" builtinId="5"/>
    <cellStyle name="설명 텍스트" xfId="8" builtinId="53"/>
    <cellStyle name="요약" xfId="7" builtinId="25" customBuiltin="1"/>
    <cellStyle name="제목" xfId="3" builtinId="15" customBuiltin="1"/>
    <cellStyle name="제목 1" xfId="1" builtinId="16" customBuiltin="1"/>
    <cellStyle name="제목 2" xfId="4" builtinId="17" customBuiltin="1"/>
    <cellStyle name="제목 3" xfId="5" builtinId="18" customBuiltin="1"/>
    <cellStyle name="제목 4" xfId="6" builtinId="19" customBuiltin="1"/>
    <cellStyle name="표준" xfId="0" builtinId="0" customBuiltin="1"/>
    <cellStyle name="하이퍼링크" xfId="9" builtinId="8"/>
  </cellStyles>
  <dxfs count="207">
    <dxf>
      <font>
        <strike val="0"/>
        <outline val="0"/>
        <shadow val="0"/>
        <u val="none"/>
        <vertAlign val="baseline"/>
        <sz val="12"/>
        <color theme="3" tint="0.499984740745262"/>
        <name val="Malgun gothic"/>
        <family val="3"/>
        <charset val="129"/>
        <scheme val="none"/>
      </font>
    </dxf>
    <dxf>
      <font>
        <strike val="0"/>
        <outline val="0"/>
        <shadow val="0"/>
        <u val="none"/>
        <vertAlign val="baseline"/>
        <sz val="12"/>
        <color theme="1" tint="0.34998626667073579"/>
        <name val="Malgun gothic"/>
        <family val="3"/>
        <charset val="129"/>
        <scheme val="none"/>
      </font>
      <numFmt numFmtId="176" formatCode="_-[$₩-412]* #,##0_-;\-[$₩-412]* #,##0_-;_-[$₩-412]* &quot;-&quot;??_-;_-@_-"/>
      <alignment horizontal="general" vertical="center" textRotation="0" wrapText="1" indent="0" justifyLastLine="0" shrinkToFit="0" readingOrder="0"/>
      <border diagonalUp="0" diagonalDown="0" outline="0">
        <left/>
        <right/>
        <top style="thin">
          <color theme="0" tint="-0.14996795556505021"/>
        </top>
        <bottom style="thin">
          <color theme="0" tint="-0.149967955565050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0.34998626667073579"/>
        <name val="Malgun gothic"/>
        <family val="3"/>
        <charset val="129"/>
        <scheme val="none"/>
      </font>
      <numFmt numFmtId="183" formatCode="0.00\ &quot;G/초*칸&quot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0" tint="-0.14996795556505021"/>
        </top>
        <bottom style="thin">
          <color theme="0" tint="-0.14996795556505021"/>
        </bottom>
        <vertical/>
        <horizontal/>
      </border>
    </dxf>
    <dxf>
      <font>
        <strike val="0"/>
        <outline val="0"/>
        <shadow val="0"/>
        <u val="none"/>
        <vertAlign val="baseline"/>
        <sz val="12"/>
        <color theme="1" tint="0.34998626667073579"/>
        <name val="Malgun gothic"/>
        <family val="3"/>
        <charset val="129"/>
        <scheme val="none"/>
      </font>
      <numFmt numFmtId="183" formatCode="0.00\ &quot;G/초*칸&quot;"/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0" tint="-0.14996795556505021"/>
        </top>
        <bottom style="thin">
          <color theme="0" tint="-0.14996795556505021"/>
        </bottom>
        <vertical/>
        <horizontal style="thin">
          <color theme="0" tint="-0.1499679555650502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0.34998626667073579"/>
        <name val="Malgun gothic"/>
        <family val="3"/>
        <charset val="129"/>
        <scheme val="none"/>
      </font>
      <numFmt numFmtId="187" formatCode="0.00&quot;초&quot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0" tint="-0.14996795556505021"/>
        </top>
        <bottom style="thin">
          <color theme="0" tint="-0.149967955565050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0.34998626667073579"/>
        <name val="Malgun gothic"/>
        <family val="3"/>
        <charset val="129"/>
        <scheme val="none"/>
      </font>
      <numFmt numFmtId="14" formatCode="0.00%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0" tint="-0.14996795556505021"/>
        </top>
        <bottom style="thin">
          <color theme="0" tint="-0.14996795556505021"/>
        </bottom>
        <vertical/>
        <horizontal style="thin">
          <color theme="0" tint="-0.14996795556505021"/>
        </horizontal>
      </border>
    </dxf>
    <dxf>
      <font>
        <strike val="0"/>
        <outline val="0"/>
        <shadow val="0"/>
        <u val="none"/>
        <vertAlign val="baseline"/>
        <sz val="12"/>
        <color theme="1" tint="0.34998626667073579"/>
        <name val="Malgun gothic"/>
        <family val="3"/>
        <charset val="129"/>
        <scheme val="none"/>
      </font>
      <numFmt numFmtId="184" formatCode="0.0\ &quot;G/초&quot;"/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0" tint="-0.14996795556505021"/>
        </top>
        <bottom style="thin">
          <color theme="0" tint="-0.14996795556505021"/>
        </bottom>
      </border>
    </dxf>
    <dxf>
      <font>
        <strike val="0"/>
        <outline val="0"/>
        <shadow val="0"/>
        <u val="none"/>
        <vertAlign val="baseline"/>
        <sz val="12"/>
        <color theme="1" tint="0.34998626667073579"/>
        <name val="Malgun gothic"/>
        <family val="3"/>
        <charset val="129"/>
        <scheme val="none"/>
      </font>
      <numFmt numFmtId="182" formatCode="0\ &quot;칸 &quot;"/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0" tint="-0.14996795556505021"/>
        </top>
        <bottom style="thin">
          <color theme="0" tint="-0.14996795556505021"/>
        </bottom>
      </border>
    </dxf>
    <dxf>
      <font>
        <strike val="0"/>
        <outline val="0"/>
        <shadow val="0"/>
        <u val="none"/>
        <vertAlign val="baseline"/>
        <sz val="12"/>
        <color theme="1" tint="0.34998626667073579"/>
        <name val="Malgun gothic"/>
        <family val="3"/>
        <charset val="129"/>
        <scheme val="none"/>
      </font>
      <numFmt numFmtId="180" formatCode="0\ &quot;G&quot;"/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0" tint="-0.14996795556505021"/>
        </top>
        <bottom style="thin">
          <color theme="0" tint="-0.14996795556505021"/>
        </bottom>
      </border>
    </dxf>
    <dxf>
      <font>
        <strike val="0"/>
        <outline val="0"/>
        <shadow val="0"/>
        <u val="none"/>
        <vertAlign val="baseline"/>
        <sz val="12"/>
        <color theme="1" tint="0.34998626667073579"/>
        <name val="Malgun gothic"/>
        <family val="3"/>
        <charset val="129"/>
        <scheme val="none"/>
      </font>
      <numFmt numFmtId="176" formatCode="_-[$₩-412]* #,##0_-;\-[$₩-412]* #,##0_-;_-[$₩-412]* &quot;-&quot;??_-;_-@_-"/>
      <alignment horizontal="center" vertical="center" textRotation="0" wrapText="1" indent="0" justifyLastLine="0" shrinkToFit="0" readingOrder="0"/>
      <border diagonalUp="0" diagonalDown="0" outline="0">
        <left/>
        <right/>
        <top style="thin">
          <color theme="0" tint="-0.14996795556505021"/>
        </top>
        <bottom style="thin">
          <color theme="0" tint="-0.14996795556505021"/>
        </bottom>
      </border>
    </dxf>
    <dxf>
      <font>
        <strike val="0"/>
        <outline val="0"/>
        <shadow val="0"/>
        <u val="none"/>
        <vertAlign val="baseline"/>
        <sz val="12"/>
        <color theme="1" tint="0.34998626667073579"/>
        <name val="Malgun gothic"/>
        <family val="3"/>
        <charset val="129"/>
        <scheme val="none"/>
      </font>
      <numFmt numFmtId="176" formatCode="_-[$₩-412]* #,##0_-;\-[$₩-412]* #,##0_-;_-[$₩-412]* &quot;-&quot;??_-;_-@_-"/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0" tint="-0.14996795556505021"/>
        </top>
        <bottom style="thin">
          <color theme="0" tint="-0.14996795556505021"/>
        </bottom>
      </border>
    </dxf>
    <dxf>
      <font>
        <strike val="0"/>
        <outline val="0"/>
        <shadow val="0"/>
        <u val="none"/>
        <vertAlign val="baseline"/>
        <sz val="12"/>
        <color theme="1" tint="0.34998626667073579"/>
        <name val="Malgun gothic"/>
        <family val="3"/>
        <charset val="129"/>
        <scheme val="none"/>
      </font>
      <numFmt numFmtId="176" formatCode="_-[$₩-412]* #,##0_-;\-[$₩-412]* #,##0_-;_-[$₩-412]* &quot;-&quot;??_-;_-@_-"/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0" tint="-0.14996795556505021"/>
        </top>
        <bottom style="thin">
          <color theme="0" tint="-0.14996795556505021"/>
        </bottom>
        <vertical/>
        <horizontal style="thin">
          <color theme="0" tint="-0.1499679555650502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0.34998626667073579"/>
        <name val="Malgun gothic"/>
        <family val="3"/>
        <charset val="129"/>
        <scheme val="none"/>
      </font>
      <numFmt numFmtId="178" formatCode="0_);[Red]\(0\)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/>
        <bottom style="thin">
          <color theme="0" tint="-0.14996795556505021"/>
        </bottom>
        <vertical/>
        <horizontal/>
      </border>
    </dxf>
    <dxf>
      <font>
        <strike val="0"/>
        <outline val="0"/>
        <shadow val="0"/>
        <u val="none"/>
        <vertAlign val="baseline"/>
        <sz val="12"/>
        <color theme="1" tint="0.34998626667073579"/>
        <name val="Malgun gothic"/>
        <family val="3"/>
        <charset val="129"/>
        <scheme val="none"/>
      </font>
      <numFmt numFmtId="176" formatCode="_-[$₩-412]* #,##0_-;\-[$₩-412]* #,##0_-;_-[$₩-412]* &quot;-&quot;??_-;_-@_-"/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0" tint="-0.14996795556505021"/>
        </top>
        <bottom style="thin">
          <color theme="0" tint="-0.14996795556505021"/>
        </bottom>
        <vertical/>
        <horizontal style="thin">
          <color theme="0" tint="-0.14996795556505021"/>
        </horizontal>
      </border>
    </dxf>
    <dxf>
      <font>
        <strike val="0"/>
        <outline val="0"/>
        <shadow val="0"/>
        <u val="none"/>
        <vertAlign val="baseline"/>
        <sz val="12"/>
        <color theme="1" tint="0.34998626667073579"/>
        <name val="Malgun gothic"/>
        <family val="3"/>
        <charset val="129"/>
        <scheme val="none"/>
      </font>
      <numFmt numFmtId="176" formatCode="_-[$₩-412]* #,##0_-;\-[$₩-412]* #,##0_-;_-[$₩-412]* &quot;-&quot;??_-;_-@_-"/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0" tint="-0.14996795556505021"/>
        </top>
        <bottom style="thin">
          <color theme="0" tint="-0.14996795556505021"/>
        </bottom>
        <vertical/>
        <horizontal style="thin">
          <color theme="0" tint="-0.14996795556505021"/>
        </horizontal>
      </border>
    </dxf>
    <dxf>
      <font>
        <strike val="0"/>
        <outline val="0"/>
        <shadow val="0"/>
        <u val="none"/>
        <vertAlign val="baseline"/>
        <sz val="12"/>
        <color theme="1" tint="0.34998626667073579"/>
        <name val="Malgun gothic"/>
        <family val="3"/>
        <charset val="129"/>
        <scheme val="none"/>
      </font>
      <numFmt numFmtId="181" formatCode="0\ &quot;초&quot;"/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0" tint="-0.14996795556505021"/>
        </top>
        <bottom style="thin">
          <color theme="0" tint="-0.14996795556505021"/>
        </bottom>
        <vertical/>
        <horizontal style="thin">
          <color theme="0" tint="-0.14996795556505021"/>
        </horizontal>
      </border>
    </dxf>
    <dxf>
      <font>
        <strike val="0"/>
        <outline val="0"/>
        <shadow val="0"/>
        <u val="none"/>
        <vertAlign val="baseline"/>
        <sz val="12"/>
        <color theme="1" tint="0.34998626667073579"/>
        <name val="Malgun gothic"/>
        <family val="3"/>
        <charset val="129"/>
        <scheme val="none"/>
      </font>
      <numFmt numFmtId="176" formatCode="_-[$₩-412]* #,##0_-;\-[$₩-412]* #,##0_-;_-[$₩-412]* &quot;-&quot;??_-;_-@_-"/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0" tint="-0.14996795556505021"/>
        </top>
        <bottom style="thin">
          <color theme="0" tint="-0.14996795556505021"/>
        </bottom>
        <vertical/>
        <horizontal style="thin">
          <color theme="0" tint="-0.14996795556505021"/>
        </horizontal>
      </border>
    </dxf>
    <dxf>
      <font>
        <strike val="0"/>
        <outline val="0"/>
        <shadow val="0"/>
        <u val="none"/>
        <vertAlign val="baseline"/>
        <sz val="9"/>
        <color theme="0" tint="-0.34998626667073579"/>
        <name val="Malgun gothic"/>
        <scheme val="none"/>
      </font>
      <numFmt numFmtId="176" formatCode="_-[$₩-412]* #,##0_-;\-[$₩-412]* #,##0_-;_-[$₩-412]* &quot;-&quot;??_-;_-@_-"/>
      <border diagonalUp="0" diagonalDown="0">
        <left/>
        <right/>
        <top style="thin">
          <color theme="0" tint="-0.14996795556505021"/>
        </top>
        <bottom style="thin">
          <color theme="0" tint="-0.14996795556505021"/>
        </bottom>
        <vertical/>
        <horizontal style="thin">
          <color theme="0" tint="-0.14996795556505021"/>
        </horizontal>
      </border>
    </dxf>
    <dxf>
      <font>
        <strike val="0"/>
        <outline val="0"/>
        <shadow val="0"/>
        <u val="none"/>
        <vertAlign val="baseline"/>
        <name val="Malgun gothic"/>
        <scheme val="none"/>
      </font>
    </dxf>
    <dxf>
      <font>
        <strike val="0"/>
        <outline val="0"/>
        <shadow val="0"/>
        <u val="none"/>
        <vertAlign val="baseline"/>
        <name val="Malgun gothic"/>
        <scheme val="none"/>
      </font>
    </dxf>
    <dxf>
      <font>
        <strike val="0"/>
        <outline val="0"/>
        <shadow val="0"/>
        <u val="none"/>
        <vertAlign val="baseline"/>
        <sz val="11"/>
        <color theme="1" tint="0.499984740745262"/>
        <name val="Malgun gothic"/>
        <family val="3"/>
        <charset val="129"/>
        <scheme val="none"/>
      </font>
      <alignment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 tint="0.34998626667073579"/>
        <name val="Malgun gothic"/>
        <family val="3"/>
        <charset val="129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 outline="0">
        <left/>
        <right/>
        <top style="thin">
          <color theme="0" tint="-0.14996795556505021"/>
        </top>
        <bottom style="thin">
          <color theme="0" tint="-0.14996795556505021"/>
        </bottom>
      </border>
    </dxf>
    <dxf>
      <font>
        <strike val="0"/>
        <outline val="0"/>
        <shadow val="0"/>
        <u val="none"/>
        <vertAlign val="baseline"/>
        <sz val="12"/>
        <color theme="1" tint="0.34998626667073579"/>
        <name val="Malgun gothic"/>
        <family val="3"/>
        <charset val="129"/>
        <scheme val="none"/>
      </font>
      <numFmt numFmtId="176" formatCode="_-[$₩-412]* #,##0_-;\-[$₩-412]* #,##0_-;_-[$₩-412]* &quot;-&quot;??_-;_-@_-"/>
      <alignment horizontal="general" vertical="center" textRotation="0" wrapText="1" indent="0" justifyLastLine="0" shrinkToFit="0" readingOrder="0"/>
      <border diagonalUp="0" diagonalDown="0" outline="0">
        <left/>
        <right/>
        <top style="thin">
          <color theme="0" tint="-0.14996795556505021"/>
        </top>
        <bottom style="thin">
          <color theme="0" tint="-0.149967955565050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0.34998626667073579"/>
        <name val="Malgun gothic"/>
        <family val="3"/>
        <charset val="129"/>
        <scheme val="none"/>
      </font>
      <numFmt numFmtId="185" formatCode="0.0\ &quot;명&quot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/>
        <bottom style="thin">
          <color theme="0" tint="-0.149967955565050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0.34998626667073579"/>
        <name val="Malgun gothic"/>
        <family val="3"/>
        <charset val="129"/>
        <scheme val="none"/>
      </font>
      <numFmt numFmtId="185" formatCode="0.0\ &quot;명&quot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0" tint="-0.14996795556505021"/>
        </top>
        <bottom style="thin">
          <color theme="0" tint="-0.149967955565050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0.34998626667073579"/>
        <name val="Malgun gothic"/>
        <family val="3"/>
        <charset val="129"/>
        <scheme val="none"/>
      </font>
      <numFmt numFmtId="186" formatCode="0.00\ &quot;G&quot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/>
        <bottom style="thin">
          <color theme="0" tint="-0.149967955565050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0.34998626667073579"/>
        <name val="Malgun gothic"/>
        <family val="3"/>
        <charset val="129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/>
        <bottom style="thin">
          <color theme="0" tint="-0.14996795556505021"/>
        </bottom>
        <vertical/>
        <horizontal/>
      </border>
    </dxf>
    <dxf>
      <font>
        <strike val="0"/>
        <outline val="0"/>
        <shadow val="0"/>
        <u val="none"/>
        <vertAlign val="baseline"/>
        <sz val="12"/>
        <color theme="1" tint="0.34998626667073579"/>
        <name val="Malgun gothic"/>
        <family val="3"/>
        <charset val="129"/>
        <scheme val="none"/>
      </font>
      <numFmt numFmtId="183" formatCode="0.00\ &quot;G/초*칸&quot;"/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0" tint="-0.14996795556505021"/>
        </top>
        <bottom style="thin">
          <color theme="0" tint="-0.14996795556505021"/>
        </bottom>
        <vertical/>
        <horizontal style="thin">
          <color theme="0" tint="-0.1499679555650502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0.34998626667073579"/>
        <name val="Malgun gothic"/>
        <family val="3"/>
        <charset val="129"/>
        <scheme val="none"/>
      </font>
      <numFmt numFmtId="187" formatCode="0.00&quot;초&quot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0" tint="-0.14996795556505021"/>
        </top>
        <bottom style="thin">
          <color theme="0" tint="-0.149967955565050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0.34998626667073579"/>
        <name val="Malgun gothic"/>
        <family val="3"/>
        <charset val="129"/>
        <scheme val="none"/>
      </font>
      <numFmt numFmtId="14" formatCode="0.00%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0" tint="-0.14996795556505021"/>
        </top>
        <bottom style="thin">
          <color theme="0" tint="-0.14996795556505021"/>
        </bottom>
        <vertical/>
        <horizontal style="thin">
          <color theme="0" tint="-0.14996795556505021"/>
        </horizontal>
      </border>
    </dxf>
    <dxf>
      <font>
        <strike val="0"/>
        <outline val="0"/>
        <shadow val="0"/>
        <u val="none"/>
        <vertAlign val="baseline"/>
        <sz val="12"/>
        <color theme="1" tint="0.34998626667073579"/>
        <name val="Malgun gothic"/>
        <family val="3"/>
        <charset val="129"/>
        <scheme val="none"/>
      </font>
      <numFmt numFmtId="184" formatCode="0.0\ &quot;G/초&quot;"/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0" tint="-0.14996795556505021"/>
        </top>
        <bottom style="thin">
          <color theme="0" tint="-0.14996795556505021"/>
        </bottom>
      </border>
    </dxf>
    <dxf>
      <font>
        <strike val="0"/>
        <outline val="0"/>
        <shadow val="0"/>
        <u val="none"/>
        <vertAlign val="baseline"/>
        <sz val="12"/>
        <color theme="1" tint="0.34998626667073579"/>
        <name val="Malgun gothic"/>
        <family val="3"/>
        <charset val="129"/>
        <scheme val="none"/>
      </font>
      <numFmt numFmtId="182" formatCode="0\ &quot;칸 &quot;"/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0" tint="-0.14996795556505021"/>
        </top>
        <bottom style="thin">
          <color theme="0" tint="-0.14996795556505021"/>
        </bottom>
      </border>
    </dxf>
    <dxf>
      <font>
        <strike val="0"/>
        <outline val="0"/>
        <shadow val="0"/>
        <u val="none"/>
        <vertAlign val="baseline"/>
        <sz val="12"/>
        <color theme="1" tint="0.34998626667073579"/>
        <name val="Malgun gothic"/>
        <family val="3"/>
        <charset val="129"/>
        <scheme val="none"/>
      </font>
      <numFmt numFmtId="176" formatCode="_-[$₩-412]* #,##0_-;\-[$₩-412]* #,##0_-;_-[$₩-412]* &quot;-&quot;??_-;_-@_-"/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0" tint="-0.14996795556505021"/>
        </top>
        <bottom style="thin">
          <color theme="0" tint="-0.14996795556505021"/>
        </bottom>
      </border>
    </dxf>
    <dxf>
      <font>
        <strike val="0"/>
        <outline val="0"/>
        <shadow val="0"/>
        <u val="none"/>
        <vertAlign val="baseline"/>
        <sz val="12"/>
        <color theme="1" tint="0.34998626667073579"/>
        <name val="Malgun gothic"/>
        <family val="3"/>
        <charset val="129"/>
        <scheme val="none"/>
      </font>
      <numFmt numFmtId="176" formatCode="_-[$₩-412]* #,##0_-;\-[$₩-412]* #,##0_-;_-[$₩-412]* &quot;-&quot;??_-;_-@_-"/>
      <alignment horizontal="center" vertical="center" textRotation="0" wrapText="1" indent="0" justifyLastLine="0" shrinkToFit="0" readingOrder="0"/>
      <border diagonalUp="0" diagonalDown="0" outline="0">
        <left/>
        <right/>
        <top style="thin">
          <color theme="0" tint="-0.14996795556505021"/>
        </top>
        <bottom style="thin">
          <color theme="0" tint="-0.14996795556505021"/>
        </bottom>
      </border>
    </dxf>
    <dxf>
      <font>
        <strike val="0"/>
        <outline val="0"/>
        <shadow val="0"/>
        <u val="none"/>
        <vertAlign val="baseline"/>
        <sz val="12"/>
        <color theme="1" tint="0.34998626667073579"/>
        <name val="Malgun gothic"/>
        <family val="3"/>
        <charset val="129"/>
        <scheme val="none"/>
      </font>
      <numFmt numFmtId="176" formatCode="_-[$₩-412]* #,##0_-;\-[$₩-412]* #,##0_-;_-[$₩-412]* &quot;-&quot;??_-;_-@_-"/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0" tint="-0.14996795556505021"/>
        </top>
        <bottom style="thin">
          <color theme="0" tint="-0.14996795556505021"/>
        </bottom>
      </border>
    </dxf>
    <dxf>
      <font>
        <strike val="0"/>
        <outline val="0"/>
        <shadow val="0"/>
        <u val="none"/>
        <vertAlign val="baseline"/>
        <sz val="12"/>
        <color theme="1" tint="0.34998626667073579"/>
        <name val="Malgun gothic"/>
        <family val="3"/>
        <charset val="129"/>
        <scheme val="none"/>
      </font>
      <numFmt numFmtId="0" formatCode="General"/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0" tint="-0.14996795556505021"/>
        </top>
        <bottom style="thin">
          <color theme="0" tint="-0.149967955565050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0.34998626667073579"/>
        <name val="Malgun gothic"/>
        <family val="3"/>
        <charset val="129"/>
        <scheme val="none"/>
      </font>
      <numFmt numFmtId="178" formatCode="0_);[Red]\(0\)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/>
        <bottom style="thin">
          <color theme="0" tint="-0.14996795556505021"/>
        </bottom>
        <vertical/>
        <horizontal/>
      </border>
    </dxf>
    <dxf>
      <font>
        <strike val="0"/>
        <outline val="0"/>
        <shadow val="0"/>
        <u val="none"/>
        <vertAlign val="baseline"/>
        <sz val="12"/>
        <color theme="1" tint="0.34998626667073579"/>
        <name val="Malgun gothic"/>
        <family val="3"/>
        <charset val="129"/>
        <scheme val="none"/>
      </font>
      <numFmt numFmtId="176" formatCode="_-[$₩-412]* #,##0_-;\-[$₩-412]* #,##0_-;_-[$₩-412]* &quot;-&quot;??_-;_-@_-"/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0" tint="-0.14996795556505021"/>
        </top>
        <bottom style="thin">
          <color theme="0" tint="-0.14996795556505021"/>
        </bottom>
        <vertical/>
        <horizontal style="thin">
          <color theme="0" tint="-0.14996795556505021"/>
        </horizontal>
      </border>
    </dxf>
    <dxf>
      <font>
        <strike val="0"/>
        <outline val="0"/>
        <shadow val="0"/>
        <u val="none"/>
        <vertAlign val="baseline"/>
        <sz val="12"/>
        <color theme="1" tint="0.34998626667073579"/>
        <name val="Malgun gothic"/>
        <family val="3"/>
        <charset val="129"/>
        <scheme val="none"/>
      </font>
      <numFmt numFmtId="176" formatCode="_-[$₩-412]* #,##0_-;\-[$₩-412]* #,##0_-;_-[$₩-412]* &quot;-&quot;??_-;_-@_-"/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0" tint="-0.14996795556505021"/>
        </top>
        <bottom style="thin">
          <color theme="0" tint="-0.14996795556505021"/>
        </bottom>
        <vertical/>
        <horizontal style="thin">
          <color theme="0" tint="-0.14996795556505021"/>
        </horizontal>
      </border>
    </dxf>
    <dxf>
      <font>
        <strike val="0"/>
        <outline val="0"/>
        <shadow val="0"/>
        <u val="none"/>
        <vertAlign val="baseline"/>
        <sz val="12"/>
        <color theme="1" tint="0.34998626667073579"/>
        <name val="Malgun gothic"/>
        <family val="3"/>
        <charset val="129"/>
        <scheme val="none"/>
      </font>
      <numFmt numFmtId="181" formatCode="0\ &quot;초&quot;"/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0" tint="-0.14996795556505021"/>
        </top>
        <bottom style="thin">
          <color theme="0" tint="-0.14996795556505021"/>
        </bottom>
        <vertical/>
        <horizontal style="thin">
          <color theme="0" tint="-0.14996795556505021"/>
        </horizontal>
      </border>
    </dxf>
    <dxf>
      <font>
        <strike val="0"/>
        <outline val="0"/>
        <shadow val="0"/>
        <u val="none"/>
        <vertAlign val="baseline"/>
        <sz val="12"/>
        <color theme="1" tint="0.34998626667073579"/>
        <name val="Malgun gothic"/>
        <family val="3"/>
        <charset val="129"/>
        <scheme val="none"/>
      </font>
      <numFmt numFmtId="176" formatCode="_-[$₩-412]* #,##0_-;\-[$₩-412]* #,##0_-;_-[$₩-412]* &quot;-&quot;??_-;_-@_-"/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0" tint="-0.14996795556505021"/>
        </top>
        <bottom style="thin">
          <color theme="0" tint="-0.14996795556505021"/>
        </bottom>
        <vertical/>
        <horizontal style="thin">
          <color theme="0" tint="-0.14996795556505021"/>
        </horizontal>
      </border>
    </dxf>
    <dxf>
      <font>
        <strike val="0"/>
        <outline val="0"/>
        <shadow val="0"/>
        <u val="none"/>
        <vertAlign val="baseline"/>
        <sz val="9"/>
        <color theme="0" tint="-0.34998626667073579"/>
        <name val="Malgun gothic"/>
        <scheme val="none"/>
      </font>
      <numFmt numFmtId="176" formatCode="_-[$₩-412]* #,##0_-;\-[$₩-412]* #,##0_-;_-[$₩-412]* &quot;-&quot;??_-;_-@_-"/>
      <border diagonalUp="0" diagonalDown="0">
        <left/>
        <right/>
        <top style="thin">
          <color theme="0" tint="-0.14996795556505021"/>
        </top>
        <bottom style="thin">
          <color theme="0" tint="-0.14996795556505021"/>
        </bottom>
        <vertical/>
        <horizontal style="thin">
          <color theme="0" tint="-0.14996795556505021"/>
        </horizontal>
      </border>
    </dxf>
    <dxf>
      <font>
        <strike val="0"/>
        <outline val="0"/>
        <shadow val="0"/>
        <u val="none"/>
        <vertAlign val="baseline"/>
        <name val="Malgun gothic"/>
        <scheme val="none"/>
      </font>
    </dxf>
    <dxf>
      <font>
        <strike val="0"/>
        <outline val="0"/>
        <shadow val="0"/>
        <u val="none"/>
        <vertAlign val="baseline"/>
        <name val="Malgun gothic"/>
        <scheme val="none"/>
      </font>
    </dxf>
    <dxf>
      <font>
        <strike val="0"/>
        <outline val="0"/>
        <shadow val="0"/>
        <u val="none"/>
        <vertAlign val="baseline"/>
        <sz val="11"/>
        <color theme="1" tint="0.499984740745262"/>
        <name val="Malgun gothic"/>
        <family val="3"/>
        <charset val="129"/>
        <scheme val="none"/>
      </font>
      <alignment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 tint="0.34998626667073579"/>
        <name val="Malgun gothic"/>
        <family val="3"/>
        <charset val="129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 outline="0">
        <left/>
        <right/>
        <top style="thin">
          <color theme="0" tint="-0.14996795556505021"/>
        </top>
        <bottom style="thin">
          <color theme="0" tint="-0.14996795556505021"/>
        </bottom>
      </border>
    </dxf>
    <dxf>
      <font>
        <strike val="0"/>
        <outline val="0"/>
        <shadow val="0"/>
        <u val="none"/>
        <vertAlign val="baseline"/>
        <sz val="12"/>
        <color theme="1" tint="0.34998626667073579"/>
        <name val="Malgun gothic"/>
        <family val="3"/>
        <charset val="129"/>
        <scheme val="none"/>
      </font>
      <numFmt numFmtId="176" formatCode="_-[$₩-412]* #,##0_-;\-[$₩-412]* #,##0_-;_-[$₩-412]* &quot;-&quot;??_-;_-@_-"/>
      <alignment horizontal="general" vertical="center" textRotation="0" wrapText="1" indent="0" justifyLastLine="0" shrinkToFit="0" readingOrder="0"/>
      <border diagonalUp="0" diagonalDown="0" outline="0">
        <left/>
        <right/>
        <top style="thin">
          <color theme="0" tint="-0.14996795556505021"/>
        </top>
        <bottom style="thin">
          <color theme="0" tint="-0.149967955565050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0.34998626667073579"/>
        <name val="Malgun gothic"/>
        <family val="3"/>
        <charset val="129"/>
        <scheme val="none"/>
      </font>
      <numFmt numFmtId="185" formatCode="0.0\ &quot;명&quot;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/>
        <bottom style="thin">
          <color theme="0" tint="-0.149967955565050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0.34998626667073579"/>
        <name val="Malgun gothic"/>
        <family val="3"/>
        <charset val="129"/>
        <scheme val="none"/>
      </font>
      <numFmt numFmtId="185" formatCode="0.0\ &quot;명&quot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0" tint="-0.14996795556505021"/>
        </top>
        <bottom style="thin">
          <color theme="0" tint="-0.149967955565050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0.34998626667073579"/>
        <name val="Malgun gothic"/>
        <family val="3"/>
        <charset val="129"/>
        <scheme val="none"/>
      </font>
      <numFmt numFmtId="186" formatCode="0.00\ &quot;G&quot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/>
        <bottom style="thin">
          <color theme="0" tint="-0.149967955565050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0.34998626667073579"/>
        <name val="Malgun gothic"/>
        <family val="3"/>
        <charset val="129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/>
        <bottom style="thin">
          <color theme="0" tint="-0.14996795556505021"/>
        </bottom>
        <vertical/>
        <horizontal/>
      </border>
    </dxf>
    <dxf>
      <font>
        <strike val="0"/>
        <outline val="0"/>
        <shadow val="0"/>
        <u val="none"/>
        <vertAlign val="baseline"/>
        <sz val="12"/>
        <color theme="1" tint="0.34998626667073579"/>
        <name val="Malgun gothic"/>
        <family val="3"/>
        <charset val="129"/>
        <scheme val="none"/>
      </font>
      <numFmt numFmtId="183" formatCode="0.00\ &quot;G/초*칸&quot;"/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0" tint="-0.14996795556505021"/>
        </top>
        <bottom style="thin">
          <color theme="0" tint="-0.14996795556505021"/>
        </bottom>
        <vertical/>
        <horizontal style="thin">
          <color theme="0" tint="-0.1499679555650502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0.34998626667073579"/>
        <name val="Malgun gothic"/>
        <family val="3"/>
        <charset val="129"/>
        <scheme val="none"/>
      </font>
      <numFmt numFmtId="187" formatCode="0.00&quot;초&quot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0" tint="-0.14996795556505021"/>
        </top>
        <bottom style="thin">
          <color theme="0" tint="-0.149967955565050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0.34998626667073579"/>
        <name val="Malgun gothic"/>
        <family val="3"/>
        <charset val="129"/>
        <scheme val="none"/>
      </font>
      <numFmt numFmtId="14" formatCode="0.00%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0" tint="-0.14996795556505021"/>
        </top>
        <bottom style="thin">
          <color theme="0" tint="-0.14996795556505021"/>
        </bottom>
        <vertical/>
        <horizontal style="thin">
          <color theme="0" tint="-0.14996795556505021"/>
        </horizontal>
      </border>
    </dxf>
    <dxf>
      <font>
        <strike val="0"/>
        <outline val="0"/>
        <shadow val="0"/>
        <u val="none"/>
        <vertAlign val="baseline"/>
        <sz val="12"/>
        <color theme="1" tint="0.34998626667073579"/>
        <name val="Malgun gothic"/>
        <family val="3"/>
        <charset val="129"/>
        <scheme val="none"/>
      </font>
      <numFmt numFmtId="184" formatCode="0.0\ &quot;G/초&quot;"/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0" tint="-0.14996795556505021"/>
        </top>
        <bottom style="thin">
          <color theme="0" tint="-0.14996795556505021"/>
        </bottom>
      </border>
    </dxf>
    <dxf>
      <font>
        <strike val="0"/>
        <outline val="0"/>
        <shadow val="0"/>
        <u val="none"/>
        <vertAlign val="baseline"/>
        <sz val="12"/>
        <color theme="1" tint="0.34998626667073579"/>
        <name val="Malgun gothic"/>
        <family val="3"/>
        <charset val="129"/>
        <scheme val="none"/>
      </font>
      <numFmt numFmtId="182" formatCode="0\ &quot;칸 &quot;"/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0" tint="-0.14996795556505021"/>
        </top>
        <bottom style="thin">
          <color theme="0" tint="-0.14996795556505021"/>
        </bottom>
      </border>
    </dxf>
    <dxf>
      <font>
        <strike val="0"/>
        <outline val="0"/>
        <shadow val="0"/>
        <u val="none"/>
        <vertAlign val="baseline"/>
        <sz val="12"/>
        <color theme="1" tint="0.34998626667073579"/>
        <name val="Malgun gothic"/>
        <family val="3"/>
        <charset val="129"/>
        <scheme val="none"/>
      </font>
      <numFmt numFmtId="176" formatCode="_-[$₩-412]* #,##0_-;\-[$₩-412]* #,##0_-;_-[$₩-412]* &quot;-&quot;??_-;_-@_-"/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0" tint="-0.14996795556505021"/>
        </top>
        <bottom style="thin">
          <color theme="0" tint="-0.14996795556505021"/>
        </bottom>
      </border>
    </dxf>
    <dxf>
      <font>
        <strike val="0"/>
        <outline val="0"/>
        <shadow val="0"/>
        <u val="none"/>
        <vertAlign val="baseline"/>
        <sz val="12"/>
        <color theme="1" tint="0.34998626667073579"/>
        <name val="Malgun gothic"/>
        <family val="3"/>
        <charset val="129"/>
        <scheme val="none"/>
      </font>
      <numFmt numFmtId="176" formatCode="_-[$₩-412]* #,##0_-;\-[$₩-412]* #,##0_-;_-[$₩-412]* &quot;-&quot;??_-;_-@_-"/>
      <alignment horizontal="center" vertical="top" textRotation="0" wrapText="1" indent="0" justifyLastLine="0" shrinkToFit="0" readingOrder="0"/>
      <border diagonalUp="0" diagonalDown="0" outline="0">
        <left/>
        <right/>
        <top style="thin">
          <color theme="0" tint="-0.14996795556505021"/>
        </top>
        <bottom style="thin">
          <color theme="0" tint="-0.14996795556505021"/>
        </bottom>
      </border>
    </dxf>
    <dxf>
      <font>
        <strike val="0"/>
        <outline val="0"/>
        <shadow val="0"/>
        <u val="none"/>
        <vertAlign val="baseline"/>
        <sz val="12"/>
        <color theme="1" tint="0.34998626667073579"/>
        <name val="Malgun gothic"/>
        <family val="3"/>
        <charset val="129"/>
        <scheme val="none"/>
      </font>
      <numFmt numFmtId="176" formatCode="_-[$₩-412]* #,##0_-;\-[$₩-412]* #,##0_-;_-[$₩-412]* &quot;-&quot;??_-;_-@_-"/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0" tint="-0.14996795556505021"/>
        </top>
        <bottom style="thin">
          <color theme="0" tint="-0.14996795556505021"/>
        </bottom>
      </border>
    </dxf>
    <dxf>
      <font>
        <strike val="0"/>
        <outline val="0"/>
        <shadow val="0"/>
        <u val="none"/>
        <vertAlign val="baseline"/>
        <sz val="12"/>
        <color theme="1" tint="0.34998626667073579"/>
        <name val="Malgun gothic"/>
        <family val="3"/>
        <charset val="129"/>
        <scheme val="none"/>
      </font>
      <numFmt numFmtId="0" formatCode="General"/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0" tint="-0.14996795556505021"/>
        </top>
        <bottom style="thin">
          <color theme="0" tint="-0.149967955565050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0.34998626667073579"/>
        <name val="Malgun gothic"/>
        <family val="3"/>
        <charset val="129"/>
        <scheme val="none"/>
      </font>
      <numFmt numFmtId="178" formatCode="0_);[Red]\(0\)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/>
        <bottom style="thin">
          <color theme="0" tint="-0.14996795556505021"/>
        </bottom>
        <vertical/>
        <horizontal/>
      </border>
    </dxf>
    <dxf>
      <font>
        <strike val="0"/>
        <outline val="0"/>
        <shadow val="0"/>
        <u val="none"/>
        <vertAlign val="baseline"/>
        <sz val="12"/>
        <color theme="1" tint="0.34998626667073579"/>
        <name val="Malgun gothic"/>
        <family val="3"/>
        <charset val="129"/>
        <scheme val="none"/>
      </font>
      <numFmt numFmtId="176" formatCode="_-[$₩-412]* #,##0_-;\-[$₩-412]* #,##0_-;_-[$₩-412]* &quot;-&quot;??_-;_-@_-"/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0" tint="-0.14996795556505021"/>
        </top>
        <bottom style="thin">
          <color theme="0" tint="-0.14996795556505021"/>
        </bottom>
        <vertical/>
        <horizontal style="thin">
          <color theme="0" tint="-0.14996795556505021"/>
        </horizontal>
      </border>
    </dxf>
    <dxf>
      <font>
        <strike val="0"/>
        <outline val="0"/>
        <shadow val="0"/>
        <u val="none"/>
        <vertAlign val="baseline"/>
        <sz val="12"/>
        <color theme="1" tint="0.34998626667073579"/>
        <name val="Malgun gothic"/>
        <family val="3"/>
        <charset val="129"/>
        <scheme val="none"/>
      </font>
      <numFmt numFmtId="176" formatCode="_-[$₩-412]* #,##0_-;\-[$₩-412]* #,##0_-;_-[$₩-412]* &quot;-&quot;??_-;_-@_-"/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0" tint="-0.14996795556505021"/>
        </top>
        <bottom style="thin">
          <color theme="0" tint="-0.14996795556505021"/>
        </bottom>
        <vertical/>
        <horizontal style="thin">
          <color theme="0" tint="-0.14996795556505021"/>
        </horizontal>
      </border>
    </dxf>
    <dxf>
      <font>
        <strike val="0"/>
        <outline val="0"/>
        <shadow val="0"/>
        <u val="none"/>
        <vertAlign val="baseline"/>
        <sz val="12"/>
        <color theme="1" tint="0.34998626667073579"/>
        <name val="Malgun gothic"/>
        <family val="3"/>
        <charset val="129"/>
        <scheme val="none"/>
      </font>
      <numFmt numFmtId="181" formatCode="0\ &quot;초&quot;"/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0" tint="-0.14996795556505021"/>
        </top>
        <bottom style="thin">
          <color theme="0" tint="-0.14996795556505021"/>
        </bottom>
        <vertical/>
        <horizontal style="thin">
          <color theme="0" tint="-0.14996795556505021"/>
        </horizontal>
      </border>
    </dxf>
    <dxf>
      <font>
        <strike val="0"/>
        <outline val="0"/>
        <shadow val="0"/>
        <u val="none"/>
        <vertAlign val="baseline"/>
        <sz val="12"/>
        <color theme="1" tint="0.34998626667073579"/>
        <name val="Malgun gothic"/>
        <family val="3"/>
        <charset val="129"/>
        <scheme val="none"/>
      </font>
      <numFmt numFmtId="176" formatCode="_-[$₩-412]* #,##0_-;\-[$₩-412]* #,##0_-;_-[$₩-412]* &quot;-&quot;??_-;_-@_-"/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0" tint="-0.14996795556505021"/>
        </top>
        <bottom style="thin">
          <color theme="0" tint="-0.14996795556505021"/>
        </bottom>
        <vertical/>
        <horizontal style="thin">
          <color theme="0" tint="-0.14996795556505021"/>
        </horizontal>
      </border>
    </dxf>
    <dxf>
      <font>
        <strike val="0"/>
        <outline val="0"/>
        <shadow val="0"/>
        <u val="none"/>
        <vertAlign val="baseline"/>
        <sz val="9"/>
        <color theme="0" tint="-0.34998626667073579"/>
        <name val="Malgun gothic"/>
        <scheme val="none"/>
      </font>
      <numFmt numFmtId="176" formatCode="_-[$₩-412]* #,##0_-;\-[$₩-412]* #,##0_-;_-[$₩-412]* &quot;-&quot;??_-;_-@_-"/>
      <border diagonalUp="0" diagonalDown="0">
        <left/>
        <right/>
        <top style="thin">
          <color theme="0" tint="-0.14996795556505021"/>
        </top>
        <bottom style="thin">
          <color theme="0" tint="-0.14996795556505021"/>
        </bottom>
        <vertical/>
        <horizontal style="thin">
          <color theme="0" tint="-0.14996795556505021"/>
        </horizontal>
      </border>
    </dxf>
    <dxf>
      <font>
        <strike val="0"/>
        <outline val="0"/>
        <shadow val="0"/>
        <u val="none"/>
        <vertAlign val="baseline"/>
        <name val="Malgun gothic"/>
        <scheme val="none"/>
      </font>
    </dxf>
    <dxf>
      <font>
        <strike val="0"/>
        <outline val="0"/>
        <shadow val="0"/>
        <u val="none"/>
        <vertAlign val="baseline"/>
        <name val="Malgun gothic"/>
        <scheme val="none"/>
      </font>
    </dxf>
    <dxf>
      <font>
        <strike val="0"/>
        <outline val="0"/>
        <shadow val="0"/>
        <u val="none"/>
        <vertAlign val="baseline"/>
        <sz val="11"/>
        <color theme="1" tint="0.499984740745262"/>
        <name val="Malgun gothic"/>
        <family val="3"/>
        <charset val="129"/>
        <scheme val="none"/>
      </font>
      <alignment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 tint="0.34998626667073579"/>
        <name val="Malgun gothic"/>
        <family val="3"/>
        <charset val="129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 outline="0">
        <left/>
        <right/>
        <top style="thin">
          <color theme="0" tint="-0.14996795556505021"/>
        </top>
        <bottom style="thin">
          <color theme="0" tint="-0.14996795556505021"/>
        </bottom>
      </border>
    </dxf>
    <dxf>
      <font>
        <strike val="0"/>
        <outline val="0"/>
        <shadow val="0"/>
        <u val="none"/>
        <vertAlign val="baseline"/>
        <sz val="12"/>
        <color theme="1" tint="0.34998626667073579"/>
        <name val="Malgun gothic"/>
        <family val="3"/>
        <charset val="129"/>
        <scheme val="none"/>
      </font>
      <numFmt numFmtId="176" formatCode="_-[$₩-412]* #,##0_-;\-[$₩-412]* #,##0_-;_-[$₩-412]* &quot;-&quot;??_-;_-@_-"/>
      <alignment horizontal="general" vertical="center" textRotation="0" wrapText="1" indent="0" justifyLastLine="0" shrinkToFit="0" readingOrder="0"/>
      <border diagonalUp="0" diagonalDown="0" outline="0">
        <left/>
        <right/>
        <top style="thin">
          <color theme="0" tint="-0.14996795556505021"/>
        </top>
        <bottom style="thin">
          <color theme="0" tint="-0.149967955565050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0.34998626667073579"/>
        <name val="Malgun gothic"/>
        <family val="3"/>
        <charset val="129"/>
        <scheme val="none"/>
      </font>
      <numFmt numFmtId="185" formatCode="0.0\ &quot;명&quot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/>
        <bottom style="thin">
          <color theme="0" tint="-0.149967955565050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0.34998626667073579"/>
        <name val="Malgun gothic"/>
        <family val="3"/>
        <charset val="129"/>
        <scheme val="none"/>
      </font>
      <numFmt numFmtId="185" formatCode="0.0\ &quot;명&quot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0" tint="-0.14996795556505021"/>
        </top>
        <bottom style="thin">
          <color theme="0" tint="-0.149967955565050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0.34998626667073579"/>
        <name val="Malgun gothic"/>
        <family val="3"/>
        <charset val="129"/>
        <scheme val="none"/>
      </font>
      <numFmt numFmtId="186" formatCode="0.00\ &quot;G&quot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/>
        <bottom style="thin">
          <color theme="0" tint="-0.149967955565050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0.34998626667073579"/>
        <name val="Malgun gothic"/>
        <family val="3"/>
        <charset val="129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/>
        <bottom style="thin">
          <color theme="0" tint="-0.14996795556505021"/>
        </bottom>
        <vertical/>
        <horizontal/>
      </border>
    </dxf>
    <dxf>
      <font>
        <strike val="0"/>
        <outline val="0"/>
        <shadow val="0"/>
        <u val="none"/>
        <vertAlign val="baseline"/>
        <sz val="12"/>
        <color theme="1" tint="0.34998626667073579"/>
        <name val="Malgun gothic"/>
        <family val="3"/>
        <charset val="129"/>
        <scheme val="none"/>
      </font>
      <numFmt numFmtId="183" formatCode="0.00\ &quot;G/초*칸&quot;"/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0" tint="-0.14996795556505021"/>
        </top>
        <bottom style="thin">
          <color theme="0" tint="-0.14996795556505021"/>
        </bottom>
        <vertical/>
        <horizontal style="thin">
          <color theme="0" tint="-0.1499679555650502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0.34998626667073579"/>
        <name val="Malgun gothic"/>
        <family val="3"/>
        <charset val="129"/>
        <scheme val="none"/>
      </font>
      <numFmt numFmtId="187" formatCode="0.00&quot;초&quot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0" tint="-0.14996795556505021"/>
        </top>
        <bottom style="thin">
          <color theme="0" tint="-0.149967955565050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0.34998626667073579"/>
        <name val="Malgun gothic"/>
        <family val="3"/>
        <charset val="129"/>
        <scheme val="none"/>
      </font>
      <numFmt numFmtId="14" formatCode="0.00%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0" tint="-0.14996795556505021"/>
        </top>
        <bottom style="thin">
          <color theme="0" tint="-0.14996795556505021"/>
        </bottom>
        <vertical/>
        <horizontal style="thin">
          <color theme="0" tint="-0.14996795556505021"/>
        </horizontal>
      </border>
    </dxf>
    <dxf>
      <font>
        <strike val="0"/>
        <outline val="0"/>
        <shadow val="0"/>
        <u val="none"/>
        <vertAlign val="baseline"/>
        <sz val="12"/>
        <color theme="1" tint="0.34998626667073579"/>
        <name val="Malgun gothic"/>
        <family val="3"/>
        <charset val="129"/>
        <scheme val="none"/>
      </font>
      <numFmt numFmtId="184" formatCode="0.0\ &quot;G/초&quot;"/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0" tint="-0.14996795556505021"/>
        </top>
        <bottom style="thin">
          <color theme="0" tint="-0.14996795556505021"/>
        </bottom>
      </border>
    </dxf>
    <dxf>
      <font>
        <strike val="0"/>
        <outline val="0"/>
        <shadow val="0"/>
        <u val="none"/>
        <vertAlign val="baseline"/>
        <sz val="12"/>
        <color theme="1" tint="0.34998626667073579"/>
        <name val="Malgun gothic"/>
        <family val="3"/>
        <charset val="129"/>
        <scheme val="none"/>
      </font>
      <numFmt numFmtId="182" formatCode="0\ &quot;칸 &quot;"/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0" tint="-0.14996795556505021"/>
        </top>
        <bottom style="thin">
          <color theme="0" tint="-0.14996795556505021"/>
        </bottom>
      </border>
    </dxf>
    <dxf>
      <font>
        <strike val="0"/>
        <outline val="0"/>
        <shadow val="0"/>
        <u val="none"/>
        <vertAlign val="baseline"/>
        <sz val="12"/>
        <color theme="1" tint="0.34998626667073579"/>
        <name val="Malgun gothic"/>
        <family val="3"/>
        <charset val="129"/>
        <scheme val="none"/>
      </font>
      <numFmt numFmtId="176" formatCode="_-[$₩-412]* #,##0_-;\-[$₩-412]* #,##0_-;_-[$₩-412]* &quot;-&quot;??_-;_-@_-"/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0" tint="-0.14996795556505021"/>
        </top>
        <bottom style="thin">
          <color theme="0" tint="-0.14996795556505021"/>
        </bottom>
      </border>
    </dxf>
    <dxf>
      <font>
        <strike val="0"/>
        <outline val="0"/>
        <shadow val="0"/>
        <u val="none"/>
        <vertAlign val="baseline"/>
        <sz val="12"/>
        <color theme="1" tint="0.34998626667073579"/>
        <name val="Malgun gothic"/>
        <family val="3"/>
        <charset val="129"/>
        <scheme val="none"/>
      </font>
      <numFmt numFmtId="176" formatCode="_-[$₩-412]* #,##0_-;\-[$₩-412]* #,##0_-;_-[$₩-412]* &quot;-&quot;??_-;_-@_-"/>
      <alignment horizontal="center" vertical="center" textRotation="0" wrapText="1" indent="0" justifyLastLine="0" shrinkToFit="0" readingOrder="0"/>
      <border diagonalUp="0" diagonalDown="0" outline="0">
        <left/>
        <right/>
        <top style="thin">
          <color theme="0" tint="-0.14996795556505021"/>
        </top>
        <bottom style="thin">
          <color theme="0" tint="-0.14996795556505021"/>
        </bottom>
      </border>
    </dxf>
    <dxf>
      <font>
        <strike val="0"/>
        <outline val="0"/>
        <shadow val="0"/>
        <u val="none"/>
        <vertAlign val="baseline"/>
        <sz val="12"/>
        <color theme="1" tint="0.34998626667073579"/>
        <name val="Malgun gothic"/>
        <family val="3"/>
        <charset val="129"/>
        <scheme val="none"/>
      </font>
      <numFmt numFmtId="176" formatCode="_-[$₩-412]* #,##0_-;\-[$₩-412]* #,##0_-;_-[$₩-412]* &quot;-&quot;??_-;_-@_-"/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0" tint="-0.14996795556505021"/>
        </top>
        <bottom style="thin">
          <color theme="0" tint="-0.14996795556505021"/>
        </bottom>
      </border>
    </dxf>
    <dxf>
      <font>
        <strike val="0"/>
        <outline val="0"/>
        <shadow val="0"/>
        <u val="none"/>
        <vertAlign val="baseline"/>
        <sz val="12"/>
        <color theme="1" tint="0.34998626667073579"/>
        <name val="Malgun gothic"/>
        <family val="3"/>
        <charset val="129"/>
        <scheme val="none"/>
      </font>
      <numFmt numFmtId="0" formatCode="General"/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0" tint="-0.14996795556505021"/>
        </top>
        <bottom style="thin">
          <color theme="0" tint="-0.149967955565050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0.34998626667073579"/>
        <name val="Malgun gothic"/>
        <family val="3"/>
        <charset val="129"/>
        <scheme val="none"/>
      </font>
      <numFmt numFmtId="178" formatCode="0_);[Red]\(0\)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/>
        <bottom style="thin">
          <color theme="0" tint="-0.14996795556505021"/>
        </bottom>
        <vertical/>
        <horizontal/>
      </border>
    </dxf>
    <dxf>
      <font>
        <strike val="0"/>
        <outline val="0"/>
        <shadow val="0"/>
        <u val="none"/>
        <vertAlign val="baseline"/>
        <sz val="12"/>
        <color theme="1" tint="0.34998626667073579"/>
        <name val="Malgun gothic"/>
        <family val="3"/>
        <charset val="129"/>
        <scheme val="none"/>
      </font>
      <numFmt numFmtId="176" formatCode="_-[$₩-412]* #,##0_-;\-[$₩-412]* #,##0_-;_-[$₩-412]* &quot;-&quot;??_-;_-@_-"/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0" tint="-0.14996795556505021"/>
        </top>
        <bottom style="thin">
          <color theme="0" tint="-0.14996795556505021"/>
        </bottom>
        <vertical/>
        <horizontal style="thin">
          <color theme="0" tint="-0.14996795556505021"/>
        </horizontal>
      </border>
    </dxf>
    <dxf>
      <font>
        <strike val="0"/>
        <outline val="0"/>
        <shadow val="0"/>
        <u val="none"/>
        <vertAlign val="baseline"/>
        <sz val="12"/>
        <color theme="1" tint="0.34998626667073579"/>
        <name val="Malgun gothic"/>
        <family val="3"/>
        <charset val="129"/>
        <scheme val="none"/>
      </font>
      <numFmt numFmtId="176" formatCode="_-[$₩-412]* #,##0_-;\-[$₩-412]* #,##0_-;_-[$₩-412]* &quot;-&quot;??_-;_-@_-"/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0" tint="-0.14996795556505021"/>
        </top>
        <bottom style="thin">
          <color theme="0" tint="-0.14996795556505021"/>
        </bottom>
        <vertical/>
        <horizontal style="thin">
          <color theme="0" tint="-0.14996795556505021"/>
        </horizontal>
      </border>
    </dxf>
    <dxf>
      <font>
        <strike val="0"/>
        <outline val="0"/>
        <shadow val="0"/>
        <u val="none"/>
        <vertAlign val="baseline"/>
        <sz val="12"/>
        <color theme="1" tint="0.34998626667073579"/>
        <name val="Malgun gothic"/>
        <family val="3"/>
        <charset val="129"/>
        <scheme val="none"/>
      </font>
      <numFmt numFmtId="181" formatCode="0\ &quot;초&quot;"/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0" tint="-0.14996795556505021"/>
        </top>
        <bottom style="thin">
          <color theme="0" tint="-0.14996795556505021"/>
        </bottom>
        <vertical/>
        <horizontal style="thin">
          <color theme="0" tint="-0.14996795556505021"/>
        </horizontal>
      </border>
    </dxf>
    <dxf>
      <font>
        <strike val="0"/>
        <outline val="0"/>
        <shadow val="0"/>
        <u val="none"/>
        <vertAlign val="baseline"/>
        <sz val="12"/>
        <color theme="1" tint="0.34998626667073579"/>
        <name val="Malgun gothic"/>
        <family val="3"/>
        <charset val="129"/>
        <scheme val="none"/>
      </font>
      <numFmt numFmtId="176" formatCode="_-[$₩-412]* #,##0_-;\-[$₩-412]* #,##0_-;_-[$₩-412]* &quot;-&quot;??_-;_-@_-"/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0" tint="-0.14996795556505021"/>
        </top>
        <bottom style="thin">
          <color theme="0" tint="-0.14996795556505021"/>
        </bottom>
        <vertical/>
        <horizontal style="thin">
          <color theme="0" tint="-0.14996795556505021"/>
        </horizontal>
      </border>
    </dxf>
    <dxf>
      <font>
        <strike val="0"/>
        <outline val="0"/>
        <shadow val="0"/>
        <u val="none"/>
        <vertAlign val="baseline"/>
        <sz val="9"/>
        <color theme="0" tint="-0.34998626667073579"/>
        <name val="Malgun gothic"/>
        <scheme val="none"/>
      </font>
      <numFmt numFmtId="176" formatCode="_-[$₩-412]* #,##0_-;\-[$₩-412]* #,##0_-;_-[$₩-412]* &quot;-&quot;??_-;_-@_-"/>
      <border diagonalUp="0" diagonalDown="0">
        <left/>
        <right/>
        <top style="thin">
          <color theme="0" tint="-0.14996795556505021"/>
        </top>
        <bottom style="thin">
          <color theme="0" tint="-0.14996795556505021"/>
        </bottom>
        <vertical/>
        <horizontal style="thin">
          <color theme="0" tint="-0.14996795556505021"/>
        </horizontal>
      </border>
    </dxf>
    <dxf>
      <font>
        <strike val="0"/>
        <outline val="0"/>
        <shadow val="0"/>
        <u val="none"/>
        <vertAlign val="baseline"/>
        <name val="Malgun gothic"/>
        <scheme val="none"/>
      </font>
    </dxf>
    <dxf>
      <font>
        <strike val="0"/>
        <outline val="0"/>
        <shadow val="0"/>
        <u val="none"/>
        <vertAlign val="baseline"/>
        <name val="Malgun gothic"/>
        <scheme val="none"/>
      </font>
    </dxf>
    <dxf>
      <font>
        <strike val="0"/>
        <outline val="0"/>
        <shadow val="0"/>
        <u val="none"/>
        <vertAlign val="baseline"/>
        <sz val="11"/>
        <color theme="1" tint="0.499984740745262"/>
        <name val="Malgun gothic"/>
        <family val="3"/>
        <charset val="129"/>
        <scheme val="none"/>
      </font>
      <alignment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 tint="0.34998626667073579"/>
        <name val="Malgun gothic"/>
        <family val="3"/>
        <charset val="129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 outline="0">
        <left/>
        <right/>
        <top style="thin">
          <color theme="0" tint="-0.14996795556505021"/>
        </top>
        <bottom style="thin">
          <color theme="0" tint="-0.14996795556505021"/>
        </bottom>
      </border>
    </dxf>
    <dxf>
      <font>
        <strike val="0"/>
        <outline val="0"/>
        <shadow val="0"/>
        <u val="none"/>
        <vertAlign val="baseline"/>
        <sz val="12"/>
        <color theme="1" tint="0.34998626667073579"/>
        <name val="Malgun gothic"/>
        <family val="3"/>
        <charset val="129"/>
        <scheme val="none"/>
      </font>
      <numFmt numFmtId="176" formatCode="_-[$₩-412]* #,##0_-;\-[$₩-412]* #,##0_-;_-[$₩-412]* &quot;-&quot;??_-;_-@_-"/>
      <alignment horizontal="general" vertical="center" textRotation="0" wrapText="1" indent="0" justifyLastLine="0" shrinkToFit="0" readingOrder="0"/>
      <border diagonalUp="0" diagonalDown="0" outline="0">
        <left/>
        <right/>
        <top style="thin">
          <color theme="0" tint="-0.14996795556505021"/>
        </top>
        <bottom style="thin">
          <color theme="0" tint="-0.149967955565050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0.34998626667073579"/>
        <name val="Malgun gothic"/>
        <family val="3"/>
        <charset val="129"/>
        <scheme val="none"/>
      </font>
      <numFmt numFmtId="185" formatCode="0.0\ &quot;명&quot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/>
        <bottom style="thin">
          <color theme="0" tint="-0.149967955565050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0.34998626667073579"/>
        <name val="Malgun gothic"/>
        <family val="3"/>
        <charset val="129"/>
        <scheme val="none"/>
      </font>
      <numFmt numFmtId="185" formatCode="0.0\ &quot;명&quot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0" tint="-0.14996795556505021"/>
        </top>
        <bottom style="thin">
          <color theme="0" tint="-0.149967955565050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0.34998626667073579"/>
        <name val="Malgun gothic"/>
        <family val="3"/>
        <charset val="129"/>
        <scheme val="none"/>
      </font>
      <numFmt numFmtId="186" formatCode="0.00\ &quot;G&quot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/>
        <bottom style="thin">
          <color theme="0" tint="-0.149967955565050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0.34998626667073579"/>
        <name val="Malgun gothic"/>
        <family val="3"/>
        <charset val="129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/>
        <bottom style="thin">
          <color theme="0" tint="-0.14996795556505021"/>
        </bottom>
        <vertical/>
        <horizontal/>
      </border>
    </dxf>
    <dxf>
      <font>
        <strike val="0"/>
        <outline val="0"/>
        <shadow val="0"/>
        <u val="none"/>
        <vertAlign val="baseline"/>
        <sz val="12"/>
        <color theme="1" tint="0.34998626667073579"/>
        <name val="Malgun gothic"/>
        <family val="3"/>
        <charset val="129"/>
        <scheme val="none"/>
      </font>
      <numFmt numFmtId="183" formatCode="0.00\ &quot;G/초*칸&quot;"/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0" tint="-0.14996795556505021"/>
        </top>
        <bottom style="thin">
          <color theme="0" tint="-0.14996795556505021"/>
        </bottom>
        <vertical/>
        <horizontal style="thin">
          <color theme="0" tint="-0.1499679555650502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0.34998626667073579"/>
        <name val="Malgun gothic"/>
        <family val="3"/>
        <charset val="129"/>
        <scheme val="none"/>
      </font>
      <numFmt numFmtId="187" formatCode="0.00&quot;초&quot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0" tint="-0.14996795556505021"/>
        </top>
        <bottom style="thin">
          <color theme="0" tint="-0.149967955565050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0.34998626667073579"/>
        <name val="Malgun gothic"/>
        <family val="3"/>
        <charset val="129"/>
        <scheme val="none"/>
      </font>
      <numFmt numFmtId="14" formatCode="0.00%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0" tint="-0.14996795556505021"/>
        </top>
        <bottom style="thin">
          <color theme="0" tint="-0.14996795556505021"/>
        </bottom>
        <vertical/>
        <horizontal style="thin">
          <color theme="0" tint="-0.14996795556505021"/>
        </horizontal>
      </border>
    </dxf>
    <dxf>
      <font>
        <strike val="0"/>
        <outline val="0"/>
        <shadow val="0"/>
        <u val="none"/>
        <vertAlign val="baseline"/>
        <sz val="12"/>
        <color theme="1" tint="0.34998626667073579"/>
        <name val="Malgun gothic"/>
        <family val="3"/>
        <charset val="129"/>
        <scheme val="none"/>
      </font>
      <numFmt numFmtId="184" formatCode="0.0\ &quot;G/초&quot;"/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0" tint="-0.14996795556505021"/>
        </top>
        <bottom style="thin">
          <color theme="0" tint="-0.14996795556505021"/>
        </bottom>
      </border>
    </dxf>
    <dxf>
      <font>
        <strike val="0"/>
        <outline val="0"/>
        <shadow val="0"/>
        <u val="none"/>
        <vertAlign val="baseline"/>
        <sz val="12"/>
        <color theme="1" tint="0.34998626667073579"/>
        <name val="Malgun gothic"/>
        <family val="3"/>
        <charset val="129"/>
        <scheme val="none"/>
      </font>
      <numFmt numFmtId="182" formatCode="0\ &quot;칸 &quot;"/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0" tint="-0.14996795556505021"/>
        </top>
        <bottom style="thin">
          <color theme="0" tint="-0.14996795556505021"/>
        </bottom>
      </border>
    </dxf>
    <dxf>
      <font>
        <strike val="0"/>
        <outline val="0"/>
        <shadow val="0"/>
        <u val="none"/>
        <vertAlign val="baseline"/>
        <sz val="12"/>
        <color theme="1" tint="0.34998626667073579"/>
        <name val="Malgun gothic"/>
        <family val="3"/>
        <charset val="129"/>
        <scheme val="none"/>
      </font>
      <numFmt numFmtId="176" formatCode="_-[$₩-412]* #,##0_-;\-[$₩-412]* #,##0_-;_-[$₩-412]* &quot;-&quot;??_-;_-@_-"/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0" tint="-0.14996795556505021"/>
        </top>
        <bottom style="thin">
          <color theme="0" tint="-0.14996795556505021"/>
        </bottom>
      </border>
    </dxf>
    <dxf>
      <font>
        <strike val="0"/>
        <outline val="0"/>
        <shadow val="0"/>
        <u val="none"/>
        <vertAlign val="baseline"/>
        <sz val="12"/>
        <color theme="1" tint="0.34998626667073579"/>
        <name val="Malgun gothic"/>
        <family val="3"/>
        <charset val="129"/>
        <scheme val="none"/>
      </font>
      <numFmt numFmtId="176" formatCode="_-[$₩-412]* #,##0_-;\-[$₩-412]* #,##0_-;_-[$₩-412]* &quot;-&quot;??_-;_-@_-"/>
      <alignment horizontal="center" vertical="top" textRotation="0" wrapText="1" indent="0" justifyLastLine="0" shrinkToFit="0" readingOrder="0"/>
      <border diagonalUp="0" diagonalDown="0" outline="0">
        <left/>
        <right/>
        <top style="thin">
          <color theme="0" tint="-0.14996795556505021"/>
        </top>
        <bottom style="thin">
          <color theme="0" tint="-0.14996795556505021"/>
        </bottom>
      </border>
    </dxf>
    <dxf>
      <font>
        <strike val="0"/>
        <outline val="0"/>
        <shadow val="0"/>
        <u val="none"/>
        <vertAlign val="baseline"/>
        <sz val="12"/>
        <color theme="1" tint="0.34998626667073579"/>
        <name val="Malgun gothic"/>
        <family val="3"/>
        <charset val="129"/>
        <scheme val="none"/>
      </font>
      <numFmt numFmtId="176" formatCode="_-[$₩-412]* #,##0_-;\-[$₩-412]* #,##0_-;_-[$₩-412]* &quot;-&quot;??_-;_-@_-"/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0" tint="-0.14996795556505021"/>
        </top>
        <bottom style="thin">
          <color theme="0" tint="-0.14996795556505021"/>
        </bottom>
      </border>
    </dxf>
    <dxf>
      <font>
        <strike val="0"/>
        <outline val="0"/>
        <shadow val="0"/>
        <u val="none"/>
        <vertAlign val="baseline"/>
        <sz val="12"/>
        <color theme="1" tint="0.34998626667073579"/>
        <name val="Malgun gothic"/>
        <family val="3"/>
        <charset val="129"/>
        <scheme val="none"/>
      </font>
      <numFmt numFmtId="0" formatCode="General"/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0" tint="-0.14996795556505021"/>
        </top>
        <bottom style="thin">
          <color theme="0" tint="-0.149967955565050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0.34998626667073579"/>
        <name val="Malgun gothic"/>
        <family val="3"/>
        <charset val="129"/>
        <scheme val="none"/>
      </font>
      <numFmt numFmtId="178" formatCode="0_);[Red]\(0\)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/>
        <bottom style="thin">
          <color theme="0" tint="-0.14996795556505021"/>
        </bottom>
        <vertical/>
        <horizontal/>
      </border>
    </dxf>
    <dxf>
      <font>
        <strike val="0"/>
        <outline val="0"/>
        <shadow val="0"/>
        <u val="none"/>
        <vertAlign val="baseline"/>
        <sz val="12"/>
        <color theme="1" tint="0.34998626667073579"/>
        <name val="Malgun gothic"/>
        <family val="3"/>
        <charset val="129"/>
        <scheme val="none"/>
      </font>
      <numFmt numFmtId="176" formatCode="_-[$₩-412]* #,##0_-;\-[$₩-412]* #,##0_-;_-[$₩-412]* &quot;-&quot;??_-;_-@_-"/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0" tint="-0.14996795556505021"/>
        </top>
        <bottom style="thin">
          <color theme="0" tint="-0.14996795556505021"/>
        </bottom>
        <vertical/>
        <horizontal style="thin">
          <color theme="0" tint="-0.14996795556505021"/>
        </horizontal>
      </border>
    </dxf>
    <dxf>
      <font>
        <strike val="0"/>
        <outline val="0"/>
        <shadow val="0"/>
        <u val="none"/>
        <vertAlign val="baseline"/>
        <sz val="12"/>
        <color theme="1" tint="0.34998626667073579"/>
        <name val="Malgun gothic"/>
        <family val="3"/>
        <charset val="129"/>
        <scheme val="none"/>
      </font>
      <numFmt numFmtId="180" formatCode="0\ &quot;G&quot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0" tint="-0.14996795556505021"/>
        </top>
        <bottom style="thin">
          <color theme="0" tint="-0.14996795556505021"/>
        </bottom>
        <vertical/>
        <horizontal/>
      </border>
    </dxf>
    <dxf>
      <font>
        <strike val="0"/>
        <outline val="0"/>
        <shadow val="0"/>
        <u val="none"/>
        <vertAlign val="baseline"/>
        <sz val="12"/>
        <color theme="1" tint="0.34998626667073579"/>
        <name val="Malgun gothic"/>
        <family val="3"/>
        <charset val="129"/>
        <scheme val="none"/>
      </font>
      <numFmt numFmtId="181" formatCode="0\ &quot;초&quot;"/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0" tint="-0.14996795556505021"/>
        </top>
        <bottom style="thin">
          <color theme="0" tint="-0.14996795556505021"/>
        </bottom>
      </border>
    </dxf>
    <dxf>
      <font>
        <strike val="0"/>
        <outline val="0"/>
        <shadow val="0"/>
        <u val="none"/>
        <vertAlign val="baseline"/>
        <sz val="12"/>
        <color theme="1" tint="0.34998626667073579"/>
        <name val="Malgun gothic"/>
        <family val="3"/>
        <charset val="129"/>
        <scheme val="none"/>
      </font>
      <numFmt numFmtId="179" formatCode="0\ &quot;명&quot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0" tint="-0.14996795556505021"/>
        </top>
        <bottom style="thin">
          <color theme="0" tint="-0.14996795556505021"/>
        </bottom>
        <vertical/>
        <horizontal/>
      </border>
    </dxf>
    <dxf>
      <font>
        <strike val="0"/>
        <outline val="0"/>
        <shadow val="0"/>
        <u val="none"/>
        <vertAlign val="baseline"/>
        <sz val="9"/>
        <color theme="0" tint="-0.34998626667073579"/>
        <name val="Malgun gothic"/>
        <scheme val="none"/>
      </font>
      <numFmt numFmtId="176" formatCode="_-[$₩-412]* #,##0_-;\-[$₩-412]* #,##0_-;_-[$₩-412]* &quot;-&quot;??_-;_-@_-"/>
      <border diagonalUp="0" diagonalDown="0" outline="0">
        <left/>
        <right/>
        <top style="thin">
          <color theme="0" tint="-0.14996795556505021"/>
        </top>
        <bottom style="thin">
          <color theme="0" tint="-0.14996795556505021"/>
        </bottom>
      </border>
    </dxf>
    <dxf>
      <font>
        <strike val="0"/>
        <outline val="0"/>
        <shadow val="0"/>
        <u val="none"/>
        <vertAlign val="baseline"/>
        <name val="Malgun gothic"/>
        <scheme val="none"/>
      </font>
    </dxf>
    <dxf>
      <font>
        <strike val="0"/>
        <outline val="0"/>
        <shadow val="0"/>
        <u val="none"/>
        <vertAlign val="baseline"/>
        <name val="Malgun gothic"/>
        <scheme val="none"/>
      </font>
    </dxf>
    <dxf>
      <font>
        <strike val="0"/>
        <outline val="0"/>
        <shadow val="0"/>
        <u val="none"/>
        <vertAlign val="baseline"/>
        <sz val="11"/>
        <color theme="1" tint="0.499984740745262"/>
        <name val="Malgun gothic"/>
        <family val="3"/>
        <charset val="129"/>
        <scheme val="none"/>
      </font>
      <alignment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 tint="0.34998626667073579"/>
        <name val="Malgun gothic"/>
        <family val="3"/>
        <charset val="129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 outline="0">
        <left/>
        <right/>
        <top style="thin">
          <color theme="0" tint="-0.14996795556505021"/>
        </top>
        <bottom style="thin">
          <color theme="0" tint="-0.14996795556505021"/>
        </bottom>
      </border>
    </dxf>
    <dxf>
      <font>
        <strike val="0"/>
        <outline val="0"/>
        <shadow val="0"/>
        <u val="none"/>
        <vertAlign val="baseline"/>
        <sz val="12"/>
        <color theme="1" tint="0.34998626667073579"/>
        <name val="Malgun gothic"/>
        <family val="3"/>
        <charset val="129"/>
        <scheme val="none"/>
      </font>
      <numFmt numFmtId="176" formatCode="_-[$₩-412]* #,##0_-;\-[$₩-412]* #,##0_-;_-[$₩-412]* &quot;-&quot;??_-;_-@_-"/>
      <alignment horizontal="general" vertical="center" textRotation="0" wrapText="1" indent="0" justifyLastLine="0" shrinkToFit="0" readingOrder="0"/>
      <border diagonalUp="0" diagonalDown="0" outline="0">
        <left/>
        <right/>
        <top style="thin">
          <color theme="0" tint="-0.14996795556505021"/>
        </top>
        <bottom style="thin">
          <color theme="0" tint="-0.149967955565050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0.34998626667073579"/>
        <name val="Malgun gothic"/>
        <family val="3"/>
        <charset val="129"/>
        <scheme val="none"/>
      </font>
      <numFmt numFmtId="185" formatCode="0.0\ &quot;명&quot;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/>
        <bottom style="thin">
          <color theme="0" tint="-0.149967955565050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0.34998626667073579"/>
        <name val="Malgun gothic"/>
        <family val="3"/>
        <charset val="129"/>
        <scheme val="none"/>
      </font>
      <numFmt numFmtId="185" formatCode="0.0\ &quot;명&quot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0" tint="-0.14996795556505021"/>
        </top>
        <bottom style="thin">
          <color theme="0" tint="-0.149967955565050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0.34998626667073579"/>
        <name val="Malgun gothic"/>
        <family val="3"/>
        <charset val="129"/>
        <scheme val="none"/>
      </font>
      <numFmt numFmtId="186" formatCode="0.00\ &quot;G&quot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 style="thin">
          <color theme="0" tint="-0.149967955565050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0.34998626667073579"/>
        <name val="Malgun gothic"/>
        <family val="3"/>
        <charset val="129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/>
        <bottom style="thin">
          <color theme="0" tint="-0.14996795556505021"/>
        </bottom>
      </border>
    </dxf>
    <dxf>
      <font>
        <strike val="0"/>
        <outline val="0"/>
        <shadow val="0"/>
        <u val="none"/>
        <vertAlign val="baseline"/>
        <sz val="12"/>
        <color theme="1" tint="0.34998626667073579"/>
        <name val="Malgun gothic"/>
        <family val="3"/>
        <charset val="129"/>
        <scheme val="none"/>
      </font>
      <numFmt numFmtId="183" formatCode="0.00\ &quot;G/초*칸&quot;"/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0" tint="-0.14996795556505021"/>
        </top>
        <bottom style="thin">
          <color theme="0" tint="-0.149967955565050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0.34998626667073579"/>
        <name val="Malgun gothic"/>
        <family val="3"/>
        <charset val="129"/>
        <scheme val="none"/>
      </font>
      <numFmt numFmtId="187" formatCode="0.00&quot;초&quot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0" tint="-0.14996795556505021"/>
        </top>
        <bottom style="thin">
          <color theme="0" tint="-0.149967955565050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0.34998626667073579"/>
        <name val="Malgun gothic"/>
        <family val="3"/>
        <charset val="129"/>
        <scheme val="none"/>
      </font>
      <numFmt numFmtId="14" formatCode="0.00%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0" tint="-0.14996795556505021"/>
        </top>
        <bottom style="thin">
          <color theme="0" tint="-0.14996795556505021"/>
        </bottom>
        <vertical/>
        <horizontal style="thin">
          <color theme="0" tint="-0.14996795556505021"/>
        </horizontal>
      </border>
    </dxf>
    <dxf>
      <font>
        <strike val="0"/>
        <outline val="0"/>
        <shadow val="0"/>
        <u val="none"/>
        <vertAlign val="baseline"/>
        <sz val="12"/>
        <color theme="1" tint="0.34998626667073579"/>
        <name val="Malgun gothic"/>
        <family val="3"/>
        <charset val="129"/>
        <scheme val="none"/>
      </font>
      <numFmt numFmtId="184" formatCode="0.0\ &quot;G/초&quot;"/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0" tint="-0.14996795556505021"/>
        </top>
        <bottom style="thin">
          <color theme="0" tint="-0.14996795556505021"/>
        </bottom>
      </border>
    </dxf>
    <dxf>
      <font>
        <strike val="0"/>
        <outline val="0"/>
        <shadow val="0"/>
        <u val="none"/>
        <vertAlign val="baseline"/>
        <sz val="12"/>
        <color theme="1" tint="0.34998626667073579"/>
        <name val="Malgun gothic"/>
        <family val="3"/>
        <charset val="129"/>
        <scheme val="none"/>
      </font>
      <numFmt numFmtId="182" formatCode="0\ &quot;칸 &quot;"/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0" tint="-0.14996795556505021"/>
        </top>
        <bottom style="thin">
          <color theme="0" tint="-0.14996795556505021"/>
        </bottom>
      </border>
    </dxf>
    <dxf>
      <font>
        <strike val="0"/>
        <outline val="0"/>
        <shadow val="0"/>
        <u val="none"/>
        <vertAlign val="baseline"/>
        <sz val="12"/>
        <color theme="1" tint="0.34998626667073579"/>
        <name val="Malgun gothic"/>
        <family val="3"/>
        <charset val="129"/>
        <scheme val="none"/>
      </font>
      <numFmt numFmtId="180" formatCode="0\ &quot;G&quot;"/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0" tint="-0.14996795556505021"/>
        </top>
        <bottom style="thin">
          <color theme="0" tint="-0.14996795556505021"/>
        </bottom>
      </border>
    </dxf>
    <dxf>
      <font>
        <strike val="0"/>
        <outline val="0"/>
        <shadow val="0"/>
        <u val="none"/>
        <vertAlign val="baseline"/>
        <sz val="12"/>
        <color theme="1" tint="0.34998626667073579"/>
        <name val="Malgun gothic"/>
        <family val="3"/>
        <charset val="129"/>
        <scheme val="none"/>
      </font>
      <numFmt numFmtId="176" formatCode="_-[$₩-412]* #,##0_-;\-[$₩-412]* #,##0_-;_-[$₩-412]* &quot;-&quot;??_-;_-@_-"/>
      <alignment horizontal="center" vertical="center" textRotation="0" wrapText="1" indent="0" justifyLastLine="0" shrinkToFit="0" readingOrder="0"/>
      <border diagonalUp="0" diagonalDown="0" outline="0">
        <left/>
        <right/>
        <top style="thin">
          <color theme="0" tint="-0.14996795556505021"/>
        </top>
        <bottom style="thin">
          <color theme="0" tint="-0.14996795556505021"/>
        </bottom>
      </border>
    </dxf>
    <dxf>
      <font>
        <strike val="0"/>
        <outline val="0"/>
        <shadow val="0"/>
        <u val="none"/>
        <vertAlign val="baseline"/>
        <sz val="12"/>
        <color theme="1" tint="0.34998626667073579"/>
        <name val="Malgun gothic"/>
        <family val="3"/>
        <charset val="129"/>
        <scheme val="none"/>
      </font>
      <numFmt numFmtId="176" formatCode="_-[$₩-412]* #,##0_-;\-[$₩-412]* #,##0_-;_-[$₩-412]* &quot;-&quot;??_-;_-@_-"/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0" tint="-0.14996795556505021"/>
        </top>
        <bottom style="thin">
          <color theme="0" tint="-0.14996795556505021"/>
        </bottom>
      </border>
    </dxf>
    <dxf>
      <font>
        <strike val="0"/>
        <outline val="0"/>
        <shadow val="0"/>
        <u val="none"/>
        <vertAlign val="baseline"/>
        <sz val="12"/>
        <color theme="1" tint="0.34998626667073579"/>
        <name val="Malgun gothic"/>
        <family val="3"/>
        <charset val="129"/>
        <scheme val="none"/>
      </font>
      <numFmt numFmtId="0" formatCode="General"/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0" tint="-0.14996795556505021"/>
        </top>
        <bottom style="thin">
          <color theme="0" tint="-0.149967955565050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0.34998626667073579"/>
        <name val="Malgun gothic"/>
        <family val="3"/>
        <charset val="129"/>
        <scheme val="none"/>
      </font>
      <numFmt numFmtId="178" formatCode="0_);[Red]\(0\)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/>
        <bottom style="thin">
          <color theme="0" tint="-0.14996795556505021"/>
        </bottom>
        <vertical/>
        <horizontal/>
      </border>
    </dxf>
    <dxf>
      <font>
        <strike val="0"/>
        <outline val="0"/>
        <shadow val="0"/>
        <u val="none"/>
        <vertAlign val="baseline"/>
        <sz val="12"/>
        <color theme="1" tint="0.34998626667073579"/>
        <name val="Malgun gothic"/>
        <family val="3"/>
        <charset val="129"/>
        <scheme val="none"/>
      </font>
      <numFmt numFmtId="176" formatCode="_-[$₩-412]* #,##0_-;\-[$₩-412]* #,##0_-;_-[$₩-412]* &quot;-&quot;??_-;_-@_-"/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0" tint="-0.14996795556505021"/>
        </top>
        <bottom style="thin">
          <color theme="0" tint="-0.14996795556505021"/>
        </bottom>
        <vertical/>
        <horizontal style="thin">
          <color theme="0" tint="-0.14996795556505021"/>
        </horizontal>
      </border>
    </dxf>
    <dxf>
      <font>
        <strike val="0"/>
        <outline val="0"/>
        <shadow val="0"/>
        <u val="none"/>
        <vertAlign val="baseline"/>
        <sz val="12"/>
        <color theme="1" tint="0.34998626667073579"/>
        <name val="Malgun gothic"/>
        <family val="3"/>
        <charset val="129"/>
        <scheme val="none"/>
      </font>
      <numFmt numFmtId="176" formatCode="_-[$₩-412]* #,##0_-;\-[$₩-412]* #,##0_-;_-[$₩-412]* &quot;-&quot;??_-;_-@_-"/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0" tint="-0.14996795556505021"/>
        </top>
        <bottom style="thin">
          <color theme="0" tint="-0.14996795556505021"/>
        </bottom>
        <vertical/>
        <horizontal style="thin">
          <color theme="0" tint="-0.14996795556505021"/>
        </horizontal>
      </border>
    </dxf>
    <dxf>
      <font>
        <strike val="0"/>
        <outline val="0"/>
        <shadow val="0"/>
        <u val="none"/>
        <vertAlign val="baseline"/>
        <sz val="12"/>
        <color theme="1" tint="0.34998626667073579"/>
        <name val="Malgun gothic"/>
        <family val="3"/>
        <charset val="129"/>
        <scheme val="none"/>
      </font>
      <numFmt numFmtId="181" formatCode="0\ &quot;초&quot;"/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0" tint="-0.14996795556505021"/>
        </top>
        <bottom style="thin">
          <color theme="0" tint="-0.14996795556505021"/>
        </bottom>
        <vertical/>
        <horizontal style="thin">
          <color theme="0" tint="-0.14996795556505021"/>
        </horizontal>
      </border>
    </dxf>
    <dxf>
      <font>
        <strike val="0"/>
        <outline val="0"/>
        <shadow val="0"/>
        <u val="none"/>
        <vertAlign val="baseline"/>
        <sz val="12"/>
        <color theme="1" tint="0.34998626667073579"/>
        <name val="Malgun gothic"/>
        <family val="3"/>
        <charset val="129"/>
        <scheme val="none"/>
      </font>
      <numFmt numFmtId="176" formatCode="_-[$₩-412]* #,##0_-;\-[$₩-412]* #,##0_-;_-[$₩-412]* &quot;-&quot;??_-;_-@_-"/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0" tint="-0.14996795556505021"/>
        </top>
        <bottom style="thin">
          <color theme="0" tint="-0.14996795556505021"/>
        </bottom>
        <vertical/>
        <horizontal style="thin">
          <color theme="0" tint="-0.14996795556505021"/>
        </horizontal>
      </border>
    </dxf>
    <dxf>
      <font>
        <strike val="0"/>
        <outline val="0"/>
        <shadow val="0"/>
        <u val="none"/>
        <vertAlign val="baseline"/>
        <sz val="9"/>
        <color theme="0" tint="-0.34998626667073579"/>
        <name val="Malgun gothic"/>
        <scheme val="none"/>
      </font>
      <numFmt numFmtId="176" formatCode="_-[$₩-412]* #,##0_-;\-[$₩-412]* #,##0_-;_-[$₩-412]* &quot;-&quot;??_-;_-@_-"/>
      <border diagonalUp="0" diagonalDown="0">
        <left/>
        <right/>
        <top style="thin">
          <color theme="0" tint="-0.14996795556505021"/>
        </top>
        <bottom style="thin">
          <color theme="0" tint="-0.14996795556505021"/>
        </bottom>
        <vertical/>
        <horizontal style="thin">
          <color theme="0" tint="-0.14996795556505021"/>
        </horizontal>
      </border>
    </dxf>
    <dxf>
      <font>
        <strike val="0"/>
        <outline val="0"/>
        <shadow val="0"/>
        <u val="none"/>
        <vertAlign val="baseline"/>
        <name val="Malgun gothic"/>
        <scheme val="none"/>
      </font>
    </dxf>
    <dxf>
      <font>
        <strike val="0"/>
        <outline val="0"/>
        <shadow val="0"/>
        <u val="none"/>
        <vertAlign val="baseline"/>
        <name val="Malgun gothic"/>
        <scheme val="none"/>
      </font>
    </dxf>
    <dxf>
      <font>
        <strike val="0"/>
        <outline val="0"/>
        <shadow val="0"/>
        <u val="none"/>
        <vertAlign val="baseline"/>
        <sz val="11"/>
        <color theme="1" tint="0.499984740745262"/>
        <name val="Malgun gothic"/>
        <family val="3"/>
        <charset val="129"/>
        <scheme val="none"/>
      </font>
      <alignment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name val="Malgun gothic"/>
        <scheme val="none"/>
      </font>
    </dxf>
    <dxf>
      <font>
        <strike val="0"/>
        <outline val="0"/>
        <shadow val="0"/>
        <u val="none"/>
        <vertAlign val="baseline"/>
        <sz val="12"/>
        <color theme="1" tint="0.34998626667073579"/>
        <name val="Malgun gothic"/>
        <family val="3"/>
        <charset val="129"/>
        <scheme val="none"/>
      </font>
      <numFmt numFmtId="176" formatCode="_-[$₩-412]* #,##0_-;\-[$₩-412]* #,##0_-;_-[$₩-412]* &quot;-&quot;??_-;_-@_-"/>
      <alignment horizontal="general" vertical="center" textRotation="0" wrapText="1" indent="0" justifyLastLine="0" shrinkToFit="0" readingOrder="0"/>
      <border diagonalUp="0" diagonalDown="0" outline="0">
        <left/>
        <right/>
        <top style="thin">
          <color theme="0" tint="-0.14996795556505021"/>
        </top>
        <bottom style="thin">
          <color theme="0" tint="-0.149967955565050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0.34998626667073579"/>
        <name val="Malgun gothic"/>
        <family val="3"/>
        <charset val="129"/>
        <scheme val="none"/>
      </font>
      <numFmt numFmtId="185" formatCode="0.0\ &quot;명&quot;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 style="thin">
          <color theme="0" tint="-0.14996795556505021"/>
        </top>
        <bottom style="thin">
          <color theme="0" tint="-0.149967955565050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0.34998626667073579"/>
        <name val="Malgun gothic"/>
        <family val="3"/>
        <charset val="129"/>
        <scheme val="none"/>
      </font>
      <numFmt numFmtId="185" formatCode="0.0\ &quot;명&quot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0" tint="-0.14996795556505021"/>
        </top>
        <bottom style="thin">
          <color theme="0" tint="-0.149967955565050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0.34998626667073579"/>
        <name val="Malgun gothic"/>
        <family val="3"/>
        <charset val="129"/>
        <scheme val="none"/>
      </font>
      <numFmt numFmtId="186" formatCode="0.00\ &quot;G&quot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0" tint="-0.14996795556505021"/>
        </top>
        <bottom style="thin">
          <color theme="0" tint="-0.149967955565050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0.34998626667073579"/>
        <name val="Malgun gothic"/>
        <family val="3"/>
        <charset val="129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0" tint="-0.14996795556505021"/>
        </top>
        <bottom style="thin">
          <color theme="0" tint="-0.14996795556505021"/>
        </bottom>
        <vertical/>
        <horizontal/>
      </border>
    </dxf>
    <dxf>
      <font>
        <strike val="0"/>
        <outline val="0"/>
        <shadow val="0"/>
        <u val="none"/>
        <vertAlign val="baseline"/>
        <sz val="12"/>
        <color theme="1" tint="0.34998626667073579"/>
        <name val="Malgun gothic"/>
        <family val="3"/>
        <charset val="129"/>
        <scheme val="none"/>
      </font>
      <numFmt numFmtId="183" formatCode="0.00\ &quot;G/초*칸&quot;"/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0" tint="-0.14996795556505021"/>
        </top>
        <bottom style="thin">
          <color theme="0" tint="-0.14996795556505021"/>
        </bottom>
        <vertical/>
        <horizontal style="thin">
          <color theme="0" tint="-0.1499679555650502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0.34998626667073579"/>
        <name val="Malgun gothic"/>
        <family val="3"/>
        <charset val="129"/>
        <scheme val="none"/>
      </font>
      <numFmt numFmtId="187" formatCode="0.00&quot;초&quot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0" tint="-0.14996795556505021"/>
        </top>
        <bottom style="thin">
          <color theme="0" tint="-0.149967955565050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0.34998626667073579"/>
        <name val="Malgun gothic"/>
        <family val="3"/>
        <charset val="129"/>
        <scheme val="none"/>
      </font>
      <numFmt numFmtId="14" formatCode="0.00%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0" tint="-0.14996795556505021"/>
        </top>
        <bottom style="thin">
          <color theme="0" tint="-0.14996795556505021"/>
        </bottom>
        <vertical/>
        <horizontal style="thin">
          <color theme="0" tint="-0.14996795556505021"/>
        </horizontal>
      </border>
    </dxf>
    <dxf>
      <font>
        <strike val="0"/>
        <outline val="0"/>
        <shadow val="0"/>
        <u val="none"/>
        <vertAlign val="baseline"/>
        <sz val="12"/>
        <color theme="1" tint="0.34998626667073579"/>
        <name val="Malgun gothic"/>
        <family val="3"/>
        <charset val="129"/>
        <scheme val="none"/>
      </font>
      <numFmt numFmtId="184" formatCode="0.0\ &quot;G/초&quot;"/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0" tint="-0.14996795556505021"/>
        </top>
        <bottom style="thin">
          <color theme="0" tint="-0.14996795556505021"/>
        </bottom>
      </border>
    </dxf>
    <dxf>
      <font>
        <strike val="0"/>
        <outline val="0"/>
        <shadow val="0"/>
        <u val="none"/>
        <vertAlign val="baseline"/>
        <sz val="12"/>
        <color theme="1" tint="0.34998626667073579"/>
        <name val="Malgun gothic"/>
        <family val="3"/>
        <charset val="129"/>
        <scheme val="none"/>
      </font>
      <numFmt numFmtId="182" formatCode="0\ &quot;칸 &quot;"/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0" tint="-0.14996795556505021"/>
        </top>
        <bottom style="thin">
          <color theme="0" tint="-0.14996795556505021"/>
        </bottom>
      </border>
    </dxf>
    <dxf>
      <font>
        <strike val="0"/>
        <outline val="0"/>
        <shadow val="0"/>
        <u val="none"/>
        <vertAlign val="baseline"/>
        <sz val="12"/>
        <color theme="1" tint="0.34998626667073579"/>
        <name val="Malgun gothic"/>
        <family val="3"/>
        <charset val="129"/>
        <scheme val="none"/>
      </font>
      <numFmt numFmtId="176" formatCode="_-[$₩-412]* #,##0_-;\-[$₩-412]* #,##0_-;_-[$₩-412]* &quot;-&quot;??_-;_-@_-"/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0" tint="-0.14996795556505021"/>
        </top>
        <bottom style="thin">
          <color theme="0" tint="-0.14996795556505021"/>
        </bottom>
      </border>
    </dxf>
    <dxf>
      <font>
        <strike val="0"/>
        <outline val="0"/>
        <shadow val="0"/>
        <u val="none"/>
        <vertAlign val="baseline"/>
        <sz val="12"/>
        <color theme="1" tint="0.34998626667073579"/>
        <name val="Malgun gothic"/>
        <family val="3"/>
        <charset val="129"/>
        <scheme val="none"/>
      </font>
      <numFmt numFmtId="176" formatCode="_-[$₩-412]* #,##0_-;\-[$₩-412]* #,##0_-;_-[$₩-412]* &quot;-&quot;??_-;_-@_-"/>
      <alignment horizontal="center" vertical="center" textRotation="0" wrapText="1" indent="0" justifyLastLine="0" shrinkToFit="0" readingOrder="0"/>
      <border diagonalUp="0" diagonalDown="0" outline="0">
        <left/>
        <right/>
        <top style="thin">
          <color theme="0" tint="-0.14996795556505021"/>
        </top>
        <bottom style="thin">
          <color theme="0" tint="-0.14996795556505021"/>
        </bottom>
      </border>
    </dxf>
    <dxf>
      <font>
        <strike val="0"/>
        <outline val="0"/>
        <shadow val="0"/>
        <u val="none"/>
        <vertAlign val="baseline"/>
        <sz val="12"/>
        <color theme="1" tint="0.34998626667073579"/>
        <name val="Malgun gothic"/>
        <family val="3"/>
        <charset val="129"/>
        <scheme val="none"/>
      </font>
      <numFmt numFmtId="176" formatCode="_-[$₩-412]* #,##0_-;\-[$₩-412]* #,##0_-;_-[$₩-412]* &quot;-&quot;??_-;_-@_-"/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0" tint="-0.14996795556505021"/>
        </top>
        <bottom style="thin">
          <color theme="0" tint="-0.14996795556505021"/>
        </bottom>
      </border>
    </dxf>
    <dxf>
      <font>
        <strike val="0"/>
        <outline val="0"/>
        <shadow val="0"/>
        <u val="none"/>
        <vertAlign val="baseline"/>
        <sz val="12"/>
        <color theme="1" tint="0.34998626667073579"/>
        <name val="Malgun gothic"/>
        <family val="3"/>
        <charset val="129"/>
        <scheme val="none"/>
      </font>
      <numFmt numFmtId="0" formatCode="General"/>
      <alignment horizontal="center" vertical="center" textRotation="0" wrapText="1" indent="0" justifyLastLine="0" shrinkToFit="0" readingOrder="0"/>
      <border diagonalUp="0" diagonalDown="0" outline="0">
        <left/>
        <right/>
        <top style="thin">
          <color theme="0" tint="-0.14996795556505021"/>
        </top>
        <bottom style="thin">
          <color theme="0" tint="-0.149967955565050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0.34998626667073579"/>
        <name val="Malgun gothic"/>
        <family val="3"/>
        <charset val="129"/>
        <scheme val="none"/>
      </font>
      <numFmt numFmtId="178" formatCode="0_);[Red]\(0\)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0" tint="-0.14996795556505021"/>
        </top>
        <bottom style="thin">
          <color theme="0" tint="-0.14996795556505021"/>
        </bottom>
        <vertical/>
        <horizontal/>
      </border>
    </dxf>
    <dxf>
      <font>
        <strike val="0"/>
        <outline val="0"/>
        <shadow val="0"/>
        <u val="none"/>
        <vertAlign val="baseline"/>
        <sz val="12"/>
        <color theme="1" tint="0.34998626667073579"/>
        <name val="Malgun gothic"/>
        <family val="3"/>
        <charset val="129"/>
        <scheme val="none"/>
      </font>
      <numFmt numFmtId="176" formatCode="_-[$₩-412]* #,##0_-;\-[$₩-412]* #,##0_-;_-[$₩-412]* &quot;-&quot;??_-;_-@_-"/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0" tint="-0.14996795556505021"/>
        </top>
        <bottom style="thin">
          <color theme="0" tint="-0.14996795556505021"/>
        </bottom>
      </border>
    </dxf>
    <dxf>
      <font>
        <strike val="0"/>
        <outline val="0"/>
        <shadow val="0"/>
        <u val="none"/>
        <vertAlign val="baseline"/>
        <sz val="12"/>
        <color theme="1" tint="0.34998626667073579"/>
        <name val="Malgun gothic"/>
        <family val="3"/>
        <charset val="129"/>
        <scheme val="none"/>
      </font>
      <numFmt numFmtId="176" formatCode="_-[$₩-412]* #,##0_-;\-[$₩-412]* #,##0_-;_-[$₩-412]* &quot;-&quot;??_-;_-@_-"/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0" tint="-0.14996795556505021"/>
        </top>
        <bottom style="thin">
          <color theme="0" tint="-0.14996795556505021"/>
        </bottom>
        <vertical/>
        <horizontal style="thin">
          <color theme="0" tint="-0.14996795556505021"/>
        </horizontal>
      </border>
    </dxf>
    <dxf>
      <font>
        <strike val="0"/>
        <outline val="0"/>
        <shadow val="0"/>
        <u val="none"/>
        <vertAlign val="baseline"/>
        <sz val="12"/>
        <color theme="1" tint="0.34998626667073579"/>
        <name val="Malgun gothic"/>
        <family val="3"/>
        <charset val="129"/>
        <scheme val="none"/>
      </font>
      <numFmt numFmtId="181" formatCode="0\ &quot;초&quot;"/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0" tint="-0.14996795556505021"/>
        </top>
        <bottom style="thin">
          <color theme="0" tint="-0.14996795556505021"/>
        </bottom>
        <vertical/>
        <horizontal style="thin">
          <color theme="0" tint="-0.14996795556505021"/>
        </horizontal>
      </border>
    </dxf>
    <dxf>
      <font>
        <strike val="0"/>
        <outline val="0"/>
        <shadow val="0"/>
        <u val="none"/>
        <vertAlign val="baseline"/>
        <sz val="12"/>
        <color theme="1" tint="0.34998626667073579"/>
        <name val="Malgun gothic"/>
        <family val="3"/>
        <charset val="129"/>
        <scheme val="none"/>
      </font>
      <numFmt numFmtId="176" formatCode="_-[$₩-412]* #,##0_-;\-[$₩-412]* #,##0_-;_-[$₩-412]* &quot;-&quot;??_-;_-@_-"/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0" tint="-0.14996795556505021"/>
        </top>
        <bottom style="thin">
          <color theme="0" tint="-0.14996795556505021"/>
        </bottom>
        <vertical/>
        <horizontal style="thin">
          <color theme="0" tint="-0.14996795556505021"/>
        </horizontal>
      </border>
    </dxf>
    <dxf>
      <font>
        <strike val="0"/>
        <outline val="0"/>
        <shadow val="0"/>
        <u val="none"/>
        <vertAlign val="baseline"/>
        <sz val="9"/>
        <color theme="0" tint="-0.34998626667073579"/>
        <name val="Malgun gothic"/>
        <scheme val="none"/>
      </font>
      <numFmt numFmtId="176" formatCode="_-[$₩-412]* #,##0_-;\-[$₩-412]* #,##0_-;_-[$₩-412]* &quot;-&quot;??_-;_-@_-"/>
      <border diagonalUp="0" diagonalDown="0">
        <left/>
        <right/>
        <top style="thin">
          <color theme="0" tint="-0.14996795556505021"/>
        </top>
        <bottom style="thin">
          <color theme="0" tint="-0.14996795556505021"/>
        </bottom>
        <vertical/>
        <horizontal style="thin">
          <color theme="0" tint="-0.14996795556505021"/>
        </horizontal>
      </border>
    </dxf>
    <dxf>
      <font>
        <strike val="0"/>
        <outline val="0"/>
        <shadow val="0"/>
        <u val="none"/>
        <vertAlign val="baseline"/>
        <name val="Malgun gothic"/>
        <scheme val="none"/>
      </font>
    </dxf>
    <dxf>
      <font>
        <strike val="0"/>
        <outline val="0"/>
        <shadow val="0"/>
        <u val="none"/>
        <vertAlign val="baseline"/>
        <name val="Malgun gothic"/>
        <scheme val="none"/>
      </font>
    </dxf>
    <dxf>
      <font>
        <strike val="0"/>
        <outline val="0"/>
        <shadow val="0"/>
        <u val="none"/>
        <vertAlign val="baseline"/>
        <sz val="11"/>
        <color theme="1" tint="0.499984740745262"/>
        <name val="Malgun gothic"/>
        <family val="3"/>
        <charset val="129"/>
        <scheme val="none"/>
      </font>
      <alignment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name val="Malgun gothic"/>
        <scheme val="none"/>
      </font>
    </dxf>
    <dxf>
      <font>
        <strike val="0"/>
        <outline val="0"/>
        <shadow val="0"/>
        <u val="none"/>
        <vertAlign val="baseline"/>
        <sz val="12"/>
        <color theme="1" tint="0.34998626667073579"/>
        <name val="Malgun gothic"/>
        <family val="3"/>
        <charset val="129"/>
        <scheme val="none"/>
      </font>
      <numFmt numFmtId="176" formatCode="_-[$₩-412]* #,##0_-;\-[$₩-412]* #,##0_-;_-[$₩-412]* &quot;-&quot;??_-;_-@_-"/>
      <alignment horizontal="general" vertical="center" textRotation="0" wrapText="1" indent="0" justifyLastLine="0" shrinkToFit="0" readingOrder="0"/>
      <border diagonalUp="0" diagonalDown="0">
        <left/>
        <right/>
        <top style="thin">
          <color theme="0" tint="-0.14996795556505021"/>
        </top>
        <bottom style="thin">
          <color theme="0" tint="-0.14996795556505021"/>
        </bottom>
        <vertical/>
        <horizontal style="thin">
          <color theme="0" tint="-0.1499679555650502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0.34998626667073579"/>
        <name val="Malgun gothic"/>
        <family val="3"/>
        <charset val="129"/>
        <scheme val="none"/>
      </font>
      <numFmt numFmtId="185" formatCode="0.0\ &quot;명&quot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0" tint="-0.14996795556505021"/>
        </top>
        <bottom style="thin">
          <color theme="0" tint="-0.149967955565050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0.34998626667073579"/>
        <name val="Malgun gothic"/>
        <family val="3"/>
        <charset val="129"/>
        <scheme val="none"/>
      </font>
      <numFmt numFmtId="185" formatCode="0.0\ &quot;명&quot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0" tint="-0.14996795556505021"/>
        </top>
        <bottom style="thin">
          <color theme="0" tint="-0.149967955565050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0.34998626667073579"/>
        <name val="Malgun gothic"/>
        <family val="3"/>
        <charset val="129"/>
        <scheme val="none"/>
      </font>
      <numFmt numFmtId="186" formatCode="0.00\ &quot;G&quot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0" tint="-0.14996795556505021"/>
        </top>
        <bottom style="thin">
          <color theme="0" tint="-0.149967955565050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0.34998626667073579"/>
        <name val="Malgun gothic"/>
        <family val="3"/>
        <charset val="129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/>
        <bottom style="thin">
          <color theme="0" tint="-0.14996795556505021"/>
        </bottom>
        <vertical/>
        <horizontal/>
      </border>
    </dxf>
    <dxf>
      <font>
        <strike val="0"/>
        <outline val="0"/>
        <shadow val="0"/>
        <u val="none"/>
        <vertAlign val="baseline"/>
        <sz val="12"/>
        <color theme="1" tint="0.34998626667073579"/>
        <name val="Malgun gothic"/>
        <family val="3"/>
        <charset val="129"/>
        <scheme val="none"/>
      </font>
      <numFmt numFmtId="183" formatCode="0.00\ &quot;G/초*칸&quot;"/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0" tint="-0.14996795556505021"/>
        </top>
        <bottom style="thin">
          <color theme="0" tint="-0.149967955565050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0.34998626667073579"/>
        <name val="Malgun gothic"/>
        <family val="3"/>
        <charset val="129"/>
        <scheme val="none"/>
      </font>
      <numFmt numFmtId="187" formatCode="0.00&quot;초&quot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0" tint="-0.14996795556505021"/>
        </top>
        <bottom style="thin">
          <color theme="0" tint="-0.149967955565050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0.34998626667073579"/>
        <name val="Malgun gothic"/>
        <family val="3"/>
        <charset val="129"/>
        <scheme val="none"/>
      </font>
      <numFmt numFmtId="14" formatCode="0.00%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0" tint="-0.14996795556505021"/>
        </top>
        <bottom style="thin">
          <color theme="0" tint="-0.14996795556505021"/>
        </bottom>
      </border>
    </dxf>
    <dxf>
      <font>
        <strike val="0"/>
        <outline val="0"/>
        <shadow val="0"/>
        <u val="none"/>
        <vertAlign val="baseline"/>
        <sz val="12"/>
        <color theme="1" tint="0.34998626667073579"/>
        <name val="Malgun gothic"/>
        <family val="3"/>
        <charset val="129"/>
        <scheme val="none"/>
      </font>
      <numFmt numFmtId="184" formatCode="0.0\ &quot;G/초&quot;"/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0" tint="-0.14996795556505021"/>
        </top>
        <bottom style="thin">
          <color theme="0" tint="-0.14996795556505021"/>
        </bottom>
      </border>
    </dxf>
    <dxf>
      <font>
        <strike val="0"/>
        <outline val="0"/>
        <shadow val="0"/>
        <u val="none"/>
        <vertAlign val="baseline"/>
        <sz val="12"/>
        <color theme="1" tint="0.34998626667073579"/>
        <name val="Malgun gothic"/>
        <family val="3"/>
        <charset val="129"/>
        <scheme val="none"/>
      </font>
      <numFmt numFmtId="182" formatCode="0\ &quot;칸 &quot;"/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0" tint="-0.14996795556505021"/>
        </top>
        <bottom style="thin">
          <color theme="0" tint="-0.14996795556505021"/>
        </bottom>
      </border>
    </dxf>
    <dxf>
      <font>
        <strike val="0"/>
        <outline val="0"/>
        <shadow val="0"/>
        <u val="none"/>
        <vertAlign val="baseline"/>
        <sz val="12"/>
        <color theme="1" tint="0.34998626667073579"/>
        <name val="Malgun gothic"/>
        <family val="3"/>
        <charset val="129"/>
        <scheme val="none"/>
      </font>
      <numFmt numFmtId="176" formatCode="_-[$₩-412]* #,##0_-;\-[$₩-412]* #,##0_-;_-[$₩-412]* &quot;-&quot;??_-;_-@_-"/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0" tint="-0.14996795556505021"/>
        </top>
        <bottom style="thin">
          <color theme="0" tint="-0.14996795556505021"/>
        </bottom>
      </border>
    </dxf>
    <dxf>
      <font>
        <strike val="0"/>
        <outline val="0"/>
        <shadow val="0"/>
        <u val="none"/>
        <vertAlign val="baseline"/>
        <sz val="12"/>
        <color theme="1" tint="0.34998626667073579"/>
        <name val="Malgun gothic"/>
        <family val="3"/>
        <charset val="129"/>
        <scheme val="none"/>
      </font>
      <numFmt numFmtId="176" formatCode="_-[$₩-412]* #,##0_-;\-[$₩-412]* #,##0_-;_-[$₩-412]* &quot;-&quot;??_-;_-@_-"/>
      <alignment horizontal="center" vertical="center" textRotation="0" wrapText="1" indent="0" justifyLastLine="0" shrinkToFit="0" readingOrder="0"/>
      <border diagonalUp="0" diagonalDown="0" outline="0">
        <left/>
        <right/>
        <top style="thin">
          <color theme="0" tint="-0.14996795556505021"/>
        </top>
        <bottom style="thin">
          <color theme="0" tint="-0.14996795556505021"/>
        </bottom>
      </border>
    </dxf>
    <dxf>
      <font>
        <strike val="0"/>
        <outline val="0"/>
        <shadow val="0"/>
        <u val="none"/>
        <vertAlign val="baseline"/>
        <sz val="12"/>
        <color theme="1" tint="0.34998626667073579"/>
        <name val="Malgun gothic"/>
        <family val="3"/>
        <charset val="129"/>
        <scheme val="none"/>
      </font>
      <numFmt numFmtId="176" formatCode="_-[$₩-412]* #,##0_-;\-[$₩-412]* #,##0_-;_-[$₩-412]* &quot;-&quot;??_-;_-@_-"/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0" tint="-0.14996795556505021"/>
        </top>
        <bottom style="thin">
          <color theme="0" tint="-0.14996795556505021"/>
        </bottom>
      </border>
    </dxf>
    <dxf>
      <font>
        <strike val="0"/>
        <outline val="0"/>
        <shadow val="0"/>
        <u val="none"/>
        <vertAlign val="baseline"/>
        <sz val="12"/>
        <color theme="1" tint="0.34998626667073579"/>
        <name val="Malgun gothic"/>
        <family val="3"/>
        <charset val="129"/>
        <scheme val="none"/>
      </font>
      <numFmt numFmtId="0" formatCode="General"/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0" tint="-0.14996795556505021"/>
        </top>
        <bottom style="thin">
          <color theme="0" tint="-0.149967955565050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0.34998626667073579"/>
        <name val="Malgun gothic"/>
        <family val="3"/>
        <charset val="129"/>
        <scheme val="none"/>
      </font>
      <numFmt numFmtId="178" formatCode="0_);[Red]\(0\)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0" tint="-0.14996795556505021"/>
        </top>
        <bottom style="thin">
          <color theme="0" tint="-0.14996795556505021"/>
        </bottom>
        <vertical/>
        <horizontal/>
      </border>
    </dxf>
    <dxf>
      <font>
        <strike val="0"/>
        <outline val="0"/>
        <shadow val="0"/>
        <u val="none"/>
        <vertAlign val="baseline"/>
        <sz val="12"/>
        <color theme="1" tint="0.34998626667073579"/>
        <name val="Malgun gothic"/>
        <family val="3"/>
        <charset val="129"/>
        <scheme val="none"/>
      </font>
      <numFmt numFmtId="176" formatCode="_-[$₩-412]* #,##0_-;\-[$₩-412]* #,##0_-;_-[$₩-412]* &quot;-&quot;??_-;_-@_-"/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0" tint="-0.14996795556505021"/>
        </top>
        <bottom style="thin">
          <color theme="0" tint="-0.14996795556505021"/>
        </bottom>
        <vertical/>
        <horizontal style="thin">
          <color theme="0" tint="-0.14996795556505021"/>
        </horizontal>
      </border>
    </dxf>
    <dxf>
      <font>
        <strike val="0"/>
        <outline val="0"/>
        <shadow val="0"/>
        <u val="none"/>
        <vertAlign val="baseline"/>
        <sz val="12"/>
        <color theme="1" tint="0.34998626667073579"/>
        <name val="Malgun gothic"/>
        <family val="3"/>
        <charset val="129"/>
        <scheme val="none"/>
      </font>
      <numFmt numFmtId="176" formatCode="_-[$₩-412]* #,##0_-;\-[$₩-412]* #,##0_-;_-[$₩-412]* &quot;-&quot;??_-;_-@_-"/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0" tint="-0.14996795556505021"/>
        </top>
        <bottom style="thin">
          <color theme="0" tint="-0.14996795556505021"/>
        </bottom>
        <vertical/>
        <horizontal style="thin">
          <color theme="0" tint="-0.14996795556505021"/>
        </horizontal>
      </border>
    </dxf>
    <dxf>
      <font>
        <strike val="0"/>
        <outline val="0"/>
        <shadow val="0"/>
        <u val="none"/>
        <vertAlign val="baseline"/>
        <sz val="12"/>
        <color theme="1" tint="0.34998626667073579"/>
        <name val="Malgun gothic"/>
        <family val="3"/>
        <charset val="129"/>
        <scheme val="none"/>
      </font>
      <numFmt numFmtId="181" formatCode="0\ &quot;초&quot;"/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0" tint="-0.14996795556505021"/>
        </top>
        <bottom style="thin">
          <color theme="0" tint="-0.14996795556505021"/>
        </bottom>
        <vertical/>
        <horizontal style="thin">
          <color theme="0" tint="-0.14996795556505021"/>
        </horizontal>
      </border>
    </dxf>
    <dxf>
      <font>
        <strike val="0"/>
        <outline val="0"/>
        <shadow val="0"/>
        <u val="none"/>
        <vertAlign val="baseline"/>
        <sz val="12"/>
        <color theme="1" tint="0.34998626667073579"/>
        <name val="Malgun gothic"/>
        <family val="3"/>
        <charset val="129"/>
        <scheme val="none"/>
      </font>
      <numFmt numFmtId="176" formatCode="_-[$₩-412]* #,##0_-;\-[$₩-412]* #,##0_-;_-[$₩-412]* &quot;-&quot;??_-;_-@_-"/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0" tint="-0.14996795556505021"/>
        </top>
        <bottom style="thin">
          <color theme="0" tint="-0.14996795556505021"/>
        </bottom>
        <vertical/>
        <horizontal style="thin">
          <color theme="0" tint="-0.14996795556505021"/>
        </horizontal>
      </border>
    </dxf>
    <dxf>
      <font>
        <strike val="0"/>
        <outline val="0"/>
        <shadow val="0"/>
        <u val="none"/>
        <vertAlign val="baseline"/>
        <sz val="9"/>
        <color theme="0" tint="-0.34998626667073579"/>
        <name val="Malgun gothic"/>
        <scheme val="none"/>
      </font>
      <numFmt numFmtId="176" formatCode="_-[$₩-412]* #,##0_-;\-[$₩-412]* #,##0_-;_-[$₩-412]* &quot;-&quot;??_-;_-@_-"/>
      <border diagonalUp="0" diagonalDown="0">
        <left/>
        <right/>
        <top style="thin">
          <color theme="0" tint="-0.14996795556505021"/>
        </top>
        <bottom style="thin">
          <color theme="0" tint="-0.14996795556505021"/>
        </bottom>
        <vertical/>
        <horizontal style="thin">
          <color theme="0" tint="-0.14996795556505021"/>
        </horizontal>
      </border>
    </dxf>
    <dxf>
      <font>
        <strike val="0"/>
        <outline val="0"/>
        <shadow val="0"/>
        <u val="none"/>
        <vertAlign val="baseline"/>
        <name val="Malgun gothic"/>
        <scheme val="none"/>
      </font>
    </dxf>
    <dxf>
      <font>
        <strike val="0"/>
        <outline val="0"/>
        <shadow val="0"/>
        <u val="none"/>
        <vertAlign val="baseline"/>
        <name val="Malgun gothic"/>
        <scheme val="none"/>
      </font>
    </dxf>
    <dxf>
      <font>
        <strike val="0"/>
        <outline val="0"/>
        <shadow val="0"/>
        <u val="none"/>
        <vertAlign val="baseline"/>
        <sz val="11"/>
        <color theme="1" tint="0.499984740745262"/>
        <name val="Malgun gothic"/>
        <family val="3"/>
        <charset val="129"/>
        <scheme val="none"/>
      </font>
    </dxf>
    <dxf>
      <font>
        <b/>
        <i val="0"/>
        <color theme="6"/>
      </font>
      <fill>
        <patternFill patternType="none">
          <bgColor auto="1"/>
        </patternFill>
      </fill>
      <border>
        <top style="medium">
          <color theme="6"/>
        </top>
        <bottom/>
      </border>
    </dxf>
    <dxf>
      <font>
        <b/>
        <i val="0"/>
        <color theme="1" tint="0.499984740745262"/>
      </font>
      <border>
        <top style="medium">
          <color theme="6"/>
        </top>
        <bottom style="medium">
          <color theme="6"/>
        </bottom>
      </border>
    </dxf>
    <dxf>
      <font>
        <b/>
        <i val="0"/>
        <color theme="0"/>
      </font>
      <fill>
        <patternFill>
          <bgColor theme="6"/>
        </patternFill>
      </fill>
      <border>
        <right style="thick">
          <color theme="0"/>
        </right>
        <top style="thick">
          <color theme="0"/>
        </top>
        <bottom style="thick">
          <color theme="0"/>
        </bottom>
      </border>
    </dxf>
    <dxf>
      <font>
        <b/>
        <i val="0"/>
        <color theme="6"/>
      </font>
      <border>
        <left/>
        <right/>
        <top style="medium">
          <color theme="6"/>
        </top>
        <bottom/>
        <vertical style="thick">
          <color theme="0"/>
        </vertical>
        <horizontal/>
      </border>
    </dxf>
    <dxf>
      <font>
        <b val="0"/>
        <i val="0"/>
        <color theme="1" tint="0.499984740745262"/>
      </font>
      <fill>
        <patternFill patternType="none">
          <fgColor indexed="64"/>
          <bgColor auto="1"/>
        </patternFill>
      </fill>
      <border>
        <top style="medium">
          <color theme="6"/>
        </top>
        <bottom style="thin">
          <color theme="6"/>
        </bottom>
        <vertical style="thick">
          <color theme="0"/>
        </vertical>
      </border>
    </dxf>
    <dxf>
      <font>
        <b val="0"/>
        <i val="0"/>
        <color theme="0" tint="-0.34998626667073579"/>
      </font>
      <border>
        <top style="thick">
          <color theme="0"/>
        </top>
        <bottom style="thick">
          <color theme="0"/>
        </bottom>
        <vertical style="thick">
          <color theme="0"/>
        </vertical>
        <horizontal style="thick">
          <color theme="0"/>
        </horizontal>
      </border>
    </dxf>
    <dxf>
      <font>
        <b/>
        <i val="0"/>
        <color theme="5"/>
      </font>
      <fill>
        <patternFill patternType="none">
          <bgColor auto="1"/>
        </patternFill>
      </fill>
      <border>
        <top style="medium">
          <color theme="5"/>
        </top>
        <bottom/>
      </border>
    </dxf>
    <dxf>
      <font>
        <b/>
        <i val="0"/>
        <color theme="1" tint="0.499984740745262"/>
      </font>
      <border>
        <top style="medium">
          <color theme="5"/>
        </top>
        <bottom style="medium">
          <color theme="5"/>
        </bottom>
      </border>
    </dxf>
    <dxf>
      <font>
        <b/>
        <i val="0"/>
        <color theme="0"/>
      </font>
      <fill>
        <patternFill>
          <bgColor theme="5"/>
        </patternFill>
      </fill>
      <border>
        <right style="thick">
          <color theme="0"/>
        </right>
        <top style="thick">
          <color theme="0"/>
        </top>
        <bottom style="thick">
          <color theme="0"/>
        </bottom>
      </border>
    </dxf>
    <dxf>
      <font>
        <b/>
        <i val="0"/>
        <color theme="5"/>
      </font>
      <border>
        <left/>
        <right/>
        <top style="medium">
          <color theme="5"/>
        </top>
        <bottom/>
        <vertical style="thick">
          <color theme="0"/>
        </vertical>
        <horizontal/>
      </border>
    </dxf>
    <dxf>
      <font>
        <b val="0"/>
        <i val="0"/>
        <color theme="1" tint="0.499984740745262"/>
      </font>
      <fill>
        <patternFill patternType="none">
          <fgColor indexed="64"/>
          <bgColor auto="1"/>
        </patternFill>
      </fill>
      <border>
        <top style="medium">
          <color theme="5"/>
        </top>
        <bottom style="thin">
          <color theme="5"/>
        </bottom>
        <vertical style="thick">
          <color theme="0"/>
        </vertical>
      </border>
    </dxf>
    <dxf>
      <font>
        <b val="0"/>
        <i val="0"/>
        <color theme="0" tint="-0.34998626667073579"/>
      </font>
      <border>
        <top style="thick">
          <color theme="0"/>
        </top>
        <bottom style="thick">
          <color theme="0"/>
        </bottom>
        <vertical style="thick">
          <color theme="0"/>
        </vertical>
        <horizontal style="thick">
          <color theme="0"/>
        </horizontal>
      </border>
    </dxf>
    <dxf>
      <font>
        <b/>
        <i val="0"/>
        <color theme="4"/>
      </font>
      <fill>
        <patternFill patternType="none">
          <bgColor auto="1"/>
        </patternFill>
      </fill>
      <border>
        <top style="medium">
          <color theme="4"/>
        </top>
        <bottom/>
      </border>
    </dxf>
    <dxf>
      <font>
        <b/>
        <i val="0"/>
        <color theme="1" tint="0.499984740745262"/>
      </font>
      <border>
        <top style="medium">
          <color theme="4"/>
        </top>
        <bottom style="medium">
          <color theme="4"/>
        </bottom>
      </border>
    </dxf>
    <dxf>
      <font>
        <b/>
        <i val="0"/>
        <color theme="0"/>
      </font>
      <fill>
        <patternFill>
          <bgColor theme="4"/>
        </patternFill>
      </fill>
      <border>
        <right style="thick">
          <color theme="0"/>
        </right>
        <top style="thick">
          <color theme="0"/>
        </top>
        <bottom style="thick">
          <color theme="0"/>
        </bottom>
      </border>
    </dxf>
    <dxf>
      <border>
        <left/>
        <right/>
        <top style="medium">
          <color theme="4"/>
        </top>
        <bottom/>
        <vertical style="thick">
          <color theme="0"/>
        </vertical>
        <horizontal/>
      </border>
    </dxf>
    <dxf>
      <font>
        <b/>
        <i val="0"/>
        <color theme="1" tint="0.499984740745262"/>
      </font>
      <fill>
        <patternFill patternType="none">
          <fgColor indexed="64"/>
          <bgColor auto="1"/>
        </patternFill>
      </fill>
      <border>
        <top style="medium">
          <color theme="4"/>
        </top>
        <bottom style="thin">
          <color theme="4"/>
        </bottom>
        <vertical style="thick">
          <color theme="0"/>
        </vertical>
      </border>
    </dxf>
    <dxf>
      <font>
        <b val="0"/>
        <i val="0"/>
        <color theme="0" tint="-0.34998626667073579"/>
      </font>
      <border>
        <top style="thick">
          <color theme="0"/>
        </top>
        <bottom style="thick">
          <color theme="0"/>
        </bottom>
        <vertical style="thick">
          <color theme="0"/>
        </vertical>
        <horizontal style="thick">
          <color theme="0"/>
        </horizontal>
      </border>
    </dxf>
  </dxfs>
  <tableStyles count="3" defaultTableStyle="Family Budget Cash Available 3" defaultPivotStyle="PivotStyleMedium4">
    <tableStyle name="Family Budget Cash Available" pivot="0" count="6" xr9:uid="{00000000-0011-0000-FFFF-FFFF00000000}">
      <tableStyleElement type="wholeTable" dxfId="206"/>
      <tableStyleElement type="headerRow" dxfId="205"/>
      <tableStyleElement type="totalRow" dxfId="204"/>
      <tableStyleElement type="firstColumn" dxfId="203"/>
      <tableStyleElement type="firstHeaderCell" dxfId="202"/>
      <tableStyleElement type="firstTotalCell" dxfId="201"/>
    </tableStyle>
    <tableStyle name="Family Budget Cash Available 2" pivot="0" count="6" xr9:uid="{00000000-0011-0000-FFFF-FFFF01000000}">
      <tableStyleElement type="wholeTable" dxfId="200"/>
      <tableStyleElement type="headerRow" dxfId="199"/>
      <tableStyleElement type="totalRow" dxfId="198"/>
      <tableStyleElement type="firstColumn" dxfId="197"/>
      <tableStyleElement type="firstHeaderCell" dxfId="196"/>
      <tableStyleElement type="firstTotalCell" dxfId="195"/>
    </tableStyle>
    <tableStyle name="Family Budget Cash Available 3" pivot="0" count="6" xr9:uid="{00000000-0011-0000-FFFF-FFFF02000000}">
      <tableStyleElement type="wholeTable" dxfId="194"/>
      <tableStyleElement type="headerRow" dxfId="193"/>
      <tableStyleElement type="totalRow" dxfId="192"/>
      <tableStyleElement type="firstColumn" dxfId="191"/>
      <tableStyleElement type="firstHeaderCell" dxfId="190"/>
      <tableStyleElement type="firstTotalCell" dxfId="189"/>
    </tableStyle>
  </tableStyles>
  <colors>
    <mruColors>
      <color rgb="FFD1F3E8"/>
      <color rgb="FFCDE488"/>
      <color rgb="FFF8A7A0"/>
      <color rgb="FF75CAE5"/>
      <color rgb="FFB5DC94"/>
      <color rgb="FFACD888"/>
      <color rgb="FFC1E2A6"/>
      <color rgb="FFA9D684"/>
      <color rgb="FF0F76CB"/>
      <color rgb="FFCEE48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25.xml.rels><?xml version="1.0" encoding="UTF-8" standalone="yes"?>
<Relationships xmlns="http://schemas.openxmlformats.org/package/2006/relationships"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_rels/chart26.xml.rels><?xml version="1.0" encoding="UTF-8" standalone="yes"?>
<Relationships xmlns="http://schemas.openxmlformats.org/package/2006/relationships"><Relationship Id="rId2" Type="http://schemas.microsoft.com/office/2011/relationships/chartColorStyle" Target="colors26.xml"/><Relationship Id="rId1" Type="http://schemas.microsoft.com/office/2011/relationships/chartStyle" Target="style26.xml"/></Relationships>
</file>

<file path=xl/charts/_rels/chart27.xml.rels><?xml version="1.0" encoding="UTF-8" standalone="yes"?>
<Relationships xmlns="http://schemas.openxmlformats.org/package/2006/relationships"><Relationship Id="rId2" Type="http://schemas.microsoft.com/office/2011/relationships/chartColorStyle" Target="colors27.xml"/><Relationship Id="rId1" Type="http://schemas.microsoft.com/office/2011/relationships/chartStyle" Target="style27.xml"/></Relationships>
</file>

<file path=xl/charts/_rels/chart28.xml.rels><?xml version="1.0" encoding="UTF-8" standalone="yes"?>
<Relationships xmlns="http://schemas.openxmlformats.org/package/2006/relationships"><Relationship Id="rId2" Type="http://schemas.microsoft.com/office/2011/relationships/chartColorStyle" Target="colors28.xml"/><Relationship Id="rId1" Type="http://schemas.microsoft.com/office/2011/relationships/chartStyle" Target="style28.xml"/></Relationships>
</file>

<file path=xl/charts/_rels/chart29.xml.rels><?xml version="1.0" encoding="UTF-8" standalone="yes"?>
<Relationships xmlns="http://schemas.openxmlformats.org/package/2006/relationships"><Relationship Id="rId2" Type="http://schemas.microsoft.com/office/2011/relationships/chartColorStyle" Target="colors29.xml"/><Relationship Id="rId1" Type="http://schemas.microsoft.com/office/2011/relationships/chartStyle" Target="style29.xml"/></Relationships>
</file>

<file path=xl/charts/_rels/chart30.xml.rels><?xml version="1.0" encoding="UTF-8" standalone="yes"?>
<Relationships xmlns="http://schemas.openxmlformats.org/package/2006/relationships"><Relationship Id="rId2" Type="http://schemas.microsoft.com/office/2011/relationships/chartColorStyle" Target="colors30.xml"/><Relationship Id="rId1" Type="http://schemas.microsoft.com/office/2011/relationships/chartStyle" Target="style30.xml"/></Relationships>
</file>

<file path=xl/charts/_rels/chart31.xml.rels><?xml version="1.0" encoding="UTF-8" standalone="yes"?>
<Relationships xmlns="http://schemas.openxmlformats.org/package/2006/relationships"><Relationship Id="rId2" Type="http://schemas.microsoft.com/office/2011/relationships/chartColorStyle" Target="colors31.xml"/><Relationship Id="rId1" Type="http://schemas.microsoft.com/office/2011/relationships/chartStyle" Target="style31.xml"/></Relationships>
</file>

<file path=xl/charts/_rels/chart32.xml.rels><?xml version="1.0" encoding="UTF-8" standalone="yes"?>
<Relationships xmlns="http://schemas.openxmlformats.org/package/2006/relationships"><Relationship Id="rId2" Type="http://schemas.microsoft.com/office/2011/relationships/chartColorStyle" Target="colors32.xml"/><Relationship Id="rId1" Type="http://schemas.microsoft.com/office/2011/relationships/chartStyle" Target="style32.xml"/></Relationships>
</file>

<file path=xl/charts/_rels/chart33.xml.rels><?xml version="1.0" encoding="UTF-8" standalone="yes"?>
<Relationships xmlns="http://schemas.openxmlformats.org/package/2006/relationships"><Relationship Id="rId2" Type="http://schemas.microsoft.com/office/2011/relationships/chartColorStyle" Target="colors33.xml"/><Relationship Id="rId1" Type="http://schemas.microsoft.com/office/2011/relationships/chartStyle" Target="style33.xml"/></Relationships>
</file>

<file path=xl/charts/_rels/chart34.xml.rels><?xml version="1.0" encoding="UTF-8" standalone="yes"?>
<Relationships xmlns="http://schemas.openxmlformats.org/package/2006/relationships"><Relationship Id="rId2" Type="http://schemas.microsoft.com/office/2011/relationships/chartColorStyle" Target="colors34.xml"/><Relationship Id="rId1" Type="http://schemas.microsoft.com/office/2011/relationships/chartStyle" Target="style34.xml"/></Relationships>
</file>

<file path=xl/charts/_rels/chart35.xml.rels><?xml version="1.0" encoding="UTF-8" standalone="yes"?>
<Relationships xmlns="http://schemas.openxmlformats.org/package/2006/relationships"><Relationship Id="rId2" Type="http://schemas.microsoft.com/office/2011/relationships/chartColorStyle" Target="colors35.xml"/><Relationship Id="rId1" Type="http://schemas.microsoft.com/office/2011/relationships/chartStyle" Target="style35.xml"/></Relationships>
</file>

<file path=xl/charts/_rels/chart36.xml.rels><?xml version="1.0" encoding="UTF-8" standalone="yes"?>
<Relationships xmlns="http://schemas.openxmlformats.org/package/2006/relationships"><Relationship Id="rId2" Type="http://schemas.microsoft.com/office/2011/relationships/chartColorStyle" Target="colors36.xml"/><Relationship Id="rId1" Type="http://schemas.microsoft.com/office/2011/relationships/chartStyle" Target="style36.xml"/></Relationships>
</file>

<file path=xl/charts/_rels/chart37.xml.rels><?xml version="1.0" encoding="UTF-8" standalone="yes"?>
<Relationships xmlns="http://schemas.openxmlformats.org/package/2006/relationships"><Relationship Id="rId2" Type="http://schemas.microsoft.com/office/2011/relationships/chartColorStyle" Target="colors37.xml"/><Relationship Id="rId1" Type="http://schemas.microsoft.com/office/2011/relationships/chartStyle" Target="style37.xml"/></Relationships>
</file>

<file path=xl/charts/_rels/chart38.xml.rels><?xml version="1.0" encoding="UTF-8" standalone="yes"?>
<Relationships xmlns="http://schemas.openxmlformats.org/package/2006/relationships"><Relationship Id="rId2" Type="http://schemas.microsoft.com/office/2011/relationships/chartColorStyle" Target="colors38.xml"/><Relationship Id="rId1" Type="http://schemas.microsoft.com/office/2011/relationships/chartStyle" Target="style38.xml"/></Relationships>
</file>

<file path=xl/charts/_rels/chart39.xml.rels><?xml version="1.0" encoding="UTF-8" standalone="yes"?>
<Relationships xmlns="http://schemas.openxmlformats.org/package/2006/relationships"><Relationship Id="rId2" Type="http://schemas.microsoft.com/office/2011/relationships/chartColorStyle" Target="colors39.xml"/><Relationship Id="rId1" Type="http://schemas.microsoft.com/office/2011/relationships/chartStyle" Target="style39.xml"/></Relationships>
</file>

<file path=xl/charts/_rels/chart40.xml.rels><?xml version="1.0" encoding="UTF-8" standalone="yes"?>
<Relationships xmlns="http://schemas.openxmlformats.org/package/2006/relationships"><Relationship Id="rId2" Type="http://schemas.microsoft.com/office/2011/relationships/chartColorStyle" Target="colors40.xml"/><Relationship Id="rId1" Type="http://schemas.microsoft.com/office/2011/relationships/chartStyle" Target="style40.xml"/></Relationships>
</file>

<file path=xl/charts/_rels/chart41.xml.rels><?xml version="1.0" encoding="UTF-8" standalone="yes"?>
<Relationships xmlns="http://schemas.openxmlformats.org/package/2006/relationships"><Relationship Id="rId2" Type="http://schemas.microsoft.com/office/2011/relationships/chartColorStyle" Target="colors41.xml"/><Relationship Id="rId1" Type="http://schemas.microsoft.com/office/2011/relationships/chartStyle" Target="style41.xml"/></Relationships>
</file>

<file path=xl/charts/_rels/chart42.xml.rels><?xml version="1.0" encoding="UTF-8" standalone="yes"?>
<Relationships xmlns="http://schemas.openxmlformats.org/package/2006/relationships"><Relationship Id="rId2" Type="http://schemas.microsoft.com/office/2011/relationships/chartColorStyle" Target="colors42.xml"/><Relationship Id="rId1" Type="http://schemas.microsoft.com/office/2011/relationships/chartStyle" Target="style42.xml"/></Relationships>
</file>

<file path=xl/charts/_rels/chart43.xml.rels><?xml version="1.0" encoding="UTF-8" standalone="yes"?>
<Relationships xmlns="http://schemas.openxmlformats.org/package/2006/relationships"><Relationship Id="rId2" Type="http://schemas.microsoft.com/office/2011/relationships/chartColorStyle" Target="colors43.xml"/><Relationship Id="rId1" Type="http://schemas.microsoft.com/office/2011/relationships/chartStyle" Target="style43.xml"/></Relationships>
</file>

<file path=xl/charts/_rels/chart44.xml.rels><?xml version="1.0" encoding="UTF-8" standalone="yes"?>
<Relationships xmlns="http://schemas.openxmlformats.org/package/2006/relationships"><Relationship Id="rId2" Type="http://schemas.microsoft.com/office/2011/relationships/chartColorStyle" Target="colors44.xml"/><Relationship Id="rId1" Type="http://schemas.microsoft.com/office/2011/relationships/chartStyle" Target="style44.xml"/></Relationships>
</file>

<file path=xl/charts/_rels/chart45.xml.rels><?xml version="1.0" encoding="UTF-8" standalone="yes"?>
<Relationships xmlns="http://schemas.openxmlformats.org/package/2006/relationships"><Relationship Id="rId2" Type="http://schemas.microsoft.com/office/2011/relationships/chartColorStyle" Target="colors45.xml"/><Relationship Id="rId1" Type="http://schemas.microsoft.com/office/2011/relationships/chartStyle" Target="style45.xml"/></Relationships>
</file>

<file path=xl/charts/_rels/chart46.xml.rels><?xml version="1.0" encoding="UTF-8" standalone="yes"?>
<Relationships xmlns="http://schemas.openxmlformats.org/package/2006/relationships"><Relationship Id="rId2" Type="http://schemas.microsoft.com/office/2011/relationships/chartColorStyle" Target="colors46.xml"/><Relationship Id="rId1" Type="http://schemas.microsoft.com/office/2011/relationships/chartStyle" Target="style46.xml"/></Relationships>
</file>

<file path=xl/charts/_rels/chart47.xml.rels><?xml version="1.0" encoding="UTF-8" standalone="yes"?>
<Relationships xmlns="http://schemas.openxmlformats.org/package/2006/relationships"><Relationship Id="rId2" Type="http://schemas.microsoft.com/office/2011/relationships/chartColorStyle" Target="colors47.xml"/><Relationship Id="rId1" Type="http://schemas.microsoft.com/office/2011/relationships/chartStyle" Target="style47.xml"/></Relationships>
</file>

<file path=xl/charts/_rels/chart48.xml.rels><?xml version="1.0" encoding="UTF-8" standalone="yes"?>
<Relationships xmlns="http://schemas.openxmlformats.org/package/2006/relationships"><Relationship Id="rId2" Type="http://schemas.microsoft.com/office/2011/relationships/chartColorStyle" Target="colors48.xml"/><Relationship Id="rId1" Type="http://schemas.microsoft.com/office/2011/relationships/chartStyle" Target="style48.xml"/></Relationships>
</file>

<file path=xl/charts/_rels/chart49.xml.rels><?xml version="1.0" encoding="UTF-8" standalone="yes"?>
<Relationships xmlns="http://schemas.openxmlformats.org/package/2006/relationships"><Relationship Id="rId2" Type="http://schemas.microsoft.com/office/2011/relationships/chartColorStyle" Target="colors49.xml"/><Relationship Id="rId1" Type="http://schemas.microsoft.com/office/2011/relationships/chartStyle" Target="style49.xml"/></Relationships>
</file>

<file path=xl/charts/_rels/chart50.xml.rels><?xml version="1.0" encoding="UTF-8" standalone="yes"?>
<Relationships xmlns="http://schemas.openxmlformats.org/package/2006/relationships"><Relationship Id="rId2" Type="http://schemas.microsoft.com/office/2011/relationships/chartColorStyle" Target="colors50.xml"/><Relationship Id="rId1" Type="http://schemas.microsoft.com/office/2011/relationships/chartStyle" Target="style50.xml"/></Relationships>
</file>

<file path=xl/charts/_rels/chart51.xml.rels><?xml version="1.0" encoding="UTF-8" standalone="yes"?>
<Relationships xmlns="http://schemas.openxmlformats.org/package/2006/relationships"><Relationship Id="rId2" Type="http://schemas.microsoft.com/office/2011/relationships/chartColorStyle" Target="colors51.xml"/><Relationship Id="rId1" Type="http://schemas.microsoft.com/office/2011/relationships/chartStyle" Target="style51.xml"/></Relationships>
</file>

<file path=xl/charts/_rels/chart52.xml.rels><?xml version="1.0" encoding="UTF-8" standalone="yes"?>
<Relationships xmlns="http://schemas.openxmlformats.org/package/2006/relationships"><Relationship Id="rId2" Type="http://schemas.microsoft.com/office/2011/relationships/chartColorStyle" Target="colors52.xml"/><Relationship Id="rId1" Type="http://schemas.microsoft.com/office/2011/relationships/chartStyle" Target="style52.xml"/></Relationships>
</file>

<file path=xl/charts/_rels/chart53.xml.rels><?xml version="1.0" encoding="UTF-8" standalone="yes"?>
<Relationships xmlns="http://schemas.openxmlformats.org/package/2006/relationships"><Relationship Id="rId2" Type="http://schemas.microsoft.com/office/2011/relationships/chartColorStyle" Target="colors53.xml"/><Relationship Id="rId1" Type="http://schemas.microsoft.com/office/2011/relationships/chartStyle" Target="style53.xml"/></Relationships>
</file>

<file path=xl/charts/_rels/chart54.xml.rels><?xml version="1.0" encoding="UTF-8" standalone="yes"?>
<Relationships xmlns="http://schemas.openxmlformats.org/package/2006/relationships"><Relationship Id="rId2" Type="http://schemas.microsoft.com/office/2011/relationships/chartColorStyle" Target="colors54.xml"/><Relationship Id="rId1" Type="http://schemas.microsoft.com/office/2011/relationships/chartStyle" Target="style54.xml"/></Relationships>
</file>

<file path=xl/charts/_rels/chart55.xml.rels><?xml version="1.0" encoding="UTF-8" standalone="yes"?>
<Relationships xmlns="http://schemas.openxmlformats.org/package/2006/relationships"><Relationship Id="rId2" Type="http://schemas.microsoft.com/office/2011/relationships/chartColorStyle" Target="colors55.xml"/><Relationship Id="rId1" Type="http://schemas.microsoft.com/office/2011/relationships/chartStyle" Target="style55.xml"/></Relationships>
</file>

<file path=xl/charts/_rels/chart56.xml.rels><?xml version="1.0" encoding="UTF-8" standalone="yes"?>
<Relationships xmlns="http://schemas.openxmlformats.org/package/2006/relationships"><Relationship Id="rId2" Type="http://schemas.microsoft.com/office/2011/relationships/chartColorStyle" Target="colors56.xml"/><Relationship Id="rId1" Type="http://schemas.microsoft.com/office/2011/relationships/chartStyle" Target="style56.xml"/></Relationships>
</file>

<file path=xl/charts/_rels/chart57.xml.rels><?xml version="1.0" encoding="UTF-8" standalone="yes"?>
<Relationships xmlns="http://schemas.openxmlformats.org/package/2006/relationships"><Relationship Id="rId2" Type="http://schemas.microsoft.com/office/2011/relationships/chartColorStyle" Target="colors57.xml"/><Relationship Id="rId1" Type="http://schemas.microsoft.com/office/2011/relationships/chartStyle" Target="style57.xml"/></Relationships>
</file>

<file path=xl/charts/_rels/chart58.xml.rels><?xml version="1.0" encoding="UTF-8" standalone="yes"?>
<Relationships xmlns="http://schemas.openxmlformats.org/package/2006/relationships"><Relationship Id="rId2" Type="http://schemas.microsoft.com/office/2011/relationships/chartColorStyle" Target="colors58.xml"/><Relationship Id="rId1" Type="http://schemas.microsoft.com/office/2011/relationships/chartStyle" Target="style58.xml"/></Relationships>
</file>

<file path=xl/charts/_rels/chart59.xml.rels><?xml version="1.0" encoding="UTF-8" standalone="yes"?>
<Relationships xmlns="http://schemas.openxmlformats.org/package/2006/relationships"><Relationship Id="rId2" Type="http://schemas.microsoft.com/office/2011/relationships/chartColorStyle" Target="colors59.xml"/><Relationship Id="rId1" Type="http://schemas.microsoft.com/office/2011/relationships/chartStyle" Target="style59.xml"/></Relationships>
</file>

<file path=xl/charts/_rels/chart60.xml.rels><?xml version="1.0" encoding="UTF-8" standalone="yes"?>
<Relationships xmlns="http://schemas.openxmlformats.org/package/2006/relationships"><Relationship Id="rId2" Type="http://schemas.microsoft.com/office/2011/relationships/chartColorStyle" Target="colors60.xml"/><Relationship Id="rId1" Type="http://schemas.microsoft.com/office/2011/relationships/chartStyle" Target="style60.xml"/></Relationships>
</file>

<file path=xl/charts/_rels/chart61.xml.rels><?xml version="1.0" encoding="UTF-8" standalone="yes"?>
<Relationships xmlns="http://schemas.openxmlformats.org/package/2006/relationships"><Relationship Id="rId2" Type="http://schemas.microsoft.com/office/2011/relationships/chartColorStyle" Target="colors61.xml"/><Relationship Id="rId1" Type="http://schemas.microsoft.com/office/2011/relationships/chartStyle" Target="style6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선호도!$B$5</c:f>
              <c:strCache>
                <c:ptCount val="1"/>
                <c:pt idx="0">
                  <c:v>선호도</c:v>
                </c:pt>
              </c:strCache>
            </c:strRef>
          </c:tx>
          <c:spPr>
            <a:solidFill>
              <a:schemeClr val="accent2">
                <a:alpha val="7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선호도!$C$4:$M$4</c:f>
              <c:strCache>
                <c:ptCount val="11"/>
                <c:pt idx="0">
                  <c:v>모험가</c:v>
                </c:pt>
                <c:pt idx="1">
                  <c:v>관광객</c:v>
                </c:pt>
                <c:pt idx="2">
                  <c:v>인간</c:v>
                </c:pt>
                <c:pt idx="3">
                  <c:v>엘프</c:v>
                </c:pt>
                <c:pt idx="4">
                  <c:v>드워프</c:v>
                </c:pt>
                <c:pt idx="5">
                  <c:v>오크</c:v>
                </c:pt>
                <c:pt idx="6">
                  <c:v>멍멍이</c:v>
                </c:pt>
                <c:pt idx="7">
                  <c:v>야옹이</c:v>
                </c:pt>
                <c:pt idx="8">
                  <c:v>부유층</c:v>
                </c:pt>
                <c:pt idx="9">
                  <c:v>중산층</c:v>
                </c:pt>
                <c:pt idx="10">
                  <c:v>서민층</c:v>
                </c:pt>
              </c:strCache>
            </c:strRef>
          </c:cat>
          <c:val>
            <c:numRef>
              <c:f>선호도!$C$5:$M$5</c:f>
              <c:numCache>
                <c:formatCode>General</c:formatCode>
                <c:ptCount val="11"/>
                <c:pt idx="0">
                  <c:v>10</c:v>
                </c:pt>
                <c:pt idx="1">
                  <c:v>40</c:v>
                </c:pt>
                <c:pt idx="2">
                  <c:v>20</c:v>
                </c:pt>
                <c:pt idx="3">
                  <c:v>25</c:v>
                </c:pt>
                <c:pt idx="4">
                  <c:v>15</c:v>
                </c:pt>
                <c:pt idx="5">
                  <c:v>40</c:v>
                </c:pt>
                <c:pt idx="6">
                  <c:v>15</c:v>
                </c:pt>
                <c:pt idx="7">
                  <c:v>25</c:v>
                </c:pt>
                <c:pt idx="8">
                  <c:v>15</c:v>
                </c:pt>
                <c:pt idx="9">
                  <c:v>30</c:v>
                </c:pt>
                <c:pt idx="10">
                  <c:v>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B36-428D-8E09-2961CDAD95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80"/>
        <c:overlap val="25"/>
        <c:axId val="280440360"/>
        <c:axId val="280437408"/>
      </c:barChart>
      <c:catAx>
        <c:axId val="2804403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587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80437408"/>
        <c:crosses val="autoZero"/>
        <c:auto val="1"/>
        <c:lblAlgn val="ctr"/>
        <c:lblOffset val="100"/>
        <c:noMultiLvlLbl val="0"/>
      </c:catAx>
      <c:valAx>
        <c:axId val="280437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804403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선호도!$B$7</c:f>
              <c:strCache>
                <c:ptCount val="1"/>
                <c:pt idx="0">
                  <c:v>선호도</c:v>
                </c:pt>
              </c:strCache>
            </c:strRef>
          </c:tx>
          <c:spPr>
            <a:solidFill>
              <a:schemeClr val="accent2">
                <a:alpha val="7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선호도!$C$6:$M$6</c:f>
              <c:strCache>
                <c:ptCount val="11"/>
                <c:pt idx="0">
                  <c:v>모험가</c:v>
                </c:pt>
                <c:pt idx="1">
                  <c:v>관광객</c:v>
                </c:pt>
                <c:pt idx="2">
                  <c:v>인간</c:v>
                </c:pt>
                <c:pt idx="3">
                  <c:v>엘프</c:v>
                </c:pt>
                <c:pt idx="4">
                  <c:v>드워프</c:v>
                </c:pt>
                <c:pt idx="5">
                  <c:v>오크</c:v>
                </c:pt>
                <c:pt idx="6">
                  <c:v>멍멍이</c:v>
                </c:pt>
                <c:pt idx="7">
                  <c:v>야옹이</c:v>
                </c:pt>
                <c:pt idx="8">
                  <c:v>부유층</c:v>
                </c:pt>
                <c:pt idx="9">
                  <c:v>중산층</c:v>
                </c:pt>
                <c:pt idx="10">
                  <c:v>서민층</c:v>
                </c:pt>
              </c:strCache>
            </c:strRef>
          </c:cat>
          <c:val>
            <c:numRef>
              <c:f>선호도!$C$7:$M$7</c:f>
              <c:numCache>
                <c:formatCode>General</c:formatCode>
                <c:ptCount val="11"/>
                <c:pt idx="0">
                  <c:v>40</c:v>
                </c:pt>
                <c:pt idx="1">
                  <c:v>35</c:v>
                </c:pt>
                <c:pt idx="2">
                  <c:v>30</c:v>
                </c:pt>
                <c:pt idx="3">
                  <c:v>50</c:v>
                </c:pt>
                <c:pt idx="4">
                  <c:v>25</c:v>
                </c:pt>
                <c:pt idx="5">
                  <c:v>15</c:v>
                </c:pt>
                <c:pt idx="6">
                  <c:v>30</c:v>
                </c:pt>
                <c:pt idx="7">
                  <c:v>25</c:v>
                </c:pt>
                <c:pt idx="8">
                  <c:v>15</c:v>
                </c:pt>
                <c:pt idx="9">
                  <c:v>40</c:v>
                </c:pt>
                <c:pt idx="10">
                  <c:v>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7C4-40DE-AA04-B2D99E3D2C24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80"/>
        <c:overlap val="25"/>
        <c:axId val="313226720"/>
        <c:axId val="313223768"/>
      </c:barChart>
      <c:catAx>
        <c:axId val="3132267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587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313223768"/>
        <c:crosses val="autoZero"/>
        <c:auto val="1"/>
        <c:lblAlgn val="ctr"/>
        <c:lblOffset val="100"/>
        <c:noMultiLvlLbl val="0"/>
      </c:catAx>
      <c:valAx>
        <c:axId val="313223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3132267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선호도!$A$9:$B$9</c:f>
              <c:strCache>
                <c:ptCount val="2"/>
                <c:pt idx="0">
                  <c:v>미니카페</c:v>
                </c:pt>
                <c:pt idx="1">
                  <c:v>선호도</c:v>
                </c:pt>
              </c:strCache>
            </c:strRef>
          </c:tx>
          <c:spPr>
            <a:solidFill>
              <a:schemeClr val="accent2">
                <a:alpha val="7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선호도!$C$8:$M$8</c:f>
              <c:strCache>
                <c:ptCount val="11"/>
                <c:pt idx="0">
                  <c:v>모험가</c:v>
                </c:pt>
                <c:pt idx="1">
                  <c:v>관광객</c:v>
                </c:pt>
                <c:pt idx="2">
                  <c:v>인간</c:v>
                </c:pt>
                <c:pt idx="3">
                  <c:v>엘프</c:v>
                </c:pt>
                <c:pt idx="4">
                  <c:v>드워프</c:v>
                </c:pt>
                <c:pt idx="5">
                  <c:v>오크</c:v>
                </c:pt>
                <c:pt idx="6">
                  <c:v>멍멍이</c:v>
                </c:pt>
                <c:pt idx="7">
                  <c:v>야옹이</c:v>
                </c:pt>
                <c:pt idx="8">
                  <c:v>부유층</c:v>
                </c:pt>
                <c:pt idx="9">
                  <c:v>중산층</c:v>
                </c:pt>
                <c:pt idx="10">
                  <c:v>서민층</c:v>
                </c:pt>
              </c:strCache>
            </c:strRef>
          </c:cat>
          <c:val>
            <c:numRef>
              <c:f>선호도!$C$9:$M$9</c:f>
              <c:numCache>
                <c:formatCode>General</c:formatCode>
                <c:ptCount val="11"/>
                <c:pt idx="0">
                  <c:v>40</c:v>
                </c:pt>
                <c:pt idx="1">
                  <c:v>40</c:v>
                </c:pt>
                <c:pt idx="2">
                  <c:v>35</c:v>
                </c:pt>
                <c:pt idx="3">
                  <c:v>40</c:v>
                </c:pt>
                <c:pt idx="4">
                  <c:v>55</c:v>
                </c:pt>
                <c:pt idx="5">
                  <c:v>10</c:v>
                </c:pt>
                <c:pt idx="6">
                  <c:v>20</c:v>
                </c:pt>
                <c:pt idx="7">
                  <c:v>30</c:v>
                </c:pt>
                <c:pt idx="8">
                  <c:v>35</c:v>
                </c:pt>
                <c:pt idx="9">
                  <c:v>55</c:v>
                </c:pt>
                <c:pt idx="10">
                  <c:v>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3A1-4D36-8EDC-5F4E9C57F4E1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80"/>
        <c:overlap val="25"/>
        <c:axId val="905673144"/>
        <c:axId val="905672160"/>
      </c:barChart>
      <c:catAx>
        <c:axId val="9056731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587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905672160"/>
        <c:crosses val="autoZero"/>
        <c:auto val="1"/>
        <c:lblAlgn val="ctr"/>
        <c:lblOffset val="100"/>
        <c:noMultiLvlLbl val="0"/>
      </c:catAx>
      <c:valAx>
        <c:axId val="905672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9056731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선호도!$B$15</c:f>
              <c:strCache>
                <c:ptCount val="1"/>
                <c:pt idx="0">
                  <c:v>선호도</c:v>
                </c:pt>
              </c:strCache>
            </c:strRef>
          </c:tx>
          <c:spPr>
            <a:solidFill>
              <a:schemeClr val="accent2">
                <a:alpha val="7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선호도!$C$14:$M$14</c:f>
              <c:strCache>
                <c:ptCount val="11"/>
                <c:pt idx="0">
                  <c:v>모험가</c:v>
                </c:pt>
                <c:pt idx="1">
                  <c:v>관광객</c:v>
                </c:pt>
                <c:pt idx="2">
                  <c:v>인간</c:v>
                </c:pt>
                <c:pt idx="3">
                  <c:v>엘프</c:v>
                </c:pt>
                <c:pt idx="4">
                  <c:v>드워프</c:v>
                </c:pt>
                <c:pt idx="5">
                  <c:v>오크</c:v>
                </c:pt>
                <c:pt idx="6">
                  <c:v>멍멍이</c:v>
                </c:pt>
                <c:pt idx="7">
                  <c:v>야옹이</c:v>
                </c:pt>
                <c:pt idx="8">
                  <c:v>부유층</c:v>
                </c:pt>
                <c:pt idx="9">
                  <c:v>중산층</c:v>
                </c:pt>
                <c:pt idx="10">
                  <c:v>서민층</c:v>
                </c:pt>
              </c:strCache>
            </c:strRef>
          </c:cat>
          <c:val>
            <c:numRef>
              <c:f>선호도!$C$15:$M$15</c:f>
              <c:numCache>
                <c:formatCode>General</c:formatCode>
                <c:ptCount val="11"/>
                <c:pt idx="0">
                  <c:v>45</c:v>
                </c:pt>
                <c:pt idx="1">
                  <c:v>70</c:v>
                </c:pt>
                <c:pt idx="2">
                  <c:v>45</c:v>
                </c:pt>
                <c:pt idx="3">
                  <c:v>60</c:v>
                </c:pt>
                <c:pt idx="4">
                  <c:v>50</c:v>
                </c:pt>
                <c:pt idx="5">
                  <c:v>15</c:v>
                </c:pt>
                <c:pt idx="6">
                  <c:v>50</c:v>
                </c:pt>
                <c:pt idx="7">
                  <c:v>35</c:v>
                </c:pt>
                <c:pt idx="8">
                  <c:v>40</c:v>
                </c:pt>
                <c:pt idx="9">
                  <c:v>60</c:v>
                </c:pt>
                <c:pt idx="10">
                  <c:v>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FAE-47A3-8E15-F5560C1182CE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80"/>
        <c:overlap val="25"/>
        <c:axId val="362138272"/>
        <c:axId val="362136632"/>
      </c:barChart>
      <c:catAx>
        <c:axId val="3621382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587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362136632"/>
        <c:crosses val="autoZero"/>
        <c:auto val="1"/>
        <c:lblAlgn val="ctr"/>
        <c:lblOffset val="100"/>
        <c:noMultiLvlLbl val="0"/>
      </c:catAx>
      <c:valAx>
        <c:axId val="362136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3621382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선호도!$B$15</c:f>
              <c:strCache>
                <c:ptCount val="1"/>
                <c:pt idx="0">
                  <c:v>선호도</c:v>
                </c:pt>
              </c:strCache>
            </c:strRef>
          </c:tx>
          <c:spPr>
            <a:solidFill>
              <a:schemeClr val="accent2">
                <a:alpha val="7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선호도!$C$14:$M$14</c:f>
              <c:strCache>
                <c:ptCount val="11"/>
                <c:pt idx="0">
                  <c:v>모험가</c:v>
                </c:pt>
                <c:pt idx="1">
                  <c:v>관광객</c:v>
                </c:pt>
                <c:pt idx="2">
                  <c:v>인간</c:v>
                </c:pt>
                <c:pt idx="3">
                  <c:v>엘프</c:v>
                </c:pt>
                <c:pt idx="4">
                  <c:v>드워프</c:v>
                </c:pt>
                <c:pt idx="5">
                  <c:v>오크</c:v>
                </c:pt>
                <c:pt idx="6">
                  <c:v>멍멍이</c:v>
                </c:pt>
                <c:pt idx="7">
                  <c:v>야옹이</c:v>
                </c:pt>
                <c:pt idx="8">
                  <c:v>부유층</c:v>
                </c:pt>
                <c:pt idx="9">
                  <c:v>중산층</c:v>
                </c:pt>
                <c:pt idx="10">
                  <c:v>서민층</c:v>
                </c:pt>
              </c:strCache>
            </c:strRef>
          </c:cat>
          <c:val>
            <c:numRef>
              <c:f>선호도!$C$15:$M$15</c:f>
              <c:numCache>
                <c:formatCode>General</c:formatCode>
                <c:ptCount val="11"/>
                <c:pt idx="0">
                  <c:v>45</c:v>
                </c:pt>
                <c:pt idx="1">
                  <c:v>70</c:v>
                </c:pt>
                <c:pt idx="2">
                  <c:v>45</c:v>
                </c:pt>
                <c:pt idx="3">
                  <c:v>60</c:v>
                </c:pt>
                <c:pt idx="4">
                  <c:v>50</c:v>
                </c:pt>
                <c:pt idx="5">
                  <c:v>15</c:v>
                </c:pt>
                <c:pt idx="6">
                  <c:v>50</c:v>
                </c:pt>
                <c:pt idx="7">
                  <c:v>35</c:v>
                </c:pt>
                <c:pt idx="8">
                  <c:v>40</c:v>
                </c:pt>
                <c:pt idx="9">
                  <c:v>60</c:v>
                </c:pt>
                <c:pt idx="10">
                  <c:v>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501-41C5-9465-0818124FCA8F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80"/>
        <c:overlap val="25"/>
        <c:axId val="362138272"/>
        <c:axId val="362136632"/>
      </c:barChart>
      <c:catAx>
        <c:axId val="3621382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587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362136632"/>
        <c:crosses val="autoZero"/>
        <c:auto val="1"/>
        <c:lblAlgn val="ctr"/>
        <c:lblOffset val="100"/>
        <c:noMultiLvlLbl val="0"/>
      </c:catAx>
      <c:valAx>
        <c:axId val="362136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3621382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선호도!$B$17</c:f>
              <c:strCache>
                <c:ptCount val="1"/>
                <c:pt idx="0">
                  <c:v>선호도</c:v>
                </c:pt>
              </c:strCache>
            </c:strRef>
          </c:tx>
          <c:spPr>
            <a:solidFill>
              <a:schemeClr val="accent2">
                <a:alpha val="7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선호도!$C$16:$M$16</c:f>
              <c:strCache>
                <c:ptCount val="11"/>
                <c:pt idx="0">
                  <c:v>모험가</c:v>
                </c:pt>
                <c:pt idx="1">
                  <c:v>관광객</c:v>
                </c:pt>
                <c:pt idx="2">
                  <c:v>인간</c:v>
                </c:pt>
                <c:pt idx="3">
                  <c:v>엘프</c:v>
                </c:pt>
                <c:pt idx="4">
                  <c:v>드워프</c:v>
                </c:pt>
                <c:pt idx="5">
                  <c:v>오크</c:v>
                </c:pt>
                <c:pt idx="6">
                  <c:v>멍멍이</c:v>
                </c:pt>
                <c:pt idx="7">
                  <c:v>야옹이</c:v>
                </c:pt>
                <c:pt idx="8">
                  <c:v>부유층</c:v>
                </c:pt>
                <c:pt idx="9">
                  <c:v>중산층</c:v>
                </c:pt>
                <c:pt idx="10">
                  <c:v>서민층</c:v>
                </c:pt>
              </c:strCache>
            </c:strRef>
          </c:cat>
          <c:val>
            <c:numRef>
              <c:f>선호도!$C$17:$M$17</c:f>
              <c:numCache>
                <c:formatCode>General</c:formatCode>
                <c:ptCount val="11"/>
                <c:pt idx="0">
                  <c:v>85</c:v>
                </c:pt>
                <c:pt idx="1">
                  <c:v>20</c:v>
                </c:pt>
                <c:pt idx="2">
                  <c:v>65</c:v>
                </c:pt>
                <c:pt idx="3">
                  <c:v>45</c:v>
                </c:pt>
                <c:pt idx="4">
                  <c:v>70</c:v>
                </c:pt>
                <c:pt idx="5">
                  <c:v>75</c:v>
                </c:pt>
                <c:pt idx="6">
                  <c:v>55</c:v>
                </c:pt>
                <c:pt idx="7">
                  <c:v>40</c:v>
                </c:pt>
                <c:pt idx="8">
                  <c:v>50</c:v>
                </c:pt>
                <c:pt idx="9">
                  <c:v>50</c:v>
                </c:pt>
                <c:pt idx="10">
                  <c:v>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555-4048-977A-98F4E65704B5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80"/>
        <c:overlap val="25"/>
        <c:axId val="733592096"/>
        <c:axId val="733574056"/>
      </c:barChart>
      <c:catAx>
        <c:axId val="7335920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587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733574056"/>
        <c:crosses val="autoZero"/>
        <c:auto val="1"/>
        <c:lblAlgn val="ctr"/>
        <c:lblOffset val="100"/>
        <c:noMultiLvlLbl val="0"/>
      </c:catAx>
      <c:valAx>
        <c:axId val="733574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7335920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선호도!$B$17</c:f>
              <c:strCache>
                <c:ptCount val="1"/>
                <c:pt idx="0">
                  <c:v>선호도</c:v>
                </c:pt>
              </c:strCache>
            </c:strRef>
          </c:tx>
          <c:spPr>
            <a:solidFill>
              <a:schemeClr val="accent2">
                <a:alpha val="7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선호도!$C$16:$M$16</c:f>
              <c:strCache>
                <c:ptCount val="11"/>
                <c:pt idx="0">
                  <c:v>모험가</c:v>
                </c:pt>
                <c:pt idx="1">
                  <c:v>관광객</c:v>
                </c:pt>
                <c:pt idx="2">
                  <c:v>인간</c:v>
                </c:pt>
                <c:pt idx="3">
                  <c:v>엘프</c:v>
                </c:pt>
                <c:pt idx="4">
                  <c:v>드워프</c:v>
                </c:pt>
                <c:pt idx="5">
                  <c:v>오크</c:v>
                </c:pt>
                <c:pt idx="6">
                  <c:v>멍멍이</c:v>
                </c:pt>
                <c:pt idx="7">
                  <c:v>야옹이</c:v>
                </c:pt>
                <c:pt idx="8">
                  <c:v>부유층</c:v>
                </c:pt>
                <c:pt idx="9">
                  <c:v>중산층</c:v>
                </c:pt>
                <c:pt idx="10">
                  <c:v>서민층</c:v>
                </c:pt>
              </c:strCache>
            </c:strRef>
          </c:cat>
          <c:val>
            <c:numRef>
              <c:f>선호도!$C$17:$M$17</c:f>
              <c:numCache>
                <c:formatCode>General</c:formatCode>
                <c:ptCount val="11"/>
                <c:pt idx="0">
                  <c:v>85</c:v>
                </c:pt>
                <c:pt idx="1">
                  <c:v>20</c:v>
                </c:pt>
                <c:pt idx="2">
                  <c:v>65</c:v>
                </c:pt>
                <c:pt idx="3">
                  <c:v>45</c:v>
                </c:pt>
                <c:pt idx="4">
                  <c:v>70</c:v>
                </c:pt>
                <c:pt idx="5">
                  <c:v>75</c:v>
                </c:pt>
                <c:pt idx="6">
                  <c:v>55</c:v>
                </c:pt>
                <c:pt idx="7">
                  <c:v>40</c:v>
                </c:pt>
                <c:pt idx="8">
                  <c:v>50</c:v>
                </c:pt>
                <c:pt idx="9">
                  <c:v>50</c:v>
                </c:pt>
                <c:pt idx="10">
                  <c:v>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89C-4532-9B4F-7C94942567F1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80"/>
        <c:overlap val="25"/>
        <c:axId val="733592096"/>
        <c:axId val="733574056"/>
      </c:barChart>
      <c:catAx>
        <c:axId val="7335920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587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733574056"/>
        <c:crosses val="autoZero"/>
        <c:auto val="1"/>
        <c:lblAlgn val="ctr"/>
        <c:lblOffset val="100"/>
        <c:noMultiLvlLbl val="0"/>
      </c:catAx>
      <c:valAx>
        <c:axId val="733574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7335920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선호도!$B$29</c:f>
              <c:strCache>
                <c:ptCount val="1"/>
                <c:pt idx="0">
                  <c:v>선호도</c:v>
                </c:pt>
              </c:strCache>
            </c:strRef>
          </c:tx>
          <c:spPr>
            <a:solidFill>
              <a:schemeClr val="accent2">
                <a:alpha val="7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선호도!$C$28:$M$28</c:f>
              <c:strCache>
                <c:ptCount val="11"/>
                <c:pt idx="0">
                  <c:v>모험가</c:v>
                </c:pt>
                <c:pt idx="1">
                  <c:v>관광객</c:v>
                </c:pt>
                <c:pt idx="2">
                  <c:v>인간</c:v>
                </c:pt>
                <c:pt idx="3">
                  <c:v>엘프</c:v>
                </c:pt>
                <c:pt idx="4">
                  <c:v>드워프</c:v>
                </c:pt>
                <c:pt idx="5">
                  <c:v>오크</c:v>
                </c:pt>
                <c:pt idx="6">
                  <c:v>멍멍이</c:v>
                </c:pt>
                <c:pt idx="7">
                  <c:v>야옹이</c:v>
                </c:pt>
                <c:pt idx="8">
                  <c:v>부유층</c:v>
                </c:pt>
                <c:pt idx="9">
                  <c:v>중산층</c:v>
                </c:pt>
                <c:pt idx="10">
                  <c:v>서민층</c:v>
                </c:pt>
              </c:strCache>
            </c:strRef>
          </c:cat>
          <c:val>
            <c:numRef>
              <c:f>선호도!$C$29:$M$29</c:f>
              <c:numCache>
                <c:formatCode>General</c:formatCode>
                <c:ptCount val="11"/>
                <c:pt idx="0">
                  <c:v>30</c:v>
                </c:pt>
                <c:pt idx="1">
                  <c:v>20</c:v>
                </c:pt>
                <c:pt idx="2">
                  <c:v>25</c:v>
                </c:pt>
                <c:pt idx="3">
                  <c:v>5</c:v>
                </c:pt>
                <c:pt idx="4">
                  <c:v>25</c:v>
                </c:pt>
                <c:pt idx="5">
                  <c:v>30</c:v>
                </c:pt>
                <c:pt idx="6">
                  <c:v>40</c:v>
                </c:pt>
                <c:pt idx="7">
                  <c:v>15</c:v>
                </c:pt>
                <c:pt idx="8">
                  <c:v>5</c:v>
                </c:pt>
                <c:pt idx="9">
                  <c:v>30</c:v>
                </c:pt>
                <c:pt idx="10">
                  <c:v>70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699-48EE-8357-1062907A1FD0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80"/>
        <c:overlap val="25"/>
        <c:axId val="477197176"/>
        <c:axId val="477200128"/>
      </c:barChart>
      <c:catAx>
        <c:axId val="4771971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587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477200128"/>
        <c:crosses val="autoZero"/>
        <c:auto val="1"/>
        <c:lblAlgn val="ctr"/>
        <c:lblOffset val="100"/>
        <c:noMultiLvlLbl val="0"/>
      </c:catAx>
      <c:valAx>
        <c:axId val="4772001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4771971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선호도!$B$31</c:f>
              <c:strCache>
                <c:ptCount val="1"/>
                <c:pt idx="0">
                  <c:v>선호도</c:v>
                </c:pt>
              </c:strCache>
            </c:strRef>
          </c:tx>
          <c:spPr>
            <a:solidFill>
              <a:schemeClr val="accent2">
                <a:alpha val="7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선호도!$C$30:$M$30</c:f>
              <c:strCache>
                <c:ptCount val="11"/>
                <c:pt idx="0">
                  <c:v>모험가</c:v>
                </c:pt>
                <c:pt idx="1">
                  <c:v>관광객</c:v>
                </c:pt>
                <c:pt idx="2">
                  <c:v>인간</c:v>
                </c:pt>
                <c:pt idx="3">
                  <c:v>엘프</c:v>
                </c:pt>
                <c:pt idx="4">
                  <c:v>드워프</c:v>
                </c:pt>
                <c:pt idx="5">
                  <c:v>오크</c:v>
                </c:pt>
                <c:pt idx="6">
                  <c:v>멍멍이</c:v>
                </c:pt>
                <c:pt idx="7">
                  <c:v>야옹이</c:v>
                </c:pt>
                <c:pt idx="8">
                  <c:v>부유층</c:v>
                </c:pt>
                <c:pt idx="9">
                  <c:v>중산층</c:v>
                </c:pt>
                <c:pt idx="10">
                  <c:v>서민층</c:v>
                </c:pt>
              </c:strCache>
            </c:strRef>
          </c:cat>
          <c:val>
            <c:numRef>
              <c:f>선호도!$C$31:$M$31</c:f>
              <c:numCache>
                <c:formatCode>General</c:formatCode>
                <c:ptCount val="11"/>
                <c:pt idx="0">
                  <c:v>30</c:v>
                </c:pt>
                <c:pt idx="1">
                  <c:v>30</c:v>
                </c:pt>
                <c:pt idx="2">
                  <c:v>35</c:v>
                </c:pt>
                <c:pt idx="3">
                  <c:v>25</c:v>
                </c:pt>
                <c:pt idx="4">
                  <c:v>20</c:v>
                </c:pt>
                <c:pt idx="5">
                  <c:v>35</c:v>
                </c:pt>
                <c:pt idx="6">
                  <c:v>25</c:v>
                </c:pt>
                <c:pt idx="7">
                  <c:v>20</c:v>
                </c:pt>
                <c:pt idx="8">
                  <c:v>15</c:v>
                </c:pt>
                <c:pt idx="9">
                  <c:v>35</c:v>
                </c:pt>
                <c:pt idx="10">
                  <c:v>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C3F-4A53-97F7-812209E5B0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80"/>
        <c:overlap val="25"/>
        <c:axId val="232669248"/>
        <c:axId val="232665968"/>
      </c:barChart>
      <c:catAx>
        <c:axId val="2326692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587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32665968"/>
        <c:crosses val="autoZero"/>
        <c:auto val="1"/>
        <c:lblAlgn val="ctr"/>
        <c:lblOffset val="100"/>
        <c:noMultiLvlLbl val="0"/>
      </c:catAx>
      <c:valAx>
        <c:axId val="2326659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326692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선호도!$B$33</c:f>
              <c:strCache>
                <c:ptCount val="1"/>
                <c:pt idx="0">
                  <c:v>선호도</c:v>
                </c:pt>
              </c:strCache>
            </c:strRef>
          </c:tx>
          <c:spPr>
            <a:solidFill>
              <a:schemeClr val="accent2">
                <a:alpha val="7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선호도!$C$32:$M$32</c:f>
              <c:strCache>
                <c:ptCount val="11"/>
                <c:pt idx="0">
                  <c:v>모험가</c:v>
                </c:pt>
                <c:pt idx="1">
                  <c:v>관광객</c:v>
                </c:pt>
                <c:pt idx="2">
                  <c:v>인간</c:v>
                </c:pt>
                <c:pt idx="3">
                  <c:v>엘프</c:v>
                </c:pt>
                <c:pt idx="4">
                  <c:v>드워프</c:v>
                </c:pt>
                <c:pt idx="5">
                  <c:v>오크</c:v>
                </c:pt>
                <c:pt idx="6">
                  <c:v>멍멍이</c:v>
                </c:pt>
                <c:pt idx="7">
                  <c:v>야옹이</c:v>
                </c:pt>
                <c:pt idx="8">
                  <c:v>부유층</c:v>
                </c:pt>
                <c:pt idx="9">
                  <c:v>중산층</c:v>
                </c:pt>
                <c:pt idx="10">
                  <c:v>서민층</c:v>
                </c:pt>
              </c:strCache>
            </c:strRef>
          </c:cat>
          <c:val>
            <c:numRef>
              <c:f>선호도!$C$33:$M$33</c:f>
              <c:numCache>
                <c:formatCode>General</c:formatCode>
                <c:ptCount val="11"/>
                <c:pt idx="0">
                  <c:v>10</c:v>
                </c:pt>
                <c:pt idx="1">
                  <c:v>70</c:v>
                </c:pt>
                <c:pt idx="2">
                  <c:v>30</c:v>
                </c:pt>
                <c:pt idx="3">
                  <c:v>60</c:v>
                </c:pt>
                <c:pt idx="4">
                  <c:v>30</c:v>
                </c:pt>
                <c:pt idx="5">
                  <c:v>15</c:v>
                </c:pt>
                <c:pt idx="6">
                  <c:v>30</c:v>
                </c:pt>
                <c:pt idx="7">
                  <c:v>30</c:v>
                </c:pt>
                <c:pt idx="8">
                  <c:v>35</c:v>
                </c:pt>
                <c:pt idx="9">
                  <c:v>60</c:v>
                </c:pt>
                <c:pt idx="10">
                  <c:v>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7DE-48E1-A980-80E6418A5512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80"/>
        <c:overlap val="25"/>
        <c:axId val="887160784"/>
        <c:axId val="887160128"/>
      </c:barChart>
      <c:catAx>
        <c:axId val="8871607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587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887160128"/>
        <c:crosses val="autoZero"/>
        <c:auto val="1"/>
        <c:lblAlgn val="ctr"/>
        <c:lblOffset val="100"/>
        <c:noMultiLvlLbl val="0"/>
      </c:catAx>
      <c:valAx>
        <c:axId val="8871601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8871607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선호도!$B$35</c:f>
              <c:strCache>
                <c:ptCount val="1"/>
                <c:pt idx="0">
                  <c:v>선호도</c:v>
                </c:pt>
              </c:strCache>
            </c:strRef>
          </c:tx>
          <c:spPr>
            <a:solidFill>
              <a:schemeClr val="accent2">
                <a:alpha val="7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선호도!$C$34:$M$34</c:f>
              <c:strCache>
                <c:ptCount val="11"/>
                <c:pt idx="0">
                  <c:v>모험가</c:v>
                </c:pt>
                <c:pt idx="1">
                  <c:v>관광객</c:v>
                </c:pt>
                <c:pt idx="2">
                  <c:v>인간</c:v>
                </c:pt>
                <c:pt idx="3">
                  <c:v>엘프</c:v>
                </c:pt>
                <c:pt idx="4">
                  <c:v>드워프</c:v>
                </c:pt>
                <c:pt idx="5">
                  <c:v>오크</c:v>
                </c:pt>
                <c:pt idx="6">
                  <c:v>멍멍이</c:v>
                </c:pt>
                <c:pt idx="7">
                  <c:v>야옹이</c:v>
                </c:pt>
                <c:pt idx="8">
                  <c:v>부유층</c:v>
                </c:pt>
                <c:pt idx="9">
                  <c:v>중산층</c:v>
                </c:pt>
                <c:pt idx="10">
                  <c:v>서민층</c:v>
                </c:pt>
              </c:strCache>
            </c:strRef>
          </c:cat>
          <c:val>
            <c:numRef>
              <c:f>선호도!$C$35:$M$35</c:f>
              <c:numCache>
                <c:formatCode>General</c:formatCode>
                <c:ptCount val="11"/>
                <c:pt idx="0">
                  <c:v>60</c:v>
                </c:pt>
                <c:pt idx="1">
                  <c:v>20</c:v>
                </c:pt>
                <c:pt idx="2">
                  <c:v>40</c:v>
                </c:pt>
                <c:pt idx="3">
                  <c:v>20</c:v>
                </c:pt>
                <c:pt idx="4">
                  <c:v>45</c:v>
                </c:pt>
                <c:pt idx="5">
                  <c:v>60</c:v>
                </c:pt>
                <c:pt idx="6">
                  <c:v>50</c:v>
                </c:pt>
                <c:pt idx="7">
                  <c:v>60</c:v>
                </c:pt>
                <c:pt idx="8">
                  <c:v>15</c:v>
                </c:pt>
                <c:pt idx="9">
                  <c:v>60</c:v>
                </c:pt>
                <c:pt idx="10">
                  <c:v>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D78-4059-8E1D-6C658A0C806F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80"/>
        <c:overlap val="25"/>
        <c:axId val="728187024"/>
        <c:axId val="728184400"/>
      </c:barChart>
      <c:catAx>
        <c:axId val="7281870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587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728184400"/>
        <c:crosses val="autoZero"/>
        <c:auto val="1"/>
        <c:lblAlgn val="ctr"/>
        <c:lblOffset val="100"/>
        <c:noMultiLvlLbl val="0"/>
      </c:catAx>
      <c:valAx>
        <c:axId val="7281844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7281870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선호도!$B$37</c:f>
              <c:strCache>
                <c:ptCount val="1"/>
                <c:pt idx="0">
                  <c:v>선호도</c:v>
                </c:pt>
              </c:strCache>
            </c:strRef>
          </c:tx>
          <c:spPr>
            <a:solidFill>
              <a:schemeClr val="accent2">
                <a:alpha val="7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선호도!$C$36:$M$36</c:f>
              <c:strCache>
                <c:ptCount val="11"/>
                <c:pt idx="0">
                  <c:v>모험가</c:v>
                </c:pt>
                <c:pt idx="1">
                  <c:v>관광객</c:v>
                </c:pt>
                <c:pt idx="2">
                  <c:v>인간</c:v>
                </c:pt>
                <c:pt idx="3">
                  <c:v>엘프</c:v>
                </c:pt>
                <c:pt idx="4">
                  <c:v>드워프</c:v>
                </c:pt>
                <c:pt idx="5">
                  <c:v>오크</c:v>
                </c:pt>
                <c:pt idx="6">
                  <c:v>멍멍이</c:v>
                </c:pt>
                <c:pt idx="7">
                  <c:v>야옹이</c:v>
                </c:pt>
                <c:pt idx="8">
                  <c:v>부유층</c:v>
                </c:pt>
                <c:pt idx="9">
                  <c:v>중산층</c:v>
                </c:pt>
                <c:pt idx="10">
                  <c:v>서민층</c:v>
                </c:pt>
              </c:strCache>
            </c:strRef>
          </c:cat>
          <c:val>
            <c:numRef>
              <c:f>선호도!$C$37:$M$37</c:f>
              <c:numCache>
                <c:formatCode>General</c:formatCode>
                <c:ptCount val="11"/>
                <c:pt idx="0">
                  <c:v>35</c:v>
                </c:pt>
                <c:pt idx="1">
                  <c:v>65</c:v>
                </c:pt>
                <c:pt idx="2">
                  <c:v>45</c:v>
                </c:pt>
                <c:pt idx="3">
                  <c:v>50</c:v>
                </c:pt>
                <c:pt idx="4">
                  <c:v>45</c:v>
                </c:pt>
                <c:pt idx="5">
                  <c:v>30</c:v>
                </c:pt>
                <c:pt idx="6">
                  <c:v>40</c:v>
                </c:pt>
                <c:pt idx="7">
                  <c:v>25</c:v>
                </c:pt>
                <c:pt idx="8">
                  <c:v>60</c:v>
                </c:pt>
                <c:pt idx="9">
                  <c:v>50</c:v>
                </c:pt>
                <c:pt idx="10">
                  <c:v>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61C-449F-9D4A-104CBC221B63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80"/>
        <c:overlap val="25"/>
        <c:axId val="715642968"/>
        <c:axId val="748083056"/>
      </c:barChart>
      <c:catAx>
        <c:axId val="7156429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587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748083056"/>
        <c:crosses val="autoZero"/>
        <c:auto val="1"/>
        <c:lblAlgn val="ctr"/>
        <c:lblOffset val="100"/>
        <c:noMultiLvlLbl val="0"/>
      </c:catAx>
      <c:valAx>
        <c:axId val="748083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7156429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선호도!$B$39</c:f>
              <c:strCache>
                <c:ptCount val="1"/>
                <c:pt idx="0">
                  <c:v>선호도</c:v>
                </c:pt>
              </c:strCache>
            </c:strRef>
          </c:tx>
          <c:spPr>
            <a:solidFill>
              <a:schemeClr val="accent2">
                <a:alpha val="7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선호도!$C$38:$M$38</c:f>
              <c:strCache>
                <c:ptCount val="11"/>
                <c:pt idx="0">
                  <c:v>모험가</c:v>
                </c:pt>
                <c:pt idx="1">
                  <c:v>관광객</c:v>
                </c:pt>
                <c:pt idx="2">
                  <c:v>인간</c:v>
                </c:pt>
                <c:pt idx="3">
                  <c:v>엘프</c:v>
                </c:pt>
                <c:pt idx="4">
                  <c:v>드워프</c:v>
                </c:pt>
                <c:pt idx="5">
                  <c:v>오크</c:v>
                </c:pt>
                <c:pt idx="6">
                  <c:v>멍멍이</c:v>
                </c:pt>
                <c:pt idx="7">
                  <c:v>야옹이</c:v>
                </c:pt>
                <c:pt idx="8">
                  <c:v>부유층</c:v>
                </c:pt>
                <c:pt idx="9">
                  <c:v>중산층</c:v>
                </c:pt>
                <c:pt idx="10">
                  <c:v>서민층</c:v>
                </c:pt>
              </c:strCache>
            </c:strRef>
          </c:cat>
          <c:val>
            <c:numRef>
              <c:f>선호도!$C$39:$M$39</c:f>
              <c:numCache>
                <c:formatCode>General</c:formatCode>
                <c:ptCount val="11"/>
                <c:pt idx="0">
                  <c:v>40</c:v>
                </c:pt>
                <c:pt idx="1">
                  <c:v>60</c:v>
                </c:pt>
                <c:pt idx="2">
                  <c:v>50</c:v>
                </c:pt>
                <c:pt idx="3">
                  <c:v>20</c:v>
                </c:pt>
                <c:pt idx="4">
                  <c:v>70</c:v>
                </c:pt>
                <c:pt idx="5">
                  <c:v>60</c:v>
                </c:pt>
                <c:pt idx="6">
                  <c:v>40</c:v>
                </c:pt>
                <c:pt idx="7">
                  <c:v>55</c:v>
                </c:pt>
                <c:pt idx="8">
                  <c:v>35</c:v>
                </c:pt>
                <c:pt idx="9">
                  <c:v>65</c:v>
                </c:pt>
                <c:pt idx="10">
                  <c:v>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68A-4315-9980-0092176EFE77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80"/>
        <c:overlap val="25"/>
        <c:axId val="834711480"/>
        <c:axId val="834695408"/>
      </c:barChart>
      <c:catAx>
        <c:axId val="8347114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587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834695408"/>
        <c:crosses val="autoZero"/>
        <c:auto val="1"/>
        <c:lblAlgn val="ctr"/>
        <c:lblOffset val="100"/>
        <c:noMultiLvlLbl val="0"/>
      </c:catAx>
      <c:valAx>
        <c:axId val="834695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8347114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선호도!$B$41</c:f>
              <c:strCache>
                <c:ptCount val="1"/>
                <c:pt idx="0">
                  <c:v>선호도</c:v>
                </c:pt>
              </c:strCache>
            </c:strRef>
          </c:tx>
          <c:spPr>
            <a:solidFill>
              <a:schemeClr val="accent2">
                <a:alpha val="7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선호도!$C$40:$M$40</c:f>
              <c:strCache>
                <c:ptCount val="11"/>
                <c:pt idx="0">
                  <c:v>모험가</c:v>
                </c:pt>
                <c:pt idx="1">
                  <c:v>관광객</c:v>
                </c:pt>
                <c:pt idx="2">
                  <c:v>인간</c:v>
                </c:pt>
                <c:pt idx="3">
                  <c:v>엘프</c:v>
                </c:pt>
                <c:pt idx="4">
                  <c:v>드워프</c:v>
                </c:pt>
                <c:pt idx="5">
                  <c:v>오크</c:v>
                </c:pt>
                <c:pt idx="6">
                  <c:v>멍멍이</c:v>
                </c:pt>
                <c:pt idx="7">
                  <c:v>야옹이</c:v>
                </c:pt>
                <c:pt idx="8">
                  <c:v>부유층</c:v>
                </c:pt>
                <c:pt idx="9">
                  <c:v>중산층</c:v>
                </c:pt>
                <c:pt idx="10">
                  <c:v>서민층</c:v>
                </c:pt>
              </c:strCache>
            </c:strRef>
          </c:cat>
          <c:val>
            <c:numRef>
              <c:f>선호도!$C$41:$M$41</c:f>
              <c:numCache>
                <c:formatCode>General</c:formatCode>
                <c:ptCount val="11"/>
                <c:pt idx="0">
                  <c:v>70</c:v>
                </c:pt>
                <c:pt idx="1">
                  <c:v>45</c:v>
                </c:pt>
                <c:pt idx="2">
                  <c:v>50</c:v>
                </c:pt>
                <c:pt idx="3">
                  <c:v>40</c:v>
                </c:pt>
                <c:pt idx="4">
                  <c:v>60</c:v>
                </c:pt>
                <c:pt idx="5">
                  <c:v>70</c:v>
                </c:pt>
                <c:pt idx="6">
                  <c:v>55</c:v>
                </c:pt>
                <c:pt idx="7">
                  <c:v>55</c:v>
                </c:pt>
                <c:pt idx="8">
                  <c:v>50</c:v>
                </c:pt>
                <c:pt idx="9">
                  <c:v>55</c:v>
                </c:pt>
                <c:pt idx="10">
                  <c:v>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E1E-4B7C-A648-95535E10944A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80"/>
        <c:overlap val="25"/>
        <c:axId val="650696072"/>
        <c:axId val="661699600"/>
      </c:barChart>
      <c:catAx>
        <c:axId val="6506960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587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661699600"/>
        <c:crosses val="autoZero"/>
        <c:auto val="1"/>
        <c:lblAlgn val="ctr"/>
        <c:lblOffset val="100"/>
        <c:noMultiLvlLbl val="0"/>
      </c:catAx>
      <c:valAx>
        <c:axId val="6616996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6506960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선호도!$B$43</c:f>
              <c:strCache>
                <c:ptCount val="1"/>
                <c:pt idx="0">
                  <c:v>선호도</c:v>
                </c:pt>
              </c:strCache>
            </c:strRef>
          </c:tx>
          <c:spPr>
            <a:solidFill>
              <a:schemeClr val="accent2">
                <a:alpha val="7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선호도!$C$42:$M$42</c:f>
              <c:strCache>
                <c:ptCount val="11"/>
                <c:pt idx="0">
                  <c:v>모험가</c:v>
                </c:pt>
                <c:pt idx="1">
                  <c:v>관광객</c:v>
                </c:pt>
                <c:pt idx="2">
                  <c:v>인간</c:v>
                </c:pt>
                <c:pt idx="3">
                  <c:v>엘프</c:v>
                </c:pt>
                <c:pt idx="4">
                  <c:v>드워프</c:v>
                </c:pt>
                <c:pt idx="5">
                  <c:v>오크</c:v>
                </c:pt>
                <c:pt idx="6">
                  <c:v>멍멍이</c:v>
                </c:pt>
                <c:pt idx="7">
                  <c:v>야옹이</c:v>
                </c:pt>
                <c:pt idx="8">
                  <c:v>부유층</c:v>
                </c:pt>
                <c:pt idx="9">
                  <c:v>중산층</c:v>
                </c:pt>
                <c:pt idx="10">
                  <c:v>서민층</c:v>
                </c:pt>
              </c:strCache>
            </c:strRef>
          </c:cat>
          <c:val>
            <c:numRef>
              <c:f>선호도!$C$43:$M$43</c:f>
              <c:numCache>
                <c:formatCode>General</c:formatCode>
                <c:ptCount val="11"/>
                <c:pt idx="0">
                  <c:v>50</c:v>
                </c:pt>
                <c:pt idx="1">
                  <c:v>60</c:v>
                </c:pt>
                <c:pt idx="2">
                  <c:v>45</c:v>
                </c:pt>
                <c:pt idx="3">
                  <c:v>80</c:v>
                </c:pt>
                <c:pt idx="4">
                  <c:v>50</c:v>
                </c:pt>
                <c:pt idx="5">
                  <c:v>30</c:v>
                </c:pt>
                <c:pt idx="6">
                  <c:v>35</c:v>
                </c:pt>
                <c:pt idx="7">
                  <c:v>60</c:v>
                </c:pt>
                <c:pt idx="8">
                  <c:v>90</c:v>
                </c:pt>
                <c:pt idx="9">
                  <c:v>25</c:v>
                </c:pt>
                <c:pt idx="10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AE1-4725-91F0-CD7920305157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80"/>
        <c:overlap val="25"/>
        <c:axId val="829416760"/>
        <c:axId val="829438080"/>
      </c:barChart>
      <c:catAx>
        <c:axId val="8294167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587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829438080"/>
        <c:crosses val="autoZero"/>
        <c:auto val="1"/>
        <c:lblAlgn val="ctr"/>
        <c:lblOffset val="100"/>
        <c:noMultiLvlLbl val="0"/>
      </c:catAx>
      <c:valAx>
        <c:axId val="8294380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8294167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선호도!$B$53</c:f>
              <c:strCache>
                <c:ptCount val="1"/>
                <c:pt idx="0">
                  <c:v>선호도</c:v>
                </c:pt>
              </c:strCache>
            </c:strRef>
          </c:tx>
          <c:spPr>
            <a:solidFill>
              <a:schemeClr val="accent2">
                <a:alpha val="7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선호도!$C$52:$M$52</c:f>
              <c:strCache>
                <c:ptCount val="11"/>
                <c:pt idx="0">
                  <c:v>모험가</c:v>
                </c:pt>
                <c:pt idx="1">
                  <c:v>관광객</c:v>
                </c:pt>
                <c:pt idx="2">
                  <c:v>인간</c:v>
                </c:pt>
                <c:pt idx="3">
                  <c:v>엘프</c:v>
                </c:pt>
                <c:pt idx="4">
                  <c:v>드워프</c:v>
                </c:pt>
                <c:pt idx="5">
                  <c:v>오크</c:v>
                </c:pt>
                <c:pt idx="6">
                  <c:v>멍멍이</c:v>
                </c:pt>
                <c:pt idx="7">
                  <c:v>야옹이</c:v>
                </c:pt>
                <c:pt idx="8">
                  <c:v>부유층</c:v>
                </c:pt>
                <c:pt idx="9">
                  <c:v>중산층</c:v>
                </c:pt>
                <c:pt idx="10">
                  <c:v>서민층</c:v>
                </c:pt>
              </c:strCache>
            </c:strRef>
          </c:cat>
          <c:val>
            <c:numRef>
              <c:f>선호도!$C$53:$M$53</c:f>
              <c:numCache>
                <c:formatCode>General</c:formatCode>
                <c:ptCount val="11"/>
                <c:pt idx="0">
                  <c:v>10</c:v>
                </c:pt>
                <c:pt idx="1">
                  <c:v>45</c:v>
                </c:pt>
                <c:pt idx="2">
                  <c:v>25</c:v>
                </c:pt>
                <c:pt idx="3">
                  <c:v>35</c:v>
                </c:pt>
                <c:pt idx="4">
                  <c:v>35</c:v>
                </c:pt>
                <c:pt idx="5">
                  <c:v>20</c:v>
                </c:pt>
                <c:pt idx="6">
                  <c:v>25</c:v>
                </c:pt>
                <c:pt idx="7">
                  <c:v>20</c:v>
                </c:pt>
                <c:pt idx="8">
                  <c:v>10</c:v>
                </c:pt>
                <c:pt idx="9">
                  <c:v>15</c:v>
                </c:pt>
                <c:pt idx="10">
                  <c:v>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E56-43F7-8AB3-C3521B324DA7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80"/>
        <c:overlap val="25"/>
        <c:axId val="716952072"/>
        <c:axId val="716951744"/>
      </c:barChart>
      <c:catAx>
        <c:axId val="7169520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587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716951744"/>
        <c:crosses val="autoZero"/>
        <c:auto val="1"/>
        <c:lblAlgn val="ctr"/>
        <c:lblOffset val="100"/>
        <c:noMultiLvlLbl val="0"/>
      </c:catAx>
      <c:valAx>
        <c:axId val="7169517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7169520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2">
                <a:alpha val="7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선호도!$C$54:$M$54</c:f>
              <c:strCache>
                <c:ptCount val="11"/>
                <c:pt idx="0">
                  <c:v>모험가</c:v>
                </c:pt>
                <c:pt idx="1">
                  <c:v>관광객</c:v>
                </c:pt>
                <c:pt idx="2">
                  <c:v>인간</c:v>
                </c:pt>
                <c:pt idx="3">
                  <c:v>엘프</c:v>
                </c:pt>
                <c:pt idx="4">
                  <c:v>드워프</c:v>
                </c:pt>
                <c:pt idx="5">
                  <c:v>오크</c:v>
                </c:pt>
                <c:pt idx="6">
                  <c:v>멍멍이</c:v>
                </c:pt>
                <c:pt idx="7">
                  <c:v>야옹이</c:v>
                </c:pt>
                <c:pt idx="8">
                  <c:v>부유층</c:v>
                </c:pt>
                <c:pt idx="9">
                  <c:v>중산층</c:v>
                </c:pt>
                <c:pt idx="10">
                  <c:v>서민층</c:v>
                </c:pt>
              </c:strCache>
            </c:strRef>
          </c:cat>
          <c:val>
            <c:numRef>
              <c:f>선호도!$C$55:$M$55</c:f>
              <c:numCache>
                <c:formatCode>General</c:formatCode>
                <c:ptCount val="11"/>
                <c:pt idx="0">
                  <c:v>45</c:v>
                </c:pt>
                <c:pt idx="1">
                  <c:v>25</c:v>
                </c:pt>
                <c:pt idx="2">
                  <c:v>35</c:v>
                </c:pt>
                <c:pt idx="3">
                  <c:v>25</c:v>
                </c:pt>
                <c:pt idx="4">
                  <c:v>25</c:v>
                </c:pt>
                <c:pt idx="5">
                  <c:v>45</c:v>
                </c:pt>
                <c:pt idx="6">
                  <c:v>25</c:v>
                </c:pt>
                <c:pt idx="7">
                  <c:v>25</c:v>
                </c:pt>
                <c:pt idx="8">
                  <c:v>5</c:v>
                </c:pt>
                <c:pt idx="9">
                  <c:v>30</c:v>
                </c:pt>
                <c:pt idx="10">
                  <c:v>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D03-4E1C-A020-698B9C6E2C6A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80"/>
        <c:overlap val="25"/>
        <c:axId val="251542144"/>
        <c:axId val="336186304"/>
      </c:barChart>
      <c:catAx>
        <c:axId val="2515421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587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336186304"/>
        <c:crosses val="autoZero"/>
        <c:auto val="1"/>
        <c:lblAlgn val="ctr"/>
        <c:lblOffset val="100"/>
        <c:noMultiLvlLbl val="0"/>
      </c:catAx>
      <c:valAx>
        <c:axId val="3361863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515421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선호도!$B$57</c:f>
              <c:strCache>
                <c:ptCount val="1"/>
                <c:pt idx="0">
                  <c:v>선호도</c:v>
                </c:pt>
              </c:strCache>
            </c:strRef>
          </c:tx>
          <c:spPr>
            <a:solidFill>
              <a:schemeClr val="accent2">
                <a:alpha val="7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선호도!$C$56:$M$56</c:f>
              <c:strCache>
                <c:ptCount val="11"/>
                <c:pt idx="0">
                  <c:v>모험가</c:v>
                </c:pt>
                <c:pt idx="1">
                  <c:v>관광객</c:v>
                </c:pt>
                <c:pt idx="2">
                  <c:v>인간</c:v>
                </c:pt>
                <c:pt idx="3">
                  <c:v>엘프</c:v>
                </c:pt>
                <c:pt idx="4">
                  <c:v>드워프</c:v>
                </c:pt>
                <c:pt idx="5">
                  <c:v>오크</c:v>
                </c:pt>
                <c:pt idx="6">
                  <c:v>멍멍이</c:v>
                </c:pt>
                <c:pt idx="7">
                  <c:v>야옹이</c:v>
                </c:pt>
                <c:pt idx="8">
                  <c:v>부유층</c:v>
                </c:pt>
                <c:pt idx="9">
                  <c:v>중산층</c:v>
                </c:pt>
                <c:pt idx="10">
                  <c:v>서민층</c:v>
                </c:pt>
              </c:strCache>
            </c:strRef>
          </c:cat>
          <c:val>
            <c:numRef>
              <c:f>선호도!$C$57:$M$57</c:f>
              <c:numCache>
                <c:formatCode>General</c:formatCode>
                <c:ptCount val="11"/>
                <c:pt idx="0">
                  <c:v>25</c:v>
                </c:pt>
                <c:pt idx="1">
                  <c:v>50</c:v>
                </c:pt>
                <c:pt idx="2">
                  <c:v>30</c:v>
                </c:pt>
                <c:pt idx="3">
                  <c:v>5</c:v>
                </c:pt>
                <c:pt idx="4">
                  <c:v>45</c:v>
                </c:pt>
                <c:pt idx="5">
                  <c:v>35</c:v>
                </c:pt>
                <c:pt idx="6">
                  <c:v>35</c:v>
                </c:pt>
                <c:pt idx="7">
                  <c:v>20</c:v>
                </c:pt>
                <c:pt idx="8">
                  <c:v>5</c:v>
                </c:pt>
                <c:pt idx="9">
                  <c:v>20</c:v>
                </c:pt>
                <c:pt idx="10">
                  <c:v>90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31B-4B2D-8E45-7C449E4E8AC0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80"/>
        <c:overlap val="25"/>
        <c:axId val="842382488"/>
        <c:axId val="842383472"/>
      </c:barChart>
      <c:catAx>
        <c:axId val="8423824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587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842383472"/>
        <c:crosses val="autoZero"/>
        <c:auto val="1"/>
        <c:lblAlgn val="ctr"/>
        <c:lblOffset val="100"/>
        <c:noMultiLvlLbl val="0"/>
      </c:catAx>
      <c:valAx>
        <c:axId val="842383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8423824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선호도!$B$59</c:f>
              <c:strCache>
                <c:ptCount val="1"/>
                <c:pt idx="0">
                  <c:v>선호도</c:v>
                </c:pt>
              </c:strCache>
            </c:strRef>
          </c:tx>
          <c:spPr>
            <a:solidFill>
              <a:schemeClr val="accent2">
                <a:alpha val="7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선호도!$C$58:$M$58</c:f>
              <c:strCache>
                <c:ptCount val="11"/>
                <c:pt idx="0">
                  <c:v>모험가</c:v>
                </c:pt>
                <c:pt idx="1">
                  <c:v>관광객</c:v>
                </c:pt>
                <c:pt idx="2">
                  <c:v>인간</c:v>
                </c:pt>
                <c:pt idx="3">
                  <c:v>엘프</c:v>
                </c:pt>
                <c:pt idx="4">
                  <c:v>드워프</c:v>
                </c:pt>
                <c:pt idx="5">
                  <c:v>오크</c:v>
                </c:pt>
                <c:pt idx="6">
                  <c:v>멍멍이</c:v>
                </c:pt>
                <c:pt idx="7">
                  <c:v>야옹이</c:v>
                </c:pt>
                <c:pt idx="8">
                  <c:v>부유층</c:v>
                </c:pt>
                <c:pt idx="9">
                  <c:v>중산층</c:v>
                </c:pt>
                <c:pt idx="10">
                  <c:v>서민층</c:v>
                </c:pt>
              </c:strCache>
            </c:strRef>
          </c:cat>
          <c:val>
            <c:numRef>
              <c:f>선호도!$C$59:$M$59</c:f>
              <c:numCache>
                <c:formatCode>General</c:formatCode>
                <c:ptCount val="11"/>
                <c:pt idx="0">
                  <c:v>25</c:v>
                </c:pt>
                <c:pt idx="1">
                  <c:v>60</c:v>
                </c:pt>
                <c:pt idx="2">
                  <c:v>40</c:v>
                </c:pt>
                <c:pt idx="3">
                  <c:v>55</c:v>
                </c:pt>
                <c:pt idx="4">
                  <c:v>35</c:v>
                </c:pt>
                <c:pt idx="5">
                  <c:v>25</c:v>
                </c:pt>
                <c:pt idx="6">
                  <c:v>30</c:v>
                </c:pt>
                <c:pt idx="7">
                  <c:v>45</c:v>
                </c:pt>
                <c:pt idx="8">
                  <c:v>40</c:v>
                </c:pt>
                <c:pt idx="9">
                  <c:v>70</c:v>
                </c:pt>
                <c:pt idx="10">
                  <c:v>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948-482A-BEF7-D4A6C0F3AEE7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80"/>
        <c:overlap val="25"/>
        <c:axId val="847888384"/>
        <c:axId val="725364336"/>
      </c:barChart>
      <c:catAx>
        <c:axId val="8478883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587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725364336"/>
        <c:crosses val="autoZero"/>
        <c:auto val="1"/>
        <c:lblAlgn val="ctr"/>
        <c:lblOffset val="100"/>
        <c:noMultiLvlLbl val="0"/>
      </c:catAx>
      <c:valAx>
        <c:axId val="7253643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8478883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선호도!$B$61</c:f>
              <c:strCache>
                <c:ptCount val="1"/>
                <c:pt idx="0">
                  <c:v>선호도</c:v>
                </c:pt>
              </c:strCache>
            </c:strRef>
          </c:tx>
          <c:spPr>
            <a:solidFill>
              <a:schemeClr val="accent2">
                <a:alpha val="7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선호도!$C$60:$M$60</c:f>
              <c:strCache>
                <c:ptCount val="11"/>
                <c:pt idx="0">
                  <c:v>모험가</c:v>
                </c:pt>
                <c:pt idx="1">
                  <c:v>관광객</c:v>
                </c:pt>
                <c:pt idx="2">
                  <c:v>인간</c:v>
                </c:pt>
                <c:pt idx="3">
                  <c:v>엘프</c:v>
                </c:pt>
                <c:pt idx="4">
                  <c:v>드워프</c:v>
                </c:pt>
                <c:pt idx="5">
                  <c:v>오크</c:v>
                </c:pt>
                <c:pt idx="6">
                  <c:v>멍멍이</c:v>
                </c:pt>
                <c:pt idx="7">
                  <c:v>야옹이</c:v>
                </c:pt>
                <c:pt idx="8">
                  <c:v>부유층</c:v>
                </c:pt>
                <c:pt idx="9">
                  <c:v>중산층</c:v>
                </c:pt>
                <c:pt idx="10">
                  <c:v>서민층</c:v>
                </c:pt>
              </c:strCache>
            </c:strRef>
          </c:cat>
          <c:val>
            <c:numRef>
              <c:f>선호도!$C$61:$M$61</c:f>
              <c:numCache>
                <c:formatCode>General</c:formatCode>
                <c:ptCount val="11"/>
                <c:pt idx="0">
                  <c:v>45</c:v>
                </c:pt>
                <c:pt idx="1">
                  <c:v>60</c:v>
                </c:pt>
                <c:pt idx="2">
                  <c:v>70</c:v>
                </c:pt>
                <c:pt idx="3">
                  <c:v>25</c:v>
                </c:pt>
                <c:pt idx="4">
                  <c:v>35</c:v>
                </c:pt>
                <c:pt idx="5">
                  <c:v>65</c:v>
                </c:pt>
                <c:pt idx="6">
                  <c:v>40</c:v>
                </c:pt>
                <c:pt idx="7">
                  <c:v>40</c:v>
                </c:pt>
                <c:pt idx="8">
                  <c:v>45</c:v>
                </c:pt>
                <c:pt idx="9">
                  <c:v>55</c:v>
                </c:pt>
                <c:pt idx="10">
                  <c:v>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CBE-4920-B84E-72ACD7F5FA09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80"/>
        <c:overlap val="25"/>
        <c:axId val="316705480"/>
        <c:axId val="817417568"/>
      </c:barChart>
      <c:catAx>
        <c:axId val="3167054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587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817417568"/>
        <c:crosses val="autoZero"/>
        <c:auto val="1"/>
        <c:lblAlgn val="ctr"/>
        <c:lblOffset val="100"/>
        <c:noMultiLvlLbl val="0"/>
      </c:catAx>
      <c:valAx>
        <c:axId val="817417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3167054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선호도!$B$63</c:f>
              <c:strCache>
                <c:ptCount val="1"/>
                <c:pt idx="0">
                  <c:v>선호도</c:v>
                </c:pt>
              </c:strCache>
            </c:strRef>
          </c:tx>
          <c:spPr>
            <a:solidFill>
              <a:schemeClr val="accent2">
                <a:alpha val="7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선호도!$C$62:$M$62</c:f>
              <c:strCache>
                <c:ptCount val="11"/>
                <c:pt idx="0">
                  <c:v>모험가</c:v>
                </c:pt>
                <c:pt idx="1">
                  <c:v>관광객</c:v>
                </c:pt>
                <c:pt idx="2">
                  <c:v>인간</c:v>
                </c:pt>
                <c:pt idx="3">
                  <c:v>엘프</c:v>
                </c:pt>
                <c:pt idx="4">
                  <c:v>드워프</c:v>
                </c:pt>
                <c:pt idx="5">
                  <c:v>오크</c:v>
                </c:pt>
                <c:pt idx="6">
                  <c:v>멍멍이</c:v>
                </c:pt>
                <c:pt idx="7">
                  <c:v>야옹이</c:v>
                </c:pt>
                <c:pt idx="8">
                  <c:v>부유층</c:v>
                </c:pt>
                <c:pt idx="9">
                  <c:v>중산층</c:v>
                </c:pt>
                <c:pt idx="10">
                  <c:v>서민층</c:v>
                </c:pt>
              </c:strCache>
            </c:strRef>
          </c:cat>
          <c:val>
            <c:numRef>
              <c:f>선호도!$C$63:$M$63</c:f>
              <c:numCache>
                <c:formatCode>General</c:formatCode>
                <c:ptCount val="11"/>
                <c:pt idx="0">
                  <c:v>65</c:v>
                </c:pt>
                <c:pt idx="1">
                  <c:v>75</c:v>
                </c:pt>
                <c:pt idx="2">
                  <c:v>75</c:v>
                </c:pt>
                <c:pt idx="3">
                  <c:v>90</c:v>
                </c:pt>
                <c:pt idx="4">
                  <c:v>60</c:v>
                </c:pt>
                <c:pt idx="5">
                  <c:v>30</c:v>
                </c:pt>
                <c:pt idx="6">
                  <c:v>30</c:v>
                </c:pt>
                <c:pt idx="7">
                  <c:v>50</c:v>
                </c:pt>
                <c:pt idx="8">
                  <c:v>95</c:v>
                </c:pt>
                <c:pt idx="9">
                  <c:v>55</c:v>
                </c:pt>
                <c:pt idx="10">
                  <c:v>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953-4A62-9FF8-22771D3FD13D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80"/>
        <c:overlap val="25"/>
        <c:axId val="816405064"/>
        <c:axId val="816409656"/>
      </c:barChart>
      <c:catAx>
        <c:axId val="8164050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587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816409656"/>
        <c:crosses val="autoZero"/>
        <c:auto val="1"/>
        <c:lblAlgn val="ctr"/>
        <c:lblOffset val="100"/>
        <c:noMultiLvlLbl val="0"/>
      </c:catAx>
      <c:valAx>
        <c:axId val="8164096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8164050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선호도!$B$65</c:f>
              <c:strCache>
                <c:ptCount val="1"/>
                <c:pt idx="0">
                  <c:v>선호도</c:v>
                </c:pt>
              </c:strCache>
            </c:strRef>
          </c:tx>
          <c:spPr>
            <a:solidFill>
              <a:schemeClr val="accent2">
                <a:alpha val="7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선호도!$C$64:$M$64</c:f>
              <c:strCache>
                <c:ptCount val="11"/>
                <c:pt idx="0">
                  <c:v>모험가</c:v>
                </c:pt>
                <c:pt idx="1">
                  <c:v>관광객</c:v>
                </c:pt>
                <c:pt idx="2">
                  <c:v>인간</c:v>
                </c:pt>
                <c:pt idx="3">
                  <c:v>엘프</c:v>
                </c:pt>
                <c:pt idx="4">
                  <c:v>드워프</c:v>
                </c:pt>
                <c:pt idx="5">
                  <c:v>오크</c:v>
                </c:pt>
                <c:pt idx="6">
                  <c:v>멍멍이</c:v>
                </c:pt>
                <c:pt idx="7">
                  <c:v>야옹이</c:v>
                </c:pt>
                <c:pt idx="8">
                  <c:v>부유층</c:v>
                </c:pt>
                <c:pt idx="9">
                  <c:v>중산층</c:v>
                </c:pt>
                <c:pt idx="10">
                  <c:v>서민층</c:v>
                </c:pt>
              </c:strCache>
            </c:strRef>
          </c:cat>
          <c:val>
            <c:numRef>
              <c:f>선호도!$C$65:$M$65</c:f>
              <c:numCache>
                <c:formatCode>General</c:formatCode>
                <c:ptCount val="11"/>
                <c:pt idx="0">
                  <c:v>90</c:v>
                </c:pt>
                <c:pt idx="1">
                  <c:v>40</c:v>
                </c:pt>
                <c:pt idx="2">
                  <c:v>85</c:v>
                </c:pt>
                <c:pt idx="3">
                  <c:v>55</c:v>
                </c:pt>
                <c:pt idx="4">
                  <c:v>70</c:v>
                </c:pt>
                <c:pt idx="5">
                  <c:v>45</c:v>
                </c:pt>
                <c:pt idx="6">
                  <c:v>70</c:v>
                </c:pt>
                <c:pt idx="7">
                  <c:v>50</c:v>
                </c:pt>
                <c:pt idx="8">
                  <c:v>50</c:v>
                </c:pt>
                <c:pt idx="9">
                  <c:v>60</c:v>
                </c:pt>
                <c:pt idx="10">
                  <c:v>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A16-4723-BCFE-7F668E252E9B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80"/>
        <c:overlap val="25"/>
        <c:axId val="404788656"/>
        <c:axId val="404792264"/>
      </c:barChart>
      <c:catAx>
        <c:axId val="4047886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587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404792264"/>
        <c:crosses val="autoZero"/>
        <c:auto val="1"/>
        <c:lblAlgn val="ctr"/>
        <c:lblOffset val="100"/>
        <c:noMultiLvlLbl val="0"/>
      </c:catAx>
      <c:valAx>
        <c:axId val="4047922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4047886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선호도!$B$67</c:f>
              <c:strCache>
                <c:ptCount val="1"/>
                <c:pt idx="0">
                  <c:v>선호도</c:v>
                </c:pt>
              </c:strCache>
            </c:strRef>
          </c:tx>
          <c:spPr>
            <a:solidFill>
              <a:schemeClr val="accent2">
                <a:alpha val="7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선호도!$C$66:$M$66</c:f>
              <c:strCache>
                <c:ptCount val="11"/>
                <c:pt idx="0">
                  <c:v>모험가</c:v>
                </c:pt>
                <c:pt idx="1">
                  <c:v>관광객</c:v>
                </c:pt>
                <c:pt idx="2">
                  <c:v>인간</c:v>
                </c:pt>
                <c:pt idx="3">
                  <c:v>엘프</c:v>
                </c:pt>
                <c:pt idx="4">
                  <c:v>드워프</c:v>
                </c:pt>
                <c:pt idx="5">
                  <c:v>오크</c:v>
                </c:pt>
                <c:pt idx="6">
                  <c:v>멍멍이</c:v>
                </c:pt>
                <c:pt idx="7">
                  <c:v>야옹이</c:v>
                </c:pt>
                <c:pt idx="8">
                  <c:v>부유층</c:v>
                </c:pt>
                <c:pt idx="9">
                  <c:v>중산층</c:v>
                </c:pt>
                <c:pt idx="10">
                  <c:v>서민층</c:v>
                </c:pt>
              </c:strCache>
            </c:strRef>
          </c:cat>
          <c:val>
            <c:numRef>
              <c:f>선호도!$C$67:$M$67</c:f>
              <c:numCache>
                <c:formatCode>General</c:formatCode>
                <c:ptCount val="11"/>
                <c:pt idx="0">
                  <c:v>50</c:v>
                </c:pt>
                <c:pt idx="1">
                  <c:v>50</c:v>
                </c:pt>
                <c:pt idx="2">
                  <c:v>65</c:v>
                </c:pt>
                <c:pt idx="3">
                  <c:v>75</c:v>
                </c:pt>
                <c:pt idx="4">
                  <c:v>40</c:v>
                </c:pt>
                <c:pt idx="5">
                  <c:v>45</c:v>
                </c:pt>
                <c:pt idx="6">
                  <c:v>50</c:v>
                </c:pt>
                <c:pt idx="7">
                  <c:v>50</c:v>
                </c:pt>
                <c:pt idx="8">
                  <c:v>25</c:v>
                </c:pt>
                <c:pt idx="9">
                  <c:v>60</c:v>
                </c:pt>
                <c:pt idx="10">
                  <c:v>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A75-45D3-81B3-75B55582DD6B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80"/>
        <c:overlap val="25"/>
        <c:axId val="404900072"/>
        <c:axId val="404899744"/>
      </c:barChart>
      <c:catAx>
        <c:axId val="4049000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587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404899744"/>
        <c:crosses val="autoZero"/>
        <c:auto val="1"/>
        <c:lblAlgn val="ctr"/>
        <c:lblOffset val="100"/>
        <c:noMultiLvlLbl val="0"/>
      </c:catAx>
      <c:valAx>
        <c:axId val="4048997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4049000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선호도!$B$76</c:f>
              <c:strCache>
                <c:ptCount val="1"/>
                <c:pt idx="0">
                  <c:v>선호도</c:v>
                </c:pt>
              </c:strCache>
            </c:strRef>
          </c:tx>
          <c:spPr>
            <a:solidFill>
              <a:schemeClr val="accent2">
                <a:alpha val="7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선호도!$C$75:$M$75</c:f>
              <c:strCache>
                <c:ptCount val="11"/>
                <c:pt idx="0">
                  <c:v>모험가</c:v>
                </c:pt>
                <c:pt idx="1">
                  <c:v>관광객</c:v>
                </c:pt>
                <c:pt idx="2">
                  <c:v>인간</c:v>
                </c:pt>
                <c:pt idx="3">
                  <c:v>엘프</c:v>
                </c:pt>
                <c:pt idx="4">
                  <c:v>드워프</c:v>
                </c:pt>
                <c:pt idx="5">
                  <c:v>오크</c:v>
                </c:pt>
                <c:pt idx="6">
                  <c:v>멍멍이</c:v>
                </c:pt>
                <c:pt idx="7">
                  <c:v>야옹이</c:v>
                </c:pt>
                <c:pt idx="8">
                  <c:v>부유층</c:v>
                </c:pt>
                <c:pt idx="9">
                  <c:v>중산층</c:v>
                </c:pt>
                <c:pt idx="10">
                  <c:v>서민층</c:v>
                </c:pt>
              </c:strCache>
            </c:strRef>
          </c:cat>
          <c:val>
            <c:numRef>
              <c:f>선호도!$C$76:$M$76</c:f>
              <c:numCache>
                <c:formatCode>General</c:formatCode>
                <c:ptCount val="11"/>
                <c:pt idx="0">
                  <c:v>100</c:v>
                </c:pt>
                <c:pt idx="1">
                  <c:v>0</c:v>
                </c:pt>
                <c:pt idx="2">
                  <c:v>50</c:v>
                </c:pt>
                <c:pt idx="3">
                  <c:v>50</c:v>
                </c:pt>
                <c:pt idx="4">
                  <c:v>50</c:v>
                </c:pt>
                <c:pt idx="5">
                  <c:v>50</c:v>
                </c:pt>
                <c:pt idx="6">
                  <c:v>50</c:v>
                </c:pt>
                <c:pt idx="7">
                  <c:v>50</c:v>
                </c:pt>
                <c:pt idx="8">
                  <c:v>0</c:v>
                </c:pt>
                <c:pt idx="9">
                  <c:v>30</c:v>
                </c:pt>
                <c:pt idx="10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4D5-4191-B088-E3ED8A2B7D1A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80"/>
        <c:overlap val="25"/>
        <c:axId val="738339080"/>
        <c:axId val="738325632"/>
      </c:barChart>
      <c:catAx>
        <c:axId val="7383390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587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738325632"/>
        <c:crosses val="autoZero"/>
        <c:auto val="1"/>
        <c:lblAlgn val="ctr"/>
        <c:lblOffset val="100"/>
        <c:noMultiLvlLbl val="0"/>
      </c:catAx>
      <c:valAx>
        <c:axId val="738325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7383390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선호도!$B$78</c:f>
              <c:strCache>
                <c:ptCount val="1"/>
                <c:pt idx="0">
                  <c:v>선호도</c:v>
                </c:pt>
              </c:strCache>
            </c:strRef>
          </c:tx>
          <c:spPr>
            <a:solidFill>
              <a:schemeClr val="accent2">
                <a:alpha val="7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선호도!$C$77:$M$77</c:f>
              <c:strCache>
                <c:ptCount val="11"/>
                <c:pt idx="0">
                  <c:v>모험가</c:v>
                </c:pt>
                <c:pt idx="1">
                  <c:v>관광객</c:v>
                </c:pt>
                <c:pt idx="2">
                  <c:v>인간</c:v>
                </c:pt>
                <c:pt idx="3">
                  <c:v>엘프</c:v>
                </c:pt>
                <c:pt idx="4">
                  <c:v>드워프</c:v>
                </c:pt>
                <c:pt idx="5">
                  <c:v>오크</c:v>
                </c:pt>
                <c:pt idx="6">
                  <c:v>멍멍이</c:v>
                </c:pt>
                <c:pt idx="7">
                  <c:v>야옹이</c:v>
                </c:pt>
                <c:pt idx="8">
                  <c:v>부유층</c:v>
                </c:pt>
                <c:pt idx="9">
                  <c:v>중산층</c:v>
                </c:pt>
                <c:pt idx="10">
                  <c:v>서민층</c:v>
                </c:pt>
              </c:strCache>
            </c:strRef>
          </c:cat>
          <c:val>
            <c:numRef>
              <c:f>선호도!$C$78:$M$78</c:f>
              <c:numCache>
                <c:formatCode>General</c:formatCode>
                <c:ptCount val="11"/>
                <c:pt idx="0">
                  <c:v>100</c:v>
                </c:pt>
                <c:pt idx="1">
                  <c:v>0</c:v>
                </c:pt>
                <c:pt idx="2">
                  <c:v>50</c:v>
                </c:pt>
                <c:pt idx="3">
                  <c:v>50</c:v>
                </c:pt>
                <c:pt idx="4">
                  <c:v>50</c:v>
                </c:pt>
                <c:pt idx="5">
                  <c:v>50</c:v>
                </c:pt>
                <c:pt idx="6">
                  <c:v>50</c:v>
                </c:pt>
                <c:pt idx="7">
                  <c:v>50</c:v>
                </c:pt>
                <c:pt idx="8">
                  <c:v>0</c:v>
                </c:pt>
                <c:pt idx="9">
                  <c:v>30</c:v>
                </c:pt>
                <c:pt idx="10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B3F-45B2-923C-7193F357985E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80"/>
        <c:overlap val="25"/>
        <c:axId val="572441392"/>
        <c:axId val="572415152"/>
      </c:barChart>
      <c:catAx>
        <c:axId val="5724413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587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572415152"/>
        <c:crosses val="autoZero"/>
        <c:auto val="1"/>
        <c:lblAlgn val="ctr"/>
        <c:lblOffset val="100"/>
        <c:noMultiLvlLbl val="0"/>
      </c:catAx>
      <c:valAx>
        <c:axId val="5724151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5724413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선호도!$B$80</c:f>
              <c:strCache>
                <c:ptCount val="1"/>
                <c:pt idx="0">
                  <c:v>선호도</c:v>
                </c:pt>
              </c:strCache>
            </c:strRef>
          </c:tx>
          <c:spPr>
            <a:solidFill>
              <a:schemeClr val="accent2">
                <a:alpha val="7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선호도!$C$79:$M$79</c:f>
              <c:strCache>
                <c:ptCount val="11"/>
                <c:pt idx="0">
                  <c:v>모험가</c:v>
                </c:pt>
                <c:pt idx="1">
                  <c:v>관광객</c:v>
                </c:pt>
                <c:pt idx="2">
                  <c:v>인간</c:v>
                </c:pt>
                <c:pt idx="3">
                  <c:v>엘프</c:v>
                </c:pt>
                <c:pt idx="4">
                  <c:v>드워프</c:v>
                </c:pt>
                <c:pt idx="5">
                  <c:v>오크</c:v>
                </c:pt>
                <c:pt idx="6">
                  <c:v>멍멍이</c:v>
                </c:pt>
                <c:pt idx="7">
                  <c:v>야옹이</c:v>
                </c:pt>
                <c:pt idx="8">
                  <c:v>부유층</c:v>
                </c:pt>
                <c:pt idx="9">
                  <c:v>중산층</c:v>
                </c:pt>
                <c:pt idx="10">
                  <c:v>서민층</c:v>
                </c:pt>
              </c:strCache>
            </c:strRef>
          </c:cat>
          <c:val>
            <c:numRef>
              <c:f>선호도!$C$80:$M$80</c:f>
              <c:numCache>
                <c:formatCode>General</c:formatCode>
                <c:ptCount val="11"/>
                <c:pt idx="0">
                  <c:v>100</c:v>
                </c:pt>
                <c:pt idx="1">
                  <c:v>0</c:v>
                </c:pt>
                <c:pt idx="2">
                  <c:v>50</c:v>
                </c:pt>
                <c:pt idx="3">
                  <c:v>50</c:v>
                </c:pt>
                <c:pt idx="4">
                  <c:v>50</c:v>
                </c:pt>
                <c:pt idx="5">
                  <c:v>50</c:v>
                </c:pt>
                <c:pt idx="6">
                  <c:v>50</c:v>
                </c:pt>
                <c:pt idx="7">
                  <c:v>50</c:v>
                </c:pt>
                <c:pt idx="8">
                  <c:v>0</c:v>
                </c:pt>
                <c:pt idx="9">
                  <c:v>30</c:v>
                </c:pt>
                <c:pt idx="10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BBD-4ED9-8438-65D92E840045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80"/>
        <c:overlap val="25"/>
        <c:axId val="572467960"/>
        <c:axId val="572475832"/>
      </c:barChart>
      <c:catAx>
        <c:axId val="5724679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587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572475832"/>
        <c:crosses val="autoZero"/>
        <c:auto val="1"/>
        <c:lblAlgn val="ctr"/>
        <c:lblOffset val="100"/>
        <c:noMultiLvlLbl val="0"/>
      </c:catAx>
      <c:valAx>
        <c:axId val="5724758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5724679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선호도!$B$82</c:f>
              <c:strCache>
                <c:ptCount val="1"/>
                <c:pt idx="0">
                  <c:v>선호도</c:v>
                </c:pt>
              </c:strCache>
            </c:strRef>
          </c:tx>
          <c:spPr>
            <a:solidFill>
              <a:schemeClr val="accent2">
                <a:alpha val="7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선호도!$C$81:$M$81</c:f>
              <c:strCache>
                <c:ptCount val="11"/>
                <c:pt idx="0">
                  <c:v>모험가</c:v>
                </c:pt>
                <c:pt idx="1">
                  <c:v>관광객</c:v>
                </c:pt>
                <c:pt idx="2">
                  <c:v>인간</c:v>
                </c:pt>
                <c:pt idx="3">
                  <c:v>엘프</c:v>
                </c:pt>
                <c:pt idx="4">
                  <c:v>드워프</c:v>
                </c:pt>
                <c:pt idx="5">
                  <c:v>오크</c:v>
                </c:pt>
                <c:pt idx="6">
                  <c:v>멍멍이</c:v>
                </c:pt>
                <c:pt idx="7">
                  <c:v>야옹이</c:v>
                </c:pt>
                <c:pt idx="8">
                  <c:v>부유층</c:v>
                </c:pt>
                <c:pt idx="9">
                  <c:v>중산층</c:v>
                </c:pt>
                <c:pt idx="10">
                  <c:v>서민층</c:v>
                </c:pt>
              </c:strCache>
            </c:strRef>
          </c:cat>
          <c:val>
            <c:numRef>
              <c:f>선호도!$C$82:$M$82</c:f>
              <c:numCache>
                <c:formatCode>General</c:formatCode>
                <c:ptCount val="11"/>
                <c:pt idx="0">
                  <c:v>100</c:v>
                </c:pt>
                <c:pt idx="1">
                  <c:v>0</c:v>
                </c:pt>
                <c:pt idx="2">
                  <c:v>50</c:v>
                </c:pt>
                <c:pt idx="3">
                  <c:v>50</c:v>
                </c:pt>
                <c:pt idx="4">
                  <c:v>50</c:v>
                </c:pt>
                <c:pt idx="5">
                  <c:v>50</c:v>
                </c:pt>
                <c:pt idx="6">
                  <c:v>50</c:v>
                </c:pt>
                <c:pt idx="7">
                  <c:v>50</c:v>
                </c:pt>
                <c:pt idx="8">
                  <c:v>20</c:v>
                </c:pt>
                <c:pt idx="9">
                  <c:v>60</c:v>
                </c:pt>
                <c:pt idx="10">
                  <c:v>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63A-48B8-9917-69BA67952684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80"/>
        <c:overlap val="25"/>
        <c:axId val="572506992"/>
        <c:axId val="572520112"/>
      </c:barChart>
      <c:catAx>
        <c:axId val="5725069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587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572520112"/>
        <c:crosses val="autoZero"/>
        <c:auto val="1"/>
        <c:lblAlgn val="ctr"/>
        <c:lblOffset val="100"/>
        <c:noMultiLvlLbl val="0"/>
      </c:catAx>
      <c:valAx>
        <c:axId val="572520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5725069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선호도!$B$84</c:f>
              <c:strCache>
                <c:ptCount val="1"/>
                <c:pt idx="0">
                  <c:v>선호도</c:v>
                </c:pt>
              </c:strCache>
            </c:strRef>
          </c:tx>
          <c:spPr>
            <a:solidFill>
              <a:schemeClr val="accent2">
                <a:alpha val="7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선호도!$C$83:$M$83</c:f>
              <c:strCache>
                <c:ptCount val="11"/>
                <c:pt idx="0">
                  <c:v>모험가</c:v>
                </c:pt>
                <c:pt idx="1">
                  <c:v>관광객</c:v>
                </c:pt>
                <c:pt idx="2">
                  <c:v>인간</c:v>
                </c:pt>
                <c:pt idx="3">
                  <c:v>엘프</c:v>
                </c:pt>
                <c:pt idx="4">
                  <c:v>드워프</c:v>
                </c:pt>
                <c:pt idx="5">
                  <c:v>오크</c:v>
                </c:pt>
                <c:pt idx="6">
                  <c:v>멍멍이</c:v>
                </c:pt>
                <c:pt idx="7">
                  <c:v>야옹이</c:v>
                </c:pt>
                <c:pt idx="8">
                  <c:v>부유층</c:v>
                </c:pt>
                <c:pt idx="9">
                  <c:v>중산층</c:v>
                </c:pt>
                <c:pt idx="10">
                  <c:v>서민층</c:v>
                </c:pt>
              </c:strCache>
            </c:strRef>
          </c:cat>
          <c:val>
            <c:numRef>
              <c:f>선호도!$C$84:$M$84</c:f>
              <c:numCache>
                <c:formatCode>General</c:formatCode>
                <c:ptCount val="11"/>
                <c:pt idx="0">
                  <c:v>100</c:v>
                </c:pt>
                <c:pt idx="1">
                  <c:v>0</c:v>
                </c:pt>
                <c:pt idx="2">
                  <c:v>50</c:v>
                </c:pt>
                <c:pt idx="3">
                  <c:v>50</c:v>
                </c:pt>
                <c:pt idx="4">
                  <c:v>50</c:v>
                </c:pt>
                <c:pt idx="5">
                  <c:v>50</c:v>
                </c:pt>
                <c:pt idx="6">
                  <c:v>50</c:v>
                </c:pt>
                <c:pt idx="7">
                  <c:v>50</c:v>
                </c:pt>
                <c:pt idx="8">
                  <c:v>10</c:v>
                </c:pt>
                <c:pt idx="9">
                  <c:v>60</c:v>
                </c:pt>
                <c:pt idx="10">
                  <c:v>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D5A-465D-9D77-DA5C87C61E57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80"/>
        <c:overlap val="25"/>
        <c:axId val="563932728"/>
        <c:axId val="563935680"/>
      </c:barChart>
      <c:catAx>
        <c:axId val="5639327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587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563935680"/>
        <c:crosses val="autoZero"/>
        <c:auto val="1"/>
        <c:lblAlgn val="ctr"/>
        <c:lblOffset val="100"/>
        <c:noMultiLvlLbl val="0"/>
      </c:catAx>
      <c:valAx>
        <c:axId val="5639356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5639327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선호도!$B$86</c:f>
              <c:strCache>
                <c:ptCount val="1"/>
                <c:pt idx="0">
                  <c:v>선호도</c:v>
                </c:pt>
              </c:strCache>
            </c:strRef>
          </c:tx>
          <c:spPr>
            <a:solidFill>
              <a:schemeClr val="accent2">
                <a:alpha val="7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선호도!$C$85:$M$85</c:f>
              <c:strCache>
                <c:ptCount val="11"/>
                <c:pt idx="0">
                  <c:v>모험가</c:v>
                </c:pt>
                <c:pt idx="1">
                  <c:v>관광객</c:v>
                </c:pt>
                <c:pt idx="2">
                  <c:v>인간</c:v>
                </c:pt>
                <c:pt idx="3">
                  <c:v>엘프</c:v>
                </c:pt>
                <c:pt idx="4">
                  <c:v>드워프</c:v>
                </c:pt>
                <c:pt idx="5">
                  <c:v>오크</c:v>
                </c:pt>
                <c:pt idx="6">
                  <c:v>멍멍이</c:v>
                </c:pt>
                <c:pt idx="7">
                  <c:v>야옹이</c:v>
                </c:pt>
                <c:pt idx="8">
                  <c:v>부유층</c:v>
                </c:pt>
                <c:pt idx="9">
                  <c:v>중산층</c:v>
                </c:pt>
                <c:pt idx="10">
                  <c:v>서민층</c:v>
                </c:pt>
              </c:strCache>
            </c:strRef>
          </c:cat>
          <c:val>
            <c:numRef>
              <c:f>선호도!$C$86:$M$86</c:f>
              <c:numCache>
                <c:formatCode>General</c:formatCode>
                <c:ptCount val="11"/>
                <c:pt idx="0">
                  <c:v>100</c:v>
                </c:pt>
                <c:pt idx="1">
                  <c:v>0</c:v>
                </c:pt>
                <c:pt idx="2">
                  <c:v>50</c:v>
                </c:pt>
                <c:pt idx="3">
                  <c:v>50</c:v>
                </c:pt>
                <c:pt idx="4">
                  <c:v>50</c:v>
                </c:pt>
                <c:pt idx="5">
                  <c:v>50</c:v>
                </c:pt>
                <c:pt idx="6">
                  <c:v>50</c:v>
                </c:pt>
                <c:pt idx="7">
                  <c:v>50</c:v>
                </c:pt>
                <c:pt idx="8">
                  <c:v>10</c:v>
                </c:pt>
                <c:pt idx="9">
                  <c:v>60</c:v>
                </c:pt>
                <c:pt idx="10">
                  <c:v>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E36-42EB-BBC2-05C09BB013CE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80"/>
        <c:overlap val="25"/>
        <c:axId val="864102568"/>
        <c:axId val="864095024"/>
      </c:barChart>
      <c:catAx>
        <c:axId val="8641025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587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864095024"/>
        <c:crosses val="autoZero"/>
        <c:auto val="1"/>
        <c:lblAlgn val="ctr"/>
        <c:lblOffset val="100"/>
        <c:noMultiLvlLbl val="0"/>
      </c:catAx>
      <c:valAx>
        <c:axId val="864095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8641025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선호도!$B$88</c:f>
              <c:strCache>
                <c:ptCount val="1"/>
                <c:pt idx="0">
                  <c:v>선호도</c:v>
                </c:pt>
              </c:strCache>
            </c:strRef>
          </c:tx>
          <c:spPr>
            <a:solidFill>
              <a:schemeClr val="accent2">
                <a:alpha val="7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선호도!$C$87:$M$87</c:f>
              <c:strCache>
                <c:ptCount val="11"/>
                <c:pt idx="0">
                  <c:v>모험가</c:v>
                </c:pt>
                <c:pt idx="1">
                  <c:v>관광객</c:v>
                </c:pt>
                <c:pt idx="2">
                  <c:v>인간</c:v>
                </c:pt>
                <c:pt idx="3">
                  <c:v>엘프</c:v>
                </c:pt>
                <c:pt idx="4">
                  <c:v>드워프</c:v>
                </c:pt>
                <c:pt idx="5">
                  <c:v>오크</c:v>
                </c:pt>
                <c:pt idx="6">
                  <c:v>멍멍이</c:v>
                </c:pt>
                <c:pt idx="7">
                  <c:v>야옹이</c:v>
                </c:pt>
                <c:pt idx="8">
                  <c:v>부유층</c:v>
                </c:pt>
                <c:pt idx="9">
                  <c:v>중산층</c:v>
                </c:pt>
                <c:pt idx="10">
                  <c:v>서민층</c:v>
                </c:pt>
              </c:strCache>
            </c:strRef>
          </c:cat>
          <c:val>
            <c:numRef>
              <c:f>선호도!$C$88:$M$88</c:f>
              <c:numCache>
                <c:formatCode>General</c:formatCode>
                <c:ptCount val="11"/>
                <c:pt idx="0">
                  <c:v>100</c:v>
                </c:pt>
                <c:pt idx="1">
                  <c:v>0</c:v>
                </c:pt>
                <c:pt idx="2">
                  <c:v>50</c:v>
                </c:pt>
                <c:pt idx="3">
                  <c:v>50</c:v>
                </c:pt>
                <c:pt idx="4">
                  <c:v>50</c:v>
                </c:pt>
                <c:pt idx="5">
                  <c:v>50</c:v>
                </c:pt>
                <c:pt idx="6">
                  <c:v>50</c:v>
                </c:pt>
                <c:pt idx="7">
                  <c:v>50</c:v>
                </c:pt>
                <c:pt idx="8">
                  <c:v>60</c:v>
                </c:pt>
                <c:pt idx="9">
                  <c:v>40</c:v>
                </c:pt>
                <c:pt idx="10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728-4623-B0FD-E3A5F327CCE2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80"/>
        <c:overlap val="25"/>
        <c:axId val="563943552"/>
        <c:axId val="563964216"/>
      </c:barChart>
      <c:catAx>
        <c:axId val="5639435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587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563964216"/>
        <c:crosses val="autoZero"/>
        <c:auto val="1"/>
        <c:lblAlgn val="ctr"/>
        <c:lblOffset val="100"/>
        <c:noMultiLvlLbl val="0"/>
      </c:catAx>
      <c:valAx>
        <c:axId val="5639642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5639435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선호도!$B$90</c:f>
              <c:strCache>
                <c:ptCount val="1"/>
                <c:pt idx="0">
                  <c:v>선호도</c:v>
                </c:pt>
              </c:strCache>
            </c:strRef>
          </c:tx>
          <c:spPr>
            <a:solidFill>
              <a:schemeClr val="accent2">
                <a:alpha val="7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선호도!$C$89:$M$89</c:f>
              <c:strCache>
                <c:ptCount val="11"/>
                <c:pt idx="0">
                  <c:v>모험가</c:v>
                </c:pt>
                <c:pt idx="1">
                  <c:v>관광객</c:v>
                </c:pt>
                <c:pt idx="2">
                  <c:v>인간</c:v>
                </c:pt>
                <c:pt idx="3">
                  <c:v>엘프</c:v>
                </c:pt>
                <c:pt idx="4">
                  <c:v>드워프</c:v>
                </c:pt>
                <c:pt idx="5">
                  <c:v>오크</c:v>
                </c:pt>
                <c:pt idx="6">
                  <c:v>멍멍이</c:v>
                </c:pt>
                <c:pt idx="7">
                  <c:v>야옹이</c:v>
                </c:pt>
                <c:pt idx="8">
                  <c:v>부유층</c:v>
                </c:pt>
                <c:pt idx="9">
                  <c:v>중산층</c:v>
                </c:pt>
                <c:pt idx="10">
                  <c:v>서민층</c:v>
                </c:pt>
              </c:strCache>
            </c:strRef>
          </c:cat>
          <c:val>
            <c:numRef>
              <c:f>선호도!$C$90:$M$90</c:f>
              <c:numCache>
                <c:formatCode>General</c:formatCode>
                <c:ptCount val="11"/>
                <c:pt idx="0">
                  <c:v>100</c:v>
                </c:pt>
                <c:pt idx="1">
                  <c:v>0</c:v>
                </c:pt>
                <c:pt idx="2">
                  <c:v>50</c:v>
                </c:pt>
                <c:pt idx="3">
                  <c:v>50</c:v>
                </c:pt>
                <c:pt idx="4">
                  <c:v>50</c:v>
                </c:pt>
                <c:pt idx="5">
                  <c:v>50</c:v>
                </c:pt>
                <c:pt idx="6">
                  <c:v>50</c:v>
                </c:pt>
                <c:pt idx="7">
                  <c:v>50</c:v>
                </c:pt>
                <c:pt idx="8">
                  <c:v>60</c:v>
                </c:pt>
                <c:pt idx="9">
                  <c:v>40</c:v>
                </c:pt>
                <c:pt idx="10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D5A-4C63-8544-AB60FA772C0B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80"/>
        <c:overlap val="25"/>
        <c:axId val="859679752"/>
        <c:axId val="859701072"/>
      </c:barChart>
      <c:catAx>
        <c:axId val="8596797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587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859701072"/>
        <c:crosses val="autoZero"/>
        <c:auto val="1"/>
        <c:lblAlgn val="ctr"/>
        <c:lblOffset val="100"/>
        <c:noMultiLvlLbl val="0"/>
      </c:catAx>
      <c:valAx>
        <c:axId val="859701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8596797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선호도!$B$92</c:f>
              <c:strCache>
                <c:ptCount val="1"/>
                <c:pt idx="0">
                  <c:v>선호도</c:v>
                </c:pt>
              </c:strCache>
            </c:strRef>
          </c:tx>
          <c:spPr>
            <a:solidFill>
              <a:schemeClr val="accent2">
                <a:alpha val="7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선호도!$C$91:$M$91</c:f>
              <c:strCache>
                <c:ptCount val="11"/>
                <c:pt idx="0">
                  <c:v>모험가</c:v>
                </c:pt>
                <c:pt idx="1">
                  <c:v>관광객</c:v>
                </c:pt>
                <c:pt idx="2">
                  <c:v>인간</c:v>
                </c:pt>
                <c:pt idx="3">
                  <c:v>엘프</c:v>
                </c:pt>
                <c:pt idx="4">
                  <c:v>드워프</c:v>
                </c:pt>
                <c:pt idx="5">
                  <c:v>오크</c:v>
                </c:pt>
                <c:pt idx="6">
                  <c:v>멍멍이</c:v>
                </c:pt>
                <c:pt idx="7">
                  <c:v>야옹이</c:v>
                </c:pt>
                <c:pt idx="8">
                  <c:v>부유층</c:v>
                </c:pt>
                <c:pt idx="9">
                  <c:v>중산층</c:v>
                </c:pt>
                <c:pt idx="10">
                  <c:v>서민층</c:v>
                </c:pt>
              </c:strCache>
            </c:strRef>
          </c:cat>
          <c:val>
            <c:numRef>
              <c:f>선호도!$C$92:$M$92</c:f>
              <c:numCache>
                <c:formatCode>General</c:formatCode>
                <c:ptCount val="11"/>
                <c:pt idx="0">
                  <c:v>100</c:v>
                </c:pt>
                <c:pt idx="1">
                  <c:v>0</c:v>
                </c:pt>
                <c:pt idx="2">
                  <c:v>50</c:v>
                </c:pt>
                <c:pt idx="3">
                  <c:v>50</c:v>
                </c:pt>
                <c:pt idx="4">
                  <c:v>50</c:v>
                </c:pt>
                <c:pt idx="5">
                  <c:v>50</c:v>
                </c:pt>
                <c:pt idx="6">
                  <c:v>50</c:v>
                </c:pt>
                <c:pt idx="7">
                  <c:v>50</c:v>
                </c:pt>
                <c:pt idx="8">
                  <c:v>60</c:v>
                </c:pt>
                <c:pt idx="9">
                  <c:v>40</c:v>
                </c:pt>
                <c:pt idx="10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EF5-4BB6-A6D3-7C295D110AC4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80"/>
        <c:overlap val="25"/>
        <c:axId val="859751584"/>
        <c:axId val="859748304"/>
      </c:barChart>
      <c:catAx>
        <c:axId val="8597515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587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859748304"/>
        <c:crosses val="autoZero"/>
        <c:auto val="1"/>
        <c:lblAlgn val="ctr"/>
        <c:lblOffset val="100"/>
        <c:noMultiLvlLbl val="0"/>
      </c:catAx>
      <c:valAx>
        <c:axId val="8597483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8597515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선호도!$T$76</c:f>
              <c:strCache>
                <c:ptCount val="1"/>
                <c:pt idx="0">
                  <c:v>선호도</c:v>
                </c:pt>
              </c:strCache>
            </c:strRef>
          </c:tx>
          <c:spPr>
            <a:solidFill>
              <a:schemeClr val="accent2">
                <a:alpha val="7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선호도!$U$75:$AE$75</c:f>
              <c:strCache>
                <c:ptCount val="11"/>
                <c:pt idx="0">
                  <c:v>모험가</c:v>
                </c:pt>
                <c:pt idx="1">
                  <c:v>관광객</c:v>
                </c:pt>
                <c:pt idx="2">
                  <c:v>인간</c:v>
                </c:pt>
                <c:pt idx="3">
                  <c:v>엘프</c:v>
                </c:pt>
                <c:pt idx="4">
                  <c:v>드워프</c:v>
                </c:pt>
                <c:pt idx="5">
                  <c:v>오크</c:v>
                </c:pt>
                <c:pt idx="6">
                  <c:v>멍멍이</c:v>
                </c:pt>
                <c:pt idx="7">
                  <c:v>야옹이</c:v>
                </c:pt>
                <c:pt idx="8">
                  <c:v>부유층</c:v>
                </c:pt>
                <c:pt idx="9">
                  <c:v>중산층</c:v>
                </c:pt>
                <c:pt idx="10">
                  <c:v>서민층</c:v>
                </c:pt>
              </c:strCache>
            </c:strRef>
          </c:cat>
          <c:val>
            <c:numRef>
              <c:f>선호도!$U$76:$AE$76</c:f>
              <c:numCache>
                <c:formatCode>General</c:formatCode>
                <c:ptCount val="11"/>
                <c:pt idx="0">
                  <c:v>100</c:v>
                </c:pt>
                <c:pt idx="1">
                  <c:v>0</c:v>
                </c:pt>
                <c:pt idx="2">
                  <c:v>50</c:v>
                </c:pt>
                <c:pt idx="3">
                  <c:v>50</c:v>
                </c:pt>
                <c:pt idx="4">
                  <c:v>50</c:v>
                </c:pt>
                <c:pt idx="5">
                  <c:v>50</c:v>
                </c:pt>
                <c:pt idx="6">
                  <c:v>50</c:v>
                </c:pt>
                <c:pt idx="7">
                  <c:v>50</c:v>
                </c:pt>
                <c:pt idx="8">
                  <c:v>100</c:v>
                </c:pt>
                <c:pt idx="9">
                  <c:v>20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D38-48EB-930B-F8ABE0F584A6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80"/>
        <c:overlap val="25"/>
        <c:axId val="738352856"/>
        <c:axId val="738365320"/>
      </c:barChart>
      <c:catAx>
        <c:axId val="7383528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587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738365320"/>
        <c:crosses val="autoZero"/>
        <c:auto val="1"/>
        <c:lblAlgn val="ctr"/>
        <c:lblOffset val="100"/>
        <c:noMultiLvlLbl val="0"/>
      </c:catAx>
      <c:valAx>
        <c:axId val="7383653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7383528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선호도!$T$78</c:f>
              <c:strCache>
                <c:ptCount val="1"/>
                <c:pt idx="0">
                  <c:v>선호도</c:v>
                </c:pt>
              </c:strCache>
            </c:strRef>
          </c:tx>
          <c:spPr>
            <a:solidFill>
              <a:schemeClr val="accent2">
                <a:alpha val="7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선호도!$U$77:$AE$77</c:f>
              <c:strCache>
                <c:ptCount val="11"/>
                <c:pt idx="0">
                  <c:v>모험가</c:v>
                </c:pt>
                <c:pt idx="1">
                  <c:v>관광객</c:v>
                </c:pt>
                <c:pt idx="2">
                  <c:v>인간</c:v>
                </c:pt>
                <c:pt idx="3">
                  <c:v>엘프</c:v>
                </c:pt>
                <c:pt idx="4">
                  <c:v>드워프</c:v>
                </c:pt>
                <c:pt idx="5">
                  <c:v>오크</c:v>
                </c:pt>
                <c:pt idx="6">
                  <c:v>멍멍이</c:v>
                </c:pt>
                <c:pt idx="7">
                  <c:v>야옹이</c:v>
                </c:pt>
                <c:pt idx="8">
                  <c:v>부유층</c:v>
                </c:pt>
                <c:pt idx="9">
                  <c:v>중산층</c:v>
                </c:pt>
                <c:pt idx="10">
                  <c:v>서민층</c:v>
                </c:pt>
              </c:strCache>
            </c:strRef>
          </c:cat>
          <c:val>
            <c:numRef>
              <c:f>선호도!$U$78:$AE$78</c:f>
              <c:numCache>
                <c:formatCode>General</c:formatCode>
                <c:ptCount val="11"/>
                <c:pt idx="0">
                  <c:v>100</c:v>
                </c:pt>
                <c:pt idx="1">
                  <c:v>0</c:v>
                </c:pt>
                <c:pt idx="2">
                  <c:v>50</c:v>
                </c:pt>
                <c:pt idx="3">
                  <c:v>50</c:v>
                </c:pt>
                <c:pt idx="4">
                  <c:v>50</c:v>
                </c:pt>
                <c:pt idx="5">
                  <c:v>50</c:v>
                </c:pt>
                <c:pt idx="6">
                  <c:v>50</c:v>
                </c:pt>
                <c:pt idx="7">
                  <c:v>50</c:v>
                </c:pt>
                <c:pt idx="8">
                  <c:v>100</c:v>
                </c:pt>
                <c:pt idx="9">
                  <c:v>20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311-4D5D-8A9E-FE92602BE6F8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80"/>
        <c:overlap val="25"/>
        <c:axId val="870958536"/>
        <c:axId val="870961160"/>
      </c:barChart>
      <c:catAx>
        <c:axId val="8709585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587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870961160"/>
        <c:crosses val="autoZero"/>
        <c:auto val="1"/>
        <c:lblAlgn val="ctr"/>
        <c:lblOffset val="100"/>
        <c:noMultiLvlLbl val="0"/>
      </c:catAx>
      <c:valAx>
        <c:axId val="870961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8709585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선호도!$T$80</c:f>
              <c:strCache>
                <c:ptCount val="1"/>
                <c:pt idx="0">
                  <c:v>선호도</c:v>
                </c:pt>
              </c:strCache>
            </c:strRef>
          </c:tx>
          <c:spPr>
            <a:solidFill>
              <a:schemeClr val="accent2">
                <a:alpha val="7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선호도!$U$79:$AE$79</c:f>
              <c:strCache>
                <c:ptCount val="11"/>
                <c:pt idx="0">
                  <c:v>모험가</c:v>
                </c:pt>
                <c:pt idx="1">
                  <c:v>관광객</c:v>
                </c:pt>
                <c:pt idx="2">
                  <c:v>인간</c:v>
                </c:pt>
                <c:pt idx="3">
                  <c:v>엘프</c:v>
                </c:pt>
                <c:pt idx="4">
                  <c:v>드워프</c:v>
                </c:pt>
                <c:pt idx="5">
                  <c:v>오크</c:v>
                </c:pt>
                <c:pt idx="6">
                  <c:v>멍멍이</c:v>
                </c:pt>
                <c:pt idx="7">
                  <c:v>야옹이</c:v>
                </c:pt>
                <c:pt idx="8">
                  <c:v>부유층</c:v>
                </c:pt>
                <c:pt idx="9">
                  <c:v>중산층</c:v>
                </c:pt>
                <c:pt idx="10">
                  <c:v>서민층</c:v>
                </c:pt>
              </c:strCache>
            </c:strRef>
          </c:cat>
          <c:val>
            <c:numRef>
              <c:f>선호도!$U$80:$AE$80</c:f>
              <c:numCache>
                <c:formatCode>General</c:formatCode>
                <c:ptCount val="11"/>
                <c:pt idx="0">
                  <c:v>100</c:v>
                </c:pt>
                <c:pt idx="1">
                  <c:v>0</c:v>
                </c:pt>
                <c:pt idx="2">
                  <c:v>50</c:v>
                </c:pt>
                <c:pt idx="3">
                  <c:v>50</c:v>
                </c:pt>
                <c:pt idx="4">
                  <c:v>50</c:v>
                </c:pt>
                <c:pt idx="5">
                  <c:v>50</c:v>
                </c:pt>
                <c:pt idx="6">
                  <c:v>50</c:v>
                </c:pt>
                <c:pt idx="7">
                  <c:v>50</c:v>
                </c:pt>
                <c:pt idx="8">
                  <c:v>100</c:v>
                </c:pt>
                <c:pt idx="9">
                  <c:v>20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758-495C-A9F8-C2394D40DBD5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80"/>
        <c:overlap val="25"/>
        <c:axId val="738340720"/>
        <c:axId val="738344656"/>
      </c:barChart>
      <c:catAx>
        <c:axId val="7383407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587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738344656"/>
        <c:crosses val="autoZero"/>
        <c:auto val="1"/>
        <c:lblAlgn val="ctr"/>
        <c:lblOffset val="100"/>
        <c:noMultiLvlLbl val="0"/>
      </c:catAx>
      <c:valAx>
        <c:axId val="7383446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7383407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선호도!$T$82</c:f>
              <c:strCache>
                <c:ptCount val="1"/>
                <c:pt idx="0">
                  <c:v>선호도</c:v>
                </c:pt>
              </c:strCache>
            </c:strRef>
          </c:tx>
          <c:spPr>
            <a:solidFill>
              <a:schemeClr val="accent2">
                <a:alpha val="7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선호도!$U$81:$AE$81</c:f>
              <c:strCache>
                <c:ptCount val="11"/>
                <c:pt idx="0">
                  <c:v>모험가</c:v>
                </c:pt>
                <c:pt idx="1">
                  <c:v>관광객</c:v>
                </c:pt>
                <c:pt idx="2">
                  <c:v>인간</c:v>
                </c:pt>
                <c:pt idx="3">
                  <c:v>엘프</c:v>
                </c:pt>
                <c:pt idx="4">
                  <c:v>드워프</c:v>
                </c:pt>
                <c:pt idx="5">
                  <c:v>오크</c:v>
                </c:pt>
                <c:pt idx="6">
                  <c:v>멍멍이</c:v>
                </c:pt>
                <c:pt idx="7">
                  <c:v>야옹이</c:v>
                </c:pt>
                <c:pt idx="8">
                  <c:v>부유층</c:v>
                </c:pt>
                <c:pt idx="9">
                  <c:v>중산층</c:v>
                </c:pt>
                <c:pt idx="10">
                  <c:v>서민층</c:v>
                </c:pt>
              </c:strCache>
            </c:strRef>
          </c:cat>
          <c:val>
            <c:numRef>
              <c:f>선호도!$U$82:$AE$82</c:f>
              <c:numCache>
                <c:formatCode>General</c:formatCode>
                <c:ptCount val="11"/>
                <c:pt idx="0">
                  <c:v>100</c:v>
                </c:pt>
                <c:pt idx="1">
                  <c:v>0</c:v>
                </c:pt>
                <c:pt idx="2">
                  <c:v>50</c:v>
                </c:pt>
                <c:pt idx="3">
                  <c:v>50</c:v>
                </c:pt>
                <c:pt idx="4">
                  <c:v>50</c:v>
                </c:pt>
                <c:pt idx="5">
                  <c:v>50</c:v>
                </c:pt>
                <c:pt idx="6">
                  <c:v>50</c:v>
                </c:pt>
                <c:pt idx="7">
                  <c:v>50</c:v>
                </c:pt>
                <c:pt idx="8">
                  <c:v>50</c:v>
                </c:pt>
                <c:pt idx="9">
                  <c:v>50</c:v>
                </c:pt>
                <c:pt idx="10">
                  <c:v>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3EA-4DB8-AAF0-E8856C192606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80"/>
        <c:overlap val="25"/>
        <c:axId val="847222784"/>
        <c:axId val="847215896"/>
      </c:barChart>
      <c:catAx>
        <c:axId val="8472227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587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847215896"/>
        <c:crosses val="autoZero"/>
        <c:auto val="1"/>
        <c:lblAlgn val="ctr"/>
        <c:lblOffset val="100"/>
        <c:noMultiLvlLbl val="0"/>
      </c:catAx>
      <c:valAx>
        <c:axId val="847215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8472227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3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선호도!$T$84</c:f>
              <c:strCache>
                <c:ptCount val="1"/>
                <c:pt idx="0">
                  <c:v>선호도</c:v>
                </c:pt>
              </c:strCache>
            </c:strRef>
          </c:tx>
          <c:spPr>
            <a:solidFill>
              <a:schemeClr val="accent2">
                <a:alpha val="7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선호도!$U$83:$AE$83</c:f>
              <c:strCache>
                <c:ptCount val="11"/>
                <c:pt idx="0">
                  <c:v>모험가</c:v>
                </c:pt>
                <c:pt idx="1">
                  <c:v>관광객</c:v>
                </c:pt>
                <c:pt idx="2">
                  <c:v>인간</c:v>
                </c:pt>
                <c:pt idx="3">
                  <c:v>엘프</c:v>
                </c:pt>
                <c:pt idx="4">
                  <c:v>드워프</c:v>
                </c:pt>
                <c:pt idx="5">
                  <c:v>오크</c:v>
                </c:pt>
                <c:pt idx="6">
                  <c:v>멍멍이</c:v>
                </c:pt>
                <c:pt idx="7">
                  <c:v>야옹이</c:v>
                </c:pt>
                <c:pt idx="8">
                  <c:v>부유층</c:v>
                </c:pt>
                <c:pt idx="9">
                  <c:v>중산층</c:v>
                </c:pt>
                <c:pt idx="10">
                  <c:v>서민층</c:v>
                </c:pt>
              </c:strCache>
            </c:strRef>
          </c:cat>
          <c:val>
            <c:numRef>
              <c:f>선호도!$U$84:$AE$84</c:f>
              <c:numCache>
                <c:formatCode>General</c:formatCode>
                <c:ptCount val="11"/>
                <c:pt idx="0">
                  <c:v>100</c:v>
                </c:pt>
                <c:pt idx="1">
                  <c:v>0</c:v>
                </c:pt>
                <c:pt idx="2">
                  <c:v>50</c:v>
                </c:pt>
                <c:pt idx="3">
                  <c:v>50</c:v>
                </c:pt>
                <c:pt idx="4">
                  <c:v>50</c:v>
                </c:pt>
                <c:pt idx="5">
                  <c:v>50</c:v>
                </c:pt>
                <c:pt idx="6">
                  <c:v>50</c:v>
                </c:pt>
                <c:pt idx="7">
                  <c:v>50</c:v>
                </c:pt>
                <c:pt idx="8">
                  <c:v>100</c:v>
                </c:pt>
                <c:pt idx="9">
                  <c:v>40</c:v>
                </c:pt>
                <c:pt idx="10">
                  <c:v>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BBC-41E1-AE71-EE44456BD49B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80"/>
        <c:overlap val="25"/>
        <c:axId val="847273296"/>
        <c:axId val="847269360"/>
      </c:barChart>
      <c:catAx>
        <c:axId val="8472732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587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847269360"/>
        <c:crosses val="autoZero"/>
        <c:auto val="1"/>
        <c:lblAlgn val="ctr"/>
        <c:lblOffset val="100"/>
        <c:noMultiLvlLbl val="0"/>
      </c:catAx>
      <c:valAx>
        <c:axId val="847269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8472732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3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선호도!$B$124</c:f>
              <c:strCache>
                <c:ptCount val="1"/>
                <c:pt idx="0">
                  <c:v>선호도</c:v>
                </c:pt>
              </c:strCache>
            </c:strRef>
          </c:tx>
          <c:spPr>
            <a:solidFill>
              <a:schemeClr val="accent2">
                <a:alpha val="7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선호도!$C$123:$M$123</c:f>
              <c:strCache>
                <c:ptCount val="11"/>
                <c:pt idx="0">
                  <c:v>`</c:v>
                </c:pt>
                <c:pt idx="1">
                  <c:v>관광객</c:v>
                </c:pt>
                <c:pt idx="2">
                  <c:v>인간</c:v>
                </c:pt>
                <c:pt idx="3">
                  <c:v>엘프</c:v>
                </c:pt>
                <c:pt idx="4">
                  <c:v>드워프</c:v>
                </c:pt>
                <c:pt idx="5">
                  <c:v>오크</c:v>
                </c:pt>
                <c:pt idx="6">
                  <c:v>멍멍이</c:v>
                </c:pt>
                <c:pt idx="7">
                  <c:v>야옹이</c:v>
                </c:pt>
                <c:pt idx="8">
                  <c:v>부유층</c:v>
                </c:pt>
                <c:pt idx="9">
                  <c:v>중산층</c:v>
                </c:pt>
                <c:pt idx="10">
                  <c:v>서민층</c:v>
                </c:pt>
              </c:strCache>
            </c:strRef>
          </c:cat>
          <c:val>
            <c:numRef>
              <c:f>선호도!$C$124:$M$124</c:f>
              <c:numCache>
                <c:formatCode>General</c:formatCode>
                <c:ptCount val="11"/>
                <c:pt idx="0">
                  <c:v>30</c:v>
                </c:pt>
                <c:pt idx="1">
                  <c:v>30</c:v>
                </c:pt>
                <c:pt idx="2">
                  <c:v>35</c:v>
                </c:pt>
                <c:pt idx="3">
                  <c:v>15</c:v>
                </c:pt>
                <c:pt idx="4">
                  <c:v>20</c:v>
                </c:pt>
                <c:pt idx="5">
                  <c:v>50</c:v>
                </c:pt>
                <c:pt idx="6">
                  <c:v>30</c:v>
                </c:pt>
                <c:pt idx="7">
                  <c:v>20</c:v>
                </c:pt>
                <c:pt idx="8">
                  <c:v>15</c:v>
                </c:pt>
                <c:pt idx="9">
                  <c:v>25</c:v>
                </c:pt>
                <c:pt idx="10">
                  <c:v>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937-4054-9CDE-3FAE21D2CE58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80"/>
        <c:overlap val="25"/>
        <c:axId val="501370840"/>
        <c:axId val="501371168"/>
      </c:barChart>
      <c:catAx>
        <c:axId val="5013708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587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501371168"/>
        <c:crosses val="autoZero"/>
        <c:auto val="1"/>
        <c:lblAlgn val="ctr"/>
        <c:lblOffset val="100"/>
        <c:noMultiLvlLbl val="0"/>
      </c:catAx>
      <c:valAx>
        <c:axId val="501371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5013708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3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선호도!$B$126</c:f>
              <c:strCache>
                <c:ptCount val="1"/>
                <c:pt idx="0">
                  <c:v>선호도</c:v>
                </c:pt>
              </c:strCache>
            </c:strRef>
          </c:tx>
          <c:spPr>
            <a:solidFill>
              <a:schemeClr val="accent2">
                <a:alpha val="7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선호도!$C$125:$M$125</c:f>
              <c:strCache>
                <c:ptCount val="11"/>
                <c:pt idx="0">
                  <c:v>모험가</c:v>
                </c:pt>
                <c:pt idx="1">
                  <c:v>관광객</c:v>
                </c:pt>
                <c:pt idx="2">
                  <c:v>인간</c:v>
                </c:pt>
                <c:pt idx="3">
                  <c:v>엘프</c:v>
                </c:pt>
                <c:pt idx="4">
                  <c:v>드워프</c:v>
                </c:pt>
                <c:pt idx="5">
                  <c:v>오크</c:v>
                </c:pt>
                <c:pt idx="6">
                  <c:v>멍멍이</c:v>
                </c:pt>
                <c:pt idx="7">
                  <c:v>야옹이</c:v>
                </c:pt>
                <c:pt idx="8">
                  <c:v>부유층</c:v>
                </c:pt>
                <c:pt idx="9">
                  <c:v>중산층</c:v>
                </c:pt>
                <c:pt idx="10">
                  <c:v>서민층</c:v>
                </c:pt>
              </c:strCache>
            </c:strRef>
          </c:cat>
          <c:val>
            <c:numRef>
              <c:f>선호도!$C$126:$M$126</c:f>
              <c:numCache>
                <c:formatCode>General</c:formatCode>
                <c:ptCount val="11"/>
                <c:pt idx="0">
                  <c:v>50</c:v>
                </c:pt>
                <c:pt idx="1">
                  <c:v>20</c:v>
                </c:pt>
                <c:pt idx="2">
                  <c:v>35</c:v>
                </c:pt>
                <c:pt idx="3">
                  <c:v>45</c:v>
                </c:pt>
                <c:pt idx="4">
                  <c:v>35</c:v>
                </c:pt>
                <c:pt idx="5">
                  <c:v>30</c:v>
                </c:pt>
                <c:pt idx="6">
                  <c:v>25</c:v>
                </c:pt>
                <c:pt idx="7">
                  <c:v>40</c:v>
                </c:pt>
                <c:pt idx="8">
                  <c:v>40</c:v>
                </c:pt>
                <c:pt idx="9">
                  <c:v>45</c:v>
                </c:pt>
                <c:pt idx="10">
                  <c:v>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22C-42B6-AD64-2F07489F11EC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80"/>
        <c:overlap val="25"/>
        <c:axId val="452876728"/>
        <c:axId val="462545216"/>
      </c:barChart>
      <c:catAx>
        <c:axId val="4528767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587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462545216"/>
        <c:crosses val="autoZero"/>
        <c:auto val="1"/>
        <c:lblAlgn val="ctr"/>
        <c:lblOffset val="100"/>
        <c:noMultiLvlLbl val="0"/>
      </c:catAx>
      <c:valAx>
        <c:axId val="4625452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4528767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4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선호도!$B$128</c:f>
              <c:strCache>
                <c:ptCount val="1"/>
                <c:pt idx="0">
                  <c:v>선호도</c:v>
                </c:pt>
              </c:strCache>
            </c:strRef>
          </c:tx>
          <c:spPr>
            <a:solidFill>
              <a:schemeClr val="accent2">
                <a:alpha val="7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선호도!$C$127:$M$127</c:f>
              <c:strCache>
                <c:ptCount val="11"/>
                <c:pt idx="0">
                  <c:v>모험가</c:v>
                </c:pt>
                <c:pt idx="1">
                  <c:v>관광객</c:v>
                </c:pt>
                <c:pt idx="2">
                  <c:v>인간</c:v>
                </c:pt>
                <c:pt idx="3">
                  <c:v>엘프</c:v>
                </c:pt>
                <c:pt idx="4">
                  <c:v>드워프</c:v>
                </c:pt>
                <c:pt idx="5">
                  <c:v>오크</c:v>
                </c:pt>
                <c:pt idx="6">
                  <c:v>멍멍이</c:v>
                </c:pt>
                <c:pt idx="7">
                  <c:v>야옹이</c:v>
                </c:pt>
                <c:pt idx="8">
                  <c:v>부유층</c:v>
                </c:pt>
                <c:pt idx="9">
                  <c:v>중산층</c:v>
                </c:pt>
                <c:pt idx="10">
                  <c:v>서민층</c:v>
                </c:pt>
              </c:strCache>
            </c:strRef>
          </c:cat>
          <c:val>
            <c:numRef>
              <c:f>선호도!$C$128:$M$128</c:f>
              <c:numCache>
                <c:formatCode>General</c:formatCode>
                <c:ptCount val="11"/>
                <c:pt idx="0">
                  <c:v>45</c:v>
                </c:pt>
                <c:pt idx="1">
                  <c:v>40</c:v>
                </c:pt>
                <c:pt idx="2">
                  <c:v>45</c:v>
                </c:pt>
                <c:pt idx="3">
                  <c:v>35</c:v>
                </c:pt>
                <c:pt idx="4">
                  <c:v>45</c:v>
                </c:pt>
                <c:pt idx="5">
                  <c:v>40</c:v>
                </c:pt>
                <c:pt idx="6">
                  <c:v>30</c:v>
                </c:pt>
                <c:pt idx="7">
                  <c:v>30</c:v>
                </c:pt>
                <c:pt idx="8">
                  <c:v>35</c:v>
                </c:pt>
                <c:pt idx="9">
                  <c:v>45</c:v>
                </c:pt>
                <c:pt idx="10">
                  <c:v>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832-4410-BB9A-13A1A4FBB6A4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80"/>
        <c:overlap val="25"/>
        <c:axId val="453276384"/>
        <c:axId val="453278352"/>
      </c:barChart>
      <c:catAx>
        <c:axId val="4532763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587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453278352"/>
        <c:crosses val="autoZero"/>
        <c:auto val="1"/>
        <c:lblAlgn val="ctr"/>
        <c:lblOffset val="100"/>
        <c:noMultiLvlLbl val="0"/>
      </c:catAx>
      <c:valAx>
        <c:axId val="453278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4532763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4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선호도!$B$130</c:f>
              <c:strCache>
                <c:ptCount val="1"/>
                <c:pt idx="0">
                  <c:v>선호도</c:v>
                </c:pt>
              </c:strCache>
            </c:strRef>
          </c:tx>
          <c:spPr>
            <a:solidFill>
              <a:schemeClr val="accent2">
                <a:alpha val="7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선호도!$C$129:$M$129</c:f>
              <c:strCache>
                <c:ptCount val="11"/>
                <c:pt idx="0">
                  <c:v>모험가</c:v>
                </c:pt>
                <c:pt idx="1">
                  <c:v>관광객</c:v>
                </c:pt>
                <c:pt idx="2">
                  <c:v>인간</c:v>
                </c:pt>
                <c:pt idx="3">
                  <c:v>엘프</c:v>
                </c:pt>
                <c:pt idx="4">
                  <c:v>드워프</c:v>
                </c:pt>
                <c:pt idx="5">
                  <c:v>오크</c:v>
                </c:pt>
                <c:pt idx="6">
                  <c:v>멍멍이</c:v>
                </c:pt>
                <c:pt idx="7">
                  <c:v>야옹이</c:v>
                </c:pt>
                <c:pt idx="8">
                  <c:v>부유층</c:v>
                </c:pt>
                <c:pt idx="9">
                  <c:v>중산층</c:v>
                </c:pt>
                <c:pt idx="10">
                  <c:v>서민층</c:v>
                </c:pt>
              </c:strCache>
            </c:strRef>
          </c:cat>
          <c:val>
            <c:numRef>
              <c:f>선호도!$C$130:$M$130</c:f>
              <c:numCache>
                <c:formatCode>General</c:formatCode>
                <c:ptCount val="11"/>
                <c:pt idx="0">
                  <c:v>70</c:v>
                </c:pt>
                <c:pt idx="1">
                  <c:v>35</c:v>
                </c:pt>
                <c:pt idx="2">
                  <c:v>50</c:v>
                </c:pt>
                <c:pt idx="3">
                  <c:v>80</c:v>
                </c:pt>
                <c:pt idx="4">
                  <c:v>45</c:v>
                </c:pt>
                <c:pt idx="5">
                  <c:v>25</c:v>
                </c:pt>
                <c:pt idx="6">
                  <c:v>55</c:v>
                </c:pt>
                <c:pt idx="7">
                  <c:v>60</c:v>
                </c:pt>
                <c:pt idx="8">
                  <c:v>70</c:v>
                </c:pt>
                <c:pt idx="9">
                  <c:v>55</c:v>
                </c:pt>
                <c:pt idx="10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BE8-433D-989D-05FBB475E6ED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80"/>
        <c:overlap val="25"/>
        <c:axId val="506527744"/>
        <c:axId val="511182632"/>
      </c:barChart>
      <c:catAx>
        <c:axId val="5065277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587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511182632"/>
        <c:crosses val="autoZero"/>
        <c:auto val="1"/>
        <c:lblAlgn val="ctr"/>
        <c:lblOffset val="100"/>
        <c:noMultiLvlLbl val="0"/>
      </c:catAx>
      <c:valAx>
        <c:axId val="511182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5065277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4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선호도!$B$132</c:f>
              <c:strCache>
                <c:ptCount val="1"/>
                <c:pt idx="0">
                  <c:v>선호도</c:v>
                </c:pt>
              </c:strCache>
            </c:strRef>
          </c:tx>
          <c:spPr>
            <a:solidFill>
              <a:schemeClr val="accent2">
                <a:alpha val="7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선호도!$C$131:$M$131</c:f>
              <c:strCache>
                <c:ptCount val="11"/>
                <c:pt idx="0">
                  <c:v>모험가</c:v>
                </c:pt>
                <c:pt idx="1">
                  <c:v>관광객</c:v>
                </c:pt>
                <c:pt idx="2">
                  <c:v>인간</c:v>
                </c:pt>
                <c:pt idx="3">
                  <c:v>엘프</c:v>
                </c:pt>
                <c:pt idx="4">
                  <c:v>드워프</c:v>
                </c:pt>
                <c:pt idx="5">
                  <c:v>오크</c:v>
                </c:pt>
                <c:pt idx="6">
                  <c:v>멍멍이</c:v>
                </c:pt>
                <c:pt idx="7">
                  <c:v>야옹이</c:v>
                </c:pt>
                <c:pt idx="8">
                  <c:v>부유층</c:v>
                </c:pt>
                <c:pt idx="9">
                  <c:v>중산층</c:v>
                </c:pt>
                <c:pt idx="10">
                  <c:v>서민층</c:v>
                </c:pt>
              </c:strCache>
            </c:strRef>
          </c:cat>
          <c:val>
            <c:numRef>
              <c:f>선호도!$C$132:$M$132</c:f>
              <c:numCache>
                <c:formatCode>General</c:formatCode>
                <c:ptCount val="11"/>
                <c:pt idx="0">
                  <c:v>20</c:v>
                </c:pt>
                <c:pt idx="1">
                  <c:v>80</c:v>
                </c:pt>
                <c:pt idx="2">
                  <c:v>65</c:v>
                </c:pt>
                <c:pt idx="3">
                  <c:v>70</c:v>
                </c:pt>
                <c:pt idx="4">
                  <c:v>80</c:v>
                </c:pt>
                <c:pt idx="5">
                  <c:v>40</c:v>
                </c:pt>
                <c:pt idx="6">
                  <c:v>45</c:v>
                </c:pt>
                <c:pt idx="7">
                  <c:v>65</c:v>
                </c:pt>
                <c:pt idx="8">
                  <c:v>70</c:v>
                </c:pt>
                <c:pt idx="9">
                  <c:v>35</c:v>
                </c:pt>
                <c:pt idx="10">
                  <c:v>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15D-4CEC-A135-30941CAB47B8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80"/>
        <c:overlap val="25"/>
        <c:axId val="462308336"/>
        <c:axId val="462307352"/>
      </c:barChart>
      <c:catAx>
        <c:axId val="4623083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587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462307352"/>
        <c:crosses val="autoZero"/>
        <c:auto val="1"/>
        <c:lblAlgn val="ctr"/>
        <c:lblOffset val="100"/>
        <c:noMultiLvlLbl val="0"/>
      </c:catAx>
      <c:valAx>
        <c:axId val="462307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4623083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4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선호도!$B$134</c:f>
              <c:strCache>
                <c:ptCount val="1"/>
                <c:pt idx="0">
                  <c:v>선호도</c:v>
                </c:pt>
              </c:strCache>
            </c:strRef>
          </c:tx>
          <c:spPr>
            <a:solidFill>
              <a:schemeClr val="accent2">
                <a:alpha val="7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선호도!$C$133:$M$133</c:f>
              <c:strCache>
                <c:ptCount val="11"/>
                <c:pt idx="0">
                  <c:v>모험가</c:v>
                </c:pt>
                <c:pt idx="1">
                  <c:v>관광객</c:v>
                </c:pt>
                <c:pt idx="2">
                  <c:v>인간</c:v>
                </c:pt>
                <c:pt idx="3">
                  <c:v>엘프</c:v>
                </c:pt>
                <c:pt idx="4">
                  <c:v>드워프</c:v>
                </c:pt>
                <c:pt idx="5">
                  <c:v>오크</c:v>
                </c:pt>
                <c:pt idx="6">
                  <c:v>멍멍이</c:v>
                </c:pt>
                <c:pt idx="7">
                  <c:v>야옹이</c:v>
                </c:pt>
                <c:pt idx="8">
                  <c:v>부유층</c:v>
                </c:pt>
                <c:pt idx="9">
                  <c:v>중산층</c:v>
                </c:pt>
                <c:pt idx="10">
                  <c:v>서민층</c:v>
                </c:pt>
              </c:strCache>
            </c:strRef>
          </c:cat>
          <c:val>
            <c:numRef>
              <c:f>선호도!$C$134:$M$134</c:f>
              <c:numCache>
                <c:formatCode>General</c:formatCode>
                <c:ptCount val="11"/>
                <c:pt idx="0">
                  <c:v>70</c:v>
                </c:pt>
                <c:pt idx="1">
                  <c:v>30</c:v>
                </c:pt>
                <c:pt idx="2">
                  <c:v>65</c:v>
                </c:pt>
                <c:pt idx="3">
                  <c:v>70</c:v>
                </c:pt>
                <c:pt idx="4">
                  <c:v>60</c:v>
                </c:pt>
                <c:pt idx="5">
                  <c:v>40</c:v>
                </c:pt>
                <c:pt idx="6">
                  <c:v>55</c:v>
                </c:pt>
                <c:pt idx="7">
                  <c:v>55</c:v>
                </c:pt>
                <c:pt idx="8">
                  <c:v>35</c:v>
                </c:pt>
                <c:pt idx="9">
                  <c:v>65</c:v>
                </c:pt>
                <c:pt idx="10">
                  <c:v>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C71-46EE-A0E8-4205003C033D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80"/>
        <c:overlap val="25"/>
        <c:axId val="524168376"/>
        <c:axId val="524170344"/>
      </c:barChart>
      <c:catAx>
        <c:axId val="5241683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587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524170344"/>
        <c:crosses val="autoZero"/>
        <c:auto val="1"/>
        <c:lblAlgn val="ctr"/>
        <c:lblOffset val="100"/>
        <c:noMultiLvlLbl val="0"/>
      </c:catAx>
      <c:valAx>
        <c:axId val="5241703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5241683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4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선호도!$B$136</c:f>
              <c:strCache>
                <c:ptCount val="1"/>
                <c:pt idx="0">
                  <c:v>선호도</c:v>
                </c:pt>
              </c:strCache>
            </c:strRef>
          </c:tx>
          <c:spPr>
            <a:solidFill>
              <a:schemeClr val="accent2">
                <a:alpha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선호도!$C$135:$M$135</c:f>
              <c:strCache>
                <c:ptCount val="11"/>
                <c:pt idx="0">
                  <c:v>모험가</c:v>
                </c:pt>
                <c:pt idx="1">
                  <c:v>관광객</c:v>
                </c:pt>
                <c:pt idx="2">
                  <c:v>인간</c:v>
                </c:pt>
                <c:pt idx="3">
                  <c:v>엘프</c:v>
                </c:pt>
                <c:pt idx="4">
                  <c:v>드워프</c:v>
                </c:pt>
                <c:pt idx="5">
                  <c:v>오크</c:v>
                </c:pt>
                <c:pt idx="6">
                  <c:v>멍멍이</c:v>
                </c:pt>
                <c:pt idx="7">
                  <c:v>야옹이</c:v>
                </c:pt>
                <c:pt idx="8">
                  <c:v>부유층</c:v>
                </c:pt>
                <c:pt idx="9">
                  <c:v>중산층</c:v>
                </c:pt>
                <c:pt idx="10">
                  <c:v>서민층</c:v>
                </c:pt>
              </c:strCache>
            </c:strRef>
          </c:cat>
          <c:val>
            <c:numRef>
              <c:f>선호도!$C$136:$M$136</c:f>
              <c:numCache>
                <c:formatCode>General</c:formatCode>
                <c:ptCount val="11"/>
                <c:pt idx="0">
                  <c:v>20</c:v>
                </c:pt>
                <c:pt idx="1">
                  <c:v>80</c:v>
                </c:pt>
                <c:pt idx="2">
                  <c:v>65</c:v>
                </c:pt>
                <c:pt idx="3">
                  <c:v>55</c:v>
                </c:pt>
                <c:pt idx="4">
                  <c:v>85</c:v>
                </c:pt>
                <c:pt idx="5">
                  <c:v>90</c:v>
                </c:pt>
                <c:pt idx="6">
                  <c:v>65</c:v>
                </c:pt>
                <c:pt idx="7">
                  <c:v>35</c:v>
                </c:pt>
                <c:pt idx="8">
                  <c:v>70</c:v>
                </c:pt>
                <c:pt idx="9">
                  <c:v>35</c:v>
                </c:pt>
                <c:pt idx="10">
                  <c:v>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FF0-428F-AAFB-E864F2565C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80"/>
        <c:overlap val="25"/>
        <c:axId val="454222584"/>
        <c:axId val="454217992"/>
      </c:barChart>
      <c:catAx>
        <c:axId val="4542225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587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454217992"/>
        <c:crosses val="autoZero"/>
        <c:auto val="1"/>
        <c:lblAlgn val="ctr"/>
        <c:lblOffset val="100"/>
        <c:noMultiLvlLbl val="0"/>
      </c:catAx>
      <c:valAx>
        <c:axId val="454217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4542225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4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선호도!$B$148</c:f>
              <c:strCache>
                <c:ptCount val="1"/>
                <c:pt idx="0">
                  <c:v>선호도</c:v>
                </c:pt>
              </c:strCache>
            </c:strRef>
          </c:tx>
          <c:spPr>
            <a:solidFill>
              <a:schemeClr val="accent2">
                <a:alpha val="7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선호도!$C$147:$M$147</c:f>
              <c:strCache>
                <c:ptCount val="11"/>
                <c:pt idx="0">
                  <c:v>모험가</c:v>
                </c:pt>
                <c:pt idx="1">
                  <c:v>관광객</c:v>
                </c:pt>
                <c:pt idx="2">
                  <c:v>인간</c:v>
                </c:pt>
                <c:pt idx="3">
                  <c:v>엘프</c:v>
                </c:pt>
                <c:pt idx="4">
                  <c:v>드워프</c:v>
                </c:pt>
                <c:pt idx="5">
                  <c:v>오크</c:v>
                </c:pt>
                <c:pt idx="6">
                  <c:v>멍멍이</c:v>
                </c:pt>
                <c:pt idx="7">
                  <c:v>야옹이</c:v>
                </c:pt>
                <c:pt idx="8">
                  <c:v>부유층</c:v>
                </c:pt>
                <c:pt idx="9">
                  <c:v>중산층</c:v>
                </c:pt>
                <c:pt idx="10">
                  <c:v>서민층</c:v>
                </c:pt>
              </c:strCache>
            </c:strRef>
          </c:cat>
          <c:val>
            <c:numRef>
              <c:f>선호도!$C$148:$M$148</c:f>
              <c:numCache>
                <c:formatCode>General</c:formatCode>
                <c:ptCount val="11"/>
                <c:pt idx="0">
                  <c:v>10</c:v>
                </c:pt>
                <c:pt idx="1">
                  <c:v>65</c:v>
                </c:pt>
                <c:pt idx="2">
                  <c:v>45</c:v>
                </c:pt>
                <c:pt idx="3">
                  <c:v>30</c:v>
                </c:pt>
                <c:pt idx="4">
                  <c:v>20</c:v>
                </c:pt>
                <c:pt idx="5">
                  <c:v>10</c:v>
                </c:pt>
                <c:pt idx="6">
                  <c:v>40</c:v>
                </c:pt>
                <c:pt idx="7">
                  <c:v>25</c:v>
                </c:pt>
                <c:pt idx="8">
                  <c:v>15</c:v>
                </c:pt>
                <c:pt idx="9">
                  <c:v>30</c:v>
                </c:pt>
                <c:pt idx="10">
                  <c:v>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2E1-4F16-9238-141CFAD25DA9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80"/>
        <c:overlap val="25"/>
        <c:axId val="904965040"/>
        <c:axId val="904963072"/>
      </c:barChart>
      <c:catAx>
        <c:axId val="9049650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587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904963072"/>
        <c:crosses val="autoZero"/>
        <c:auto val="1"/>
        <c:lblAlgn val="ctr"/>
        <c:lblOffset val="100"/>
        <c:noMultiLvlLbl val="0"/>
      </c:catAx>
      <c:valAx>
        <c:axId val="904963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9049650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4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선호도!$B$150</c:f>
              <c:strCache>
                <c:ptCount val="1"/>
                <c:pt idx="0">
                  <c:v>선호도</c:v>
                </c:pt>
              </c:strCache>
            </c:strRef>
          </c:tx>
          <c:spPr>
            <a:solidFill>
              <a:schemeClr val="accent2">
                <a:alpha val="7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선호도!$C$149:$M$149</c:f>
              <c:strCache>
                <c:ptCount val="11"/>
                <c:pt idx="0">
                  <c:v>모험가</c:v>
                </c:pt>
                <c:pt idx="1">
                  <c:v>관광객</c:v>
                </c:pt>
                <c:pt idx="2">
                  <c:v>인간</c:v>
                </c:pt>
                <c:pt idx="3">
                  <c:v>엘프</c:v>
                </c:pt>
                <c:pt idx="4">
                  <c:v>드워프</c:v>
                </c:pt>
                <c:pt idx="5">
                  <c:v>오크</c:v>
                </c:pt>
                <c:pt idx="6">
                  <c:v>멍멍이</c:v>
                </c:pt>
                <c:pt idx="7">
                  <c:v>야옹이</c:v>
                </c:pt>
                <c:pt idx="8">
                  <c:v>부유층</c:v>
                </c:pt>
                <c:pt idx="9">
                  <c:v>중산층</c:v>
                </c:pt>
                <c:pt idx="10">
                  <c:v>서민층</c:v>
                </c:pt>
              </c:strCache>
            </c:strRef>
          </c:cat>
          <c:val>
            <c:numRef>
              <c:f>선호도!$C$150:$M$150</c:f>
              <c:numCache>
                <c:formatCode>General</c:formatCode>
                <c:ptCount val="11"/>
                <c:pt idx="0">
                  <c:v>10</c:v>
                </c:pt>
                <c:pt idx="1">
                  <c:v>65</c:v>
                </c:pt>
                <c:pt idx="2">
                  <c:v>40</c:v>
                </c:pt>
                <c:pt idx="3">
                  <c:v>40</c:v>
                </c:pt>
                <c:pt idx="4">
                  <c:v>15</c:v>
                </c:pt>
                <c:pt idx="5">
                  <c:v>65</c:v>
                </c:pt>
                <c:pt idx="6">
                  <c:v>20</c:v>
                </c:pt>
                <c:pt idx="7">
                  <c:v>30</c:v>
                </c:pt>
                <c:pt idx="8">
                  <c:v>30</c:v>
                </c:pt>
                <c:pt idx="9">
                  <c:v>40</c:v>
                </c:pt>
                <c:pt idx="10">
                  <c:v>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D6D-425F-B8FE-BD35B196917E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80"/>
        <c:overlap val="25"/>
        <c:axId val="698267200"/>
        <c:axId val="698268512"/>
      </c:barChart>
      <c:catAx>
        <c:axId val="6982672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587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698268512"/>
        <c:crosses val="autoZero"/>
        <c:auto val="1"/>
        <c:lblAlgn val="ctr"/>
        <c:lblOffset val="100"/>
        <c:noMultiLvlLbl val="0"/>
      </c:catAx>
      <c:valAx>
        <c:axId val="6982685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6982672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4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선호도!$B$152</c:f>
              <c:strCache>
                <c:ptCount val="1"/>
                <c:pt idx="0">
                  <c:v>선호도</c:v>
                </c:pt>
              </c:strCache>
            </c:strRef>
          </c:tx>
          <c:spPr>
            <a:solidFill>
              <a:schemeClr val="accent2">
                <a:alpha val="7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선호도!$C$151:$M$151</c:f>
              <c:strCache>
                <c:ptCount val="11"/>
                <c:pt idx="0">
                  <c:v>모험가</c:v>
                </c:pt>
                <c:pt idx="1">
                  <c:v>관광객</c:v>
                </c:pt>
                <c:pt idx="2">
                  <c:v>인간</c:v>
                </c:pt>
                <c:pt idx="3">
                  <c:v>엘프</c:v>
                </c:pt>
                <c:pt idx="4">
                  <c:v>드워프</c:v>
                </c:pt>
                <c:pt idx="5">
                  <c:v>오크</c:v>
                </c:pt>
                <c:pt idx="6">
                  <c:v>멍멍이</c:v>
                </c:pt>
                <c:pt idx="7">
                  <c:v>야옹이</c:v>
                </c:pt>
                <c:pt idx="8">
                  <c:v>부유층</c:v>
                </c:pt>
                <c:pt idx="9">
                  <c:v>중산층</c:v>
                </c:pt>
                <c:pt idx="10">
                  <c:v>서민층</c:v>
                </c:pt>
              </c:strCache>
            </c:strRef>
          </c:cat>
          <c:val>
            <c:numRef>
              <c:f>선호도!$C$152:$M$152</c:f>
              <c:numCache>
                <c:formatCode>General</c:formatCode>
                <c:ptCount val="11"/>
                <c:pt idx="0">
                  <c:v>0</c:v>
                </c:pt>
                <c:pt idx="1">
                  <c:v>65</c:v>
                </c:pt>
                <c:pt idx="2">
                  <c:v>50</c:v>
                </c:pt>
                <c:pt idx="3">
                  <c:v>40</c:v>
                </c:pt>
                <c:pt idx="4">
                  <c:v>35</c:v>
                </c:pt>
                <c:pt idx="5">
                  <c:v>40</c:v>
                </c:pt>
                <c:pt idx="6">
                  <c:v>40</c:v>
                </c:pt>
                <c:pt idx="7">
                  <c:v>40</c:v>
                </c:pt>
                <c:pt idx="8">
                  <c:v>40</c:v>
                </c:pt>
                <c:pt idx="9">
                  <c:v>65</c:v>
                </c:pt>
                <c:pt idx="10">
                  <c:v>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D27-4F3A-B960-DD6DD836515D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80"/>
        <c:overlap val="25"/>
        <c:axId val="812632352"/>
        <c:axId val="812630384"/>
      </c:barChart>
      <c:catAx>
        <c:axId val="8126323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587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812630384"/>
        <c:crosses val="autoZero"/>
        <c:auto val="1"/>
        <c:lblAlgn val="ctr"/>
        <c:lblOffset val="100"/>
        <c:noMultiLvlLbl val="0"/>
      </c:catAx>
      <c:valAx>
        <c:axId val="812630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8126323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4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선호도!$B$154</c:f>
              <c:strCache>
                <c:ptCount val="1"/>
                <c:pt idx="0">
                  <c:v>선호도</c:v>
                </c:pt>
              </c:strCache>
            </c:strRef>
          </c:tx>
          <c:spPr>
            <a:solidFill>
              <a:schemeClr val="accent2">
                <a:alpha val="7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선호도!$C$153:$M$153</c:f>
              <c:strCache>
                <c:ptCount val="11"/>
                <c:pt idx="0">
                  <c:v>모험가</c:v>
                </c:pt>
                <c:pt idx="1">
                  <c:v>관광객</c:v>
                </c:pt>
                <c:pt idx="2">
                  <c:v>인간</c:v>
                </c:pt>
                <c:pt idx="3">
                  <c:v>엘프</c:v>
                </c:pt>
                <c:pt idx="4">
                  <c:v>드워프</c:v>
                </c:pt>
                <c:pt idx="5">
                  <c:v>오크</c:v>
                </c:pt>
                <c:pt idx="6">
                  <c:v>멍멍이</c:v>
                </c:pt>
                <c:pt idx="7">
                  <c:v>야옹이</c:v>
                </c:pt>
                <c:pt idx="8">
                  <c:v>부유층</c:v>
                </c:pt>
                <c:pt idx="9">
                  <c:v>중산층</c:v>
                </c:pt>
                <c:pt idx="10">
                  <c:v>서민층</c:v>
                </c:pt>
              </c:strCache>
            </c:strRef>
          </c:cat>
          <c:val>
            <c:numRef>
              <c:f>선호도!$C$154:$M$154</c:f>
              <c:numCache>
                <c:formatCode>General</c:formatCode>
                <c:ptCount val="11"/>
                <c:pt idx="0">
                  <c:v>15</c:v>
                </c:pt>
                <c:pt idx="1">
                  <c:v>65</c:v>
                </c:pt>
                <c:pt idx="2">
                  <c:v>50</c:v>
                </c:pt>
                <c:pt idx="3">
                  <c:v>55</c:v>
                </c:pt>
                <c:pt idx="4">
                  <c:v>85</c:v>
                </c:pt>
                <c:pt idx="5">
                  <c:v>40</c:v>
                </c:pt>
                <c:pt idx="6">
                  <c:v>15</c:v>
                </c:pt>
                <c:pt idx="7">
                  <c:v>40</c:v>
                </c:pt>
                <c:pt idx="8">
                  <c:v>80</c:v>
                </c:pt>
                <c:pt idx="9">
                  <c:v>50</c:v>
                </c:pt>
                <c:pt idx="10">
                  <c:v>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23A-4D41-AB35-5C3C79AC6E46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80"/>
        <c:overlap val="25"/>
        <c:axId val="698270480"/>
        <c:axId val="698265888"/>
      </c:barChart>
      <c:catAx>
        <c:axId val="6982704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587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698265888"/>
        <c:crosses val="autoZero"/>
        <c:auto val="1"/>
        <c:lblAlgn val="ctr"/>
        <c:lblOffset val="100"/>
        <c:noMultiLvlLbl val="0"/>
      </c:catAx>
      <c:valAx>
        <c:axId val="698265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6982704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4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선호도!$B$156</c:f>
              <c:strCache>
                <c:ptCount val="1"/>
                <c:pt idx="0">
                  <c:v>선호도</c:v>
                </c:pt>
              </c:strCache>
            </c:strRef>
          </c:tx>
          <c:spPr>
            <a:solidFill>
              <a:schemeClr val="accent2">
                <a:alpha val="7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선호도!$C$155:$M$155</c:f>
              <c:strCache>
                <c:ptCount val="11"/>
                <c:pt idx="0">
                  <c:v>모험가</c:v>
                </c:pt>
                <c:pt idx="1">
                  <c:v>관광객</c:v>
                </c:pt>
                <c:pt idx="2">
                  <c:v>인간</c:v>
                </c:pt>
                <c:pt idx="3">
                  <c:v>엘프</c:v>
                </c:pt>
                <c:pt idx="4">
                  <c:v>드워프</c:v>
                </c:pt>
                <c:pt idx="5">
                  <c:v>오크</c:v>
                </c:pt>
                <c:pt idx="6">
                  <c:v>멍멍이</c:v>
                </c:pt>
                <c:pt idx="7">
                  <c:v>야옹이</c:v>
                </c:pt>
                <c:pt idx="8">
                  <c:v>부유층</c:v>
                </c:pt>
                <c:pt idx="9">
                  <c:v>중산층</c:v>
                </c:pt>
                <c:pt idx="10">
                  <c:v>서민층</c:v>
                </c:pt>
              </c:strCache>
            </c:strRef>
          </c:cat>
          <c:val>
            <c:numRef>
              <c:f>선호도!$C$156:$M$156</c:f>
              <c:numCache>
                <c:formatCode>General</c:formatCode>
                <c:ptCount val="11"/>
                <c:pt idx="0">
                  <c:v>5</c:v>
                </c:pt>
                <c:pt idx="1">
                  <c:v>65</c:v>
                </c:pt>
                <c:pt idx="2">
                  <c:v>60</c:v>
                </c:pt>
                <c:pt idx="3">
                  <c:v>35</c:v>
                </c:pt>
                <c:pt idx="4">
                  <c:v>55</c:v>
                </c:pt>
                <c:pt idx="5">
                  <c:v>60</c:v>
                </c:pt>
                <c:pt idx="6">
                  <c:v>75</c:v>
                </c:pt>
                <c:pt idx="7">
                  <c:v>40</c:v>
                </c:pt>
                <c:pt idx="8">
                  <c:v>50</c:v>
                </c:pt>
                <c:pt idx="9">
                  <c:v>65</c:v>
                </c:pt>
                <c:pt idx="10">
                  <c:v>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BA5-4B45-AC03-E0B3140E3197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80"/>
        <c:overlap val="25"/>
        <c:axId val="845322144"/>
        <c:axId val="845319192"/>
      </c:barChart>
      <c:catAx>
        <c:axId val="8453221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587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845319192"/>
        <c:crosses val="autoZero"/>
        <c:auto val="1"/>
        <c:lblAlgn val="ctr"/>
        <c:lblOffset val="100"/>
        <c:noMultiLvlLbl val="0"/>
      </c:catAx>
      <c:valAx>
        <c:axId val="8453191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8453221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5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선호도!$B$158</c:f>
              <c:strCache>
                <c:ptCount val="1"/>
                <c:pt idx="0">
                  <c:v>선호도</c:v>
                </c:pt>
              </c:strCache>
            </c:strRef>
          </c:tx>
          <c:spPr>
            <a:solidFill>
              <a:schemeClr val="accent2">
                <a:alpha val="7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선호도!$C$157:$M$157</c:f>
              <c:strCache>
                <c:ptCount val="11"/>
                <c:pt idx="0">
                  <c:v>모험가</c:v>
                </c:pt>
                <c:pt idx="1">
                  <c:v>관광객</c:v>
                </c:pt>
                <c:pt idx="2">
                  <c:v>인간</c:v>
                </c:pt>
                <c:pt idx="3">
                  <c:v>엘프</c:v>
                </c:pt>
                <c:pt idx="4">
                  <c:v>드워프</c:v>
                </c:pt>
                <c:pt idx="5">
                  <c:v>오크</c:v>
                </c:pt>
                <c:pt idx="6">
                  <c:v>멍멍이</c:v>
                </c:pt>
                <c:pt idx="7">
                  <c:v>야옹이</c:v>
                </c:pt>
                <c:pt idx="8">
                  <c:v>부유층</c:v>
                </c:pt>
                <c:pt idx="9">
                  <c:v>중산층</c:v>
                </c:pt>
                <c:pt idx="10">
                  <c:v>서민층</c:v>
                </c:pt>
              </c:strCache>
            </c:strRef>
          </c:cat>
          <c:val>
            <c:numRef>
              <c:f>선호도!$C$158:$M$158</c:f>
              <c:numCache>
                <c:formatCode>General</c:formatCode>
                <c:ptCount val="11"/>
                <c:pt idx="0">
                  <c:v>20</c:v>
                </c:pt>
                <c:pt idx="1">
                  <c:v>65</c:v>
                </c:pt>
                <c:pt idx="2">
                  <c:v>75</c:v>
                </c:pt>
                <c:pt idx="3">
                  <c:v>75</c:v>
                </c:pt>
                <c:pt idx="4">
                  <c:v>45</c:v>
                </c:pt>
                <c:pt idx="5">
                  <c:v>50</c:v>
                </c:pt>
                <c:pt idx="6">
                  <c:v>20</c:v>
                </c:pt>
                <c:pt idx="7">
                  <c:v>10</c:v>
                </c:pt>
                <c:pt idx="8">
                  <c:v>65</c:v>
                </c:pt>
                <c:pt idx="9">
                  <c:v>70</c:v>
                </c:pt>
                <c:pt idx="10">
                  <c:v>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532-4472-A37A-6156AA727F25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80"/>
        <c:overlap val="25"/>
        <c:axId val="959733160"/>
        <c:axId val="959722992"/>
      </c:barChart>
      <c:catAx>
        <c:axId val="9597331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587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959722992"/>
        <c:crosses val="autoZero"/>
        <c:auto val="1"/>
        <c:lblAlgn val="ctr"/>
        <c:lblOffset val="100"/>
        <c:noMultiLvlLbl val="0"/>
      </c:catAx>
      <c:valAx>
        <c:axId val="959722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9597331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5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선호도!$B$160</c:f>
              <c:strCache>
                <c:ptCount val="1"/>
                <c:pt idx="0">
                  <c:v>선호도</c:v>
                </c:pt>
              </c:strCache>
            </c:strRef>
          </c:tx>
          <c:spPr>
            <a:solidFill>
              <a:schemeClr val="accent2">
                <a:alpha val="7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선호도!$C$159:$M$159</c:f>
              <c:strCache>
                <c:ptCount val="11"/>
                <c:pt idx="0">
                  <c:v>모험가</c:v>
                </c:pt>
                <c:pt idx="1">
                  <c:v>관광객</c:v>
                </c:pt>
                <c:pt idx="2">
                  <c:v>인간</c:v>
                </c:pt>
                <c:pt idx="3">
                  <c:v>엘프</c:v>
                </c:pt>
                <c:pt idx="4">
                  <c:v>드워프</c:v>
                </c:pt>
                <c:pt idx="5">
                  <c:v>오크</c:v>
                </c:pt>
                <c:pt idx="6">
                  <c:v>멍멍이</c:v>
                </c:pt>
                <c:pt idx="7">
                  <c:v>야옹이</c:v>
                </c:pt>
                <c:pt idx="8">
                  <c:v>부유층</c:v>
                </c:pt>
                <c:pt idx="9">
                  <c:v>중산층</c:v>
                </c:pt>
                <c:pt idx="10">
                  <c:v>서민층</c:v>
                </c:pt>
              </c:strCache>
            </c:strRef>
          </c:cat>
          <c:val>
            <c:numRef>
              <c:f>선호도!$C$160:$M$160</c:f>
              <c:numCache>
                <c:formatCode>General</c:formatCode>
                <c:ptCount val="11"/>
                <c:pt idx="0">
                  <c:v>10</c:v>
                </c:pt>
                <c:pt idx="1">
                  <c:v>65</c:v>
                </c:pt>
                <c:pt idx="2">
                  <c:v>65</c:v>
                </c:pt>
                <c:pt idx="3">
                  <c:v>65</c:v>
                </c:pt>
                <c:pt idx="4">
                  <c:v>70</c:v>
                </c:pt>
                <c:pt idx="5">
                  <c:v>80</c:v>
                </c:pt>
                <c:pt idx="6">
                  <c:v>60</c:v>
                </c:pt>
                <c:pt idx="7">
                  <c:v>60</c:v>
                </c:pt>
                <c:pt idx="8">
                  <c:v>75</c:v>
                </c:pt>
                <c:pt idx="9">
                  <c:v>50</c:v>
                </c:pt>
                <c:pt idx="10">
                  <c:v>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C80-4157-918A-FF75C726D046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80"/>
        <c:overlap val="25"/>
        <c:axId val="853580008"/>
        <c:axId val="853592800"/>
      </c:barChart>
      <c:catAx>
        <c:axId val="8535800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587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853592800"/>
        <c:crosses val="autoZero"/>
        <c:auto val="1"/>
        <c:lblAlgn val="ctr"/>
        <c:lblOffset val="100"/>
        <c:noMultiLvlLbl val="0"/>
      </c:catAx>
      <c:valAx>
        <c:axId val="853592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8535800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5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선호도!$B$100</c:f>
              <c:strCache>
                <c:ptCount val="1"/>
                <c:pt idx="0">
                  <c:v>선호도</c:v>
                </c:pt>
              </c:strCache>
            </c:strRef>
          </c:tx>
          <c:spPr>
            <a:solidFill>
              <a:schemeClr val="accent2">
                <a:alpha val="7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선호도!$C$99:$M$99</c:f>
              <c:strCache>
                <c:ptCount val="11"/>
                <c:pt idx="0">
                  <c:v>모험가</c:v>
                </c:pt>
                <c:pt idx="1">
                  <c:v>관광객</c:v>
                </c:pt>
                <c:pt idx="2">
                  <c:v>인간</c:v>
                </c:pt>
                <c:pt idx="3">
                  <c:v>엘프</c:v>
                </c:pt>
                <c:pt idx="4">
                  <c:v>드워프</c:v>
                </c:pt>
                <c:pt idx="5">
                  <c:v>오크</c:v>
                </c:pt>
                <c:pt idx="6">
                  <c:v>멍멍이</c:v>
                </c:pt>
                <c:pt idx="7">
                  <c:v>야옹이</c:v>
                </c:pt>
                <c:pt idx="8">
                  <c:v>부유층</c:v>
                </c:pt>
                <c:pt idx="9">
                  <c:v>중산층</c:v>
                </c:pt>
                <c:pt idx="10">
                  <c:v>서민층</c:v>
                </c:pt>
              </c:strCache>
            </c:strRef>
          </c:cat>
          <c:val>
            <c:numRef>
              <c:f>선호도!$C$100:$M$100</c:f>
              <c:numCache>
                <c:formatCode>General</c:formatCode>
                <c:ptCount val="11"/>
                <c:pt idx="0">
                  <c:v>35</c:v>
                </c:pt>
                <c:pt idx="1">
                  <c:v>25</c:v>
                </c:pt>
                <c:pt idx="2">
                  <c:v>35</c:v>
                </c:pt>
                <c:pt idx="3">
                  <c:v>15</c:v>
                </c:pt>
                <c:pt idx="4">
                  <c:v>25</c:v>
                </c:pt>
                <c:pt idx="5">
                  <c:v>35</c:v>
                </c:pt>
                <c:pt idx="6">
                  <c:v>20</c:v>
                </c:pt>
                <c:pt idx="7">
                  <c:v>20</c:v>
                </c:pt>
                <c:pt idx="8">
                  <c:v>35</c:v>
                </c:pt>
                <c:pt idx="9">
                  <c:v>35</c:v>
                </c:pt>
                <c:pt idx="10">
                  <c:v>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225-423D-87AA-17B68287418B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80"/>
        <c:overlap val="25"/>
        <c:axId val="727822440"/>
        <c:axId val="727629696"/>
      </c:barChart>
      <c:catAx>
        <c:axId val="7278224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587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727629696"/>
        <c:crosses val="autoZero"/>
        <c:auto val="1"/>
        <c:lblAlgn val="ctr"/>
        <c:lblOffset val="100"/>
        <c:noMultiLvlLbl val="0"/>
      </c:catAx>
      <c:valAx>
        <c:axId val="727629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7278224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5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선호도!$B$102</c:f>
              <c:strCache>
                <c:ptCount val="1"/>
                <c:pt idx="0">
                  <c:v>선호도</c:v>
                </c:pt>
              </c:strCache>
            </c:strRef>
          </c:tx>
          <c:spPr>
            <a:solidFill>
              <a:schemeClr val="accent2">
                <a:alpha val="7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선호도!$C$101:$M$101</c:f>
              <c:strCache>
                <c:ptCount val="11"/>
                <c:pt idx="0">
                  <c:v>모험가</c:v>
                </c:pt>
                <c:pt idx="1">
                  <c:v>관광객</c:v>
                </c:pt>
                <c:pt idx="2">
                  <c:v>인간</c:v>
                </c:pt>
                <c:pt idx="3">
                  <c:v>엘프</c:v>
                </c:pt>
                <c:pt idx="4">
                  <c:v>드워프</c:v>
                </c:pt>
                <c:pt idx="5">
                  <c:v>오크</c:v>
                </c:pt>
                <c:pt idx="6">
                  <c:v>멍멍이</c:v>
                </c:pt>
                <c:pt idx="7">
                  <c:v>야옹이</c:v>
                </c:pt>
                <c:pt idx="8">
                  <c:v>부유층</c:v>
                </c:pt>
                <c:pt idx="9">
                  <c:v>중산층</c:v>
                </c:pt>
                <c:pt idx="10">
                  <c:v>서민층</c:v>
                </c:pt>
              </c:strCache>
            </c:strRef>
          </c:cat>
          <c:val>
            <c:numRef>
              <c:f>선호도!$C$102:$M$102</c:f>
              <c:numCache>
                <c:formatCode>General</c:formatCode>
                <c:ptCount val="11"/>
                <c:pt idx="0">
                  <c:v>35</c:v>
                </c:pt>
                <c:pt idx="1">
                  <c:v>30</c:v>
                </c:pt>
                <c:pt idx="2">
                  <c:v>25</c:v>
                </c:pt>
                <c:pt idx="3">
                  <c:v>30</c:v>
                </c:pt>
                <c:pt idx="4">
                  <c:v>25</c:v>
                </c:pt>
                <c:pt idx="5">
                  <c:v>35</c:v>
                </c:pt>
                <c:pt idx="6">
                  <c:v>45</c:v>
                </c:pt>
                <c:pt idx="7">
                  <c:v>40</c:v>
                </c:pt>
                <c:pt idx="8">
                  <c:v>5</c:v>
                </c:pt>
                <c:pt idx="9">
                  <c:v>35</c:v>
                </c:pt>
                <c:pt idx="10">
                  <c:v>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8EE-4DA5-BF88-099FDDF8CD27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80"/>
        <c:overlap val="25"/>
        <c:axId val="651068080"/>
        <c:axId val="651067752"/>
      </c:barChart>
      <c:catAx>
        <c:axId val="6510680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587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651067752"/>
        <c:crosses val="autoZero"/>
        <c:auto val="1"/>
        <c:lblAlgn val="ctr"/>
        <c:lblOffset val="100"/>
        <c:noMultiLvlLbl val="0"/>
      </c:catAx>
      <c:valAx>
        <c:axId val="6510677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6510680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5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선호도!$B$104</c:f>
              <c:strCache>
                <c:ptCount val="1"/>
                <c:pt idx="0">
                  <c:v>선호도</c:v>
                </c:pt>
              </c:strCache>
            </c:strRef>
          </c:tx>
          <c:spPr>
            <a:solidFill>
              <a:schemeClr val="accent2">
                <a:alpha val="7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선호도!$C$103:$M$103</c:f>
              <c:strCache>
                <c:ptCount val="11"/>
                <c:pt idx="0">
                  <c:v>모험가</c:v>
                </c:pt>
                <c:pt idx="1">
                  <c:v>관광객</c:v>
                </c:pt>
                <c:pt idx="2">
                  <c:v>인간</c:v>
                </c:pt>
                <c:pt idx="3">
                  <c:v>엘프</c:v>
                </c:pt>
                <c:pt idx="4">
                  <c:v>드워프</c:v>
                </c:pt>
                <c:pt idx="5">
                  <c:v>오크</c:v>
                </c:pt>
                <c:pt idx="6">
                  <c:v>멍멍이</c:v>
                </c:pt>
                <c:pt idx="7">
                  <c:v>야옹이</c:v>
                </c:pt>
                <c:pt idx="8">
                  <c:v>부유층</c:v>
                </c:pt>
                <c:pt idx="9">
                  <c:v>중산층</c:v>
                </c:pt>
                <c:pt idx="10">
                  <c:v>서민층</c:v>
                </c:pt>
              </c:strCache>
            </c:strRef>
          </c:cat>
          <c:val>
            <c:numRef>
              <c:f>선호도!$C$104:$M$104</c:f>
              <c:numCache>
                <c:formatCode>General</c:formatCode>
                <c:ptCount val="11"/>
                <c:pt idx="0">
                  <c:v>25</c:v>
                </c:pt>
                <c:pt idx="1">
                  <c:v>55</c:v>
                </c:pt>
                <c:pt idx="2">
                  <c:v>50</c:v>
                </c:pt>
                <c:pt idx="3">
                  <c:v>25</c:v>
                </c:pt>
                <c:pt idx="4">
                  <c:v>40</c:v>
                </c:pt>
                <c:pt idx="5">
                  <c:v>40</c:v>
                </c:pt>
                <c:pt idx="6">
                  <c:v>35</c:v>
                </c:pt>
                <c:pt idx="7">
                  <c:v>30</c:v>
                </c:pt>
                <c:pt idx="8">
                  <c:v>25</c:v>
                </c:pt>
                <c:pt idx="9">
                  <c:v>55</c:v>
                </c:pt>
                <c:pt idx="10">
                  <c:v>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870-4BE7-B1D4-EC5AF758B8AD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80"/>
        <c:overlap val="25"/>
        <c:axId val="724043520"/>
        <c:axId val="724043192"/>
      </c:barChart>
      <c:catAx>
        <c:axId val="7240435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587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724043192"/>
        <c:crosses val="autoZero"/>
        <c:auto val="1"/>
        <c:lblAlgn val="ctr"/>
        <c:lblOffset val="100"/>
        <c:noMultiLvlLbl val="0"/>
      </c:catAx>
      <c:valAx>
        <c:axId val="7240431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7240435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5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선호도!$B$106</c:f>
              <c:strCache>
                <c:ptCount val="1"/>
                <c:pt idx="0">
                  <c:v>선호도</c:v>
                </c:pt>
              </c:strCache>
            </c:strRef>
          </c:tx>
          <c:spPr>
            <a:solidFill>
              <a:schemeClr val="accent2">
                <a:alpha val="7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선호도!$C$105:$M$105</c:f>
              <c:strCache>
                <c:ptCount val="11"/>
                <c:pt idx="0">
                  <c:v>모험가</c:v>
                </c:pt>
                <c:pt idx="1">
                  <c:v>관광객</c:v>
                </c:pt>
                <c:pt idx="2">
                  <c:v>인간</c:v>
                </c:pt>
                <c:pt idx="3">
                  <c:v>엘프</c:v>
                </c:pt>
                <c:pt idx="4">
                  <c:v>드워프</c:v>
                </c:pt>
                <c:pt idx="5">
                  <c:v>오크</c:v>
                </c:pt>
                <c:pt idx="6">
                  <c:v>멍멍이</c:v>
                </c:pt>
                <c:pt idx="7">
                  <c:v>야옹이</c:v>
                </c:pt>
                <c:pt idx="8">
                  <c:v>부유층</c:v>
                </c:pt>
                <c:pt idx="9">
                  <c:v>중산층</c:v>
                </c:pt>
                <c:pt idx="10">
                  <c:v>서민층</c:v>
                </c:pt>
              </c:strCache>
            </c:strRef>
          </c:cat>
          <c:val>
            <c:numRef>
              <c:f>선호도!$C$106:$M$106</c:f>
              <c:numCache>
                <c:formatCode>General</c:formatCode>
                <c:ptCount val="11"/>
                <c:pt idx="0">
                  <c:v>40</c:v>
                </c:pt>
                <c:pt idx="1">
                  <c:v>40</c:v>
                </c:pt>
                <c:pt idx="2">
                  <c:v>40</c:v>
                </c:pt>
                <c:pt idx="3">
                  <c:v>60</c:v>
                </c:pt>
                <c:pt idx="4">
                  <c:v>35</c:v>
                </c:pt>
                <c:pt idx="5">
                  <c:v>25</c:v>
                </c:pt>
                <c:pt idx="6">
                  <c:v>20</c:v>
                </c:pt>
                <c:pt idx="7">
                  <c:v>50</c:v>
                </c:pt>
                <c:pt idx="8">
                  <c:v>50</c:v>
                </c:pt>
                <c:pt idx="9">
                  <c:v>70</c:v>
                </c:pt>
                <c:pt idx="10">
                  <c:v>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C21-4466-A475-2F39269DD90F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80"/>
        <c:overlap val="25"/>
        <c:axId val="905394696"/>
        <c:axId val="905395680"/>
      </c:barChart>
      <c:catAx>
        <c:axId val="9053946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587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905395680"/>
        <c:crosses val="autoZero"/>
        <c:auto val="1"/>
        <c:lblAlgn val="ctr"/>
        <c:lblOffset val="100"/>
        <c:noMultiLvlLbl val="0"/>
      </c:catAx>
      <c:valAx>
        <c:axId val="9053956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9053946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5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선호도!$B$108</c:f>
              <c:strCache>
                <c:ptCount val="1"/>
                <c:pt idx="0">
                  <c:v>선호도</c:v>
                </c:pt>
              </c:strCache>
            </c:strRef>
          </c:tx>
          <c:spPr>
            <a:solidFill>
              <a:schemeClr val="accent2">
                <a:alpha val="7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선호도!$C$107:$M$107</c:f>
              <c:strCache>
                <c:ptCount val="11"/>
                <c:pt idx="0">
                  <c:v>모험가</c:v>
                </c:pt>
                <c:pt idx="1">
                  <c:v>관광객</c:v>
                </c:pt>
                <c:pt idx="2">
                  <c:v>인간</c:v>
                </c:pt>
                <c:pt idx="3">
                  <c:v>엘프</c:v>
                </c:pt>
                <c:pt idx="4">
                  <c:v>드워프</c:v>
                </c:pt>
                <c:pt idx="5">
                  <c:v>오크</c:v>
                </c:pt>
                <c:pt idx="6">
                  <c:v>멍멍이</c:v>
                </c:pt>
                <c:pt idx="7">
                  <c:v>야옹이</c:v>
                </c:pt>
                <c:pt idx="8">
                  <c:v>부유층</c:v>
                </c:pt>
                <c:pt idx="9">
                  <c:v>중산층</c:v>
                </c:pt>
                <c:pt idx="10">
                  <c:v>서민층</c:v>
                </c:pt>
              </c:strCache>
            </c:strRef>
          </c:cat>
          <c:val>
            <c:numRef>
              <c:f>선호도!$C$108:$M$108</c:f>
              <c:numCache>
                <c:formatCode>General</c:formatCode>
                <c:ptCount val="11"/>
                <c:pt idx="0">
                  <c:v>25</c:v>
                </c:pt>
                <c:pt idx="1">
                  <c:v>60</c:v>
                </c:pt>
                <c:pt idx="2">
                  <c:v>25</c:v>
                </c:pt>
                <c:pt idx="3">
                  <c:v>30</c:v>
                </c:pt>
                <c:pt idx="4">
                  <c:v>25</c:v>
                </c:pt>
                <c:pt idx="5">
                  <c:v>35</c:v>
                </c:pt>
                <c:pt idx="6">
                  <c:v>45</c:v>
                </c:pt>
                <c:pt idx="7">
                  <c:v>40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C77-421E-A8D5-503B2513D322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80"/>
        <c:overlap val="25"/>
        <c:axId val="663114168"/>
        <c:axId val="663114496"/>
      </c:barChart>
      <c:catAx>
        <c:axId val="6631141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587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663114496"/>
        <c:crosses val="autoZero"/>
        <c:auto val="1"/>
        <c:lblAlgn val="ctr"/>
        <c:lblOffset val="100"/>
        <c:noMultiLvlLbl val="0"/>
      </c:catAx>
      <c:valAx>
        <c:axId val="6631144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6631141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5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2">
                <a:alpha val="7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선호도!$C$109:$M$109</c:f>
              <c:strCache>
                <c:ptCount val="11"/>
                <c:pt idx="0">
                  <c:v>모험가</c:v>
                </c:pt>
                <c:pt idx="1">
                  <c:v>관광객</c:v>
                </c:pt>
                <c:pt idx="2">
                  <c:v>인간</c:v>
                </c:pt>
                <c:pt idx="3">
                  <c:v>엘프</c:v>
                </c:pt>
                <c:pt idx="4">
                  <c:v>드워프</c:v>
                </c:pt>
                <c:pt idx="5">
                  <c:v>오크</c:v>
                </c:pt>
                <c:pt idx="6">
                  <c:v>멍멍이</c:v>
                </c:pt>
                <c:pt idx="7">
                  <c:v>야옹이</c:v>
                </c:pt>
                <c:pt idx="8">
                  <c:v>부유층</c:v>
                </c:pt>
                <c:pt idx="9">
                  <c:v>중산층</c:v>
                </c:pt>
                <c:pt idx="10">
                  <c:v>서민층</c:v>
                </c:pt>
              </c:strCache>
            </c:strRef>
          </c:cat>
          <c:val>
            <c:numRef>
              <c:f>선호도!$C$110:$M$110</c:f>
              <c:numCache>
                <c:formatCode>General</c:formatCode>
                <c:ptCount val="11"/>
                <c:pt idx="0">
                  <c:v>15</c:v>
                </c:pt>
                <c:pt idx="1">
                  <c:v>45</c:v>
                </c:pt>
                <c:pt idx="2">
                  <c:v>50</c:v>
                </c:pt>
                <c:pt idx="3">
                  <c:v>25</c:v>
                </c:pt>
                <c:pt idx="4">
                  <c:v>35</c:v>
                </c:pt>
                <c:pt idx="5">
                  <c:v>40</c:v>
                </c:pt>
                <c:pt idx="6">
                  <c:v>30</c:v>
                </c:pt>
                <c:pt idx="7">
                  <c:v>35</c:v>
                </c:pt>
                <c:pt idx="8">
                  <c:v>20</c:v>
                </c:pt>
                <c:pt idx="9">
                  <c:v>45</c:v>
                </c:pt>
                <c:pt idx="10">
                  <c:v>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1FF-4EDA-A6A1-24935233449B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80"/>
        <c:overlap val="25"/>
        <c:axId val="341613104"/>
        <c:axId val="341612120"/>
      </c:barChart>
      <c:catAx>
        <c:axId val="3416131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587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341612120"/>
        <c:crosses val="autoZero"/>
        <c:auto val="1"/>
        <c:lblAlgn val="ctr"/>
        <c:lblOffset val="100"/>
        <c:noMultiLvlLbl val="0"/>
      </c:catAx>
      <c:valAx>
        <c:axId val="3416121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3416131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5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선호도!$B$112</c:f>
              <c:strCache>
                <c:ptCount val="1"/>
                <c:pt idx="0">
                  <c:v>선호도</c:v>
                </c:pt>
              </c:strCache>
            </c:strRef>
          </c:tx>
          <c:spPr>
            <a:solidFill>
              <a:schemeClr val="accent2">
                <a:alpha val="7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선호도!$C$111:$M$111</c:f>
              <c:strCache>
                <c:ptCount val="11"/>
                <c:pt idx="0">
                  <c:v>모험가</c:v>
                </c:pt>
                <c:pt idx="1">
                  <c:v>관광객</c:v>
                </c:pt>
                <c:pt idx="2">
                  <c:v>인간</c:v>
                </c:pt>
                <c:pt idx="3">
                  <c:v>엘프</c:v>
                </c:pt>
                <c:pt idx="4">
                  <c:v>드워프</c:v>
                </c:pt>
                <c:pt idx="5">
                  <c:v>오크</c:v>
                </c:pt>
                <c:pt idx="6">
                  <c:v>멍멍이</c:v>
                </c:pt>
                <c:pt idx="7">
                  <c:v>야옹이</c:v>
                </c:pt>
                <c:pt idx="8">
                  <c:v>부유층</c:v>
                </c:pt>
                <c:pt idx="9">
                  <c:v>중산층</c:v>
                </c:pt>
                <c:pt idx="10">
                  <c:v>서민층</c:v>
                </c:pt>
              </c:strCache>
            </c:strRef>
          </c:cat>
          <c:val>
            <c:numRef>
              <c:f>선호도!$C$112:$M$112</c:f>
              <c:numCache>
                <c:formatCode>General</c:formatCode>
                <c:ptCount val="11"/>
                <c:pt idx="0">
                  <c:v>50</c:v>
                </c:pt>
                <c:pt idx="1">
                  <c:v>90</c:v>
                </c:pt>
                <c:pt idx="2">
                  <c:v>75</c:v>
                </c:pt>
                <c:pt idx="3">
                  <c:v>50</c:v>
                </c:pt>
                <c:pt idx="4">
                  <c:v>65</c:v>
                </c:pt>
                <c:pt idx="5">
                  <c:v>50</c:v>
                </c:pt>
                <c:pt idx="6">
                  <c:v>40</c:v>
                </c:pt>
                <c:pt idx="7">
                  <c:v>50</c:v>
                </c:pt>
                <c:pt idx="8">
                  <c:v>70</c:v>
                </c:pt>
                <c:pt idx="9">
                  <c:v>60</c:v>
                </c:pt>
                <c:pt idx="10">
                  <c:v>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ED8-4739-8619-DE815D8AB6AA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80"/>
        <c:overlap val="25"/>
        <c:axId val="766418408"/>
        <c:axId val="760075856"/>
      </c:barChart>
      <c:catAx>
        <c:axId val="7664184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587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760075856"/>
        <c:crosses val="autoZero"/>
        <c:auto val="1"/>
        <c:lblAlgn val="ctr"/>
        <c:lblOffset val="100"/>
        <c:noMultiLvlLbl val="0"/>
      </c:catAx>
      <c:valAx>
        <c:axId val="7600758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7664184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5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선호도!$B$114</c:f>
              <c:strCache>
                <c:ptCount val="1"/>
                <c:pt idx="0">
                  <c:v>선호도</c:v>
                </c:pt>
              </c:strCache>
            </c:strRef>
          </c:tx>
          <c:spPr>
            <a:solidFill>
              <a:schemeClr val="accent2">
                <a:alpha val="7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선호도!$C$113:$M$113</c:f>
              <c:strCache>
                <c:ptCount val="11"/>
                <c:pt idx="0">
                  <c:v>모험가</c:v>
                </c:pt>
                <c:pt idx="1">
                  <c:v>관광객</c:v>
                </c:pt>
                <c:pt idx="2">
                  <c:v>인간</c:v>
                </c:pt>
                <c:pt idx="3">
                  <c:v>엘프</c:v>
                </c:pt>
                <c:pt idx="4">
                  <c:v>드워프</c:v>
                </c:pt>
                <c:pt idx="5">
                  <c:v>오크</c:v>
                </c:pt>
                <c:pt idx="6">
                  <c:v>멍멍이</c:v>
                </c:pt>
                <c:pt idx="7">
                  <c:v>야옹이</c:v>
                </c:pt>
                <c:pt idx="8">
                  <c:v>부유층</c:v>
                </c:pt>
                <c:pt idx="9">
                  <c:v>중산층</c:v>
                </c:pt>
                <c:pt idx="10">
                  <c:v>서민층</c:v>
                </c:pt>
              </c:strCache>
            </c:strRef>
          </c:cat>
          <c:val>
            <c:numRef>
              <c:f>선호도!$C$114:$M$114</c:f>
              <c:numCache>
                <c:formatCode>General</c:formatCode>
                <c:ptCount val="11"/>
                <c:pt idx="0">
                  <c:v>45</c:v>
                </c:pt>
                <c:pt idx="1">
                  <c:v>75</c:v>
                </c:pt>
                <c:pt idx="2">
                  <c:v>55</c:v>
                </c:pt>
                <c:pt idx="3">
                  <c:v>80</c:v>
                </c:pt>
                <c:pt idx="4">
                  <c:v>55</c:v>
                </c:pt>
                <c:pt idx="5">
                  <c:v>40</c:v>
                </c:pt>
                <c:pt idx="6">
                  <c:v>45</c:v>
                </c:pt>
                <c:pt idx="7">
                  <c:v>75</c:v>
                </c:pt>
                <c:pt idx="8">
                  <c:v>90</c:v>
                </c:pt>
                <c:pt idx="9">
                  <c:v>50</c:v>
                </c:pt>
                <c:pt idx="10">
                  <c:v>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4AB-4F06-AEC4-B3A709C94490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80"/>
        <c:overlap val="25"/>
        <c:axId val="716473584"/>
        <c:axId val="716473912"/>
      </c:barChart>
      <c:catAx>
        <c:axId val="7164735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587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716473912"/>
        <c:crosses val="autoZero"/>
        <c:auto val="1"/>
        <c:lblAlgn val="ctr"/>
        <c:lblOffset val="100"/>
        <c:noMultiLvlLbl val="0"/>
      </c:catAx>
      <c:valAx>
        <c:axId val="7164739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7164735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6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'건설 부지에 따른 수치표'!$B$1</c:f>
              <c:strCache>
                <c:ptCount val="1"/>
                <c:pt idx="0">
                  <c:v>욕구 1당 수익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3"/>
            <c:dispRSqr val="0"/>
            <c:dispEq val="1"/>
            <c:trendlineLbl>
              <c:layout>
                <c:manualLayout>
                  <c:x val="0.16895056867891514"/>
                  <c:y val="0.2675462962962962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</c:trendlineLbl>
          </c:trendline>
          <c:xVal>
            <c:numRef>
              <c:f>'건설 부지에 따른 수치표'!$A$2:$A$13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xVal>
          <c:yVal>
            <c:numRef>
              <c:f>'건설 부지에 따른 수치표'!$B$2:$B$13</c:f>
              <c:numCache>
                <c:formatCode>General</c:formatCode>
                <c:ptCount val="12"/>
                <c:pt idx="1">
                  <c:v>0.2</c:v>
                </c:pt>
                <c:pt idx="2">
                  <c:v>0.25</c:v>
                </c:pt>
                <c:pt idx="3">
                  <c:v>0.35</c:v>
                </c:pt>
                <c:pt idx="4">
                  <c:v>0.5</c:v>
                </c:pt>
                <c:pt idx="5">
                  <c:v>0.7</c:v>
                </c:pt>
                <c:pt idx="6">
                  <c:v>0.9</c:v>
                </c:pt>
                <c:pt idx="7">
                  <c:v>1.1000000000000001</c:v>
                </c:pt>
                <c:pt idx="8">
                  <c:v>1.35</c:v>
                </c:pt>
                <c:pt idx="9">
                  <c:v>1.4</c:v>
                </c:pt>
                <c:pt idx="10">
                  <c:v>1.45</c:v>
                </c:pt>
                <c:pt idx="11">
                  <c:v>1.5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955-4769-8F67-4F219E4D3A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1519104"/>
        <c:axId val="301512448"/>
      </c:scatterChart>
      <c:valAx>
        <c:axId val="3015191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301512448"/>
        <c:crosses val="autoZero"/>
        <c:crossBetween val="midCat"/>
      </c:valAx>
      <c:valAx>
        <c:axId val="301512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3015191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6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ko-KR"/>
              <a:t>건설 비용 회수 시간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'건설 부지에 따른 수치표'!$C$1</c:f>
              <c:strCache>
                <c:ptCount val="1"/>
                <c:pt idx="0">
                  <c:v>건설 비용 회수 시간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3"/>
            <c:dispRSqr val="0"/>
            <c:dispEq val="1"/>
            <c:trendlineLbl>
              <c:layout>
                <c:manualLayout>
                  <c:x val="-0.30165857392825896"/>
                  <c:y val="0.13328703703703709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</c:trendlineLbl>
          </c:trendline>
          <c:cat>
            <c:numRef>
              <c:f>'건설 부지에 따른 수치표'!$A$2:$A$13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cat>
          <c:val>
            <c:numRef>
              <c:f>'건설 부지에 따른 수치표'!$C$2:$C$13</c:f>
              <c:numCache>
                <c:formatCode>General</c:formatCode>
                <c:ptCount val="12"/>
                <c:pt idx="1">
                  <c:v>60</c:v>
                </c:pt>
                <c:pt idx="2">
                  <c:v>70</c:v>
                </c:pt>
                <c:pt idx="3">
                  <c:v>95</c:v>
                </c:pt>
                <c:pt idx="4">
                  <c:v>120</c:v>
                </c:pt>
                <c:pt idx="5">
                  <c:v>150</c:v>
                </c:pt>
                <c:pt idx="6">
                  <c:v>190</c:v>
                </c:pt>
                <c:pt idx="7">
                  <c:v>235</c:v>
                </c:pt>
                <c:pt idx="8">
                  <c:v>300</c:v>
                </c:pt>
                <c:pt idx="9">
                  <c:v>310</c:v>
                </c:pt>
                <c:pt idx="10">
                  <c:v>320</c:v>
                </c:pt>
                <c:pt idx="11">
                  <c:v>330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509-42C1-B826-3AD874DCC3DC}"/>
            </c:ext>
          </c:extLst>
        </c:ser>
        <c:ser>
          <c:idx val="1"/>
          <c:order val="1"/>
          <c:tx>
            <c:strRef>
              <c:f>'건설 부지에 따른 수치표'!$D$1</c:f>
              <c:strCache>
                <c:ptCount val="1"/>
                <c:pt idx="0">
                  <c:v>원본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'건설 부지에 따른 수치표'!$A$2:$A$13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cat>
          <c:val>
            <c:numRef>
              <c:f>'건설 부지에 따른 수치표'!$D$2:$D$13</c:f>
              <c:numCache>
                <c:formatCode>General</c:formatCode>
                <c:ptCount val="12"/>
                <c:pt idx="1">
                  <c:v>50</c:v>
                </c:pt>
                <c:pt idx="2">
                  <c:v>60</c:v>
                </c:pt>
                <c:pt idx="3">
                  <c:v>80</c:v>
                </c:pt>
                <c:pt idx="4">
                  <c:v>100</c:v>
                </c:pt>
                <c:pt idx="5">
                  <c:v>130</c:v>
                </c:pt>
                <c:pt idx="6">
                  <c:v>170</c:v>
                </c:pt>
                <c:pt idx="7">
                  <c:v>210</c:v>
                </c:pt>
                <c:pt idx="8">
                  <c:v>270</c:v>
                </c:pt>
                <c:pt idx="9">
                  <c:v>280</c:v>
                </c:pt>
                <c:pt idx="10">
                  <c:v>290</c:v>
                </c:pt>
                <c:pt idx="11">
                  <c:v>300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509-42C1-B826-3AD874DCC3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7116143"/>
        <c:axId val="197134863"/>
      </c:lineChart>
      <c:catAx>
        <c:axId val="1971161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97134863"/>
        <c:crosses val="autoZero"/>
        <c:auto val="1"/>
        <c:lblAlgn val="ctr"/>
        <c:lblOffset val="100"/>
        <c:noMultiLvlLbl val="0"/>
      </c:catAx>
      <c:valAx>
        <c:axId val="1971348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971161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colors2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colors4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6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7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8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9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0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1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2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3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4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5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6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7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8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9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0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1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2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3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4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5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6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7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8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9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0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1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2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3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4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5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6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7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8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9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587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 cap="none" spc="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>
            <a:alpha val="70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 baseline="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1600" b="0" i="0" kern="1200" cap="none" spc="5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587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1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587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 cap="none" spc="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>
            <a:alpha val="70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 baseline="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1600" b="0" i="0" kern="1200" cap="none" spc="5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587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1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587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 cap="none" spc="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>
            <a:alpha val="70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 baseline="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1600" b="0" i="0" kern="1200" cap="none" spc="5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587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1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587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 cap="none" spc="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>
            <a:alpha val="70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 baseline="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1600" b="0" i="0" kern="1200" cap="none" spc="5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587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1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587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 cap="none" spc="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>
            <a:alpha val="70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 baseline="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1600" b="0" i="0" kern="1200" cap="none" spc="5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587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1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587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 cap="none" spc="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>
            <a:alpha val="70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 baseline="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1600" b="0" i="0" kern="1200" cap="none" spc="5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587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1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587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 cap="none" spc="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>
            <a:alpha val="70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 baseline="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1600" b="0" i="0" kern="1200" cap="none" spc="5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587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21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587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 cap="none" spc="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>
            <a:alpha val="70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 baseline="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1600" b="0" i="0" kern="1200" cap="none" spc="5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587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21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587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 cap="none" spc="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>
            <a:alpha val="70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 baseline="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1600" b="0" i="0" kern="1200" cap="none" spc="5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587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10.xml><?xml version="1.0" encoding="utf-8"?>
<cs:chartStyle xmlns:cs="http://schemas.microsoft.com/office/drawing/2012/chartStyle" xmlns:a="http://schemas.openxmlformats.org/drawingml/2006/main" id="21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587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 cap="none" spc="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>
            <a:alpha val="70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 baseline="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1600" b="0" i="0" kern="1200" cap="none" spc="5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587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11.xml><?xml version="1.0" encoding="utf-8"?>
<cs:chartStyle xmlns:cs="http://schemas.microsoft.com/office/drawing/2012/chartStyle" xmlns:a="http://schemas.openxmlformats.org/drawingml/2006/main" id="21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587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 cap="none" spc="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>
            <a:alpha val="70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 baseline="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1600" b="0" i="0" kern="1200" cap="none" spc="5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587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12.xml><?xml version="1.0" encoding="utf-8"?>
<cs:chartStyle xmlns:cs="http://schemas.microsoft.com/office/drawing/2012/chartStyle" xmlns:a="http://schemas.openxmlformats.org/drawingml/2006/main" id="21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587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 cap="none" spc="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>
            <a:alpha val="70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 baseline="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1600" b="0" i="0" kern="1200" cap="none" spc="5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587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13.xml><?xml version="1.0" encoding="utf-8"?>
<cs:chartStyle xmlns:cs="http://schemas.microsoft.com/office/drawing/2012/chartStyle" xmlns:a="http://schemas.openxmlformats.org/drawingml/2006/main" id="21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587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 cap="none" spc="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>
            <a:alpha val="70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 baseline="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1600" b="0" i="0" kern="1200" cap="none" spc="5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587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14.xml><?xml version="1.0" encoding="utf-8"?>
<cs:chartStyle xmlns:cs="http://schemas.microsoft.com/office/drawing/2012/chartStyle" xmlns:a="http://schemas.openxmlformats.org/drawingml/2006/main" id="21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587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 cap="none" spc="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>
            <a:alpha val="70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 baseline="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1600" b="0" i="0" kern="1200" cap="none" spc="5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587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15.xml><?xml version="1.0" encoding="utf-8"?>
<cs:chartStyle xmlns:cs="http://schemas.microsoft.com/office/drawing/2012/chartStyle" xmlns:a="http://schemas.openxmlformats.org/drawingml/2006/main" id="21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587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 cap="none" spc="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>
            <a:alpha val="70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 baseline="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1600" b="0" i="0" kern="1200" cap="none" spc="5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587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16.xml><?xml version="1.0" encoding="utf-8"?>
<cs:chartStyle xmlns:cs="http://schemas.microsoft.com/office/drawing/2012/chartStyle" xmlns:a="http://schemas.openxmlformats.org/drawingml/2006/main" id="21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587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 cap="none" spc="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>
            <a:alpha val="70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 baseline="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1600" b="0" i="0" kern="1200" cap="none" spc="5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587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17.xml><?xml version="1.0" encoding="utf-8"?>
<cs:chartStyle xmlns:cs="http://schemas.microsoft.com/office/drawing/2012/chartStyle" xmlns:a="http://schemas.openxmlformats.org/drawingml/2006/main" id="21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587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 cap="none" spc="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>
            <a:alpha val="70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 baseline="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1600" b="0" i="0" kern="1200" cap="none" spc="5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587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18.xml><?xml version="1.0" encoding="utf-8"?>
<cs:chartStyle xmlns:cs="http://schemas.microsoft.com/office/drawing/2012/chartStyle" xmlns:a="http://schemas.openxmlformats.org/drawingml/2006/main" id="21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587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 cap="none" spc="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>
            <a:alpha val="70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 baseline="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1600" b="0" i="0" kern="1200" cap="none" spc="5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587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19.xml><?xml version="1.0" encoding="utf-8"?>
<cs:chartStyle xmlns:cs="http://schemas.microsoft.com/office/drawing/2012/chartStyle" xmlns:a="http://schemas.openxmlformats.org/drawingml/2006/main" id="21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587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 cap="none" spc="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>
            <a:alpha val="70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 baseline="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1600" b="0" i="0" kern="1200" cap="none" spc="5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587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20.xml><?xml version="1.0" encoding="utf-8"?>
<cs:chartStyle xmlns:cs="http://schemas.microsoft.com/office/drawing/2012/chartStyle" xmlns:a="http://schemas.openxmlformats.org/drawingml/2006/main" id="21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587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 cap="none" spc="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>
            <a:alpha val="70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 baseline="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1600" b="0" i="0" kern="1200" cap="none" spc="5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587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21.xml><?xml version="1.0" encoding="utf-8"?>
<cs:chartStyle xmlns:cs="http://schemas.microsoft.com/office/drawing/2012/chartStyle" xmlns:a="http://schemas.openxmlformats.org/drawingml/2006/main" id="21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587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 cap="none" spc="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>
            <a:alpha val="70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 baseline="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1600" b="0" i="0" kern="1200" cap="none" spc="5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587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22.xml><?xml version="1.0" encoding="utf-8"?>
<cs:chartStyle xmlns:cs="http://schemas.microsoft.com/office/drawing/2012/chartStyle" xmlns:a="http://schemas.openxmlformats.org/drawingml/2006/main" id="21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587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 cap="none" spc="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>
            <a:alpha val="70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 baseline="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1600" b="0" i="0" kern="1200" cap="none" spc="5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587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23.xml><?xml version="1.0" encoding="utf-8"?>
<cs:chartStyle xmlns:cs="http://schemas.microsoft.com/office/drawing/2012/chartStyle" xmlns:a="http://schemas.openxmlformats.org/drawingml/2006/main" id="21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587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 cap="none" spc="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>
            <a:alpha val="70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 baseline="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1600" b="0" i="0" kern="1200" cap="none" spc="5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587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24.xml><?xml version="1.0" encoding="utf-8"?>
<cs:chartStyle xmlns:cs="http://schemas.microsoft.com/office/drawing/2012/chartStyle" xmlns:a="http://schemas.openxmlformats.org/drawingml/2006/main" id="21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587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 cap="none" spc="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>
            <a:alpha val="70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 baseline="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1600" b="0" i="0" kern="1200" cap="none" spc="5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587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25.xml><?xml version="1.0" encoding="utf-8"?>
<cs:chartStyle xmlns:cs="http://schemas.microsoft.com/office/drawing/2012/chartStyle" xmlns:a="http://schemas.openxmlformats.org/drawingml/2006/main" id="21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587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 cap="none" spc="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>
            <a:alpha val="70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 baseline="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1600" b="0" i="0" kern="1200" cap="none" spc="5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587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26.xml><?xml version="1.0" encoding="utf-8"?>
<cs:chartStyle xmlns:cs="http://schemas.microsoft.com/office/drawing/2012/chartStyle" xmlns:a="http://schemas.openxmlformats.org/drawingml/2006/main" id="21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587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 cap="none" spc="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>
            <a:alpha val="70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 baseline="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1600" b="0" i="0" kern="1200" cap="none" spc="5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587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27.xml><?xml version="1.0" encoding="utf-8"?>
<cs:chartStyle xmlns:cs="http://schemas.microsoft.com/office/drawing/2012/chartStyle" xmlns:a="http://schemas.openxmlformats.org/drawingml/2006/main" id="21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587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 cap="none" spc="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>
            <a:alpha val="70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 baseline="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1600" b="0" i="0" kern="1200" cap="none" spc="5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587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28.xml><?xml version="1.0" encoding="utf-8"?>
<cs:chartStyle xmlns:cs="http://schemas.microsoft.com/office/drawing/2012/chartStyle" xmlns:a="http://schemas.openxmlformats.org/drawingml/2006/main" id="21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587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 cap="none" spc="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>
            <a:alpha val="70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 baseline="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1600" b="0" i="0" kern="1200" cap="none" spc="5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587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29.xml><?xml version="1.0" encoding="utf-8"?>
<cs:chartStyle xmlns:cs="http://schemas.microsoft.com/office/drawing/2012/chartStyle" xmlns:a="http://schemas.openxmlformats.org/drawingml/2006/main" id="21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587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 cap="none" spc="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>
            <a:alpha val="70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 baseline="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1600" b="0" i="0" kern="1200" cap="none" spc="5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587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30.xml><?xml version="1.0" encoding="utf-8"?>
<cs:chartStyle xmlns:cs="http://schemas.microsoft.com/office/drawing/2012/chartStyle" xmlns:a="http://schemas.openxmlformats.org/drawingml/2006/main" id="21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587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 cap="none" spc="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>
            <a:alpha val="70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 baseline="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1600" b="0" i="0" kern="1200" cap="none" spc="5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587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31.xml><?xml version="1.0" encoding="utf-8"?>
<cs:chartStyle xmlns:cs="http://schemas.microsoft.com/office/drawing/2012/chartStyle" xmlns:a="http://schemas.openxmlformats.org/drawingml/2006/main" id="21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587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 cap="none" spc="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>
            <a:alpha val="70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 baseline="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1600" b="0" i="0" kern="1200" cap="none" spc="5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587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32.xml><?xml version="1.0" encoding="utf-8"?>
<cs:chartStyle xmlns:cs="http://schemas.microsoft.com/office/drawing/2012/chartStyle" xmlns:a="http://schemas.openxmlformats.org/drawingml/2006/main" id="21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587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 cap="none" spc="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>
            <a:alpha val="70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 baseline="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1600" b="0" i="0" kern="1200" cap="none" spc="5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587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33.xml><?xml version="1.0" encoding="utf-8"?>
<cs:chartStyle xmlns:cs="http://schemas.microsoft.com/office/drawing/2012/chartStyle" xmlns:a="http://schemas.openxmlformats.org/drawingml/2006/main" id="21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587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 cap="none" spc="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>
            <a:alpha val="70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 baseline="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1600" b="0" i="0" kern="1200" cap="none" spc="5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587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34.xml><?xml version="1.0" encoding="utf-8"?>
<cs:chartStyle xmlns:cs="http://schemas.microsoft.com/office/drawing/2012/chartStyle" xmlns:a="http://schemas.openxmlformats.org/drawingml/2006/main" id="21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587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 cap="none" spc="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>
            <a:alpha val="70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 baseline="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1600" b="0" i="0" kern="1200" cap="none" spc="5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587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35.xml><?xml version="1.0" encoding="utf-8"?>
<cs:chartStyle xmlns:cs="http://schemas.microsoft.com/office/drawing/2012/chartStyle" xmlns:a="http://schemas.openxmlformats.org/drawingml/2006/main" id="21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587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 cap="none" spc="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>
            <a:alpha val="70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 baseline="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1600" b="0" i="0" kern="1200" cap="none" spc="5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587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36.xml><?xml version="1.0" encoding="utf-8"?>
<cs:chartStyle xmlns:cs="http://schemas.microsoft.com/office/drawing/2012/chartStyle" xmlns:a="http://schemas.openxmlformats.org/drawingml/2006/main" id="21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587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 cap="none" spc="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>
            <a:alpha val="70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 baseline="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1600" b="0" i="0" kern="1200" cap="none" spc="5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587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37.xml><?xml version="1.0" encoding="utf-8"?>
<cs:chartStyle xmlns:cs="http://schemas.microsoft.com/office/drawing/2012/chartStyle" xmlns:a="http://schemas.openxmlformats.org/drawingml/2006/main" id="21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587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 cap="none" spc="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>
            <a:alpha val="70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 baseline="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1600" b="0" i="0" kern="1200" cap="none" spc="5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587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38.xml><?xml version="1.0" encoding="utf-8"?>
<cs:chartStyle xmlns:cs="http://schemas.microsoft.com/office/drawing/2012/chartStyle" xmlns:a="http://schemas.openxmlformats.org/drawingml/2006/main" id="21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587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 cap="none" spc="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>
            <a:alpha val="70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 baseline="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1600" b="0" i="0" kern="1200" cap="none" spc="5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587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39.xml><?xml version="1.0" encoding="utf-8"?>
<cs:chartStyle xmlns:cs="http://schemas.microsoft.com/office/drawing/2012/chartStyle" xmlns:a="http://schemas.openxmlformats.org/drawingml/2006/main" id="21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587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 cap="none" spc="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>
            <a:alpha val="70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 baseline="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1600" b="0" i="0" kern="1200" cap="none" spc="5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587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40.xml><?xml version="1.0" encoding="utf-8"?>
<cs:chartStyle xmlns:cs="http://schemas.microsoft.com/office/drawing/2012/chartStyle" xmlns:a="http://schemas.openxmlformats.org/drawingml/2006/main" id="21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587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 cap="none" spc="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>
            <a:alpha val="70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 baseline="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1600" b="0" i="0" kern="1200" cap="none" spc="5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587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41.xml><?xml version="1.0" encoding="utf-8"?>
<cs:chartStyle xmlns:cs="http://schemas.microsoft.com/office/drawing/2012/chartStyle" xmlns:a="http://schemas.openxmlformats.org/drawingml/2006/main" id="21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587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 cap="none" spc="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>
            <a:alpha val="70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 baseline="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1600" b="0" i="0" kern="1200" cap="none" spc="5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587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42.xml><?xml version="1.0" encoding="utf-8"?>
<cs:chartStyle xmlns:cs="http://schemas.microsoft.com/office/drawing/2012/chartStyle" xmlns:a="http://schemas.openxmlformats.org/drawingml/2006/main" id="21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587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 cap="none" spc="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>
            <a:alpha val="70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 baseline="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1600" b="0" i="0" kern="1200" cap="none" spc="5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587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43.xml><?xml version="1.0" encoding="utf-8"?>
<cs:chartStyle xmlns:cs="http://schemas.microsoft.com/office/drawing/2012/chartStyle" xmlns:a="http://schemas.openxmlformats.org/drawingml/2006/main" id="21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587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 cap="none" spc="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>
            <a:alpha val="70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 baseline="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1600" b="0" i="0" kern="1200" cap="none" spc="5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587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44.xml><?xml version="1.0" encoding="utf-8"?>
<cs:chartStyle xmlns:cs="http://schemas.microsoft.com/office/drawing/2012/chartStyle" xmlns:a="http://schemas.openxmlformats.org/drawingml/2006/main" id="21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587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 cap="none" spc="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>
            <a:alpha val="70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 baseline="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1600" b="0" i="0" kern="1200" cap="none" spc="5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587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45.xml><?xml version="1.0" encoding="utf-8"?>
<cs:chartStyle xmlns:cs="http://schemas.microsoft.com/office/drawing/2012/chartStyle" xmlns:a="http://schemas.openxmlformats.org/drawingml/2006/main" id="21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587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 cap="none" spc="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>
            <a:alpha val="70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 baseline="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1600" b="0" i="0" kern="1200" cap="none" spc="5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587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46.xml><?xml version="1.0" encoding="utf-8"?>
<cs:chartStyle xmlns:cs="http://schemas.microsoft.com/office/drawing/2012/chartStyle" xmlns:a="http://schemas.openxmlformats.org/drawingml/2006/main" id="21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587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 cap="none" spc="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>
            <a:alpha val="70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 baseline="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1600" b="0" i="0" kern="1200" cap="none" spc="5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587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47.xml><?xml version="1.0" encoding="utf-8"?>
<cs:chartStyle xmlns:cs="http://schemas.microsoft.com/office/drawing/2012/chartStyle" xmlns:a="http://schemas.openxmlformats.org/drawingml/2006/main" id="21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587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 cap="none" spc="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>
            <a:alpha val="70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 baseline="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1600" b="0" i="0" kern="1200" cap="none" spc="5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587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48.xml><?xml version="1.0" encoding="utf-8"?>
<cs:chartStyle xmlns:cs="http://schemas.microsoft.com/office/drawing/2012/chartStyle" xmlns:a="http://schemas.openxmlformats.org/drawingml/2006/main" id="21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587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 cap="none" spc="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>
            <a:alpha val="70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 baseline="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1600" b="0" i="0" kern="1200" cap="none" spc="5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587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49.xml><?xml version="1.0" encoding="utf-8"?>
<cs:chartStyle xmlns:cs="http://schemas.microsoft.com/office/drawing/2012/chartStyle" xmlns:a="http://schemas.openxmlformats.org/drawingml/2006/main" id="21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587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 cap="none" spc="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>
            <a:alpha val="70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 baseline="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1600" b="0" i="0" kern="1200" cap="none" spc="5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587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50.xml><?xml version="1.0" encoding="utf-8"?>
<cs:chartStyle xmlns:cs="http://schemas.microsoft.com/office/drawing/2012/chartStyle" xmlns:a="http://schemas.openxmlformats.org/drawingml/2006/main" id="21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587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 cap="none" spc="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>
            <a:alpha val="70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 baseline="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1600" b="0" i="0" kern="1200" cap="none" spc="5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587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51.xml><?xml version="1.0" encoding="utf-8"?>
<cs:chartStyle xmlns:cs="http://schemas.microsoft.com/office/drawing/2012/chartStyle" xmlns:a="http://schemas.openxmlformats.org/drawingml/2006/main" id="21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587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 cap="none" spc="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>
            <a:alpha val="70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 baseline="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1600" b="0" i="0" kern="1200" cap="none" spc="5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587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52.xml><?xml version="1.0" encoding="utf-8"?>
<cs:chartStyle xmlns:cs="http://schemas.microsoft.com/office/drawing/2012/chartStyle" xmlns:a="http://schemas.openxmlformats.org/drawingml/2006/main" id="21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587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 cap="none" spc="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>
            <a:alpha val="70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 baseline="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1600" b="0" i="0" kern="1200" cap="none" spc="5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587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53.xml><?xml version="1.0" encoding="utf-8"?>
<cs:chartStyle xmlns:cs="http://schemas.microsoft.com/office/drawing/2012/chartStyle" xmlns:a="http://schemas.openxmlformats.org/drawingml/2006/main" id="21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587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 cap="none" spc="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>
            <a:alpha val="70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 baseline="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1600" b="0" i="0" kern="1200" cap="none" spc="5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587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54.xml><?xml version="1.0" encoding="utf-8"?>
<cs:chartStyle xmlns:cs="http://schemas.microsoft.com/office/drawing/2012/chartStyle" xmlns:a="http://schemas.openxmlformats.org/drawingml/2006/main" id="21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587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 cap="none" spc="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>
            <a:alpha val="70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 baseline="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1600" b="0" i="0" kern="1200" cap="none" spc="5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587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55.xml><?xml version="1.0" encoding="utf-8"?>
<cs:chartStyle xmlns:cs="http://schemas.microsoft.com/office/drawing/2012/chartStyle" xmlns:a="http://schemas.openxmlformats.org/drawingml/2006/main" id="21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587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 cap="none" spc="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>
            <a:alpha val="70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 baseline="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1600" b="0" i="0" kern="1200" cap="none" spc="5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587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56.xml><?xml version="1.0" encoding="utf-8"?>
<cs:chartStyle xmlns:cs="http://schemas.microsoft.com/office/drawing/2012/chartStyle" xmlns:a="http://schemas.openxmlformats.org/drawingml/2006/main" id="21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587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 cap="none" spc="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>
            <a:alpha val="70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 baseline="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1600" b="0" i="0" kern="1200" cap="none" spc="5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587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57.xml><?xml version="1.0" encoding="utf-8"?>
<cs:chartStyle xmlns:cs="http://schemas.microsoft.com/office/drawing/2012/chartStyle" xmlns:a="http://schemas.openxmlformats.org/drawingml/2006/main" id="21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587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 cap="none" spc="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>
            <a:alpha val="70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 baseline="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1600" b="0" i="0" kern="1200" cap="none" spc="5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587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58.xml><?xml version="1.0" encoding="utf-8"?>
<cs:chartStyle xmlns:cs="http://schemas.microsoft.com/office/drawing/2012/chartStyle" xmlns:a="http://schemas.openxmlformats.org/drawingml/2006/main" id="21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587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 cap="none" spc="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>
            <a:alpha val="70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 baseline="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1600" b="0" i="0" kern="1200" cap="none" spc="5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587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59.xml><?xml version="1.0" encoding="utf-8"?>
<cs:chartStyle xmlns:cs="http://schemas.microsoft.com/office/drawing/2012/chartStyle" xmlns:a="http://schemas.openxmlformats.org/drawingml/2006/main" id="21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587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 cap="none" spc="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>
            <a:alpha val="70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 baseline="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1600" b="0" i="0" kern="1200" cap="none" spc="5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587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6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chart" Target="../charts/chart7.xml"/><Relationship Id="rId3" Type="http://schemas.openxmlformats.org/officeDocument/2006/relationships/chart" Target="../charts/chart2.xml"/><Relationship Id="rId7" Type="http://schemas.openxmlformats.org/officeDocument/2006/relationships/chart" Target="../charts/chart6.xml"/><Relationship Id="rId2" Type="http://schemas.openxmlformats.org/officeDocument/2006/relationships/chart" Target="../charts/chart1.xml"/><Relationship Id="rId1" Type="http://schemas.openxmlformats.org/officeDocument/2006/relationships/image" Target="../media/image2.png"/><Relationship Id="rId6" Type="http://schemas.openxmlformats.org/officeDocument/2006/relationships/chart" Target="../charts/chart5.xml"/><Relationship Id="rId5" Type="http://schemas.openxmlformats.org/officeDocument/2006/relationships/chart" Target="../charts/chart4.xml"/><Relationship Id="rId4" Type="http://schemas.openxmlformats.org/officeDocument/2006/relationships/chart" Target="../charts/chart3.xml"/><Relationship Id="rId9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chart" Target="../charts/chart14.xml"/><Relationship Id="rId3" Type="http://schemas.openxmlformats.org/officeDocument/2006/relationships/chart" Target="../charts/chart9.xml"/><Relationship Id="rId7" Type="http://schemas.openxmlformats.org/officeDocument/2006/relationships/chart" Target="../charts/chart13.xml"/><Relationship Id="rId2" Type="http://schemas.openxmlformats.org/officeDocument/2006/relationships/chart" Target="../charts/chart8.xml"/><Relationship Id="rId1" Type="http://schemas.openxmlformats.org/officeDocument/2006/relationships/image" Target="../media/image4.png"/><Relationship Id="rId6" Type="http://schemas.openxmlformats.org/officeDocument/2006/relationships/chart" Target="../charts/chart12.xml"/><Relationship Id="rId5" Type="http://schemas.openxmlformats.org/officeDocument/2006/relationships/chart" Target="../charts/chart11.xml"/><Relationship Id="rId10" Type="http://schemas.openxmlformats.org/officeDocument/2006/relationships/image" Target="../media/image3.png"/><Relationship Id="rId4" Type="http://schemas.openxmlformats.org/officeDocument/2006/relationships/chart" Target="../charts/chart10.xml"/><Relationship Id="rId9" Type="http://schemas.openxmlformats.org/officeDocument/2006/relationships/chart" Target="../charts/chart15.xml"/></Relationships>
</file>

<file path=xl/drawings/_rels/drawing4.xml.rels><?xml version="1.0" encoding="UTF-8" standalone="yes"?>
<Relationships xmlns="http://schemas.openxmlformats.org/package/2006/relationships"><Relationship Id="rId8" Type="http://schemas.openxmlformats.org/officeDocument/2006/relationships/chart" Target="../charts/chart22.xml"/><Relationship Id="rId3" Type="http://schemas.openxmlformats.org/officeDocument/2006/relationships/chart" Target="../charts/chart17.xml"/><Relationship Id="rId7" Type="http://schemas.openxmlformats.org/officeDocument/2006/relationships/chart" Target="../charts/chart21.xml"/><Relationship Id="rId2" Type="http://schemas.openxmlformats.org/officeDocument/2006/relationships/chart" Target="../charts/chart16.xml"/><Relationship Id="rId1" Type="http://schemas.openxmlformats.org/officeDocument/2006/relationships/image" Target="../media/image5.png"/><Relationship Id="rId6" Type="http://schemas.openxmlformats.org/officeDocument/2006/relationships/chart" Target="../charts/chart20.xml"/><Relationship Id="rId5" Type="http://schemas.openxmlformats.org/officeDocument/2006/relationships/chart" Target="../charts/chart19.xml"/><Relationship Id="rId10" Type="http://schemas.openxmlformats.org/officeDocument/2006/relationships/image" Target="../media/image3.png"/><Relationship Id="rId4" Type="http://schemas.openxmlformats.org/officeDocument/2006/relationships/chart" Target="../charts/chart18.xml"/><Relationship Id="rId9" Type="http://schemas.openxmlformats.org/officeDocument/2006/relationships/chart" Target="../charts/chart23.xml"/></Relationships>
</file>

<file path=xl/drawings/_rels/drawing5.xml.rels><?xml version="1.0" encoding="UTF-8" standalone="yes"?>
<Relationships xmlns="http://schemas.openxmlformats.org/package/2006/relationships"><Relationship Id="rId8" Type="http://schemas.openxmlformats.org/officeDocument/2006/relationships/chart" Target="../charts/chart30.xml"/><Relationship Id="rId13" Type="http://schemas.openxmlformats.org/officeDocument/2006/relationships/chart" Target="../charts/chart35.xml"/><Relationship Id="rId3" Type="http://schemas.openxmlformats.org/officeDocument/2006/relationships/chart" Target="../charts/chart25.xml"/><Relationship Id="rId7" Type="http://schemas.openxmlformats.org/officeDocument/2006/relationships/chart" Target="../charts/chart29.xml"/><Relationship Id="rId12" Type="http://schemas.openxmlformats.org/officeDocument/2006/relationships/chart" Target="../charts/chart34.xml"/><Relationship Id="rId2" Type="http://schemas.openxmlformats.org/officeDocument/2006/relationships/chart" Target="../charts/chart24.xml"/><Relationship Id="rId16" Type="http://schemas.openxmlformats.org/officeDocument/2006/relationships/image" Target="../media/image3.png"/><Relationship Id="rId1" Type="http://schemas.openxmlformats.org/officeDocument/2006/relationships/image" Target="../media/image6.png"/><Relationship Id="rId6" Type="http://schemas.openxmlformats.org/officeDocument/2006/relationships/chart" Target="../charts/chart28.xml"/><Relationship Id="rId11" Type="http://schemas.openxmlformats.org/officeDocument/2006/relationships/chart" Target="../charts/chart33.xml"/><Relationship Id="rId5" Type="http://schemas.openxmlformats.org/officeDocument/2006/relationships/chart" Target="../charts/chart27.xml"/><Relationship Id="rId15" Type="http://schemas.openxmlformats.org/officeDocument/2006/relationships/chart" Target="../charts/chart37.xml"/><Relationship Id="rId10" Type="http://schemas.openxmlformats.org/officeDocument/2006/relationships/chart" Target="../charts/chart32.xml"/><Relationship Id="rId4" Type="http://schemas.openxmlformats.org/officeDocument/2006/relationships/chart" Target="../charts/chart26.xml"/><Relationship Id="rId9" Type="http://schemas.openxmlformats.org/officeDocument/2006/relationships/chart" Target="../charts/chart31.xml"/><Relationship Id="rId14" Type="http://schemas.openxmlformats.org/officeDocument/2006/relationships/chart" Target="../charts/chart36.xml"/></Relationships>
</file>

<file path=xl/drawings/_rels/drawing6.xml.rels><?xml version="1.0" encoding="UTF-8" standalone="yes"?>
<Relationships xmlns="http://schemas.openxmlformats.org/package/2006/relationships"><Relationship Id="rId8" Type="http://schemas.openxmlformats.org/officeDocument/2006/relationships/chart" Target="../charts/chart44.xml"/><Relationship Id="rId3" Type="http://schemas.openxmlformats.org/officeDocument/2006/relationships/chart" Target="../charts/chart39.xml"/><Relationship Id="rId7" Type="http://schemas.openxmlformats.org/officeDocument/2006/relationships/chart" Target="../charts/chart43.xml"/><Relationship Id="rId2" Type="http://schemas.openxmlformats.org/officeDocument/2006/relationships/chart" Target="../charts/chart38.xml"/><Relationship Id="rId1" Type="http://schemas.openxmlformats.org/officeDocument/2006/relationships/image" Target="../media/image7.png"/><Relationship Id="rId6" Type="http://schemas.openxmlformats.org/officeDocument/2006/relationships/chart" Target="../charts/chart42.xml"/><Relationship Id="rId5" Type="http://schemas.openxmlformats.org/officeDocument/2006/relationships/chart" Target="../charts/chart41.xml"/><Relationship Id="rId4" Type="http://schemas.openxmlformats.org/officeDocument/2006/relationships/chart" Target="../charts/chart40.xml"/><Relationship Id="rId9" Type="http://schemas.openxmlformats.org/officeDocument/2006/relationships/image" Target="../media/image3.png"/></Relationships>
</file>

<file path=xl/drawings/_rels/drawing7.xml.rels><?xml version="1.0" encoding="UTF-8" standalone="yes"?>
<Relationships xmlns="http://schemas.openxmlformats.org/package/2006/relationships"><Relationship Id="rId8" Type="http://schemas.openxmlformats.org/officeDocument/2006/relationships/chart" Target="../charts/chart51.xml"/><Relationship Id="rId3" Type="http://schemas.openxmlformats.org/officeDocument/2006/relationships/chart" Target="../charts/chart46.xml"/><Relationship Id="rId7" Type="http://schemas.openxmlformats.org/officeDocument/2006/relationships/chart" Target="../charts/chart50.xml"/><Relationship Id="rId2" Type="http://schemas.openxmlformats.org/officeDocument/2006/relationships/chart" Target="../charts/chart45.xml"/><Relationship Id="rId1" Type="http://schemas.openxmlformats.org/officeDocument/2006/relationships/image" Target="../media/image8.png"/><Relationship Id="rId6" Type="http://schemas.openxmlformats.org/officeDocument/2006/relationships/chart" Target="../charts/chart49.xml"/><Relationship Id="rId5" Type="http://schemas.openxmlformats.org/officeDocument/2006/relationships/chart" Target="../charts/chart48.xml"/><Relationship Id="rId4" Type="http://schemas.openxmlformats.org/officeDocument/2006/relationships/chart" Target="../charts/chart47.xml"/><Relationship Id="rId9" Type="http://schemas.openxmlformats.org/officeDocument/2006/relationships/image" Target="../media/image3.png"/></Relationships>
</file>

<file path=xl/drawings/_rels/drawing8.xml.rels><?xml version="1.0" encoding="UTF-8" standalone="yes"?>
<Relationships xmlns="http://schemas.openxmlformats.org/package/2006/relationships"><Relationship Id="rId8" Type="http://schemas.openxmlformats.org/officeDocument/2006/relationships/chart" Target="../charts/chart58.xml"/><Relationship Id="rId3" Type="http://schemas.openxmlformats.org/officeDocument/2006/relationships/chart" Target="../charts/chart53.xml"/><Relationship Id="rId7" Type="http://schemas.openxmlformats.org/officeDocument/2006/relationships/chart" Target="../charts/chart57.xml"/><Relationship Id="rId2" Type="http://schemas.openxmlformats.org/officeDocument/2006/relationships/chart" Target="../charts/chart52.xml"/><Relationship Id="rId1" Type="http://schemas.openxmlformats.org/officeDocument/2006/relationships/image" Target="../media/image9.png"/><Relationship Id="rId6" Type="http://schemas.openxmlformats.org/officeDocument/2006/relationships/chart" Target="../charts/chart56.xml"/><Relationship Id="rId5" Type="http://schemas.openxmlformats.org/officeDocument/2006/relationships/chart" Target="../charts/chart55.xml"/><Relationship Id="rId10" Type="http://schemas.openxmlformats.org/officeDocument/2006/relationships/image" Target="../media/image3.png"/><Relationship Id="rId4" Type="http://schemas.openxmlformats.org/officeDocument/2006/relationships/chart" Target="../charts/chart54.xml"/><Relationship Id="rId9" Type="http://schemas.openxmlformats.org/officeDocument/2006/relationships/chart" Target="../charts/chart59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png"/></Relationships>
</file>

<file path=xl/drawings/_rels/drawing10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1.xml"/><Relationship Id="rId1" Type="http://schemas.openxmlformats.org/officeDocument/2006/relationships/chart" Target="../charts/chart6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279402</xdr:colOff>
      <xdr:row>0</xdr:row>
      <xdr:rowOff>84663</xdr:rowOff>
    </xdr:from>
    <xdr:to>
      <xdr:col>5</xdr:col>
      <xdr:colOff>817068</xdr:colOff>
      <xdr:row>3</xdr:row>
      <xdr:rowOff>169332</xdr:rowOff>
    </xdr:to>
    <xdr:pic>
      <xdr:nvPicPr>
        <xdr:cNvPr id="6" name="그림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25335" y="84663"/>
          <a:ext cx="1409733" cy="138853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603518</xdr:colOff>
      <xdr:row>0</xdr:row>
      <xdr:rowOff>63259</xdr:rowOff>
    </xdr:from>
    <xdr:to>
      <xdr:col>2</xdr:col>
      <xdr:colOff>0</xdr:colOff>
      <xdr:row>1</xdr:row>
      <xdr:rowOff>248635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8106" y="63259"/>
          <a:ext cx="1025070" cy="999670"/>
        </a:xfrm>
        <a:prstGeom prst="rect">
          <a:avLst/>
        </a:prstGeom>
      </xdr:spPr>
    </xdr:pic>
    <xdr:clientData/>
  </xdr:twoCellAnchor>
  <xdr:twoCellAnchor>
    <xdr:from>
      <xdr:col>5</xdr:col>
      <xdr:colOff>869576</xdr:colOff>
      <xdr:row>4</xdr:row>
      <xdr:rowOff>0</xdr:rowOff>
    </xdr:from>
    <xdr:to>
      <xdr:col>6</xdr:col>
      <xdr:colOff>2043952</xdr:colOff>
      <xdr:row>5</xdr:row>
      <xdr:rowOff>0</xdr:rowOff>
    </xdr:to>
    <xdr:graphicFrame macro="">
      <xdr:nvGraphicFramePr>
        <xdr:cNvPr id="21" name="차트 20">
          <a:extLst>
            <a:ext uri="{FF2B5EF4-FFF2-40B4-BE49-F238E27FC236}">
              <a16:creationId xmlns:a16="http://schemas.microsoft.com/office/drawing/2014/main" id="{00000000-0008-0000-0100-00001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0</xdr:colOff>
      <xdr:row>5</xdr:row>
      <xdr:rowOff>0</xdr:rowOff>
    </xdr:from>
    <xdr:to>
      <xdr:col>7</xdr:col>
      <xdr:colOff>0</xdr:colOff>
      <xdr:row>6</xdr:row>
      <xdr:rowOff>0</xdr:rowOff>
    </xdr:to>
    <xdr:graphicFrame macro="">
      <xdr:nvGraphicFramePr>
        <xdr:cNvPr id="23" name="차트 22">
          <a:extLst>
            <a:ext uri="{FF2B5EF4-FFF2-40B4-BE49-F238E27FC236}">
              <a16:creationId xmlns:a16="http://schemas.microsoft.com/office/drawing/2014/main" id="{00000000-0008-0000-0100-000017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0</xdr:colOff>
      <xdr:row>5</xdr:row>
      <xdr:rowOff>1264023</xdr:rowOff>
    </xdr:from>
    <xdr:to>
      <xdr:col>7</xdr:col>
      <xdr:colOff>0</xdr:colOff>
      <xdr:row>7</xdr:row>
      <xdr:rowOff>0</xdr:rowOff>
    </xdr:to>
    <xdr:graphicFrame macro="">
      <xdr:nvGraphicFramePr>
        <xdr:cNvPr id="24" name="차트 23">
          <a:extLst>
            <a:ext uri="{FF2B5EF4-FFF2-40B4-BE49-F238E27FC236}">
              <a16:creationId xmlns:a16="http://schemas.microsoft.com/office/drawing/2014/main" id="{00000000-0008-0000-0100-000018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6</xdr:col>
      <xdr:colOff>0</xdr:colOff>
      <xdr:row>7</xdr:row>
      <xdr:rowOff>1</xdr:rowOff>
    </xdr:from>
    <xdr:to>
      <xdr:col>7</xdr:col>
      <xdr:colOff>0</xdr:colOff>
      <xdr:row>8</xdr:row>
      <xdr:rowOff>1</xdr:rowOff>
    </xdr:to>
    <xdr:graphicFrame macro="">
      <xdr:nvGraphicFramePr>
        <xdr:cNvPr id="27" name="차트 26">
          <a:extLst>
            <a:ext uri="{FF2B5EF4-FFF2-40B4-BE49-F238E27FC236}">
              <a16:creationId xmlns:a16="http://schemas.microsoft.com/office/drawing/2014/main" id="{00000000-0008-0000-0100-00001B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6</xdr:col>
      <xdr:colOff>0</xdr:colOff>
      <xdr:row>8</xdr:row>
      <xdr:rowOff>1</xdr:rowOff>
    </xdr:from>
    <xdr:to>
      <xdr:col>7</xdr:col>
      <xdr:colOff>0</xdr:colOff>
      <xdr:row>9</xdr:row>
      <xdr:rowOff>1</xdr:rowOff>
    </xdr:to>
    <xdr:graphicFrame macro="">
      <xdr:nvGraphicFramePr>
        <xdr:cNvPr id="30" name="차트 29">
          <a:extLst>
            <a:ext uri="{FF2B5EF4-FFF2-40B4-BE49-F238E27FC236}">
              <a16:creationId xmlns:a16="http://schemas.microsoft.com/office/drawing/2014/main" id="{00000000-0008-0000-0100-00001E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5</xdr:col>
      <xdr:colOff>869576</xdr:colOff>
      <xdr:row>9</xdr:row>
      <xdr:rowOff>1</xdr:rowOff>
    </xdr:from>
    <xdr:to>
      <xdr:col>6</xdr:col>
      <xdr:colOff>2043952</xdr:colOff>
      <xdr:row>10</xdr:row>
      <xdr:rowOff>1</xdr:rowOff>
    </xdr:to>
    <xdr:graphicFrame macro="">
      <xdr:nvGraphicFramePr>
        <xdr:cNvPr id="25" name="차트 24">
          <a:extLst>
            <a:ext uri="{FF2B5EF4-FFF2-40B4-BE49-F238E27FC236}">
              <a16:creationId xmlns:a16="http://schemas.microsoft.com/office/drawing/2014/main" id="{00000000-0008-0000-0100-000019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5</xdr:col>
      <xdr:colOff>869576</xdr:colOff>
      <xdr:row>10</xdr:row>
      <xdr:rowOff>1</xdr:rowOff>
    </xdr:from>
    <xdr:to>
      <xdr:col>6</xdr:col>
      <xdr:colOff>2043952</xdr:colOff>
      <xdr:row>11</xdr:row>
      <xdr:rowOff>1</xdr:rowOff>
    </xdr:to>
    <xdr:graphicFrame macro="">
      <xdr:nvGraphicFramePr>
        <xdr:cNvPr id="33" name="차트 32">
          <a:extLst>
            <a:ext uri="{FF2B5EF4-FFF2-40B4-BE49-F238E27FC236}">
              <a16:creationId xmlns:a16="http://schemas.microsoft.com/office/drawing/2014/main" id="{00000000-0008-0000-0100-000021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 editAs="oneCell">
    <xdr:from>
      <xdr:col>1</xdr:col>
      <xdr:colOff>1165413</xdr:colOff>
      <xdr:row>14</xdr:row>
      <xdr:rowOff>125506</xdr:rowOff>
    </xdr:from>
    <xdr:to>
      <xdr:col>2</xdr:col>
      <xdr:colOff>81337</xdr:colOff>
      <xdr:row>14</xdr:row>
      <xdr:rowOff>650595</xdr:rowOff>
    </xdr:to>
    <xdr:pic>
      <xdr:nvPicPr>
        <xdr:cNvPr id="37" name="그림 36">
          <a:extLst>
            <a:ext uri="{FF2B5EF4-FFF2-40B4-BE49-F238E27FC236}">
              <a16:creationId xmlns:a16="http://schemas.microsoft.com/office/drawing/2014/main" id="{A222BF89-61B7-45B7-9B80-E106DFC21C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64473" y="12629926"/>
          <a:ext cx="516124" cy="520606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603518</xdr:colOff>
      <xdr:row>0</xdr:row>
      <xdr:rowOff>63259</xdr:rowOff>
    </xdr:from>
    <xdr:to>
      <xdr:col>2</xdr:col>
      <xdr:colOff>0</xdr:colOff>
      <xdr:row>1</xdr:row>
      <xdr:rowOff>248635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2130" y="63259"/>
          <a:ext cx="1001164" cy="1001164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</xdr:row>
      <xdr:rowOff>0</xdr:rowOff>
    </xdr:from>
    <xdr:to>
      <xdr:col>7</xdr:col>
      <xdr:colOff>0</xdr:colOff>
      <xdr:row>5</xdr:row>
      <xdr:rowOff>0</xdr:rowOff>
    </xdr:to>
    <xdr:graphicFrame macro="">
      <xdr:nvGraphicFramePr>
        <xdr:cNvPr id="16" name="차트 15">
          <a:extLst>
            <a:ext uri="{FF2B5EF4-FFF2-40B4-BE49-F238E27FC236}">
              <a16:creationId xmlns:a16="http://schemas.microsoft.com/office/drawing/2014/main" id="{00000000-0008-0000-0200-000010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0</xdr:colOff>
      <xdr:row>5</xdr:row>
      <xdr:rowOff>0</xdr:rowOff>
    </xdr:from>
    <xdr:to>
      <xdr:col>7</xdr:col>
      <xdr:colOff>0</xdr:colOff>
      <xdr:row>6</xdr:row>
      <xdr:rowOff>0</xdr:rowOff>
    </xdr:to>
    <xdr:graphicFrame macro="">
      <xdr:nvGraphicFramePr>
        <xdr:cNvPr id="17" name="차트 16">
          <a:extLst>
            <a:ext uri="{FF2B5EF4-FFF2-40B4-BE49-F238E27FC236}">
              <a16:creationId xmlns:a16="http://schemas.microsoft.com/office/drawing/2014/main" id="{00000000-0008-0000-0200-000011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0</xdr:colOff>
      <xdr:row>5</xdr:row>
      <xdr:rowOff>1264023</xdr:rowOff>
    </xdr:from>
    <xdr:to>
      <xdr:col>7</xdr:col>
      <xdr:colOff>0</xdr:colOff>
      <xdr:row>7</xdr:row>
      <xdr:rowOff>0</xdr:rowOff>
    </xdr:to>
    <xdr:graphicFrame macro="">
      <xdr:nvGraphicFramePr>
        <xdr:cNvPr id="18" name="차트 17">
          <a:extLst>
            <a:ext uri="{FF2B5EF4-FFF2-40B4-BE49-F238E27FC236}">
              <a16:creationId xmlns:a16="http://schemas.microsoft.com/office/drawing/2014/main" id="{00000000-0008-0000-0200-00001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5</xdr:col>
      <xdr:colOff>869576</xdr:colOff>
      <xdr:row>7</xdr:row>
      <xdr:rowOff>0</xdr:rowOff>
    </xdr:from>
    <xdr:to>
      <xdr:col>6</xdr:col>
      <xdr:colOff>2043952</xdr:colOff>
      <xdr:row>8</xdr:row>
      <xdr:rowOff>0</xdr:rowOff>
    </xdr:to>
    <xdr:graphicFrame macro="">
      <xdr:nvGraphicFramePr>
        <xdr:cNvPr id="19" name="차트 18">
          <a:extLst>
            <a:ext uri="{FF2B5EF4-FFF2-40B4-BE49-F238E27FC236}">
              <a16:creationId xmlns:a16="http://schemas.microsoft.com/office/drawing/2014/main" id="{00000000-0008-0000-0200-00001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5</xdr:col>
      <xdr:colOff>869576</xdr:colOff>
      <xdr:row>8</xdr:row>
      <xdr:rowOff>0</xdr:rowOff>
    </xdr:from>
    <xdr:to>
      <xdr:col>6</xdr:col>
      <xdr:colOff>2043952</xdr:colOff>
      <xdr:row>9</xdr:row>
      <xdr:rowOff>1</xdr:rowOff>
    </xdr:to>
    <xdr:graphicFrame macro="">
      <xdr:nvGraphicFramePr>
        <xdr:cNvPr id="20" name="차트 19">
          <a:extLst>
            <a:ext uri="{FF2B5EF4-FFF2-40B4-BE49-F238E27FC236}">
              <a16:creationId xmlns:a16="http://schemas.microsoft.com/office/drawing/2014/main" id="{00000000-0008-0000-0200-00001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5</xdr:col>
      <xdr:colOff>869576</xdr:colOff>
      <xdr:row>9</xdr:row>
      <xdr:rowOff>1</xdr:rowOff>
    </xdr:from>
    <xdr:to>
      <xdr:col>6</xdr:col>
      <xdr:colOff>2043952</xdr:colOff>
      <xdr:row>10</xdr:row>
      <xdr:rowOff>1</xdr:rowOff>
    </xdr:to>
    <xdr:graphicFrame macro="">
      <xdr:nvGraphicFramePr>
        <xdr:cNvPr id="38" name="차트 37">
          <a:extLst>
            <a:ext uri="{FF2B5EF4-FFF2-40B4-BE49-F238E27FC236}">
              <a16:creationId xmlns:a16="http://schemas.microsoft.com/office/drawing/2014/main" id="{00000000-0008-0000-0200-00002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6</xdr:col>
      <xdr:colOff>0</xdr:colOff>
      <xdr:row>9</xdr:row>
      <xdr:rowOff>1264023</xdr:rowOff>
    </xdr:from>
    <xdr:to>
      <xdr:col>7</xdr:col>
      <xdr:colOff>0</xdr:colOff>
      <xdr:row>10</xdr:row>
      <xdr:rowOff>1264022</xdr:rowOff>
    </xdr:to>
    <xdr:graphicFrame macro="">
      <xdr:nvGraphicFramePr>
        <xdr:cNvPr id="40" name="차트 39">
          <a:extLst>
            <a:ext uri="{FF2B5EF4-FFF2-40B4-BE49-F238E27FC236}">
              <a16:creationId xmlns:a16="http://schemas.microsoft.com/office/drawing/2014/main" id="{00000000-0008-0000-0200-000028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6</xdr:col>
      <xdr:colOff>0</xdr:colOff>
      <xdr:row>11</xdr:row>
      <xdr:rowOff>0</xdr:rowOff>
    </xdr:from>
    <xdr:to>
      <xdr:col>7</xdr:col>
      <xdr:colOff>0</xdr:colOff>
      <xdr:row>12</xdr:row>
      <xdr:rowOff>0</xdr:rowOff>
    </xdr:to>
    <xdr:graphicFrame macro="">
      <xdr:nvGraphicFramePr>
        <xdr:cNvPr id="41" name="차트 40">
          <a:extLst>
            <a:ext uri="{FF2B5EF4-FFF2-40B4-BE49-F238E27FC236}">
              <a16:creationId xmlns:a16="http://schemas.microsoft.com/office/drawing/2014/main" id="{00000000-0008-0000-0200-000029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 editAs="oneCell">
    <xdr:from>
      <xdr:col>1</xdr:col>
      <xdr:colOff>1165413</xdr:colOff>
      <xdr:row>14</xdr:row>
      <xdr:rowOff>125506</xdr:rowOff>
    </xdr:from>
    <xdr:to>
      <xdr:col>2</xdr:col>
      <xdr:colOff>81337</xdr:colOff>
      <xdr:row>14</xdr:row>
      <xdr:rowOff>646112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031F51E0-1018-4FF8-B42C-0B41B15865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64025" y="12631271"/>
          <a:ext cx="520606" cy="520606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603518</xdr:colOff>
      <xdr:row>0</xdr:row>
      <xdr:rowOff>63259</xdr:rowOff>
    </xdr:from>
    <xdr:to>
      <xdr:col>2</xdr:col>
      <xdr:colOff>0</xdr:colOff>
      <xdr:row>1</xdr:row>
      <xdr:rowOff>248635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2130" y="63259"/>
          <a:ext cx="1001164" cy="1001164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</xdr:row>
      <xdr:rowOff>0</xdr:rowOff>
    </xdr:from>
    <xdr:to>
      <xdr:col>7</xdr:col>
      <xdr:colOff>0</xdr:colOff>
      <xdr:row>5</xdr:row>
      <xdr:rowOff>1</xdr:rowOff>
    </xdr:to>
    <xdr:graphicFrame macro="">
      <xdr:nvGraphicFramePr>
        <xdr:cNvPr id="24" name="차트 23">
          <a:extLst>
            <a:ext uri="{FF2B5EF4-FFF2-40B4-BE49-F238E27FC236}">
              <a16:creationId xmlns:a16="http://schemas.microsoft.com/office/drawing/2014/main" id="{00000000-0008-0000-0300-000018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0</xdr:colOff>
      <xdr:row>5</xdr:row>
      <xdr:rowOff>0</xdr:rowOff>
    </xdr:from>
    <xdr:to>
      <xdr:col>7</xdr:col>
      <xdr:colOff>0</xdr:colOff>
      <xdr:row>6</xdr:row>
      <xdr:rowOff>0</xdr:rowOff>
    </xdr:to>
    <xdr:graphicFrame macro="">
      <xdr:nvGraphicFramePr>
        <xdr:cNvPr id="25" name="차트 24">
          <a:extLst>
            <a:ext uri="{FF2B5EF4-FFF2-40B4-BE49-F238E27FC236}">
              <a16:creationId xmlns:a16="http://schemas.microsoft.com/office/drawing/2014/main" id="{00000000-0008-0000-0300-000019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0</xdr:colOff>
      <xdr:row>6</xdr:row>
      <xdr:rowOff>0</xdr:rowOff>
    </xdr:from>
    <xdr:to>
      <xdr:col>7</xdr:col>
      <xdr:colOff>0</xdr:colOff>
      <xdr:row>6</xdr:row>
      <xdr:rowOff>1264022</xdr:rowOff>
    </xdr:to>
    <xdr:graphicFrame macro="">
      <xdr:nvGraphicFramePr>
        <xdr:cNvPr id="26" name="차트 25">
          <a:extLst>
            <a:ext uri="{FF2B5EF4-FFF2-40B4-BE49-F238E27FC236}">
              <a16:creationId xmlns:a16="http://schemas.microsoft.com/office/drawing/2014/main" id="{00000000-0008-0000-0300-00001A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6</xdr:col>
      <xdr:colOff>0</xdr:colOff>
      <xdr:row>7</xdr:row>
      <xdr:rowOff>0</xdr:rowOff>
    </xdr:from>
    <xdr:to>
      <xdr:col>7</xdr:col>
      <xdr:colOff>0</xdr:colOff>
      <xdr:row>8</xdr:row>
      <xdr:rowOff>0</xdr:rowOff>
    </xdr:to>
    <xdr:graphicFrame macro="">
      <xdr:nvGraphicFramePr>
        <xdr:cNvPr id="27" name="차트 26">
          <a:extLst>
            <a:ext uri="{FF2B5EF4-FFF2-40B4-BE49-F238E27FC236}">
              <a16:creationId xmlns:a16="http://schemas.microsoft.com/office/drawing/2014/main" id="{00000000-0008-0000-0300-00001B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6</xdr:col>
      <xdr:colOff>0</xdr:colOff>
      <xdr:row>7</xdr:row>
      <xdr:rowOff>1264023</xdr:rowOff>
    </xdr:from>
    <xdr:to>
      <xdr:col>7</xdr:col>
      <xdr:colOff>0</xdr:colOff>
      <xdr:row>8</xdr:row>
      <xdr:rowOff>1264022</xdr:rowOff>
    </xdr:to>
    <xdr:graphicFrame macro="">
      <xdr:nvGraphicFramePr>
        <xdr:cNvPr id="28" name="차트 27">
          <a:extLst>
            <a:ext uri="{FF2B5EF4-FFF2-40B4-BE49-F238E27FC236}">
              <a16:creationId xmlns:a16="http://schemas.microsoft.com/office/drawing/2014/main" id="{00000000-0008-0000-0300-00001C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6</xdr:col>
      <xdr:colOff>0</xdr:colOff>
      <xdr:row>9</xdr:row>
      <xdr:rowOff>0</xdr:rowOff>
    </xdr:from>
    <xdr:to>
      <xdr:col>7</xdr:col>
      <xdr:colOff>0</xdr:colOff>
      <xdr:row>10</xdr:row>
      <xdr:rowOff>0</xdr:rowOff>
    </xdr:to>
    <xdr:graphicFrame macro="">
      <xdr:nvGraphicFramePr>
        <xdr:cNvPr id="29" name="차트 28">
          <a:extLst>
            <a:ext uri="{FF2B5EF4-FFF2-40B4-BE49-F238E27FC236}">
              <a16:creationId xmlns:a16="http://schemas.microsoft.com/office/drawing/2014/main" id="{00000000-0008-0000-0300-00001D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6</xdr:col>
      <xdr:colOff>0</xdr:colOff>
      <xdr:row>10</xdr:row>
      <xdr:rowOff>1</xdr:rowOff>
    </xdr:from>
    <xdr:to>
      <xdr:col>7</xdr:col>
      <xdr:colOff>0</xdr:colOff>
      <xdr:row>11</xdr:row>
      <xdr:rowOff>1</xdr:rowOff>
    </xdr:to>
    <xdr:graphicFrame macro="">
      <xdr:nvGraphicFramePr>
        <xdr:cNvPr id="36" name="차트 35">
          <a:extLst>
            <a:ext uri="{FF2B5EF4-FFF2-40B4-BE49-F238E27FC236}">
              <a16:creationId xmlns:a16="http://schemas.microsoft.com/office/drawing/2014/main" id="{00000000-0008-0000-0300-00002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6</xdr:col>
      <xdr:colOff>0</xdr:colOff>
      <xdr:row>11</xdr:row>
      <xdr:rowOff>1</xdr:rowOff>
    </xdr:from>
    <xdr:to>
      <xdr:col>7</xdr:col>
      <xdr:colOff>0</xdr:colOff>
      <xdr:row>12</xdr:row>
      <xdr:rowOff>1</xdr:rowOff>
    </xdr:to>
    <xdr:graphicFrame macro="">
      <xdr:nvGraphicFramePr>
        <xdr:cNvPr id="37" name="차트 36">
          <a:extLst>
            <a:ext uri="{FF2B5EF4-FFF2-40B4-BE49-F238E27FC236}">
              <a16:creationId xmlns:a16="http://schemas.microsoft.com/office/drawing/2014/main" id="{00000000-0008-0000-0300-00002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 editAs="oneCell">
    <xdr:from>
      <xdr:col>1</xdr:col>
      <xdr:colOff>1165413</xdr:colOff>
      <xdr:row>14</xdr:row>
      <xdr:rowOff>125506</xdr:rowOff>
    </xdr:from>
    <xdr:to>
      <xdr:col>2</xdr:col>
      <xdr:colOff>81337</xdr:colOff>
      <xdr:row>14</xdr:row>
      <xdr:rowOff>650595</xdr:rowOff>
    </xdr:to>
    <xdr:pic>
      <xdr:nvPicPr>
        <xdr:cNvPr id="34" name="그림 33">
          <a:extLst>
            <a:ext uri="{FF2B5EF4-FFF2-40B4-BE49-F238E27FC236}">
              <a16:creationId xmlns:a16="http://schemas.microsoft.com/office/drawing/2014/main" id="{747D7D19-94A5-4BB6-8122-3F5B94D5D1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64473" y="12393706"/>
          <a:ext cx="516124" cy="525089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603518</xdr:colOff>
      <xdr:row>0</xdr:row>
      <xdr:rowOff>63259</xdr:rowOff>
    </xdr:from>
    <xdr:to>
      <xdr:col>2</xdr:col>
      <xdr:colOff>0</xdr:colOff>
      <xdr:row>1</xdr:row>
      <xdr:rowOff>248635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2130" y="63259"/>
          <a:ext cx="1001164" cy="1001164"/>
        </a:xfrm>
        <a:prstGeom prst="rect">
          <a:avLst/>
        </a:prstGeom>
      </xdr:spPr>
    </xdr:pic>
    <xdr:clientData/>
  </xdr:twoCellAnchor>
  <xdr:twoCellAnchor>
    <xdr:from>
      <xdr:col>5</xdr:col>
      <xdr:colOff>869576</xdr:colOff>
      <xdr:row>4</xdr:row>
      <xdr:rowOff>0</xdr:rowOff>
    </xdr:from>
    <xdr:to>
      <xdr:col>7</xdr:col>
      <xdr:colOff>0</xdr:colOff>
      <xdr:row>5</xdr:row>
      <xdr:rowOff>0</xdr:rowOff>
    </xdr:to>
    <xdr:graphicFrame macro="">
      <xdr:nvGraphicFramePr>
        <xdr:cNvPr id="47" name="차트 46">
          <a:extLst>
            <a:ext uri="{FF2B5EF4-FFF2-40B4-BE49-F238E27FC236}">
              <a16:creationId xmlns:a16="http://schemas.microsoft.com/office/drawing/2014/main" id="{00000000-0008-0000-0400-00002F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0</xdr:colOff>
      <xdr:row>5</xdr:row>
      <xdr:rowOff>0</xdr:rowOff>
    </xdr:from>
    <xdr:to>
      <xdr:col>7</xdr:col>
      <xdr:colOff>0</xdr:colOff>
      <xdr:row>6</xdr:row>
      <xdr:rowOff>0</xdr:rowOff>
    </xdr:to>
    <xdr:graphicFrame macro="">
      <xdr:nvGraphicFramePr>
        <xdr:cNvPr id="49" name="차트 48">
          <a:extLst>
            <a:ext uri="{FF2B5EF4-FFF2-40B4-BE49-F238E27FC236}">
              <a16:creationId xmlns:a16="http://schemas.microsoft.com/office/drawing/2014/main" id="{00000000-0008-0000-0400-000031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0</xdr:colOff>
      <xdr:row>6</xdr:row>
      <xdr:rowOff>0</xdr:rowOff>
    </xdr:from>
    <xdr:to>
      <xdr:col>7</xdr:col>
      <xdr:colOff>0</xdr:colOff>
      <xdr:row>7</xdr:row>
      <xdr:rowOff>0</xdr:rowOff>
    </xdr:to>
    <xdr:graphicFrame macro="">
      <xdr:nvGraphicFramePr>
        <xdr:cNvPr id="50" name="차트 49">
          <a:extLst>
            <a:ext uri="{FF2B5EF4-FFF2-40B4-BE49-F238E27FC236}">
              <a16:creationId xmlns:a16="http://schemas.microsoft.com/office/drawing/2014/main" id="{00000000-0008-0000-0400-00003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6</xdr:col>
      <xdr:colOff>0</xdr:colOff>
      <xdr:row>7</xdr:row>
      <xdr:rowOff>0</xdr:rowOff>
    </xdr:from>
    <xdr:to>
      <xdr:col>7</xdr:col>
      <xdr:colOff>0</xdr:colOff>
      <xdr:row>8</xdr:row>
      <xdr:rowOff>0</xdr:rowOff>
    </xdr:to>
    <xdr:graphicFrame macro="">
      <xdr:nvGraphicFramePr>
        <xdr:cNvPr id="51" name="차트 50">
          <a:extLst>
            <a:ext uri="{FF2B5EF4-FFF2-40B4-BE49-F238E27FC236}">
              <a16:creationId xmlns:a16="http://schemas.microsoft.com/office/drawing/2014/main" id="{00000000-0008-0000-0400-00003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6</xdr:col>
      <xdr:colOff>0</xdr:colOff>
      <xdr:row>8</xdr:row>
      <xdr:rowOff>0</xdr:rowOff>
    </xdr:from>
    <xdr:to>
      <xdr:col>7</xdr:col>
      <xdr:colOff>0</xdr:colOff>
      <xdr:row>9</xdr:row>
      <xdr:rowOff>0</xdr:rowOff>
    </xdr:to>
    <xdr:graphicFrame macro="">
      <xdr:nvGraphicFramePr>
        <xdr:cNvPr id="52" name="차트 51">
          <a:extLst>
            <a:ext uri="{FF2B5EF4-FFF2-40B4-BE49-F238E27FC236}">
              <a16:creationId xmlns:a16="http://schemas.microsoft.com/office/drawing/2014/main" id="{00000000-0008-0000-0400-00003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6</xdr:col>
      <xdr:colOff>0</xdr:colOff>
      <xdr:row>9</xdr:row>
      <xdr:rowOff>0</xdr:rowOff>
    </xdr:from>
    <xdr:to>
      <xdr:col>7</xdr:col>
      <xdr:colOff>0</xdr:colOff>
      <xdr:row>10</xdr:row>
      <xdr:rowOff>0</xdr:rowOff>
    </xdr:to>
    <xdr:graphicFrame macro="">
      <xdr:nvGraphicFramePr>
        <xdr:cNvPr id="53" name="차트 52">
          <a:extLst>
            <a:ext uri="{FF2B5EF4-FFF2-40B4-BE49-F238E27FC236}">
              <a16:creationId xmlns:a16="http://schemas.microsoft.com/office/drawing/2014/main" id="{00000000-0008-0000-0400-00003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6</xdr:col>
      <xdr:colOff>0</xdr:colOff>
      <xdr:row>10</xdr:row>
      <xdr:rowOff>0</xdr:rowOff>
    </xdr:from>
    <xdr:to>
      <xdr:col>7</xdr:col>
      <xdr:colOff>0</xdr:colOff>
      <xdr:row>11</xdr:row>
      <xdr:rowOff>0</xdr:rowOff>
    </xdr:to>
    <xdr:graphicFrame macro="">
      <xdr:nvGraphicFramePr>
        <xdr:cNvPr id="54" name="차트 53">
          <a:extLst>
            <a:ext uri="{FF2B5EF4-FFF2-40B4-BE49-F238E27FC236}">
              <a16:creationId xmlns:a16="http://schemas.microsoft.com/office/drawing/2014/main" id="{00000000-0008-0000-0400-00003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6</xdr:col>
      <xdr:colOff>0</xdr:colOff>
      <xdr:row>11</xdr:row>
      <xdr:rowOff>0</xdr:rowOff>
    </xdr:from>
    <xdr:to>
      <xdr:col>7</xdr:col>
      <xdr:colOff>0</xdr:colOff>
      <xdr:row>12</xdr:row>
      <xdr:rowOff>0</xdr:rowOff>
    </xdr:to>
    <xdr:graphicFrame macro="">
      <xdr:nvGraphicFramePr>
        <xdr:cNvPr id="55" name="차트 54">
          <a:extLst>
            <a:ext uri="{FF2B5EF4-FFF2-40B4-BE49-F238E27FC236}">
              <a16:creationId xmlns:a16="http://schemas.microsoft.com/office/drawing/2014/main" id="{00000000-0008-0000-0400-000037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6</xdr:col>
      <xdr:colOff>0</xdr:colOff>
      <xdr:row>12</xdr:row>
      <xdr:rowOff>0</xdr:rowOff>
    </xdr:from>
    <xdr:to>
      <xdr:col>7</xdr:col>
      <xdr:colOff>0</xdr:colOff>
      <xdr:row>13</xdr:row>
      <xdr:rowOff>-1</xdr:rowOff>
    </xdr:to>
    <xdr:graphicFrame macro="">
      <xdr:nvGraphicFramePr>
        <xdr:cNvPr id="56" name="차트 55">
          <a:extLst>
            <a:ext uri="{FF2B5EF4-FFF2-40B4-BE49-F238E27FC236}">
              <a16:creationId xmlns:a16="http://schemas.microsoft.com/office/drawing/2014/main" id="{00000000-0008-0000-0400-000038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6</xdr:col>
      <xdr:colOff>0</xdr:colOff>
      <xdr:row>13</xdr:row>
      <xdr:rowOff>0</xdr:rowOff>
    </xdr:from>
    <xdr:to>
      <xdr:col>7</xdr:col>
      <xdr:colOff>0</xdr:colOff>
      <xdr:row>14</xdr:row>
      <xdr:rowOff>0</xdr:rowOff>
    </xdr:to>
    <xdr:graphicFrame macro="">
      <xdr:nvGraphicFramePr>
        <xdr:cNvPr id="57" name="차트 56">
          <a:extLst>
            <a:ext uri="{FF2B5EF4-FFF2-40B4-BE49-F238E27FC236}">
              <a16:creationId xmlns:a16="http://schemas.microsoft.com/office/drawing/2014/main" id="{00000000-0008-0000-0400-000039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6</xdr:col>
      <xdr:colOff>0</xdr:colOff>
      <xdr:row>14</xdr:row>
      <xdr:rowOff>0</xdr:rowOff>
    </xdr:from>
    <xdr:to>
      <xdr:col>7</xdr:col>
      <xdr:colOff>0</xdr:colOff>
      <xdr:row>15</xdr:row>
      <xdr:rowOff>0</xdr:rowOff>
    </xdr:to>
    <xdr:graphicFrame macro="">
      <xdr:nvGraphicFramePr>
        <xdr:cNvPr id="58" name="차트 57">
          <a:extLst>
            <a:ext uri="{FF2B5EF4-FFF2-40B4-BE49-F238E27FC236}">
              <a16:creationId xmlns:a16="http://schemas.microsoft.com/office/drawing/2014/main" id="{00000000-0008-0000-0400-00003A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6</xdr:col>
      <xdr:colOff>0</xdr:colOff>
      <xdr:row>15</xdr:row>
      <xdr:rowOff>0</xdr:rowOff>
    </xdr:from>
    <xdr:to>
      <xdr:col>7</xdr:col>
      <xdr:colOff>0</xdr:colOff>
      <xdr:row>16</xdr:row>
      <xdr:rowOff>0</xdr:rowOff>
    </xdr:to>
    <xdr:graphicFrame macro="">
      <xdr:nvGraphicFramePr>
        <xdr:cNvPr id="59" name="차트 58">
          <a:extLst>
            <a:ext uri="{FF2B5EF4-FFF2-40B4-BE49-F238E27FC236}">
              <a16:creationId xmlns:a16="http://schemas.microsoft.com/office/drawing/2014/main" id="{00000000-0008-0000-0400-00003B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6</xdr:col>
      <xdr:colOff>0</xdr:colOff>
      <xdr:row>16</xdr:row>
      <xdr:rowOff>0</xdr:rowOff>
    </xdr:from>
    <xdr:to>
      <xdr:col>7</xdr:col>
      <xdr:colOff>0</xdr:colOff>
      <xdr:row>16</xdr:row>
      <xdr:rowOff>1264023</xdr:rowOff>
    </xdr:to>
    <xdr:graphicFrame macro="">
      <xdr:nvGraphicFramePr>
        <xdr:cNvPr id="60" name="차트 59">
          <a:extLst>
            <a:ext uri="{FF2B5EF4-FFF2-40B4-BE49-F238E27FC236}">
              <a16:creationId xmlns:a16="http://schemas.microsoft.com/office/drawing/2014/main" id="{00000000-0008-0000-0400-00003C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6</xdr:col>
      <xdr:colOff>0</xdr:colOff>
      <xdr:row>16</xdr:row>
      <xdr:rowOff>1264023</xdr:rowOff>
    </xdr:from>
    <xdr:to>
      <xdr:col>7</xdr:col>
      <xdr:colOff>0</xdr:colOff>
      <xdr:row>17</xdr:row>
      <xdr:rowOff>1264022</xdr:rowOff>
    </xdr:to>
    <xdr:graphicFrame macro="">
      <xdr:nvGraphicFramePr>
        <xdr:cNvPr id="61" name="차트 60">
          <a:extLst>
            <a:ext uri="{FF2B5EF4-FFF2-40B4-BE49-F238E27FC236}">
              <a16:creationId xmlns:a16="http://schemas.microsoft.com/office/drawing/2014/main" id="{00000000-0008-0000-0400-00003D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 editAs="oneCell">
    <xdr:from>
      <xdr:col>1</xdr:col>
      <xdr:colOff>1165413</xdr:colOff>
      <xdr:row>20</xdr:row>
      <xdr:rowOff>125506</xdr:rowOff>
    </xdr:from>
    <xdr:to>
      <xdr:col>2</xdr:col>
      <xdr:colOff>81337</xdr:colOff>
      <xdr:row>20</xdr:row>
      <xdr:rowOff>646112</xdr:rowOff>
    </xdr:to>
    <xdr:pic>
      <xdr:nvPicPr>
        <xdr:cNvPr id="42" name="그림 41">
          <a:extLst>
            <a:ext uri="{FF2B5EF4-FFF2-40B4-BE49-F238E27FC236}">
              <a16:creationId xmlns:a16="http://schemas.microsoft.com/office/drawing/2014/main" id="{033A5E90-FCB6-4AAC-B1D6-27EA8DD41C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64473" y="12629926"/>
          <a:ext cx="516124" cy="520606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603518</xdr:colOff>
      <xdr:row>0</xdr:row>
      <xdr:rowOff>63259</xdr:rowOff>
    </xdr:from>
    <xdr:to>
      <xdr:col>2</xdr:col>
      <xdr:colOff>0</xdr:colOff>
      <xdr:row>1</xdr:row>
      <xdr:rowOff>248635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2130" y="63259"/>
          <a:ext cx="1001164" cy="1001164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</xdr:row>
      <xdr:rowOff>0</xdr:rowOff>
    </xdr:from>
    <xdr:to>
      <xdr:col>7</xdr:col>
      <xdr:colOff>0</xdr:colOff>
      <xdr:row>5</xdr:row>
      <xdr:rowOff>0</xdr:rowOff>
    </xdr:to>
    <xdr:graphicFrame macro="">
      <xdr:nvGraphicFramePr>
        <xdr:cNvPr id="22" name="차트 21">
          <a:extLst>
            <a:ext uri="{FF2B5EF4-FFF2-40B4-BE49-F238E27FC236}">
              <a16:creationId xmlns:a16="http://schemas.microsoft.com/office/drawing/2014/main" id="{00000000-0008-0000-0600-00001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0</xdr:colOff>
      <xdr:row>5</xdr:row>
      <xdr:rowOff>0</xdr:rowOff>
    </xdr:from>
    <xdr:to>
      <xdr:col>7</xdr:col>
      <xdr:colOff>0</xdr:colOff>
      <xdr:row>6</xdr:row>
      <xdr:rowOff>0</xdr:rowOff>
    </xdr:to>
    <xdr:graphicFrame macro="">
      <xdr:nvGraphicFramePr>
        <xdr:cNvPr id="23" name="차트 22">
          <a:extLst>
            <a:ext uri="{FF2B5EF4-FFF2-40B4-BE49-F238E27FC236}">
              <a16:creationId xmlns:a16="http://schemas.microsoft.com/office/drawing/2014/main" id="{00000000-0008-0000-0600-000017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0</xdr:colOff>
      <xdr:row>6</xdr:row>
      <xdr:rowOff>0</xdr:rowOff>
    </xdr:from>
    <xdr:to>
      <xdr:col>7</xdr:col>
      <xdr:colOff>0</xdr:colOff>
      <xdr:row>7</xdr:row>
      <xdr:rowOff>0</xdr:rowOff>
    </xdr:to>
    <xdr:graphicFrame macro="">
      <xdr:nvGraphicFramePr>
        <xdr:cNvPr id="24" name="차트 23">
          <a:extLst>
            <a:ext uri="{FF2B5EF4-FFF2-40B4-BE49-F238E27FC236}">
              <a16:creationId xmlns:a16="http://schemas.microsoft.com/office/drawing/2014/main" id="{00000000-0008-0000-0600-000018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6</xdr:col>
      <xdr:colOff>0</xdr:colOff>
      <xdr:row>7</xdr:row>
      <xdr:rowOff>0</xdr:rowOff>
    </xdr:from>
    <xdr:to>
      <xdr:col>7</xdr:col>
      <xdr:colOff>0</xdr:colOff>
      <xdr:row>8</xdr:row>
      <xdr:rowOff>0</xdr:rowOff>
    </xdr:to>
    <xdr:graphicFrame macro="">
      <xdr:nvGraphicFramePr>
        <xdr:cNvPr id="25" name="차트 24">
          <a:extLst>
            <a:ext uri="{FF2B5EF4-FFF2-40B4-BE49-F238E27FC236}">
              <a16:creationId xmlns:a16="http://schemas.microsoft.com/office/drawing/2014/main" id="{00000000-0008-0000-0600-000019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6</xdr:col>
      <xdr:colOff>0</xdr:colOff>
      <xdr:row>8</xdr:row>
      <xdr:rowOff>0</xdr:rowOff>
    </xdr:from>
    <xdr:to>
      <xdr:col>7</xdr:col>
      <xdr:colOff>0</xdr:colOff>
      <xdr:row>9</xdr:row>
      <xdr:rowOff>0</xdr:rowOff>
    </xdr:to>
    <xdr:graphicFrame macro="">
      <xdr:nvGraphicFramePr>
        <xdr:cNvPr id="26" name="차트 25">
          <a:extLst>
            <a:ext uri="{FF2B5EF4-FFF2-40B4-BE49-F238E27FC236}">
              <a16:creationId xmlns:a16="http://schemas.microsoft.com/office/drawing/2014/main" id="{00000000-0008-0000-0600-00001A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6</xdr:col>
      <xdr:colOff>0</xdr:colOff>
      <xdr:row>8</xdr:row>
      <xdr:rowOff>1269999</xdr:rowOff>
    </xdr:from>
    <xdr:to>
      <xdr:col>7</xdr:col>
      <xdr:colOff>0</xdr:colOff>
      <xdr:row>10</xdr:row>
      <xdr:rowOff>0</xdr:rowOff>
    </xdr:to>
    <xdr:graphicFrame macro="">
      <xdr:nvGraphicFramePr>
        <xdr:cNvPr id="27" name="차트 26">
          <a:extLst>
            <a:ext uri="{FF2B5EF4-FFF2-40B4-BE49-F238E27FC236}">
              <a16:creationId xmlns:a16="http://schemas.microsoft.com/office/drawing/2014/main" id="{00000000-0008-0000-0600-00001B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6</xdr:col>
      <xdr:colOff>0</xdr:colOff>
      <xdr:row>10</xdr:row>
      <xdr:rowOff>0</xdr:rowOff>
    </xdr:from>
    <xdr:to>
      <xdr:col>7</xdr:col>
      <xdr:colOff>0</xdr:colOff>
      <xdr:row>11</xdr:row>
      <xdr:rowOff>0</xdr:rowOff>
    </xdr:to>
    <xdr:graphicFrame macro="">
      <xdr:nvGraphicFramePr>
        <xdr:cNvPr id="28" name="차트 27">
          <a:extLst>
            <a:ext uri="{FF2B5EF4-FFF2-40B4-BE49-F238E27FC236}">
              <a16:creationId xmlns:a16="http://schemas.microsoft.com/office/drawing/2014/main" id="{00000000-0008-0000-0600-00001C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 editAs="oneCell">
    <xdr:from>
      <xdr:col>1</xdr:col>
      <xdr:colOff>1165413</xdr:colOff>
      <xdr:row>13</xdr:row>
      <xdr:rowOff>125506</xdr:rowOff>
    </xdr:from>
    <xdr:to>
      <xdr:col>2</xdr:col>
      <xdr:colOff>81337</xdr:colOff>
      <xdr:row>13</xdr:row>
      <xdr:rowOff>646112</xdr:rowOff>
    </xdr:to>
    <xdr:pic>
      <xdr:nvPicPr>
        <xdr:cNvPr id="21" name="그림 20">
          <a:extLst>
            <a:ext uri="{FF2B5EF4-FFF2-40B4-BE49-F238E27FC236}">
              <a16:creationId xmlns:a16="http://schemas.microsoft.com/office/drawing/2014/main" id="{22BEC066-1018-4A43-BB0D-0283FEB40F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64473" y="12629926"/>
          <a:ext cx="516124" cy="520606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603518</xdr:colOff>
      <xdr:row>0</xdr:row>
      <xdr:rowOff>63259</xdr:rowOff>
    </xdr:from>
    <xdr:to>
      <xdr:col>2</xdr:col>
      <xdr:colOff>0</xdr:colOff>
      <xdr:row>1</xdr:row>
      <xdr:rowOff>248635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2130" y="63259"/>
          <a:ext cx="1001164" cy="1001164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</xdr:row>
      <xdr:rowOff>0</xdr:rowOff>
    </xdr:from>
    <xdr:to>
      <xdr:col>7</xdr:col>
      <xdr:colOff>0</xdr:colOff>
      <xdr:row>5</xdr:row>
      <xdr:rowOff>0</xdr:rowOff>
    </xdr:to>
    <xdr:graphicFrame macro="">
      <xdr:nvGraphicFramePr>
        <xdr:cNvPr id="28" name="차트 27">
          <a:extLst>
            <a:ext uri="{FF2B5EF4-FFF2-40B4-BE49-F238E27FC236}">
              <a16:creationId xmlns:a16="http://schemas.microsoft.com/office/drawing/2014/main" id="{00000000-0008-0000-0500-00001C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0</xdr:colOff>
      <xdr:row>5</xdr:row>
      <xdr:rowOff>0</xdr:rowOff>
    </xdr:from>
    <xdr:to>
      <xdr:col>7</xdr:col>
      <xdr:colOff>0</xdr:colOff>
      <xdr:row>6</xdr:row>
      <xdr:rowOff>0</xdr:rowOff>
    </xdr:to>
    <xdr:graphicFrame macro="">
      <xdr:nvGraphicFramePr>
        <xdr:cNvPr id="29" name="차트 28">
          <a:extLst>
            <a:ext uri="{FF2B5EF4-FFF2-40B4-BE49-F238E27FC236}">
              <a16:creationId xmlns:a16="http://schemas.microsoft.com/office/drawing/2014/main" id="{00000000-0008-0000-0500-00001D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0</xdr:colOff>
      <xdr:row>6</xdr:row>
      <xdr:rowOff>0</xdr:rowOff>
    </xdr:from>
    <xdr:to>
      <xdr:col>7</xdr:col>
      <xdr:colOff>0</xdr:colOff>
      <xdr:row>7</xdr:row>
      <xdr:rowOff>0</xdr:rowOff>
    </xdr:to>
    <xdr:graphicFrame macro="">
      <xdr:nvGraphicFramePr>
        <xdr:cNvPr id="30" name="차트 29">
          <a:extLst>
            <a:ext uri="{FF2B5EF4-FFF2-40B4-BE49-F238E27FC236}">
              <a16:creationId xmlns:a16="http://schemas.microsoft.com/office/drawing/2014/main" id="{00000000-0008-0000-0500-00001E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6</xdr:col>
      <xdr:colOff>0</xdr:colOff>
      <xdr:row>7</xdr:row>
      <xdr:rowOff>0</xdr:rowOff>
    </xdr:from>
    <xdr:to>
      <xdr:col>7</xdr:col>
      <xdr:colOff>0</xdr:colOff>
      <xdr:row>8</xdr:row>
      <xdr:rowOff>0</xdr:rowOff>
    </xdr:to>
    <xdr:graphicFrame macro="">
      <xdr:nvGraphicFramePr>
        <xdr:cNvPr id="31" name="차트 30">
          <a:extLst>
            <a:ext uri="{FF2B5EF4-FFF2-40B4-BE49-F238E27FC236}">
              <a16:creationId xmlns:a16="http://schemas.microsoft.com/office/drawing/2014/main" id="{00000000-0008-0000-0500-00001F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6</xdr:col>
      <xdr:colOff>0</xdr:colOff>
      <xdr:row>8</xdr:row>
      <xdr:rowOff>0</xdr:rowOff>
    </xdr:from>
    <xdr:to>
      <xdr:col>7</xdr:col>
      <xdr:colOff>0</xdr:colOff>
      <xdr:row>9</xdr:row>
      <xdr:rowOff>0</xdr:rowOff>
    </xdr:to>
    <xdr:graphicFrame macro="">
      <xdr:nvGraphicFramePr>
        <xdr:cNvPr id="32" name="차트 31">
          <a:extLst>
            <a:ext uri="{FF2B5EF4-FFF2-40B4-BE49-F238E27FC236}">
              <a16:creationId xmlns:a16="http://schemas.microsoft.com/office/drawing/2014/main" id="{00000000-0008-0000-0500-000020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6</xdr:col>
      <xdr:colOff>0</xdr:colOff>
      <xdr:row>9</xdr:row>
      <xdr:rowOff>0</xdr:rowOff>
    </xdr:from>
    <xdr:to>
      <xdr:col>7</xdr:col>
      <xdr:colOff>0</xdr:colOff>
      <xdr:row>10</xdr:row>
      <xdr:rowOff>0</xdr:rowOff>
    </xdr:to>
    <xdr:graphicFrame macro="">
      <xdr:nvGraphicFramePr>
        <xdr:cNvPr id="33" name="차트 32">
          <a:extLst>
            <a:ext uri="{FF2B5EF4-FFF2-40B4-BE49-F238E27FC236}">
              <a16:creationId xmlns:a16="http://schemas.microsoft.com/office/drawing/2014/main" id="{00000000-0008-0000-0500-000021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6</xdr:col>
      <xdr:colOff>0</xdr:colOff>
      <xdr:row>10</xdr:row>
      <xdr:rowOff>0</xdr:rowOff>
    </xdr:from>
    <xdr:to>
      <xdr:col>7</xdr:col>
      <xdr:colOff>0</xdr:colOff>
      <xdr:row>11</xdr:row>
      <xdr:rowOff>0</xdr:rowOff>
    </xdr:to>
    <xdr:graphicFrame macro="">
      <xdr:nvGraphicFramePr>
        <xdr:cNvPr id="34" name="차트 33">
          <a:extLst>
            <a:ext uri="{FF2B5EF4-FFF2-40B4-BE49-F238E27FC236}">
              <a16:creationId xmlns:a16="http://schemas.microsoft.com/office/drawing/2014/main" id="{00000000-0008-0000-0500-00002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 editAs="oneCell">
    <xdr:from>
      <xdr:col>1</xdr:col>
      <xdr:colOff>1165413</xdr:colOff>
      <xdr:row>13</xdr:row>
      <xdr:rowOff>125506</xdr:rowOff>
    </xdr:from>
    <xdr:to>
      <xdr:col>2</xdr:col>
      <xdr:colOff>81337</xdr:colOff>
      <xdr:row>13</xdr:row>
      <xdr:rowOff>650595</xdr:rowOff>
    </xdr:to>
    <xdr:pic>
      <xdr:nvPicPr>
        <xdr:cNvPr id="24" name="그림 23">
          <a:extLst>
            <a:ext uri="{FF2B5EF4-FFF2-40B4-BE49-F238E27FC236}">
              <a16:creationId xmlns:a16="http://schemas.microsoft.com/office/drawing/2014/main" id="{5CA83126-00DC-4BF3-8539-89B6F1AE4E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64473" y="12393706"/>
          <a:ext cx="516124" cy="525089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603518</xdr:colOff>
      <xdr:row>0</xdr:row>
      <xdr:rowOff>63259</xdr:rowOff>
    </xdr:from>
    <xdr:to>
      <xdr:col>2</xdr:col>
      <xdr:colOff>0</xdr:colOff>
      <xdr:row>1</xdr:row>
      <xdr:rowOff>248635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00000000-0008-0000-07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2130" y="63259"/>
          <a:ext cx="1001164" cy="1001164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</xdr:row>
      <xdr:rowOff>0</xdr:rowOff>
    </xdr:from>
    <xdr:to>
      <xdr:col>7</xdr:col>
      <xdr:colOff>0</xdr:colOff>
      <xdr:row>4</xdr:row>
      <xdr:rowOff>1264022</xdr:rowOff>
    </xdr:to>
    <xdr:graphicFrame macro="">
      <xdr:nvGraphicFramePr>
        <xdr:cNvPr id="23" name="차트 22">
          <a:extLst>
            <a:ext uri="{FF2B5EF4-FFF2-40B4-BE49-F238E27FC236}">
              <a16:creationId xmlns:a16="http://schemas.microsoft.com/office/drawing/2014/main" id="{00000000-0008-0000-0700-000017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869576</xdr:colOff>
      <xdr:row>5</xdr:row>
      <xdr:rowOff>0</xdr:rowOff>
    </xdr:from>
    <xdr:to>
      <xdr:col>6</xdr:col>
      <xdr:colOff>2043952</xdr:colOff>
      <xdr:row>6</xdr:row>
      <xdr:rowOff>0</xdr:rowOff>
    </xdr:to>
    <xdr:graphicFrame macro="">
      <xdr:nvGraphicFramePr>
        <xdr:cNvPr id="26" name="차트 25">
          <a:extLst>
            <a:ext uri="{FF2B5EF4-FFF2-40B4-BE49-F238E27FC236}">
              <a16:creationId xmlns:a16="http://schemas.microsoft.com/office/drawing/2014/main" id="{00000000-0008-0000-0700-00001A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0</xdr:colOff>
      <xdr:row>6</xdr:row>
      <xdr:rowOff>0</xdr:rowOff>
    </xdr:from>
    <xdr:to>
      <xdr:col>7</xdr:col>
      <xdr:colOff>0</xdr:colOff>
      <xdr:row>7</xdr:row>
      <xdr:rowOff>1</xdr:rowOff>
    </xdr:to>
    <xdr:graphicFrame macro="">
      <xdr:nvGraphicFramePr>
        <xdr:cNvPr id="27" name="차트 26">
          <a:extLst>
            <a:ext uri="{FF2B5EF4-FFF2-40B4-BE49-F238E27FC236}">
              <a16:creationId xmlns:a16="http://schemas.microsoft.com/office/drawing/2014/main" id="{00000000-0008-0000-0700-00001B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5</xdr:col>
      <xdr:colOff>869576</xdr:colOff>
      <xdr:row>6</xdr:row>
      <xdr:rowOff>1264022</xdr:rowOff>
    </xdr:from>
    <xdr:to>
      <xdr:col>6</xdr:col>
      <xdr:colOff>2043952</xdr:colOff>
      <xdr:row>8</xdr:row>
      <xdr:rowOff>0</xdr:rowOff>
    </xdr:to>
    <xdr:graphicFrame macro="">
      <xdr:nvGraphicFramePr>
        <xdr:cNvPr id="28" name="차트 27">
          <a:extLst>
            <a:ext uri="{FF2B5EF4-FFF2-40B4-BE49-F238E27FC236}">
              <a16:creationId xmlns:a16="http://schemas.microsoft.com/office/drawing/2014/main" id="{00000000-0008-0000-0700-00001C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6</xdr:col>
      <xdr:colOff>0</xdr:colOff>
      <xdr:row>8</xdr:row>
      <xdr:rowOff>0</xdr:rowOff>
    </xdr:from>
    <xdr:to>
      <xdr:col>7</xdr:col>
      <xdr:colOff>0</xdr:colOff>
      <xdr:row>9</xdr:row>
      <xdr:rowOff>0</xdr:rowOff>
    </xdr:to>
    <xdr:graphicFrame macro="">
      <xdr:nvGraphicFramePr>
        <xdr:cNvPr id="29" name="차트 28">
          <a:extLst>
            <a:ext uri="{FF2B5EF4-FFF2-40B4-BE49-F238E27FC236}">
              <a16:creationId xmlns:a16="http://schemas.microsoft.com/office/drawing/2014/main" id="{00000000-0008-0000-0700-00001D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6</xdr:col>
      <xdr:colOff>0</xdr:colOff>
      <xdr:row>9</xdr:row>
      <xdr:rowOff>0</xdr:rowOff>
    </xdr:from>
    <xdr:to>
      <xdr:col>7</xdr:col>
      <xdr:colOff>0</xdr:colOff>
      <xdr:row>10</xdr:row>
      <xdr:rowOff>0</xdr:rowOff>
    </xdr:to>
    <xdr:graphicFrame macro="">
      <xdr:nvGraphicFramePr>
        <xdr:cNvPr id="30" name="차트 29">
          <a:extLst>
            <a:ext uri="{FF2B5EF4-FFF2-40B4-BE49-F238E27FC236}">
              <a16:creationId xmlns:a16="http://schemas.microsoft.com/office/drawing/2014/main" id="{00000000-0008-0000-0700-00001E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6</xdr:col>
      <xdr:colOff>0</xdr:colOff>
      <xdr:row>10</xdr:row>
      <xdr:rowOff>0</xdr:rowOff>
    </xdr:from>
    <xdr:to>
      <xdr:col>7</xdr:col>
      <xdr:colOff>0</xdr:colOff>
      <xdr:row>11</xdr:row>
      <xdr:rowOff>0</xdr:rowOff>
    </xdr:to>
    <xdr:graphicFrame macro="">
      <xdr:nvGraphicFramePr>
        <xdr:cNvPr id="32" name="차트 31">
          <a:extLst>
            <a:ext uri="{FF2B5EF4-FFF2-40B4-BE49-F238E27FC236}">
              <a16:creationId xmlns:a16="http://schemas.microsoft.com/office/drawing/2014/main" id="{00000000-0008-0000-0700-000020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6</xdr:col>
      <xdr:colOff>0</xdr:colOff>
      <xdr:row>11</xdr:row>
      <xdr:rowOff>0</xdr:rowOff>
    </xdr:from>
    <xdr:to>
      <xdr:col>7</xdr:col>
      <xdr:colOff>0</xdr:colOff>
      <xdr:row>12</xdr:row>
      <xdr:rowOff>0</xdr:rowOff>
    </xdr:to>
    <xdr:graphicFrame macro="">
      <xdr:nvGraphicFramePr>
        <xdr:cNvPr id="50" name="차트 49">
          <a:extLst>
            <a:ext uri="{FF2B5EF4-FFF2-40B4-BE49-F238E27FC236}">
              <a16:creationId xmlns:a16="http://schemas.microsoft.com/office/drawing/2014/main" id="{00000000-0008-0000-0700-00003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 editAs="oneCell">
    <xdr:from>
      <xdr:col>1</xdr:col>
      <xdr:colOff>1165413</xdr:colOff>
      <xdr:row>16</xdr:row>
      <xdr:rowOff>125506</xdr:rowOff>
    </xdr:from>
    <xdr:to>
      <xdr:col>2</xdr:col>
      <xdr:colOff>81337</xdr:colOff>
      <xdr:row>16</xdr:row>
      <xdr:rowOff>646112</xdr:rowOff>
    </xdr:to>
    <xdr:pic>
      <xdr:nvPicPr>
        <xdr:cNvPr id="35" name="그림 34">
          <a:extLst>
            <a:ext uri="{FF2B5EF4-FFF2-40B4-BE49-F238E27FC236}">
              <a16:creationId xmlns:a16="http://schemas.microsoft.com/office/drawing/2014/main" id="{FE4FC97F-E4F3-4FF7-9DEF-5A14F391AF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64473" y="11128786"/>
          <a:ext cx="516124" cy="520606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603518</xdr:colOff>
      <xdr:row>0</xdr:row>
      <xdr:rowOff>63259</xdr:rowOff>
    </xdr:from>
    <xdr:to>
      <xdr:col>2</xdr:col>
      <xdr:colOff>0</xdr:colOff>
      <xdr:row>1</xdr:row>
      <xdr:rowOff>248635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00000000-0008-0000-08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2130" y="63259"/>
          <a:ext cx="1001164" cy="1001164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45010</xdr:colOff>
      <xdr:row>13</xdr:row>
      <xdr:rowOff>149411</xdr:rowOff>
    </xdr:from>
    <xdr:to>
      <xdr:col>6</xdr:col>
      <xdr:colOff>193261</xdr:colOff>
      <xdr:row>25</xdr:row>
      <xdr:rowOff>16566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A0478E19-ADD6-4E91-BA7B-77D1F842850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201545</xdr:colOff>
      <xdr:row>13</xdr:row>
      <xdr:rowOff>149087</xdr:rowOff>
    </xdr:from>
    <xdr:to>
      <xdr:col>13</xdr:col>
      <xdr:colOff>444502</xdr:colOff>
      <xdr:row>25</xdr:row>
      <xdr:rowOff>22088</xdr:rowOff>
    </xdr:to>
    <xdr:graphicFrame macro="">
      <xdr:nvGraphicFramePr>
        <xdr:cNvPr id="6" name="차트 5">
          <a:extLst>
            <a:ext uri="{FF2B5EF4-FFF2-40B4-BE49-F238E27FC236}">
              <a16:creationId xmlns:a16="http://schemas.microsoft.com/office/drawing/2014/main" id="{3995A3E7-4B18-4E29-80FF-271034F3A64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blIncome85" displayName="tblIncome85" ref="B4:W11" headerRowDxfId="188" dataDxfId="187">
  <tableColumns count="22">
    <tableColumn id="1" xr3:uid="{00000000-0010-0000-0300-000001000000}" name="이름" dataDxfId="186"/>
    <tableColumn id="2" xr3:uid="{00000000-0010-0000-0300-000002000000}" name="그림" dataDxfId="185"/>
    <tableColumn id="3" xr3:uid="{00000000-0010-0000-0300-000003000000}" name="수용량" dataDxfId="184"/>
    <tableColumn id="4" xr3:uid="{00000000-0010-0000-0300-000004000000}" name="이용시간" dataDxfId="183"/>
    <tableColumn id="5" xr3:uid="{00000000-0010-0000-0300-000005000000}" name="요금" dataDxfId="182"/>
    <tableColumn id="6" xr3:uid="{00000000-0010-0000-0300-000006000000}" name="선호도" dataDxfId="181"/>
    <tableColumn id="20" xr3:uid="{D8396C1F-5216-47DE-A31E-64B262874C6B}" name="욕구 종류" dataDxfId="180"/>
    <tableColumn id="7" xr3:uid="{00000000-0010-0000-0300-000007000000}" name="욕구 해소량" dataDxfId="179"/>
    <tableColumn id="8" xr3:uid="{00000000-0010-0000-0300-000008000000}" name="장르" dataDxfId="178"/>
    <tableColumn id="9" xr3:uid="{00000000-0010-0000-0300-000009000000}" name="보너스" dataDxfId="177"/>
    <tableColumn id="10" xr3:uid="{00000000-0010-0000-0300-00000A000000}" name="건설 비용" dataDxfId="176">
      <calculatedColumnFormula>ROUND(IF(ISBLANK(tblIncome85[[#This Row],[보너스]]),INDEX('건설 부지에 따른 수치표'!$A$1:$D$13, MATCH(tblIncome85[[#This Row],[건설 부지]], '건설 부지에 따른 수치표'!A:A, 0), MATCH(tblIncome856[[#Headers],[건설 비용 회수 시간]], '건설 부지에 따른 수치표'!$1:$1, 0))*tblIncome85[[#This Row],[수익률]],INDEX('건설 부지에 따른 수치표'!$A$1:$D$13, MATCH(tblIncome85[[#This Row],[건설 부지]], '건설 부지에 따른 수치표'!A:A, 0), MATCH(tblIncome856[[#Headers],[건설 비용 회수 시간]], '건설 부지에 따른 수치표'!$1:$1, 0))*tblIncome85[[#This Row],[수익률]]*1.2), -1)</calculatedColumnFormula>
    </tableColumn>
    <tableColumn id="11" xr3:uid="{00000000-0010-0000-0300-00000B000000}" name="건설 부지" dataDxfId="175"/>
    <tableColumn id="12" xr3:uid="{00000000-0010-0000-0300-00000C000000}" name="수익률" dataDxfId="174">
      <calculatedColumnFormula>tblIncome85[[#This Row],[수용량]]*tblIncome85[[#This Row],[요금]]/tblIncome85[[#This Row],[이용시간]]</calculatedColumnFormula>
    </tableColumn>
    <tableColumn id="15" xr3:uid="{00000000-0010-0000-0300-00000F000000}" name="건설 비용 대비 수익" dataDxfId="173"/>
    <tableColumn id="22" xr3:uid="{4EBD9FE3-816C-4583-8ADE-9CD90185436D}" name="건설 비용 회수 시간" dataDxfId="172">
      <calculatedColumnFormula>tblIncome85[[#This Row],[건설 비용]]/tblIncome85[[#This Row],[수익률]]</calculatedColumnFormula>
    </tableColumn>
    <tableColumn id="13" xr3:uid="{00000000-0010-0000-0300-00000D000000}" name="공간효율" dataDxfId="171">
      <calculatedColumnFormula>tblIncome85[[#This Row],[수익률]]/tblIncome85[[#This Row],[건설 부지]]</calculatedColumnFormula>
    </tableColumn>
    <tableColumn id="21" xr3:uid="{E84A8EAC-4326-4627-8FB7-9BAC6E28EDC5}" name="초당 욕구 해소량" dataDxfId="170">
      <calculatedColumnFormula>tblIncome85[[#This Row],[수용량]]*tblIncome85[[#This Row],[욕구 해소량]]/tblIncome85[[#This Row],[이용시간]]</calculatedColumnFormula>
    </tableColumn>
    <tableColumn id="17" xr3:uid="{00000000-0010-0000-0300-000011000000}" name="욕구 1당 수익" dataDxfId="169">
      <calculatedColumnFormula>tblIncome85[[#This Row],[요금]]/tblIncome85[[#This Row],[욕구 해소량]]</calculatedColumnFormula>
    </tableColumn>
    <tableColumn id="16" xr3:uid="{00000000-0010-0000-0300-000010000000}" name="초당 손님" dataDxfId="168">
      <calculatedColumnFormula>tblIncome85[[#This Row],[수용량]]/tblIncome85[[#This Row],[이용시간]]</calculatedColumnFormula>
    </tableColumn>
    <tableColumn id="19" xr3:uid="{00000000-0010-0000-0300-000013000000}" name="건설 가능 애드온" dataDxfId="167"/>
    <tableColumn id="14" xr3:uid="{00000000-0010-0000-0300-00000E000000}" name="설명" dataDxfId="166"/>
    <tableColumn id="18" xr3:uid="{00000000-0010-0000-0300-000012000000}" name="메모" dataDxfId="165"/>
  </tableColumns>
  <tableStyleInfo name="Family Budget Cash Available 2" showFirstColumn="1" showLastColumn="0" showRowStripes="1" showColumnStripes="0"/>
  <extLst>
    <ext xmlns:x14="http://schemas.microsoft.com/office/spreadsheetml/2009/9/main" uri="{504A1905-F514-4f6f-8877-14C23A59335A}">
      <x14:table altText="월별 수입" altTextSummary="각 월의 수입을 유형별로 요약합니다."/>
    </ext>
  </extLst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4000000}" name="tblIncome8" displayName="tblIncome8" ref="B4:W12" headerRowDxfId="164" dataDxfId="163">
  <tableColumns count="22">
    <tableColumn id="1" xr3:uid="{00000000-0010-0000-0400-000001000000}" name="이름" dataDxfId="162"/>
    <tableColumn id="2" xr3:uid="{00000000-0010-0000-0400-000002000000}" name="그림" dataDxfId="161"/>
    <tableColumn id="3" xr3:uid="{00000000-0010-0000-0400-000003000000}" name="수용량" dataDxfId="160"/>
    <tableColumn id="4" xr3:uid="{00000000-0010-0000-0400-000004000000}" name="이용시간" dataDxfId="159"/>
    <tableColumn id="5" xr3:uid="{00000000-0010-0000-0400-000005000000}" name="요금" dataDxfId="158"/>
    <tableColumn id="6" xr3:uid="{00000000-0010-0000-0400-000006000000}" name="선호도" dataDxfId="157"/>
    <tableColumn id="21" xr3:uid="{E433E4D3-012A-4AA1-A321-35C195E771C5}" name="욕구 종류" dataDxfId="156"/>
    <tableColumn id="7" xr3:uid="{00000000-0010-0000-0400-000007000000}" name="욕구 해소량" dataDxfId="155"/>
    <tableColumn id="8" xr3:uid="{00000000-0010-0000-0400-000008000000}" name="장르" dataDxfId="154"/>
    <tableColumn id="9" xr3:uid="{00000000-0010-0000-0400-000009000000}" name="보너스" dataDxfId="153"/>
    <tableColumn id="10" xr3:uid="{00000000-0010-0000-0400-00000A000000}" name="건설 비용" dataDxfId="152">
      <calculatedColumnFormula>ROUND(IF(ISBLANK(tblIncome8[[#This Row],[보너스]]),INDEX('건설 부지에 따른 수치표'!$A$1:$D$13, MATCH(tblIncome8[[#This Row],[건설 부지]], '건설 부지에 따른 수치표'!A:A, 0), MATCH(tblIncome856[[#Headers],[건설 비용 회수 시간]], '건설 부지에 따른 수치표'!$1:$1, 0))*tblIncome8[[#This Row],[수익률]],INDEX('건설 부지에 따른 수치표'!$A$1:$D$13, MATCH(tblIncome8[[#This Row],[건설 부지]], '건설 부지에 따른 수치표'!A:A, 0), MATCH(tblIncome856[[#Headers],[건설 비용 회수 시간]], '건설 부지에 따른 수치표'!$1:$1, 0))*tblIncome8[[#This Row],[수익률]]*1.2), -1)</calculatedColumnFormula>
    </tableColumn>
    <tableColumn id="11" xr3:uid="{00000000-0010-0000-0400-00000B000000}" name="건설 부지" dataDxfId="151"/>
    <tableColumn id="12" xr3:uid="{00000000-0010-0000-0400-00000C000000}" name="수익률" dataDxfId="150">
      <calculatedColumnFormula>tblIncome8[[#This Row],[수용량]]*tblIncome8[[#This Row],[요금]]/tblIncome8[[#This Row],[이용시간]]</calculatedColumnFormula>
    </tableColumn>
    <tableColumn id="15" xr3:uid="{00000000-0010-0000-0400-00000F000000}" name="건설 비용 대비 수익" dataDxfId="149">
      <calculatedColumnFormula>tblIncome8[[#This Row],[수익률]]/tblIncome8[[#This Row],[건설 비용]]</calculatedColumnFormula>
    </tableColumn>
    <tableColumn id="20" xr3:uid="{2B33F5BA-F4FF-4A72-92A1-C2E61BCA2BEF}" name="건설 비용 회수 시간" dataDxfId="148">
      <calculatedColumnFormula>tblIncome8[[#This Row],[건설 비용]]/tblIncome8[[#This Row],[수익률]]</calculatedColumnFormula>
    </tableColumn>
    <tableColumn id="13" xr3:uid="{00000000-0010-0000-0400-00000D000000}" name="공간효율" dataDxfId="147">
      <calculatedColumnFormula>tblIncome8[[#This Row],[수익률]]/tblIncome8[[#This Row],[건설 부지]]</calculatedColumnFormula>
    </tableColumn>
    <tableColumn id="22" xr3:uid="{4878D79B-621A-4598-A919-3BC068E6C12A}" name="초당 욕구 해소량" dataDxfId="146">
      <calculatedColumnFormula>tblIncome8[[#This Row],[수용량]]*tblIncome8[[#This Row],[욕구 해소량]]/tblIncome8[[#This Row],[이용시간]]</calculatedColumnFormula>
    </tableColumn>
    <tableColumn id="18" xr3:uid="{00000000-0010-0000-0400-000012000000}" name="욕구 1당 수익" dataDxfId="145">
      <calculatedColumnFormula>tblIncome8[[#This Row],[요금]]/tblIncome8[[#This Row],[욕구 해소량]]</calculatedColumnFormula>
    </tableColumn>
    <tableColumn id="16" xr3:uid="{00000000-0010-0000-0400-000010000000}" name="초당 손님" dataDxfId="144">
      <calculatedColumnFormula>tblIncome8[[#This Row],[수용량]]/tblIncome8[[#This Row],[이용시간]]</calculatedColumnFormula>
    </tableColumn>
    <tableColumn id="19" xr3:uid="{00000000-0010-0000-0400-000013000000}" name="건설 가능 애드온" dataDxfId="143"/>
    <tableColumn id="14" xr3:uid="{00000000-0010-0000-0400-00000E000000}" name="설명" dataDxfId="142"/>
    <tableColumn id="17" xr3:uid="{00000000-0010-0000-0400-000011000000}" name="메모" dataDxfId="141"/>
  </tableColumns>
  <tableStyleInfo name="Family Budget Cash Available 2" showFirstColumn="1" showLastColumn="0" showRowStripes="1" showColumnStripes="0"/>
  <extLst>
    <ext xmlns:x14="http://schemas.microsoft.com/office/spreadsheetml/2009/9/main" uri="{504A1905-F514-4f6f-8877-14C23A59335A}">
      <x14:table altText="월별 수입" altTextSummary="각 월의 수입을 유형별로 요약합니다."/>
    </ext>
  </extLst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5000000}" name="tblIncome856" displayName="tblIncome856" ref="B4:W12" headerRowDxfId="140" dataDxfId="139">
  <tableColumns count="22">
    <tableColumn id="1" xr3:uid="{00000000-0010-0000-0500-000001000000}" name="이름" dataDxfId="138"/>
    <tableColumn id="2" xr3:uid="{00000000-0010-0000-0500-000002000000}" name="그림" dataDxfId="137"/>
    <tableColumn id="3" xr3:uid="{00000000-0010-0000-0500-000003000000}" name="수용량" dataDxfId="136"/>
    <tableColumn id="4" xr3:uid="{00000000-0010-0000-0500-000004000000}" name="이용시간" dataDxfId="135"/>
    <tableColumn id="5" xr3:uid="{00000000-0010-0000-0500-000005000000}" name="요금" dataDxfId="134"/>
    <tableColumn id="6" xr3:uid="{00000000-0010-0000-0500-000006000000}" name="선호도" dataDxfId="133"/>
    <tableColumn id="21" xr3:uid="{39288EE0-C021-4F86-89E1-594555357051}" name="욕구 종류" dataDxfId="132"/>
    <tableColumn id="7" xr3:uid="{00000000-0010-0000-0500-000007000000}" name="욕구 해소량" dataDxfId="131"/>
    <tableColumn id="8" xr3:uid="{00000000-0010-0000-0500-000008000000}" name="장르" dataDxfId="130"/>
    <tableColumn id="9" xr3:uid="{00000000-0010-0000-0500-000009000000}" name="보너스" dataDxfId="129"/>
    <tableColumn id="10" xr3:uid="{00000000-0010-0000-0500-00000A000000}" name="건설 비용" dataDxfId="128">
      <calculatedColumnFormula>ROUND(IF(ISBLANK(tblIncome856[[#This Row],[보너스]]),INDEX('건설 부지에 따른 수치표'!$A$1:$D$13, MATCH(tblIncome856[[#This Row],[건설 부지]], '건설 부지에 따른 수치표'!A:A, 0), MATCH(tblIncome856[[#Headers],[건설 비용 회수 시간]], '건설 부지에 따른 수치표'!$1:$1, 0))*tblIncome856[[#This Row],[수익률]],INDEX('건설 부지에 따른 수치표'!$A$1:$D$13, MATCH(tblIncome856[[#This Row],[건설 부지]], '건설 부지에 따른 수치표'!A:A, 0), MATCH(tblIncome856[[#Headers],[건설 비용 회수 시간]], '건설 부지에 따른 수치표'!$1:$1, 0))*tblIncome856[[#This Row],[수익률]]*1.2), -1)</calculatedColumnFormula>
    </tableColumn>
    <tableColumn id="11" xr3:uid="{00000000-0010-0000-0500-00000B000000}" name="건설 부지" dataDxfId="127"/>
    <tableColumn id="12" xr3:uid="{00000000-0010-0000-0500-00000C000000}" name="수익률" dataDxfId="126">
      <calculatedColumnFormula>tblIncome856[[#This Row],[수용량]]*tblIncome856[[#This Row],[요금]]/tblIncome856[[#This Row],[이용시간]]</calculatedColumnFormula>
    </tableColumn>
    <tableColumn id="15" xr3:uid="{00000000-0010-0000-0500-00000F000000}" name="건설 비용 대비 수익" dataDxfId="125">
      <calculatedColumnFormula>tblIncome856[[#This Row],[수익률]]/tblIncome856[[#This Row],[건설 비용]]</calculatedColumnFormula>
    </tableColumn>
    <tableColumn id="20" xr3:uid="{9B56A182-77D9-4A5B-9A86-C772FBF862EE}" name="건설 비용 회수 시간" dataDxfId="124">
      <calculatedColumnFormula>tblIncome856[[#This Row],[건설 비용]]/tblIncome856[[#This Row],[수익률]]</calculatedColumnFormula>
    </tableColumn>
    <tableColumn id="13" xr3:uid="{00000000-0010-0000-0500-00000D000000}" name="공간효율" dataDxfId="123">
      <calculatedColumnFormula>tblIncome856[[#This Row],[수익률]]/tblIncome856[[#This Row],[건설 부지]]</calculatedColumnFormula>
    </tableColumn>
    <tableColumn id="22" xr3:uid="{BB96E245-334D-4389-8BBF-DBE04F08C576}" name="초당 욕구 해소량" dataDxfId="122">
      <calculatedColumnFormula>tblIncome856[[#This Row],[수용량]]*tblIncome856[[#This Row],[욕구 해소량]]/tblIncome856[[#This Row],[이용시간]]</calculatedColumnFormula>
    </tableColumn>
    <tableColumn id="17" xr3:uid="{00000000-0010-0000-0500-000011000000}" name="욕구 1당 수익" dataDxfId="121">
      <calculatedColumnFormula>tblIncome856[[#This Row],[요금]]/tblIncome856[[#This Row],[욕구 해소량]]</calculatedColumnFormula>
    </tableColumn>
    <tableColumn id="16" xr3:uid="{00000000-0010-0000-0500-000010000000}" name="초당 손님" dataDxfId="120">
      <calculatedColumnFormula>tblIncome856[[#This Row],[수용량]]/tblIncome856[[#This Row],[이용시간]]</calculatedColumnFormula>
    </tableColumn>
    <tableColumn id="19" xr3:uid="{00000000-0010-0000-0500-000013000000}" name="건설 가능 애드온" dataDxfId="119"/>
    <tableColumn id="14" xr3:uid="{00000000-0010-0000-0500-00000E000000}" name="설명" dataDxfId="118"/>
    <tableColumn id="18" xr3:uid="{00000000-0010-0000-0500-000012000000}" name="메모" dataDxfId="117"/>
  </tableColumns>
  <tableStyleInfo name="Family Budget Cash Available 2" showFirstColumn="1" showLastColumn="0" showRowStripes="1" showColumnStripes="0"/>
  <extLst>
    <ext xmlns:x14="http://schemas.microsoft.com/office/spreadsheetml/2009/9/main" uri="{504A1905-F514-4f6f-8877-14C23A59335A}">
      <x14:table altText="월별 수입" altTextSummary="각 월의 수입을 유형별로 요약합니다."/>
    </ext>
  </extLst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6000000}" name="tblIncome8569101114" displayName="tblIncome8569101114" ref="B4:W18" headerRowDxfId="116" dataDxfId="115">
  <tableColumns count="22">
    <tableColumn id="1" xr3:uid="{00000000-0010-0000-0600-000001000000}" name="이름" dataDxfId="114"/>
    <tableColumn id="2" xr3:uid="{00000000-0010-0000-0600-000002000000}" name="그림" dataDxfId="113"/>
    <tableColumn id="3" xr3:uid="{00000000-0010-0000-0600-000003000000}" name="수용량" dataDxfId="112"/>
    <tableColumn id="4" xr3:uid="{00000000-0010-0000-0600-000004000000}" name="이용시간" dataDxfId="111"/>
    <tableColumn id="5" xr3:uid="{00000000-0010-0000-0600-000005000000}" name="요금" dataDxfId="110"/>
    <tableColumn id="6" xr3:uid="{00000000-0010-0000-0600-000006000000}" name="선호도" dataDxfId="109"/>
    <tableColumn id="21" xr3:uid="{FD5BBC4B-74A0-40D6-86AF-B2A2CFF0CD66}" name="욕구 종류" dataDxfId="108"/>
    <tableColumn id="7" xr3:uid="{00000000-0010-0000-0600-000007000000}" name="욕구 해소량" dataDxfId="107"/>
    <tableColumn id="8" xr3:uid="{00000000-0010-0000-0600-000008000000}" name="장르" dataDxfId="106"/>
    <tableColumn id="9" xr3:uid="{00000000-0010-0000-0600-000009000000}" name="보너스" dataDxfId="105"/>
    <tableColumn id="10" xr3:uid="{00000000-0010-0000-0600-00000A000000}" name="건설 비용" dataDxfId="104">
      <calculatedColumnFormula>ROUND(IF(ISBLANK(tblIncome8569101114[[#This Row],[보너스]]),INDEX('건설 부지에 따른 수치표'!$A$1:$D$13, MATCH(tblIncome8569101114[[#This Row],[건설 부지]], '건설 부지에 따른 수치표'!A:A, 0), MATCH(tblIncome856[[#Headers],[건설 비용 회수 시간]], '건설 부지에 따른 수치표'!$1:$1, 0))*tblIncome8569101114[[#This Row],[수익률]],INDEX('건설 부지에 따른 수치표'!$A$1:$D$13, MATCH(tblIncome8569101114[[#This Row],[건설 부지]], '건설 부지에 따른 수치표'!A:A, 0), MATCH(tblIncome856[[#Headers],[건설 비용 회수 시간]], '건설 부지에 따른 수치표'!$1:$1, 0))*tblIncome8569101114[[#This Row],[수익률]]*1.2), -1)</calculatedColumnFormula>
    </tableColumn>
    <tableColumn id="11" xr3:uid="{00000000-0010-0000-0600-00000B000000}" name="건설 부지" dataDxfId="103"/>
    <tableColumn id="12" xr3:uid="{00000000-0010-0000-0600-00000C000000}" name="수익률" dataDxfId="102">
      <calculatedColumnFormula>tblIncome8569101114[[#This Row],[수용량]]*tblIncome8569101114[[#This Row],[요금]]/tblIncome8569101114[[#This Row],[이용시간]]</calculatedColumnFormula>
    </tableColumn>
    <tableColumn id="15" xr3:uid="{00000000-0010-0000-0600-00000F000000}" name="건설 비용 대비 수익" dataDxfId="101">
      <calculatedColumnFormula>tblIncome8569101114[[#This Row],[수익률]]/tblIncome8569101114[[#This Row],[건설 비용]]</calculatedColumnFormula>
    </tableColumn>
    <tableColumn id="20" xr3:uid="{CF345796-0B61-451A-A856-94489EA91928}" name="건설 비용 회수 시간" dataDxfId="100">
      <calculatedColumnFormula>tblIncome8569101114[[#This Row],[건설 비용]]/tblIncome8569101114[[#This Row],[수익률]]</calculatedColumnFormula>
    </tableColumn>
    <tableColumn id="13" xr3:uid="{00000000-0010-0000-0600-00000D000000}" name="공간효율" dataDxfId="99">
      <calculatedColumnFormula>tblIncome8569101114[[#This Row],[수익률]]/tblIncome8569101114[[#This Row],[건설 부지]]</calculatedColumnFormula>
    </tableColumn>
    <tableColumn id="22" xr3:uid="{830196ED-9A31-4DE8-989F-D62C71F401DB}" name="초당 욕구 해소량" dataDxfId="98">
      <calculatedColumnFormula>tblIncome8569101114[[#This Row],[수용량]]*tblIncome8569101114[[#This Row],[욕구 해소량]]/tblIncome8569101114[[#This Row],[이용시간]]</calculatedColumnFormula>
    </tableColumn>
    <tableColumn id="17" xr3:uid="{00000000-0010-0000-0600-000011000000}" name="욕구 1당 수익" dataDxfId="97">
      <calculatedColumnFormula>tblIncome8569101114[[#This Row],[요금]]/tblIncome8569101114[[#This Row],[욕구 해소량]]</calculatedColumnFormula>
    </tableColumn>
    <tableColumn id="16" xr3:uid="{00000000-0010-0000-0600-000010000000}" name="초당 손님" dataDxfId="96">
      <calculatedColumnFormula>tblIncome8569101114[[#This Row],[수용량]]/tblIncome8569101114[[#This Row],[이용시간]]</calculatedColumnFormula>
    </tableColumn>
    <tableColumn id="19" xr3:uid="{00000000-0010-0000-0600-000013000000}" name="건설 가능 애드온" dataDxfId="95"/>
    <tableColumn id="14" xr3:uid="{00000000-0010-0000-0600-00000E000000}" name="설명" dataDxfId="94"/>
    <tableColumn id="18" xr3:uid="{00000000-0010-0000-0600-000012000000}" name="메모" dataDxfId="93"/>
  </tableColumns>
  <tableStyleInfo name="Family Budget Cash Available 2" showFirstColumn="1" showLastColumn="0" showRowStripes="1" showColumnStripes="0"/>
  <extLst>
    <ext xmlns:x14="http://schemas.microsoft.com/office/spreadsheetml/2009/9/main" uri="{504A1905-F514-4f6f-8877-14C23A59335A}">
      <x14:table altText="월별 수입" altTextSummary="각 월의 수입을 유형별로 요약합니다."/>
    </ext>
  </extLst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8000000}" name="tblIncome856910" displayName="tblIncome856910" ref="B4:W11" headerRowDxfId="92" dataDxfId="91">
  <tableColumns count="22">
    <tableColumn id="1" xr3:uid="{00000000-0010-0000-0800-000001000000}" name="이름" dataDxfId="90"/>
    <tableColumn id="2" xr3:uid="{00000000-0010-0000-0800-000002000000}" name="그림" dataDxfId="89"/>
    <tableColumn id="3" xr3:uid="{00000000-0010-0000-0800-000003000000}" name="수용량" dataDxfId="88"/>
    <tableColumn id="4" xr3:uid="{00000000-0010-0000-0800-000004000000}" name="이용시간" dataDxfId="87"/>
    <tableColumn id="5" xr3:uid="{00000000-0010-0000-0800-000005000000}" name="요금" dataDxfId="86"/>
    <tableColumn id="6" xr3:uid="{00000000-0010-0000-0800-000006000000}" name="선호도" dataDxfId="85"/>
    <tableColumn id="21" xr3:uid="{49C7519E-3D98-41ED-B2E6-BF6F69C21882}" name="욕구 종류" dataDxfId="84"/>
    <tableColumn id="7" xr3:uid="{00000000-0010-0000-0800-000007000000}" name="욕구 해소량" dataDxfId="83"/>
    <tableColumn id="8" xr3:uid="{00000000-0010-0000-0800-000008000000}" name="장르" dataDxfId="82"/>
    <tableColumn id="9" xr3:uid="{00000000-0010-0000-0800-000009000000}" name="보너스" dataDxfId="81"/>
    <tableColumn id="10" xr3:uid="{00000000-0010-0000-0800-00000A000000}" name="건설 비용" dataDxfId="80">
      <calculatedColumnFormula>ROUND(IF(ISBLANK(tblIncome856910[[#This Row],[보너스]]),INDEX('건설 부지에 따른 수치표'!$A$1:$D$13, MATCH(tblIncome856910[[#This Row],[건설 부지]], '건설 부지에 따른 수치표'!A:A, 0), MATCH(tblIncome856[[#Headers],[건설 비용 회수 시간]], '건설 부지에 따른 수치표'!$1:$1, 0))*tblIncome856910[[#This Row],[수익률]],INDEX('건설 부지에 따른 수치표'!$A$1:$D$13, MATCH(tblIncome856910[[#This Row],[건설 부지]], '건설 부지에 따른 수치표'!A:A, 0), MATCH(tblIncome856[[#Headers],[건설 비용 회수 시간]], '건설 부지에 따른 수치표'!$1:$1, 0))*tblIncome856910[[#This Row],[수익률]]*1.2), -1)</calculatedColumnFormula>
    </tableColumn>
    <tableColumn id="11" xr3:uid="{00000000-0010-0000-0800-00000B000000}" name="건설 부지" dataDxfId="79"/>
    <tableColumn id="12" xr3:uid="{00000000-0010-0000-0800-00000C000000}" name="수익률" dataDxfId="78">
      <calculatedColumnFormula>tblIncome856910[[#This Row],[수용량]]*tblIncome856910[[#This Row],[요금]]/tblIncome856910[[#This Row],[이용시간]]</calculatedColumnFormula>
    </tableColumn>
    <tableColumn id="15" xr3:uid="{00000000-0010-0000-0800-00000F000000}" name="건설 비용 대비 수익" dataDxfId="77">
      <calculatedColumnFormula>tblIncome856910[[#This Row],[수익률]]/tblIncome856910[[#This Row],[건설 비용]]</calculatedColumnFormula>
    </tableColumn>
    <tableColumn id="20" xr3:uid="{0B059009-37F4-4302-BD6C-3704BF085414}" name="건설 비용 회수 시간" dataDxfId="76">
      <calculatedColumnFormula>tblIncome856910[[#This Row],[건설 비용]]/tblIncome856910[[#This Row],[수익률]]</calculatedColumnFormula>
    </tableColumn>
    <tableColumn id="13" xr3:uid="{00000000-0010-0000-0800-00000D000000}" name="공간효율" dataDxfId="75">
      <calculatedColumnFormula>tblIncome856910[[#This Row],[수익률]]/tblIncome856910[[#This Row],[건설 부지]]</calculatedColumnFormula>
    </tableColumn>
    <tableColumn id="22" xr3:uid="{13E20873-4067-4DF5-8EB3-57C049B5EEFE}" name="초당 욕구 해소량" dataDxfId="74">
      <calculatedColumnFormula>tblIncome856910[[#This Row],[수용량]]*tblIncome856910[[#This Row],[욕구 해소량]]/tblIncome856910[[#This Row],[이용시간]]</calculatedColumnFormula>
    </tableColumn>
    <tableColumn id="17" xr3:uid="{00000000-0010-0000-0800-000011000000}" name="욕구 1당 수익" dataDxfId="73">
      <calculatedColumnFormula>tblIncome856910[[#This Row],[요금]]/tblIncome856910[[#This Row],[욕구 해소량]]</calculatedColumnFormula>
    </tableColumn>
    <tableColumn id="16" xr3:uid="{00000000-0010-0000-0800-000010000000}" name="초당 손님" dataDxfId="72">
      <calculatedColumnFormula>tblIncome856910[[#This Row],[수용량]]/tblIncome856910[[#This Row],[이용시간]]</calculatedColumnFormula>
    </tableColumn>
    <tableColumn id="19" xr3:uid="{00000000-0010-0000-0800-000013000000}" name="건설 가능 애드온" dataDxfId="71"/>
    <tableColumn id="14" xr3:uid="{00000000-0010-0000-0800-00000E000000}" name="설명" dataDxfId="70"/>
    <tableColumn id="18" xr3:uid="{00000000-0010-0000-0800-000012000000}" name="메모" dataDxfId="69"/>
  </tableColumns>
  <tableStyleInfo name="Family Budget Cash Available 2" showFirstColumn="1" showLastColumn="0" showRowStripes="1" showColumnStripes="0"/>
  <extLst>
    <ext xmlns:x14="http://schemas.microsoft.com/office/spreadsheetml/2009/9/main" uri="{504A1905-F514-4f6f-8877-14C23A59335A}">
      <x14:table altText="월별 수입" altTextSummary="각 월의 수입을 유형별로 요약합니다."/>
    </ext>
  </extLst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7000000}" name="tblIncome85691011" displayName="tblIncome85691011" ref="B4:W11" headerRowDxfId="68" dataDxfId="67">
  <tableColumns count="22">
    <tableColumn id="1" xr3:uid="{00000000-0010-0000-0700-000001000000}" name="이름" dataDxfId="66"/>
    <tableColumn id="2" xr3:uid="{00000000-0010-0000-0700-000002000000}" name="그림" dataDxfId="65"/>
    <tableColumn id="3" xr3:uid="{00000000-0010-0000-0700-000003000000}" name="수용량" dataDxfId="64"/>
    <tableColumn id="4" xr3:uid="{00000000-0010-0000-0700-000004000000}" name="이용시간" dataDxfId="63"/>
    <tableColumn id="5" xr3:uid="{00000000-0010-0000-0700-000005000000}" name="요금" dataDxfId="62"/>
    <tableColumn id="6" xr3:uid="{00000000-0010-0000-0700-000006000000}" name="선호도" dataDxfId="61"/>
    <tableColumn id="21" xr3:uid="{D9D05CD6-9ADC-4953-B74B-29C4B485AA96}" name="욕구 종류" dataDxfId="60"/>
    <tableColumn id="7" xr3:uid="{00000000-0010-0000-0700-000007000000}" name="욕구 해소량" dataDxfId="59"/>
    <tableColumn id="8" xr3:uid="{00000000-0010-0000-0700-000008000000}" name="장르" dataDxfId="58"/>
    <tableColumn id="9" xr3:uid="{00000000-0010-0000-0700-000009000000}" name="보너스" dataDxfId="57"/>
    <tableColumn id="10" xr3:uid="{00000000-0010-0000-0700-00000A000000}" name="건설 비용" dataDxfId="56">
      <calculatedColumnFormula>ROUND(IF(ISBLANK(tblIncome85691011[[#This Row],[보너스]]),INDEX('건설 부지에 따른 수치표'!$A$1:$D$13, MATCH(tblIncome85691011[[#This Row],[건설 부지]], '건설 부지에 따른 수치표'!A:A, 0), MATCH(tblIncome856[[#Headers],[건설 비용 회수 시간]], '건설 부지에 따른 수치표'!$1:$1, 0))*tblIncome85691011[[#This Row],[수익률]],INDEX('건설 부지에 따른 수치표'!$A$1:$D$13, MATCH(tblIncome85691011[[#This Row],[건설 부지]], '건설 부지에 따른 수치표'!A:A, 0), MATCH(tblIncome856[[#Headers],[건설 비용 회수 시간]], '건설 부지에 따른 수치표'!$1:$1, 0))*tblIncome85691011[[#This Row],[수익률]]*1.2), -1)</calculatedColumnFormula>
    </tableColumn>
    <tableColumn id="11" xr3:uid="{00000000-0010-0000-0700-00000B000000}" name="건설 부지" dataDxfId="55"/>
    <tableColumn id="12" xr3:uid="{00000000-0010-0000-0700-00000C000000}" name="수익률" dataDxfId="54">
      <calculatedColumnFormula>tblIncome85691011[[#This Row],[수용량]]*tblIncome85691011[[#This Row],[요금]]/tblIncome85691011[[#This Row],[이용시간]]</calculatedColumnFormula>
    </tableColumn>
    <tableColumn id="15" xr3:uid="{00000000-0010-0000-0700-00000F000000}" name="건설 비용 대비 수익" dataDxfId="53">
      <calculatedColumnFormula>tblIncome85691011[[#This Row],[수익률]]/tblIncome85691011[[#This Row],[건설 비용]]</calculatedColumnFormula>
    </tableColumn>
    <tableColumn id="20" xr3:uid="{799A89CF-3E65-41A6-AC7B-9D563138DA87}" name="건설 비용 회수 시간" dataDxfId="52">
      <calculatedColumnFormula>tblIncome85691011[[#This Row],[건설 비용]]/tblIncome85691011[[#This Row],[수익률]]</calculatedColumnFormula>
    </tableColumn>
    <tableColumn id="13" xr3:uid="{00000000-0010-0000-0700-00000D000000}" name="공간효율" dataDxfId="51">
      <calculatedColumnFormula>tblIncome85691011[[#This Row],[수익률]]/tblIncome85691011[[#This Row],[건설 부지]]</calculatedColumnFormula>
    </tableColumn>
    <tableColumn id="22" xr3:uid="{592B4075-5166-49C8-8B45-A04C8887564D}" name="초당 욕구 해소량" dataDxfId="50">
      <calculatedColumnFormula>tblIncome85691011[[#This Row],[수용량]]*tblIncome85691011[[#This Row],[욕구 해소량]]/tblIncome85691011[[#This Row],[이용시간]]</calculatedColumnFormula>
    </tableColumn>
    <tableColumn id="17" xr3:uid="{00000000-0010-0000-0700-000011000000}" name="욕구 1당 수익" dataDxfId="49">
      <calculatedColumnFormula>tblIncome85691011[[#This Row],[요금]]/tblIncome85691011[[#This Row],[욕구 해소량]]</calculatedColumnFormula>
    </tableColumn>
    <tableColumn id="16" xr3:uid="{00000000-0010-0000-0700-000010000000}" name="초당 손님" dataDxfId="48">
      <calculatedColumnFormula>tblIncome85691011[[#This Row],[수용량]]/tblIncome85691011[[#This Row],[이용시간]]</calculatedColumnFormula>
    </tableColumn>
    <tableColumn id="19" xr3:uid="{00000000-0010-0000-0700-000013000000}" name="건설 가능 애드온" dataDxfId="47"/>
    <tableColumn id="14" xr3:uid="{00000000-0010-0000-0700-00000E000000}" name="설명" dataDxfId="46"/>
    <tableColumn id="18" xr3:uid="{00000000-0010-0000-0700-000012000000}" name="메모" dataDxfId="45"/>
  </tableColumns>
  <tableStyleInfo name="Family Budget Cash Available 2" showFirstColumn="1" showLastColumn="0" showRowStripes="1" showColumnStripes="0"/>
  <extLst>
    <ext xmlns:x14="http://schemas.microsoft.com/office/spreadsheetml/2009/9/main" uri="{504A1905-F514-4f6f-8877-14C23A59335A}">
      <x14:table altText="월별 수입" altTextSummary="각 월의 수입을 유형별로 요약합니다."/>
    </ext>
  </extLst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9000000}" name="tblIncome8569" displayName="tblIncome8569" ref="B4:W12" headerRowDxfId="44" dataDxfId="43">
  <tableColumns count="22">
    <tableColumn id="1" xr3:uid="{00000000-0010-0000-0900-000001000000}" name="이름" dataDxfId="42"/>
    <tableColumn id="2" xr3:uid="{00000000-0010-0000-0900-000002000000}" name="그림" dataDxfId="41"/>
    <tableColumn id="3" xr3:uid="{00000000-0010-0000-0900-000003000000}" name="수용량" dataDxfId="40"/>
    <tableColumn id="4" xr3:uid="{00000000-0010-0000-0900-000004000000}" name="이용시간" dataDxfId="39"/>
    <tableColumn id="5" xr3:uid="{00000000-0010-0000-0900-000005000000}" name="요금" dataDxfId="38"/>
    <tableColumn id="6" xr3:uid="{00000000-0010-0000-0900-000006000000}" name="선호도" dataDxfId="37"/>
    <tableColumn id="19" xr3:uid="{A49B382B-5035-44B6-B80A-ACDEE797112E}" name="욕구 종류" dataDxfId="36"/>
    <tableColumn id="7" xr3:uid="{00000000-0010-0000-0900-000007000000}" name="욕구 해소량" dataDxfId="35"/>
    <tableColumn id="8" xr3:uid="{00000000-0010-0000-0900-000008000000}" name="장르" dataDxfId="34"/>
    <tableColumn id="9" xr3:uid="{00000000-0010-0000-0900-000009000000}" name="보너스" dataDxfId="33"/>
    <tableColumn id="10" xr3:uid="{00000000-0010-0000-0900-00000A000000}" name="건설 비용" dataDxfId="32">
      <calculatedColumnFormula>ROUND(IF(ISBLANK(tblIncome8569[[#This Row],[보너스]]),INDEX('건설 부지에 따른 수치표'!$A$1:$D$13, MATCH(tblIncome8569[[#This Row],[건설 부지]], '건설 부지에 따른 수치표'!A:A, 0), MATCH(tblIncome856[[#Headers],[건설 비용 회수 시간]], '건설 부지에 따른 수치표'!$1:$1, 0))*tblIncome8569[[#This Row],[수익률]],INDEX('건설 부지에 따른 수치표'!$A$1:$D$13, MATCH(tblIncome8569[[#This Row],[건설 부지]], '건설 부지에 따른 수치표'!A:A, 0), MATCH(tblIncome856[[#Headers],[건설 비용 회수 시간]], '건설 부지에 따른 수치표'!$1:$1, 0))*tblIncome8569[[#This Row],[수익률]]*1.2), -1)</calculatedColumnFormula>
    </tableColumn>
    <tableColumn id="11" xr3:uid="{00000000-0010-0000-0900-00000B000000}" name="건설 부지" dataDxfId="31"/>
    <tableColumn id="12" xr3:uid="{00000000-0010-0000-0900-00000C000000}" name="수익률" dataDxfId="30">
      <calculatedColumnFormula>tblIncome8569[[#This Row],[수용량]]*tblIncome8569[[#This Row],[요금]]/tblIncome8569[[#This Row],[이용시간]]</calculatedColumnFormula>
    </tableColumn>
    <tableColumn id="15" xr3:uid="{00000000-0010-0000-0900-00000F000000}" name="건설 비용 대비 수익" dataDxfId="29">
      <calculatedColumnFormula>tblIncome8569[[#This Row],[수익률]]/tblIncome8569[[#This Row],[건설 비용]]</calculatedColumnFormula>
    </tableColumn>
    <tableColumn id="21" xr3:uid="{9F245ED3-9939-49FE-B15B-36012CEBCB25}" name="건설 비용 회수 시간" dataDxfId="28">
      <calculatedColumnFormula>tblIncome8569[[#This Row],[건설 비용]]/tblIncome8569[[#This Row],[수익률]]</calculatedColumnFormula>
    </tableColumn>
    <tableColumn id="13" xr3:uid="{00000000-0010-0000-0900-00000D000000}" name="공간효율" dataDxfId="27">
      <calculatedColumnFormula>tblIncome8569[[#This Row],[수익률]]/tblIncome8569[[#This Row],[건설 부지]]</calculatedColumnFormula>
    </tableColumn>
    <tableColumn id="22" xr3:uid="{6B90032C-8A01-4D81-999D-84252B22E90C}" name="초당 욕구 해소량" dataDxfId="26">
      <calculatedColumnFormula>tblIncome8569[[#This Row],[수용량]]*tblIncome8569[[#This Row],[욕구 해소량]]/tblIncome8569[[#This Row],[이용시간]]</calculatedColumnFormula>
    </tableColumn>
    <tableColumn id="17" xr3:uid="{00000000-0010-0000-0900-000011000000}" name="욕구 1당 수익" dataDxfId="25">
      <calculatedColumnFormula>tblIncome8569[[#This Row],[요금]]/tblIncome8569[[#This Row],[욕구 해소량]]</calculatedColumnFormula>
    </tableColumn>
    <tableColumn id="16" xr3:uid="{00000000-0010-0000-0900-000010000000}" name="초당 손님" dataDxfId="24">
      <calculatedColumnFormula>tblIncome8569[[#This Row],[수용량]]/tblIncome8569[[#This Row],[이용시간]]</calculatedColumnFormula>
    </tableColumn>
    <tableColumn id="20" xr3:uid="{00000000-0010-0000-0900-000014000000}" name="건설 가능 애드온" dataDxfId="23"/>
    <tableColumn id="14" xr3:uid="{00000000-0010-0000-0900-00000E000000}" name="설명" dataDxfId="22"/>
    <tableColumn id="18" xr3:uid="{00000000-0010-0000-0900-000012000000}" name="메모" dataDxfId="21"/>
  </tableColumns>
  <tableStyleInfo name="Family Budget Cash Available 2" showFirstColumn="1" showLastColumn="0" showRowStripes="1" showColumnStripes="0"/>
  <extLst>
    <ext xmlns:x14="http://schemas.microsoft.com/office/spreadsheetml/2009/9/main" uri="{504A1905-F514-4f6f-8877-14C23A59335A}">
      <x14:table altText="월별 수입" altTextSummary="각 월의 수입을 유형별로 요약합니다."/>
    </ext>
  </extLst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A000000}" name="tblIncome8567" displayName="tblIncome8567" ref="B4:T9" headerRowDxfId="20" dataDxfId="19">
  <tableColumns count="19">
    <tableColumn id="1" xr3:uid="{00000000-0010-0000-0A00-000001000000}" name="이름" dataDxfId="18"/>
    <tableColumn id="2" xr3:uid="{00000000-0010-0000-0A00-000002000000}" name="그림" dataDxfId="17"/>
    <tableColumn id="3" xr3:uid="{00000000-0010-0000-0A00-000003000000}" name="수용량" dataDxfId="16"/>
    <tableColumn id="4" xr3:uid="{00000000-0010-0000-0A00-000004000000}" name="이용시간" dataDxfId="15"/>
    <tableColumn id="5" xr3:uid="{00000000-0010-0000-0A00-000005000000}" name="요금" dataDxfId="14"/>
    <tableColumn id="6" xr3:uid="{00000000-0010-0000-0A00-000006000000}" name="선호도" dataDxfId="13"/>
    <tableColumn id="19" xr3:uid="{7BA5668A-6364-44B1-BF24-04912AF83091}" name="욕구 종류" dataDxfId="12"/>
    <tableColumn id="7" xr3:uid="{00000000-0010-0000-0A00-000007000000}" name="욕구 해소량" dataDxfId="11"/>
    <tableColumn id="8" xr3:uid="{00000000-0010-0000-0A00-000008000000}" name="장르" dataDxfId="10"/>
    <tableColumn id="9" xr3:uid="{00000000-0010-0000-0A00-000009000000}" name="보너스" dataDxfId="9"/>
    <tableColumn id="10" xr3:uid="{00000000-0010-0000-0A00-00000A000000}" name="건설 비용" dataDxfId="8">
      <calculatedColumnFormula>ROUND(IF(ISBLANK(tblIncome8567[[#This Row],[보너스]]),INDEX('건설 부지에 따른 수치표'!$A$1:$D$13, MATCH(tblIncome8567[[#This Row],[건설 부지]], '건설 부지에 따른 수치표'!A:A, 0), MATCH(tblIncome856[[#Headers],[건설 비용 회수 시간]], '건설 부지에 따른 수치표'!$1:$1, 0))*tblIncome8567[[#This Row],[수익률]],INDEX('건설 부지에 따른 수치표'!$A$1:$D$13, MATCH(tblIncome8567[[#This Row],[건설 부지]], '건설 부지에 따른 수치표'!A:A, 0), MATCH(tblIncome856[[#Headers],[건설 비용 회수 시간]], '건설 부지에 따른 수치표'!$1:$1, 0))*tblIncome8567[[#This Row],[수익률]]*1.2)*1.8, -1)</calculatedColumnFormula>
    </tableColumn>
    <tableColumn id="11" xr3:uid="{00000000-0010-0000-0A00-00000B000000}" name="건설 부지" dataDxfId="7"/>
    <tableColumn id="12" xr3:uid="{00000000-0010-0000-0A00-00000C000000}" name="수익률" dataDxfId="6">
      <calculatedColumnFormula>tblIncome8567[[#This Row],[수용량]]*tblIncome8567[[#This Row],[요금]]/tblIncome8567[[#This Row],[이용시간]]</calculatedColumnFormula>
    </tableColumn>
    <tableColumn id="15" xr3:uid="{00000000-0010-0000-0A00-00000F000000}" name="건설 비용 대비 수익" dataDxfId="5">
      <calculatedColumnFormula>tblIncome8567[[#This Row],[수익률]]/tblIncome8567[[#This Row],[건설 비용]]</calculatedColumnFormula>
    </tableColumn>
    <tableColumn id="16" xr3:uid="{77860F24-507B-4CF9-9BC1-796CDA3D10DD}" name="건설 비용 회수 시간" dataDxfId="4">
      <calculatedColumnFormula>tblIncome8567[[#This Row],[건설 비용]]/tblIncome8567[[#This Row],[수익률]]</calculatedColumnFormula>
    </tableColumn>
    <tableColumn id="13" xr3:uid="{00000000-0010-0000-0A00-00000D000000}" name="공간효율" dataDxfId="3">
      <calculatedColumnFormula>tblIncome8567[[#This Row],[수익률]]/tblIncome8567[[#This Row],[건설 부지]]</calculatedColumnFormula>
    </tableColumn>
    <tableColumn id="17" xr3:uid="{00000000-0010-0000-0A00-000011000000}" name="초당 손님" dataDxfId="2">
      <calculatedColumnFormula>tblIncome8567[[#This Row],[수용량]]/tblIncome8567[[#This Row],[이용시간]]</calculatedColumnFormula>
    </tableColumn>
    <tableColumn id="14" xr3:uid="{00000000-0010-0000-0A00-00000E000000}" name="설명" dataDxfId="1"/>
    <tableColumn id="18" xr3:uid="{00000000-0010-0000-0A00-000012000000}" name="기타" dataDxfId="0"/>
  </tableColumns>
  <tableStyleInfo name="Family Budget Cash Available 2" showFirstColumn="1" showLastColumn="0" showRowStripes="1" showColumnStripes="0"/>
  <extLst>
    <ext xmlns:x14="http://schemas.microsoft.com/office/spreadsheetml/2009/9/main" uri="{504A1905-F514-4f6f-8877-14C23A59335A}">
      <x14:table altText="월별 수입" altTextSummary="각 월의 수입을 유형별로 요약합니다."/>
    </ext>
  </extLst>
</table>
</file>

<file path=xl/theme/theme1.xml><?xml version="1.0" encoding="utf-8"?>
<a:theme xmlns:a="http://schemas.openxmlformats.org/drawingml/2006/main" name="Office Theme">
  <a:themeElements>
    <a:clrScheme name="Family Budget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FA9F4E"/>
      </a:accent1>
      <a:accent2>
        <a:srgbClr val="6CCACD"/>
      </a:accent2>
      <a:accent3>
        <a:srgbClr val="F26C63"/>
      </a:accent3>
      <a:accent4>
        <a:srgbClr val="9ACF6D"/>
      </a:accent4>
      <a:accent5>
        <a:srgbClr val="F1CA50"/>
      </a:accent5>
      <a:accent6>
        <a:srgbClr val="B18FC0"/>
      </a:accent6>
      <a:hlink>
        <a:srgbClr val="5BBDE2"/>
      </a:hlink>
      <a:folHlink>
        <a:srgbClr val="B18FC0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7.xml"/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0"/>
    <pageSetUpPr autoPageBreaks="0" fitToPage="1"/>
  </sheetPr>
  <dimension ref="A1:Q73"/>
  <sheetViews>
    <sheetView showGridLines="0" zoomScaleNormal="100" workbookViewId="0">
      <selection activeCell="B39" sqref="B39"/>
    </sheetView>
  </sheetViews>
  <sheetFormatPr defaultColWidth="9.109375" defaultRowHeight="21" customHeight="1"/>
  <cols>
    <col min="1" max="1" width="1.44140625" style="2" customWidth="1"/>
    <col min="2" max="2" width="23.33203125" style="2" customWidth="1"/>
    <col min="3" max="9" width="12.6640625" style="2" customWidth="1"/>
    <col min="10" max="10" width="6.88671875" style="186" customWidth="1"/>
    <col min="11" max="14" width="12.6640625" style="2" customWidth="1"/>
    <col min="15" max="15" width="13.33203125" style="2" customWidth="1"/>
    <col min="16" max="16" width="13.6640625" style="2" customWidth="1"/>
    <col min="17" max="17" width="11.44140625" style="2" customWidth="1"/>
    <col min="18" max="16384" width="9.109375" style="2"/>
  </cols>
  <sheetData>
    <row r="1" spans="1:17" ht="58.8" customHeight="1">
      <c r="A1" s="1"/>
      <c r="G1" s="22" t="s">
        <v>10</v>
      </c>
      <c r="H1" s="21"/>
      <c r="M1" s="1"/>
      <c r="N1" s="3"/>
      <c r="O1" s="3"/>
      <c r="P1" s="3"/>
    </row>
    <row r="2" spans="1:17" ht="22.8" customHeight="1">
      <c r="A2" s="1"/>
      <c r="B2" s="4"/>
      <c r="I2" s="40"/>
      <c r="J2" s="187"/>
      <c r="K2" s="39"/>
      <c r="L2" s="315"/>
      <c r="M2" s="315"/>
      <c r="N2" s="3"/>
    </row>
    <row r="3" spans="1:17" ht="21" customHeight="1">
      <c r="A3" s="1"/>
      <c r="B3" s="1"/>
      <c r="C3" s="1"/>
      <c r="D3" s="1"/>
      <c r="E3" s="1"/>
      <c r="F3" s="1"/>
      <c r="G3" s="1"/>
      <c r="H3" s="1"/>
      <c r="I3" s="1"/>
      <c r="J3" s="188"/>
      <c r="K3" s="1"/>
      <c r="L3" s="1"/>
      <c r="M3" s="1"/>
      <c r="N3" s="1"/>
      <c r="O3" s="1"/>
      <c r="P3" s="1"/>
    </row>
    <row r="4" spans="1:17" s="8" customFormat="1" ht="21" customHeight="1" thickBot="1">
      <c r="A4" s="5"/>
      <c r="B4"/>
      <c r="C4"/>
      <c r="D4"/>
      <c r="E4"/>
      <c r="F4"/>
      <c r="G4"/>
      <c r="H4"/>
      <c r="I4" s="38"/>
      <c r="J4" s="189"/>
      <c r="K4"/>
      <c r="L4"/>
      <c r="M4"/>
      <c r="N4"/>
      <c r="O4"/>
      <c r="P4"/>
    </row>
    <row r="5" spans="1:17" s="11" customFormat="1" ht="21" customHeight="1">
      <c r="A5" s="5"/>
      <c r="B5" s="318" t="s">
        <v>24</v>
      </c>
      <c r="C5" s="318"/>
      <c r="D5" s="318"/>
      <c r="E5" s="318"/>
      <c r="F5" s="318"/>
      <c r="G5" s="318"/>
      <c r="H5" s="318"/>
      <c r="J5" s="316" t="s">
        <v>267</v>
      </c>
      <c r="K5" s="316"/>
      <c r="L5" s="316"/>
      <c r="M5" s="316"/>
      <c r="N5" s="316"/>
      <c r="O5" s="316"/>
      <c r="P5" s="316"/>
      <c r="Q5" s="316"/>
    </row>
    <row r="6" spans="1:17" ht="21" customHeight="1" thickBot="1">
      <c r="A6" s="1"/>
      <c r="B6" s="37" t="s">
        <v>0</v>
      </c>
      <c r="C6" s="296" t="s">
        <v>532</v>
      </c>
      <c r="E6" s="31"/>
      <c r="F6" s="31"/>
      <c r="G6"/>
      <c r="H6"/>
      <c r="I6"/>
      <c r="J6" s="195">
        <v>1</v>
      </c>
      <c r="K6" s="119" t="s">
        <v>518</v>
      </c>
      <c r="L6" s="120"/>
      <c r="M6" s="120"/>
      <c r="N6" s="120"/>
      <c r="O6" s="120"/>
      <c r="P6" s="120"/>
      <c r="Q6" s="121"/>
    </row>
    <row r="7" spans="1:17" ht="21" customHeight="1" thickTop="1" thickBot="1">
      <c r="A7" s="1"/>
      <c r="B7" s="33" t="s">
        <v>2</v>
      </c>
      <c r="C7" s="296" t="s">
        <v>531</v>
      </c>
      <c r="D7" s="31"/>
      <c r="E7" s="31"/>
      <c r="F7" s="31"/>
      <c r="G7"/>
      <c r="H7"/>
      <c r="I7"/>
      <c r="J7" s="196">
        <v>2</v>
      </c>
      <c r="K7" s="122" t="s">
        <v>441</v>
      </c>
      <c r="L7" s="123"/>
      <c r="M7" s="123"/>
      <c r="N7" s="123"/>
      <c r="O7" s="123"/>
      <c r="P7" s="123"/>
      <c r="Q7" s="124"/>
    </row>
    <row r="8" spans="1:17" s="15" customFormat="1" ht="21" customHeight="1" thickTop="1" thickBot="1">
      <c r="A8" s="13"/>
      <c r="B8" s="32" t="s">
        <v>12</v>
      </c>
      <c r="C8" s="297" t="s">
        <v>530</v>
      </c>
      <c r="D8" s="31"/>
      <c r="E8" s="31"/>
      <c r="F8" s="31"/>
      <c r="G8"/>
      <c r="H8"/>
      <c r="I8"/>
      <c r="J8" s="195">
        <v>3</v>
      </c>
      <c r="K8" s="125" t="s">
        <v>442</v>
      </c>
      <c r="L8" s="125"/>
      <c r="M8" s="125"/>
      <c r="N8" s="125"/>
      <c r="O8" s="125"/>
      <c r="P8" s="125"/>
      <c r="Q8" s="126"/>
    </row>
    <row r="9" spans="1:17" s="9" customFormat="1" ht="21" customHeight="1" thickTop="1" thickBot="1">
      <c r="B9" s="32" t="s">
        <v>22</v>
      </c>
      <c r="C9" s="297" t="s">
        <v>529</v>
      </c>
      <c r="D9" s="31"/>
      <c r="E9" s="31"/>
      <c r="F9" s="31"/>
      <c r="G9"/>
      <c r="H9"/>
      <c r="I9"/>
      <c r="J9" s="196">
        <v>4</v>
      </c>
      <c r="K9" s="125" t="s">
        <v>443</v>
      </c>
      <c r="L9" s="125"/>
      <c r="M9" s="125"/>
      <c r="N9" s="125"/>
      <c r="O9" s="125"/>
      <c r="P9"/>
      <c r="Q9" s="127"/>
    </row>
    <row r="10" spans="1:17" s="15" customFormat="1" ht="21" customHeight="1" thickTop="1" thickBot="1">
      <c r="A10" s="13"/>
      <c r="B10" s="32" t="s">
        <v>13</v>
      </c>
      <c r="C10" s="297" t="s">
        <v>528</v>
      </c>
      <c r="D10" s="31"/>
      <c r="E10" s="31"/>
      <c r="F10" s="31"/>
      <c r="G10"/>
      <c r="H10"/>
      <c r="I10"/>
      <c r="J10" s="195">
        <v>5</v>
      </c>
      <c r="K10" s="125" t="s">
        <v>444</v>
      </c>
      <c r="L10" s="126"/>
      <c r="M10" s="126"/>
      <c r="N10" s="126"/>
      <c r="O10" s="126"/>
      <c r="P10" s="126"/>
      <c r="Q10" s="126"/>
    </row>
    <row r="11" spans="1:17" ht="21" customHeight="1" thickTop="1" thickBot="1">
      <c r="A11" s="1"/>
      <c r="B11" s="32" t="s">
        <v>14</v>
      </c>
      <c r="C11" s="297" t="s">
        <v>527</v>
      </c>
      <c r="D11" s="31"/>
      <c r="E11" s="31"/>
      <c r="F11" s="31"/>
      <c r="G11"/>
      <c r="H11"/>
      <c r="I11"/>
      <c r="J11" s="196">
        <v>6</v>
      </c>
      <c r="K11" s="125" t="s">
        <v>445</v>
      </c>
      <c r="L11" s="125"/>
      <c r="M11" s="125"/>
      <c r="N11" s="125"/>
      <c r="O11" s="125"/>
      <c r="P11" s="125"/>
      <c r="Q11" s="128"/>
    </row>
    <row r="12" spans="1:17" ht="21" customHeight="1" thickTop="1" thickBot="1">
      <c r="A12" s="1"/>
      <c r="B12" s="34" t="s">
        <v>15</v>
      </c>
      <c r="C12" s="297" t="s">
        <v>526</v>
      </c>
      <c r="D12" s="31"/>
      <c r="E12" s="31"/>
      <c r="F12" s="31"/>
      <c r="G12"/>
      <c r="H12"/>
      <c r="I12"/>
      <c r="J12" s="195">
        <v>7</v>
      </c>
      <c r="K12" s="125" t="s">
        <v>446</v>
      </c>
      <c r="L12" s="125"/>
      <c r="M12" s="125"/>
      <c r="N12" s="125"/>
      <c r="O12" s="125"/>
      <c r="P12" s="125"/>
      <c r="Q12" s="128"/>
    </row>
    <row r="13" spans="1:17" ht="21" customHeight="1" thickTop="1" thickBot="1">
      <c r="A13" s="1"/>
      <c r="B13" s="34" t="s">
        <v>16</v>
      </c>
      <c r="C13" s="297" t="s">
        <v>525</v>
      </c>
      <c r="D13" s="31"/>
      <c r="E13" s="31"/>
      <c r="F13" s="31"/>
      <c r="G13"/>
      <c r="H13"/>
      <c r="I13"/>
      <c r="J13" s="196">
        <v>8</v>
      </c>
      <c r="K13" s="128" t="s">
        <v>448</v>
      </c>
      <c r="L13" s="125"/>
      <c r="M13" s="125"/>
      <c r="N13" s="125"/>
      <c r="O13" s="125"/>
      <c r="P13" s="125"/>
      <c r="Q13" s="128"/>
    </row>
    <row r="14" spans="1:17" ht="21" customHeight="1" thickTop="1" thickBot="1">
      <c r="A14" s="1"/>
      <c r="B14" s="34" t="s">
        <v>17</v>
      </c>
      <c r="C14" s="297" t="s">
        <v>524</v>
      </c>
      <c r="D14" s="31"/>
      <c r="E14" s="31"/>
      <c r="F14" s="31"/>
      <c r="G14"/>
      <c r="H14"/>
      <c r="I14"/>
      <c r="J14" s="195"/>
      <c r="L14" s="125"/>
      <c r="M14" s="125"/>
      <c r="N14" s="125"/>
      <c r="O14" s="125"/>
      <c r="P14" s="125"/>
      <c r="Q14" s="128"/>
    </row>
    <row r="15" spans="1:17" ht="21" customHeight="1" thickTop="1" thickBot="1">
      <c r="A15" s="1"/>
      <c r="B15" s="35" t="s">
        <v>18</v>
      </c>
      <c r="C15" s="297" t="s">
        <v>523</v>
      </c>
      <c r="D15" s="31"/>
      <c r="E15" s="31"/>
      <c r="F15" s="31"/>
      <c r="G15"/>
      <c r="H15"/>
      <c r="I15"/>
      <c r="J15" s="196"/>
      <c r="K15" s="125"/>
      <c r="L15" s="125"/>
      <c r="M15" s="125"/>
      <c r="N15" s="125"/>
      <c r="O15" s="125"/>
      <c r="P15" s="125"/>
      <c r="Q15" s="128"/>
    </row>
    <row r="16" spans="1:17" ht="21" customHeight="1" thickTop="1" thickBot="1">
      <c r="A16" s="1"/>
      <c r="B16" s="35" t="s">
        <v>19</v>
      </c>
      <c r="C16" s="297" t="s">
        <v>522</v>
      </c>
      <c r="D16" s="31"/>
      <c r="E16" s="31"/>
      <c r="F16" s="31"/>
      <c r="G16"/>
      <c r="H16"/>
      <c r="I16"/>
      <c r="J16" s="316" t="s">
        <v>538</v>
      </c>
      <c r="K16" s="316"/>
      <c r="L16" s="316"/>
      <c r="M16" s="316"/>
      <c r="N16" s="316"/>
      <c r="O16" s="316"/>
      <c r="P16" s="316"/>
      <c r="Q16" s="316"/>
    </row>
    <row r="17" spans="1:17" ht="21" customHeight="1" thickTop="1" thickBot="1">
      <c r="A17" s="1"/>
      <c r="B17" s="36" t="s">
        <v>20</v>
      </c>
      <c r="C17" s="297" t="s">
        <v>521</v>
      </c>
      <c r="D17" s="30"/>
      <c r="E17" s="30"/>
      <c r="F17" s="30"/>
      <c r="J17" s="302" t="s">
        <v>539</v>
      </c>
      <c r="K17" s="300"/>
      <c r="L17" s="300"/>
      <c r="M17" s="305"/>
      <c r="N17" s="128" t="s">
        <v>549</v>
      </c>
      <c r="O17" s="128"/>
      <c r="P17" s="128"/>
      <c r="Q17" s="128"/>
    </row>
    <row r="18" spans="1:17" ht="21" customHeight="1" thickTop="1" thickBot="1">
      <c r="A18" s="1"/>
      <c r="B18" s="36" t="s">
        <v>269</v>
      </c>
      <c r="C18" s="297" t="s">
        <v>520</v>
      </c>
      <c r="J18" s="303" t="s">
        <v>540</v>
      </c>
      <c r="K18" s="304"/>
      <c r="L18" s="304"/>
      <c r="M18" s="306"/>
      <c r="N18" s="128" t="s">
        <v>545</v>
      </c>
      <c r="O18" s="128"/>
      <c r="P18" s="128"/>
      <c r="Q18" s="128"/>
    </row>
    <row r="19" spans="1:17" ht="21" customHeight="1" thickTop="1" thickBot="1">
      <c r="A19" s="1"/>
      <c r="B19" s="36" t="s">
        <v>437</v>
      </c>
      <c r="C19" s="298" t="s">
        <v>519</v>
      </c>
      <c r="J19" s="303" t="s">
        <v>541</v>
      </c>
      <c r="K19" s="304"/>
      <c r="L19" s="304"/>
      <c r="M19" s="306"/>
      <c r="N19" s="128" t="s">
        <v>544</v>
      </c>
      <c r="O19" s="128"/>
      <c r="P19" s="128"/>
      <c r="Q19" s="128"/>
    </row>
    <row r="20" spans="1:17" ht="21" customHeight="1" thickTop="1" thickBot="1">
      <c r="A20" s="1"/>
      <c r="B20" s="36" t="s">
        <v>268</v>
      </c>
      <c r="C20" s="297" t="s">
        <v>533</v>
      </c>
      <c r="J20" s="301" t="s">
        <v>542</v>
      </c>
      <c r="K20" s="299"/>
      <c r="L20" s="299"/>
      <c r="M20" s="307"/>
      <c r="N20" s="128" t="s">
        <v>543</v>
      </c>
      <c r="O20" s="128"/>
      <c r="P20" s="128"/>
      <c r="Q20" s="128"/>
    </row>
    <row r="21" spans="1:17" ht="21" customHeight="1" thickTop="1" thickBot="1">
      <c r="A21" s="1"/>
      <c r="B21" s="36" t="s">
        <v>447</v>
      </c>
      <c r="C21" s="297" t="s">
        <v>537</v>
      </c>
      <c r="J21" s="303" t="s">
        <v>546</v>
      </c>
      <c r="K21" s="129"/>
      <c r="L21" s="129"/>
      <c r="M21" s="308"/>
      <c r="N21" s="128" t="s">
        <v>552</v>
      </c>
      <c r="O21" s="129"/>
      <c r="P21" s="129"/>
      <c r="Q21" s="129"/>
    </row>
    <row r="22" spans="1:17" ht="21" customHeight="1" thickTop="1" thickBot="1">
      <c r="A22" s="1"/>
      <c r="B22" s="36" t="s">
        <v>79</v>
      </c>
      <c r="C22" s="297" t="s">
        <v>534</v>
      </c>
      <c r="J22" s="186" t="s">
        <v>547</v>
      </c>
      <c r="M22" s="306"/>
      <c r="N22" s="128" t="s">
        <v>548</v>
      </c>
      <c r="O22" s="129"/>
      <c r="P22" s="129"/>
      <c r="Q22" s="129"/>
    </row>
    <row r="23" spans="1:17" ht="21" customHeight="1" thickTop="1" thickBot="1">
      <c r="A23" s="1"/>
      <c r="B23" s="36" t="s">
        <v>70</v>
      </c>
      <c r="C23" s="297" t="s">
        <v>535</v>
      </c>
      <c r="J23" s="303" t="s">
        <v>4</v>
      </c>
      <c r="K23" s="129"/>
      <c r="L23" s="129"/>
      <c r="M23" s="308"/>
      <c r="N23" s="128" t="s">
        <v>550</v>
      </c>
      <c r="O23" s="129"/>
      <c r="P23" s="129"/>
      <c r="Q23" s="129"/>
    </row>
    <row r="24" spans="1:17" ht="21" customHeight="1" thickTop="1" thickBot="1">
      <c r="A24" s="1"/>
      <c r="B24" s="32" t="s">
        <v>270</v>
      </c>
      <c r="C24" s="297" t="s">
        <v>536</v>
      </c>
      <c r="J24" s="303" t="s">
        <v>8</v>
      </c>
      <c r="K24" s="129"/>
      <c r="L24" s="129"/>
      <c r="M24" s="308"/>
      <c r="N24" s="128" t="s">
        <v>551</v>
      </c>
    </row>
    <row r="25" spans="1:17" ht="21" customHeight="1" thickTop="1" thickBot="1">
      <c r="A25" s="1"/>
      <c r="B25" s="32" t="s">
        <v>100</v>
      </c>
      <c r="C25" s="297" t="s">
        <v>72</v>
      </c>
    </row>
    <row r="26" spans="1:17" ht="21" customHeight="1" thickTop="1">
      <c r="A26" s="1"/>
    </row>
    <row r="27" spans="1:17" s="3" customFormat="1" ht="21" customHeight="1">
      <c r="J27" s="190"/>
    </row>
    <row r="28" spans="1:17" ht="21" customHeight="1">
      <c r="A28" s="1"/>
    </row>
    <row r="49" spans="2:16" ht="21" customHeight="1">
      <c r="B49" s="6"/>
      <c r="C49" s="7"/>
      <c r="D49" s="7"/>
      <c r="E49" s="7"/>
      <c r="F49" s="7"/>
      <c r="G49" s="7"/>
      <c r="H49" s="7"/>
      <c r="I49" s="7"/>
      <c r="J49" s="191"/>
      <c r="K49" s="7"/>
      <c r="L49" s="7"/>
      <c r="M49" s="7"/>
      <c r="N49" s="7"/>
      <c r="O49" s="7"/>
      <c r="P49" s="7"/>
    </row>
    <row r="50" spans="2:16" ht="21" customHeight="1">
      <c r="B50" s="9"/>
      <c r="C50" s="18"/>
      <c r="D50" s="18"/>
      <c r="E50" s="18"/>
      <c r="F50" s="18"/>
      <c r="G50" s="18"/>
      <c r="H50" s="18"/>
      <c r="I50" s="18"/>
      <c r="J50" s="192"/>
      <c r="K50" s="18"/>
      <c r="L50" s="18"/>
      <c r="M50" s="18"/>
      <c r="N50" s="18"/>
      <c r="O50" s="18"/>
      <c r="P50" s="10"/>
    </row>
    <row r="51" spans="2:16" ht="21" customHeight="1">
      <c r="B51" s="1"/>
      <c r="C51" s="1"/>
      <c r="D51" s="1"/>
      <c r="E51" s="1"/>
      <c r="F51" s="1"/>
      <c r="G51" s="1"/>
      <c r="H51" s="1"/>
      <c r="I51" s="1"/>
      <c r="J51" s="188"/>
      <c r="K51" s="1"/>
      <c r="L51" s="1"/>
      <c r="M51" s="1"/>
      <c r="N51" s="1"/>
      <c r="O51" s="1"/>
      <c r="P51" s="1"/>
    </row>
    <row r="52" spans="2:16" ht="21" customHeight="1">
      <c r="B52" s="12"/>
      <c r="C52" s="7"/>
      <c r="D52" s="7"/>
      <c r="E52" s="7"/>
      <c r="F52" s="7"/>
      <c r="G52" s="7"/>
      <c r="H52" s="7"/>
      <c r="I52" s="7"/>
      <c r="J52" s="191"/>
      <c r="K52" s="7"/>
      <c r="L52" s="7"/>
      <c r="M52" s="7"/>
      <c r="N52" s="7"/>
      <c r="O52" s="7"/>
      <c r="P52" s="7"/>
    </row>
    <row r="53" spans="2:16" ht="21" customHeight="1">
      <c r="B53" s="14"/>
      <c r="C53" s="19"/>
      <c r="D53" s="19"/>
      <c r="E53" s="19"/>
      <c r="F53" s="19"/>
      <c r="G53" s="19"/>
      <c r="H53" s="19"/>
      <c r="I53" s="19"/>
      <c r="J53" s="193"/>
      <c r="K53" s="19"/>
      <c r="L53" s="19"/>
      <c r="M53" s="19"/>
      <c r="N53" s="19"/>
      <c r="O53" s="19"/>
      <c r="P53" s="14"/>
    </row>
    <row r="54" spans="2:16" ht="21" customHeight="1">
      <c r="B54" s="14"/>
      <c r="C54" s="19"/>
      <c r="D54" s="19"/>
      <c r="E54" s="19"/>
      <c r="F54" s="19"/>
      <c r="G54" s="19"/>
      <c r="H54" s="19"/>
      <c r="I54" s="19"/>
      <c r="J54" s="193"/>
      <c r="K54" s="19"/>
      <c r="L54" s="19"/>
      <c r="M54" s="19"/>
      <c r="N54" s="19"/>
      <c r="O54" s="19"/>
      <c r="P54" s="14"/>
    </row>
    <row r="55" spans="2:16" ht="21" customHeight="1">
      <c r="B55" s="14"/>
      <c r="C55" s="19"/>
      <c r="D55" s="19"/>
      <c r="E55" s="19"/>
      <c r="F55" s="19"/>
      <c r="G55" s="19"/>
      <c r="H55" s="19"/>
      <c r="I55" s="19"/>
      <c r="J55" s="193"/>
      <c r="K55" s="19"/>
      <c r="L55" s="19"/>
      <c r="M55" s="19"/>
      <c r="N55" s="19"/>
      <c r="O55" s="19"/>
      <c r="P55" s="14"/>
    </row>
    <row r="56" spans="2:16" ht="21" customHeight="1">
      <c r="B56" s="14"/>
      <c r="C56" s="20"/>
      <c r="D56" s="20"/>
      <c r="E56" s="20"/>
      <c r="F56" s="20"/>
      <c r="G56" s="20"/>
      <c r="H56" s="20"/>
      <c r="I56" s="20"/>
      <c r="J56" s="194"/>
      <c r="K56" s="20"/>
      <c r="L56" s="20"/>
      <c r="M56" s="20"/>
      <c r="N56" s="20"/>
      <c r="O56" s="20"/>
      <c r="P56" s="16"/>
    </row>
    <row r="57" spans="2:16" ht="21" customHeight="1">
      <c r="B57" s="317"/>
      <c r="C57" s="317"/>
      <c r="D57" s="317"/>
      <c r="E57" s="317"/>
      <c r="F57" s="317"/>
      <c r="G57" s="317"/>
      <c r="H57" s="317"/>
      <c r="I57" s="317"/>
      <c r="J57" s="317"/>
      <c r="K57" s="317"/>
      <c r="L57" s="317"/>
      <c r="M57" s="317"/>
      <c r="N57" s="317"/>
      <c r="O57" s="317"/>
      <c r="P57" s="317"/>
    </row>
    <row r="58" spans="2:16" ht="21" customHeight="1">
      <c r="B58" s="12"/>
      <c r="C58" s="7"/>
      <c r="D58" s="7"/>
      <c r="E58" s="7"/>
      <c r="F58" s="7"/>
      <c r="G58" s="7"/>
      <c r="H58" s="7"/>
      <c r="I58" s="7"/>
      <c r="J58" s="191"/>
      <c r="K58" s="7"/>
      <c r="L58" s="7"/>
      <c r="M58" s="7"/>
      <c r="N58" s="7"/>
      <c r="O58" s="7"/>
      <c r="P58" s="7"/>
    </row>
    <row r="59" spans="2:16" ht="21" customHeight="1">
      <c r="B59" s="14"/>
      <c r="C59" s="19"/>
      <c r="D59" s="19"/>
      <c r="E59" s="19"/>
      <c r="F59" s="19"/>
      <c r="G59" s="19"/>
      <c r="H59" s="19"/>
      <c r="I59" s="19"/>
      <c r="J59" s="193"/>
      <c r="K59" s="19"/>
      <c r="L59" s="19"/>
      <c r="M59" s="19"/>
      <c r="N59" s="19"/>
      <c r="O59" s="19"/>
      <c r="P59" s="17"/>
    </row>
    <row r="60" spans="2:16" ht="21" customHeight="1">
      <c r="B60" s="14"/>
      <c r="C60" s="19"/>
      <c r="D60" s="19"/>
      <c r="E60" s="19"/>
      <c r="F60" s="19"/>
      <c r="G60" s="19"/>
      <c r="H60" s="19"/>
      <c r="I60" s="19"/>
      <c r="J60" s="193"/>
      <c r="K60" s="19"/>
      <c r="L60" s="19"/>
      <c r="M60" s="19"/>
      <c r="N60" s="19"/>
      <c r="O60" s="19"/>
      <c r="P60" s="17"/>
    </row>
    <row r="61" spans="2:16" ht="21" customHeight="1">
      <c r="B61" s="14"/>
      <c r="C61" s="19"/>
      <c r="D61" s="19"/>
      <c r="E61" s="19"/>
      <c r="F61" s="19"/>
      <c r="G61" s="19"/>
      <c r="H61" s="19"/>
      <c r="I61" s="19"/>
      <c r="J61" s="193"/>
      <c r="K61" s="19"/>
      <c r="L61" s="19"/>
      <c r="M61" s="19"/>
      <c r="N61" s="19"/>
      <c r="O61" s="19"/>
      <c r="P61" s="17"/>
    </row>
    <row r="62" spans="2:16" ht="21" customHeight="1">
      <c r="B62" s="14"/>
      <c r="C62" s="19"/>
      <c r="D62" s="19"/>
      <c r="E62" s="19"/>
      <c r="F62" s="19"/>
      <c r="G62" s="19"/>
      <c r="H62" s="19"/>
      <c r="I62" s="19"/>
      <c r="J62" s="193"/>
      <c r="K62" s="19"/>
      <c r="L62" s="19"/>
      <c r="M62" s="19"/>
      <c r="N62" s="19"/>
      <c r="O62" s="19"/>
      <c r="P62" s="17"/>
    </row>
    <row r="63" spans="2:16" ht="21" customHeight="1">
      <c r="B63" s="14"/>
      <c r="C63" s="19"/>
      <c r="D63" s="19"/>
      <c r="E63" s="19"/>
      <c r="F63" s="19"/>
      <c r="G63" s="19"/>
      <c r="H63" s="19"/>
      <c r="I63" s="19"/>
      <c r="J63" s="193"/>
      <c r="K63" s="19"/>
      <c r="L63" s="19"/>
      <c r="M63" s="19"/>
      <c r="N63" s="19"/>
      <c r="O63" s="19"/>
      <c r="P63" s="17"/>
    </row>
    <row r="64" spans="2:16" ht="21" customHeight="1">
      <c r="B64" s="14"/>
      <c r="C64" s="19"/>
      <c r="D64" s="19"/>
      <c r="E64" s="19"/>
      <c r="F64" s="19"/>
      <c r="G64" s="19"/>
      <c r="H64" s="19"/>
      <c r="I64" s="19"/>
      <c r="J64" s="193"/>
      <c r="K64" s="19"/>
      <c r="L64" s="19"/>
      <c r="M64" s="19"/>
      <c r="N64" s="19"/>
      <c r="O64" s="19"/>
      <c r="P64" s="17"/>
    </row>
    <row r="65" spans="2:16" ht="21" customHeight="1">
      <c r="B65" s="14"/>
      <c r="C65" s="19"/>
      <c r="D65" s="19"/>
      <c r="E65" s="19"/>
      <c r="F65" s="19"/>
      <c r="G65" s="19"/>
      <c r="H65" s="19"/>
      <c r="I65" s="19"/>
      <c r="J65" s="193"/>
      <c r="K65" s="19"/>
      <c r="L65" s="19"/>
      <c r="M65" s="19"/>
      <c r="N65" s="19"/>
      <c r="O65" s="19"/>
      <c r="P65" s="17"/>
    </row>
    <row r="66" spans="2:16" ht="21" customHeight="1">
      <c r="B66" s="14"/>
      <c r="C66" s="19"/>
      <c r="D66" s="19"/>
      <c r="E66" s="19"/>
      <c r="F66" s="19"/>
      <c r="G66" s="19"/>
      <c r="H66" s="19"/>
      <c r="I66" s="19"/>
      <c r="J66" s="193"/>
      <c r="K66" s="19"/>
      <c r="L66" s="19"/>
      <c r="M66" s="19"/>
      <c r="N66" s="19"/>
      <c r="O66" s="19"/>
      <c r="P66" s="17"/>
    </row>
    <row r="67" spans="2:16" ht="21" customHeight="1">
      <c r="B67" s="14"/>
      <c r="C67" s="19"/>
      <c r="D67" s="19"/>
      <c r="E67" s="19"/>
      <c r="F67" s="19"/>
      <c r="G67" s="19"/>
      <c r="H67" s="19"/>
      <c r="I67" s="19"/>
      <c r="J67" s="193"/>
      <c r="K67" s="19"/>
      <c r="L67" s="19"/>
      <c r="M67" s="19"/>
      <c r="N67" s="19"/>
      <c r="O67" s="19"/>
      <c r="P67" s="17"/>
    </row>
    <row r="68" spans="2:16" ht="21" customHeight="1">
      <c r="B68" s="14"/>
      <c r="C68" s="19"/>
      <c r="D68" s="19"/>
      <c r="E68" s="19"/>
      <c r="F68" s="19"/>
      <c r="G68" s="19"/>
      <c r="H68" s="19"/>
      <c r="I68" s="19"/>
      <c r="J68" s="193"/>
      <c r="K68" s="19"/>
      <c r="L68" s="19"/>
      <c r="M68" s="19"/>
      <c r="N68" s="19"/>
      <c r="O68" s="19"/>
      <c r="P68" s="17"/>
    </row>
    <row r="69" spans="2:16" ht="21" customHeight="1">
      <c r="B69" s="14"/>
      <c r="C69" s="19"/>
      <c r="D69" s="19"/>
      <c r="E69" s="19"/>
      <c r="F69" s="19"/>
      <c r="G69" s="19"/>
      <c r="H69" s="19"/>
      <c r="I69" s="19"/>
      <c r="J69" s="193"/>
      <c r="K69" s="19"/>
      <c r="L69" s="19"/>
      <c r="M69" s="19"/>
      <c r="N69" s="19"/>
      <c r="O69" s="19"/>
      <c r="P69" s="17"/>
    </row>
    <row r="70" spans="2:16" ht="21" customHeight="1">
      <c r="B70" s="14"/>
      <c r="C70" s="19"/>
      <c r="D70" s="19"/>
      <c r="E70" s="19"/>
      <c r="F70" s="19"/>
      <c r="G70" s="19"/>
      <c r="H70" s="19"/>
      <c r="I70" s="19"/>
      <c r="J70" s="193"/>
      <c r="K70" s="19"/>
      <c r="L70" s="19"/>
      <c r="M70" s="19"/>
      <c r="N70" s="19"/>
      <c r="O70" s="19"/>
      <c r="P70" s="17"/>
    </row>
    <row r="71" spans="2:16" ht="21" customHeight="1">
      <c r="B71" s="14"/>
      <c r="C71" s="19"/>
      <c r="D71" s="19"/>
      <c r="E71" s="19"/>
      <c r="F71" s="19"/>
      <c r="G71" s="19"/>
      <c r="H71" s="19"/>
      <c r="I71" s="19"/>
      <c r="J71" s="193"/>
      <c r="K71" s="19"/>
      <c r="L71" s="19"/>
      <c r="M71" s="19"/>
      <c r="N71" s="19"/>
      <c r="O71" s="19"/>
      <c r="P71" s="17"/>
    </row>
    <row r="72" spans="2:16" ht="21" customHeight="1">
      <c r="B72" s="14"/>
      <c r="C72" s="19"/>
      <c r="D72" s="19"/>
      <c r="E72" s="19"/>
      <c r="F72" s="19"/>
      <c r="G72" s="19"/>
      <c r="H72" s="19"/>
      <c r="I72" s="19"/>
      <c r="J72" s="193"/>
      <c r="K72" s="19"/>
      <c r="L72" s="19"/>
      <c r="M72" s="19"/>
      <c r="N72" s="19"/>
      <c r="O72" s="19"/>
      <c r="P72" s="17"/>
    </row>
    <row r="73" spans="2:16" ht="21" customHeight="1">
      <c r="B73" s="14"/>
      <c r="C73" s="20"/>
      <c r="D73" s="20"/>
      <c r="E73" s="20"/>
      <c r="F73" s="20"/>
      <c r="G73" s="20"/>
      <c r="H73" s="20"/>
      <c r="I73" s="20"/>
      <c r="J73" s="194"/>
      <c r="K73" s="20"/>
      <c r="L73" s="20"/>
      <c r="M73" s="20"/>
      <c r="N73" s="20"/>
      <c r="O73" s="20"/>
      <c r="P73" s="16"/>
    </row>
  </sheetData>
  <mergeCells count="5">
    <mergeCell ref="L2:M2"/>
    <mergeCell ref="J5:Q5"/>
    <mergeCell ref="B57:P57"/>
    <mergeCell ref="B5:H5"/>
    <mergeCell ref="J16:Q16"/>
  </mergeCells>
  <phoneticPr fontId="6" type="noConversion"/>
  <printOptions horizontalCentered="1"/>
  <pageMargins left="0.25" right="0.25" top="0.75" bottom="0.75" header="0.3" footer="0.3"/>
  <pageSetup scale="65" fitToHeight="0" orientation="landscape" r:id="rId1"/>
  <headerFooter differentFirst="1">
    <oddFooter>Page &amp;P of &amp;N</oddFooter>
  </headerFooter>
  <drawing r:id="rId2"/>
  <extLst>
    <ext xmlns:x14="http://schemas.microsoft.com/office/spreadsheetml/2009/9/main" uri="{05C60535-1F16-4fd2-B633-F4F36F0B64E0}">
      <x14:sparklineGroups xmlns:xm="http://schemas.microsoft.com/office/excel/2006/main">
        <x14:sparklineGroup manualMax="0" manualMin="0" displayEmptyCellsAs="gap" markers="1" high="1" low="1" xr2:uid="{00000000-0003-0000-0000-000002000000}">
          <x14:colorSeries theme="5" tint="0.39997558519241921"/>
          <x14:colorNegative theme="0" tint="-0.499984740745262"/>
          <x14:colorAxis rgb="FF000000"/>
          <x14:colorMarkers theme="5"/>
          <x14:colorFirst theme="6" tint="-0.249977111117893"/>
          <x14:colorLast theme="6" tint="-0.249977111117893"/>
          <x14:colorHigh rgb="FF92D050"/>
          <x14:colorLow rgb="FFFF0000"/>
          <x14:sparklines>
            <x14:sparkline>
              <xm:f>표지!C53:N53</xm:f>
              <xm:sqref>P53</xm:sqref>
            </x14:sparkline>
            <x14:sparkline>
              <xm:f>표지!C54:N54</xm:f>
              <xm:sqref>P54</xm:sqref>
            </x14:sparkline>
            <x14:sparkline>
              <xm:f>표지!C55:N55</xm:f>
              <xm:sqref>P55</xm:sqref>
            </x14:sparkline>
          </x14:sparklines>
        </x14:sparklineGroup>
        <x14:sparklineGroup manualMax="0" manualMin="0" type="column" displayEmptyCellsAs="gap" high="1" low="1" xr2:uid="{00000000-0003-0000-0000-000001000000}">
          <x14:colorSeries theme="5"/>
          <x14:colorNegative rgb="FFFFB620"/>
          <x14:colorAxis rgb="FF000000"/>
          <x14:colorMarkers rgb="FFD70077"/>
          <x14:colorFirst rgb="FF777777"/>
          <x14:colorLast rgb="FF359CEB"/>
          <x14:colorHigh rgb="FFFF0000"/>
          <x14:colorLow rgb="FF92D050"/>
          <x14:sparklines>
            <x14:sparkline>
              <xm:f>표지!C73:N73</xm:f>
              <xm:sqref>P73</xm:sqref>
            </x14:sparkline>
            <x14:sparkline>
              <xm:f>표지!C56:N56</xm:f>
              <xm:sqref>P56</xm:sqref>
            </x14:sparkline>
            <x14:sparkline>
              <xm:f>표지!C50:N50</xm:f>
              <xm:sqref>P50</xm:sqref>
            </x14:sparkline>
          </x14:sparklines>
        </x14:sparklineGroup>
        <x14:sparklineGroup manualMax="0" manualMin="0" displayEmptyCellsAs="span" markers="1" high="1" low="1" displayHidden="1" xr2:uid="{00000000-0003-0000-0000-000000000000}">
          <x14:colorSeries theme="5" tint="0.39997558519241921"/>
          <x14:colorNegative theme="0" tint="-0.499984740745262"/>
          <x14:colorAxis rgb="FF000000"/>
          <x14:colorMarkers theme="5"/>
          <x14:colorFirst theme="6" tint="-0.249977111117893"/>
          <x14:colorLast theme="6" tint="-0.249977111117893"/>
          <x14:colorHigh theme="5"/>
          <x14:colorLow rgb="FFFF0000"/>
          <x14:sparklines>
            <x14:sparkline>
              <xm:f>표지!C59:N59</xm:f>
              <xm:sqref>P59</xm:sqref>
            </x14:sparkline>
            <x14:sparkline>
              <xm:f>표지!C60:N60</xm:f>
              <xm:sqref>P60</xm:sqref>
            </x14:sparkline>
            <x14:sparkline>
              <xm:f>표지!C61:N61</xm:f>
              <xm:sqref>P61</xm:sqref>
            </x14:sparkline>
            <x14:sparkline>
              <xm:f>표지!C62:N62</xm:f>
              <xm:sqref>P62</xm:sqref>
            </x14:sparkline>
            <x14:sparkline>
              <xm:f>표지!C63:N63</xm:f>
              <xm:sqref>P63</xm:sqref>
            </x14:sparkline>
            <x14:sparkline>
              <xm:f>표지!C64:N64</xm:f>
              <xm:sqref>P64</xm:sqref>
            </x14:sparkline>
            <x14:sparkline>
              <xm:f>표지!C65:N65</xm:f>
              <xm:sqref>P65</xm:sqref>
            </x14:sparkline>
            <x14:sparkline>
              <xm:f>표지!C66:N66</xm:f>
              <xm:sqref>P66</xm:sqref>
            </x14:sparkline>
            <x14:sparkline>
              <xm:f>표지!C67:N67</xm:f>
              <xm:sqref>P67</xm:sqref>
            </x14:sparkline>
            <x14:sparkline>
              <xm:f>표지!C68:N68</xm:f>
              <xm:sqref>P68</xm:sqref>
            </x14:sparkline>
            <x14:sparkline>
              <xm:f>표지!C69:N69</xm:f>
              <xm:sqref>P69</xm:sqref>
            </x14:sparkline>
            <x14:sparkline>
              <xm:f>표지!C70:N70</xm:f>
              <xm:sqref>P70</xm:sqref>
            </x14:sparkline>
            <x14:sparkline>
              <xm:f>표지!C71:N71</xm:f>
              <xm:sqref>P71</xm:sqref>
            </x14:sparkline>
            <x14:sparkline>
              <xm:f>표지!C72:N72</xm:f>
              <xm:sqref>P72</xm:sqref>
            </x14:sparkline>
          </x14:sparklines>
        </x14:sparklineGroup>
      </x14:sparklineGroup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>
    <tabColor rgb="FF75CAE5"/>
    <pageSetUpPr autoPageBreaks="0" fitToPage="1"/>
  </sheetPr>
  <dimension ref="A1:W28"/>
  <sheetViews>
    <sheetView showGridLines="0" topLeftCell="A9" zoomScale="85" zoomScaleNormal="85" workbookViewId="0">
      <selection activeCell="H15" sqref="H15:I15"/>
    </sheetView>
  </sheetViews>
  <sheetFormatPr defaultColWidth="9.109375" defaultRowHeight="21" customHeight="1"/>
  <cols>
    <col min="1" max="1" width="1.44140625" style="2" customWidth="1"/>
    <col min="2" max="2" width="23.33203125" style="2" customWidth="1"/>
    <col min="3" max="3" width="18.5546875" style="2" customWidth="1"/>
    <col min="4" max="6" width="12.6640625" style="2" customWidth="1"/>
    <col min="7" max="7" width="29.77734375" style="2" customWidth="1"/>
    <col min="8" max="8" width="13.6640625" style="2" customWidth="1"/>
    <col min="9" max="9" width="13.6640625" style="174" customWidth="1"/>
    <col min="10" max="10" width="12.6640625" style="2" customWidth="1"/>
    <col min="11" max="11" width="20.77734375" style="2" customWidth="1"/>
    <col min="12" max="14" width="12.6640625" style="2" customWidth="1"/>
    <col min="15" max="15" width="10.6640625" style="2" customWidth="1"/>
    <col min="16" max="16" width="10.6640625" style="166" customWidth="1"/>
    <col min="17" max="17" width="15.33203125" style="2" customWidth="1"/>
    <col min="18" max="18" width="10.6640625" style="217" customWidth="1"/>
    <col min="19" max="19" width="10.6640625" style="2" customWidth="1"/>
    <col min="20" max="20" width="11.77734375" style="2" customWidth="1"/>
    <col min="21" max="21" width="25.77734375" style="2" customWidth="1"/>
    <col min="22" max="22" width="46.77734375" style="2" customWidth="1"/>
    <col min="23" max="23" width="30.77734375" style="2" customWidth="1"/>
    <col min="24" max="16384" width="9.109375" style="2"/>
  </cols>
  <sheetData>
    <row r="1" spans="1:23" ht="64.2" customHeight="1">
      <c r="A1" s="1"/>
      <c r="C1" s="26" t="s">
        <v>46</v>
      </c>
      <c r="D1" s="21"/>
      <c r="J1" s="1"/>
      <c r="K1" s="1"/>
      <c r="N1" s="1"/>
      <c r="O1" s="3"/>
      <c r="P1" s="159"/>
      <c r="Q1" s="3"/>
      <c r="R1" s="216"/>
      <c r="S1" s="3"/>
    </row>
    <row r="2" spans="1:23" ht="21" customHeight="1">
      <c r="A2" s="1"/>
      <c r="B2" s="4"/>
      <c r="C2" s="29"/>
      <c r="D2" s="27"/>
      <c r="E2" s="23"/>
      <c r="F2" s="25"/>
      <c r="G2" s="25"/>
      <c r="H2" s="235"/>
      <c r="I2" s="175"/>
      <c r="J2" s="1"/>
      <c r="K2" s="1"/>
      <c r="L2" s="1"/>
      <c r="M2" s="1"/>
      <c r="N2" s="1"/>
      <c r="O2" s="3"/>
      <c r="P2" s="159"/>
      <c r="Q2" s="235"/>
      <c r="R2" s="235" t="s">
        <v>470</v>
      </c>
    </row>
    <row r="3" spans="1:23" ht="21" customHeight="1" thickBot="1">
      <c r="A3" s="1"/>
      <c r="B3" s="1"/>
      <c r="C3" s="1"/>
      <c r="D3" s="1"/>
      <c r="E3" s="1"/>
      <c r="F3" s="1"/>
      <c r="G3" s="1"/>
      <c r="H3" s="236"/>
      <c r="I3" s="175"/>
      <c r="J3" s="1"/>
      <c r="K3" s="1"/>
      <c r="L3" s="1"/>
      <c r="M3" s="148" t="s">
        <v>355</v>
      </c>
      <c r="N3" s="1"/>
      <c r="O3" s="1"/>
      <c r="P3" s="160"/>
      <c r="Q3" s="236"/>
      <c r="R3" s="237">
        <f>(VLOOKUP(C1,'캐릭터 욕구 생성 표'!A1:N12,6,FALSE)+ VLOOKUP(C1,'캐릭터 욕구 생성 표'!A1:N12,12,FALSE))*'스테이지 관련 수치'!B11/2</f>
        <v>40</v>
      </c>
      <c r="S3" s="1"/>
    </row>
    <row r="4" spans="1:23" s="8" customFormat="1" ht="42" customHeight="1" thickTop="1" thickBot="1">
      <c r="A4" s="5"/>
      <c r="B4" s="28" t="s">
        <v>0</v>
      </c>
      <c r="C4" s="41" t="s">
        <v>2</v>
      </c>
      <c r="D4" s="28" t="s">
        <v>1</v>
      </c>
      <c r="E4" s="28" t="s">
        <v>23</v>
      </c>
      <c r="F4" s="28" t="s">
        <v>3</v>
      </c>
      <c r="G4" s="28" t="s">
        <v>4</v>
      </c>
      <c r="H4" s="176" t="s">
        <v>440</v>
      </c>
      <c r="I4" s="176" t="s">
        <v>439</v>
      </c>
      <c r="J4" s="42" t="s">
        <v>5</v>
      </c>
      <c r="K4" s="42" t="s">
        <v>294</v>
      </c>
      <c r="L4" s="43" t="s">
        <v>295</v>
      </c>
      <c r="M4" s="43" t="s">
        <v>8</v>
      </c>
      <c r="N4" s="44" t="s">
        <v>11</v>
      </c>
      <c r="O4" s="224" t="s">
        <v>438</v>
      </c>
      <c r="P4" s="225" t="s">
        <v>437</v>
      </c>
      <c r="Q4" s="44" t="s">
        <v>21</v>
      </c>
      <c r="R4" s="226" t="s">
        <v>447</v>
      </c>
      <c r="S4" s="224" t="s">
        <v>79</v>
      </c>
      <c r="T4" s="44" t="s">
        <v>70</v>
      </c>
      <c r="U4" s="28" t="s">
        <v>409</v>
      </c>
      <c r="V4" s="28" t="s">
        <v>9</v>
      </c>
      <c r="W4" s="28" t="s">
        <v>100</v>
      </c>
    </row>
    <row r="5" spans="1:23" s="11" customFormat="1" ht="99.6" customHeight="1">
      <c r="A5" s="5"/>
      <c r="B5" s="24" t="s">
        <v>49</v>
      </c>
      <c r="C5" s="48"/>
      <c r="D5" s="49">
        <v>8</v>
      </c>
      <c r="E5" s="50">
        <v>8</v>
      </c>
      <c r="F5" s="51">
        <v>9</v>
      </c>
      <c r="G5" s="52"/>
      <c r="H5" s="52" t="s">
        <v>46</v>
      </c>
      <c r="I5" s="177">
        <v>45</v>
      </c>
      <c r="J5" s="52" t="s">
        <v>45</v>
      </c>
      <c r="K5" s="67" t="s">
        <v>180</v>
      </c>
      <c r="L5" s="51">
        <f>ROUND(IF(ISBLANK(tblIncome85[[#This Row],[보너스]]),INDEX('건설 부지에 따른 수치표'!$A$1:$D$13, MATCH(tblIncome85[[#This Row],[건설 부지]], '건설 부지에 따른 수치표'!A:A, 0), MATCH(tblIncome856[[#Headers],[건설 비용 회수 시간]], '건설 부지에 따른 수치표'!$1:$1, 0))*tblIncome85[[#This Row],[수익률]],INDEX('건설 부지에 따른 수치표'!$A$1:$D$13, MATCH(tblIncome85[[#This Row],[건설 부지]], '건설 부지에 따른 수치표'!A:A, 0), MATCH(tblIncome856[[#Headers],[건설 비용 회수 시간]], '건설 부지에 따른 수치표'!$1:$1, 0))*tblIncome85[[#This Row],[수익률]]*1.2), -1)</f>
        <v>650</v>
      </c>
      <c r="M5" s="141">
        <v>2</v>
      </c>
      <c r="N5" s="53">
        <f>tblIncome85[[#This Row],[수용량]]*tblIncome85[[#This Row],[요금]]/tblIncome85[[#This Row],[이용시간]]</f>
        <v>9</v>
      </c>
      <c r="O5" s="54">
        <f>tblIncome85[[#This Row],[수익률]]/tblIncome85[[#This Row],[건설 비용]]</f>
        <v>1.3846153846153847E-2</v>
      </c>
      <c r="P5" s="161">
        <f>tblIncome85[[#This Row],[건설 비용]]/tblIncome85[[#This Row],[수익률]]</f>
        <v>72.222222222222229</v>
      </c>
      <c r="Q5" s="55">
        <f>tblIncome85[[#This Row],[수익률]]/tblIncome85[[#This Row],[건설 부지]]</f>
        <v>4.5</v>
      </c>
      <c r="R5" s="218">
        <f>tblIncome85[[#This Row],[수용량]]*tblIncome85[[#This Row],[욕구 해소량]]/tblIncome85[[#This Row],[이용시간]]</f>
        <v>45</v>
      </c>
      <c r="S5" s="90">
        <f>tblIncome85[[#This Row],[요금]]/tblIncome85[[#This Row],[욕구 해소량]]</f>
        <v>0.2</v>
      </c>
      <c r="T5" s="84">
        <f>tblIncome85[[#This Row],[수용량]]/tblIncome85[[#This Row],[이용시간]]</f>
        <v>1</v>
      </c>
      <c r="U5" s="84"/>
      <c r="V5" s="56" t="s">
        <v>47</v>
      </c>
      <c r="W5" s="56"/>
    </row>
    <row r="6" spans="1:23" ht="100.05" customHeight="1">
      <c r="A6" s="1"/>
      <c r="B6" s="24" t="s">
        <v>50</v>
      </c>
      <c r="C6" s="57"/>
      <c r="D6" s="58">
        <v>14</v>
      </c>
      <c r="E6" s="59">
        <v>12</v>
      </c>
      <c r="F6" s="60">
        <v>13</v>
      </c>
      <c r="G6" s="61"/>
      <c r="H6" s="52" t="s">
        <v>46</v>
      </c>
      <c r="I6" s="178">
        <v>50</v>
      </c>
      <c r="J6" s="61" t="s">
        <v>51</v>
      </c>
      <c r="K6" s="68"/>
      <c r="L6" s="51">
        <f>ROUND(IF(ISBLANK(tblIncome85[[#This Row],[보너스]]),INDEX('건설 부지에 따른 수치표'!$A$1:$D$13, MATCH(tblIncome85[[#This Row],[건설 부지]], '건설 부지에 따른 수치표'!A:A, 0), MATCH(tblIncome856[[#Headers],[건설 비용 회수 시간]], '건설 부지에 따른 수치표'!$1:$1, 0))*tblIncome85[[#This Row],[수익률]],INDEX('건설 부지에 따른 수치표'!$A$1:$D$13, MATCH(tblIncome85[[#This Row],[건설 부지]], '건설 부지에 따른 수치표'!A:A, 0), MATCH(tblIncome856[[#Headers],[건설 비용 회수 시간]], '건설 부지에 따른 수치표'!$1:$1, 0))*tblIncome85[[#This Row],[수익률]]*1.2), -1)</f>
        <v>1060</v>
      </c>
      <c r="M6" s="142">
        <v>3</v>
      </c>
      <c r="N6" s="62">
        <f>tblIncome85[[#This Row],[수용량]]*tblIncome85[[#This Row],[요금]]/tblIncome85[[#This Row],[이용시간]]</f>
        <v>15.166666666666666</v>
      </c>
      <c r="O6" s="63">
        <f>tblIncome85[[#This Row],[수익률]]/tblIncome85[[#This Row],[건설 비용]]</f>
        <v>1.4308176100628931E-2</v>
      </c>
      <c r="P6" s="162">
        <f>tblIncome85[[#This Row],[건설 비용]]/tblIncome85[[#This Row],[수익률]]</f>
        <v>69.890109890109898</v>
      </c>
      <c r="Q6" s="64">
        <f>tblIncome85[[#This Row],[수익률]]/tblIncome85[[#This Row],[건설 부지]]</f>
        <v>5.0555555555555554</v>
      </c>
      <c r="R6" s="218">
        <f>tblIncome85[[#This Row],[수용량]]*tblIncome85[[#This Row],[욕구 해소량]]/tblIncome85[[#This Row],[이용시간]]</f>
        <v>58.333333333333336</v>
      </c>
      <c r="S6" s="90">
        <f>tblIncome85[[#This Row],[요금]]/tblIncome85[[#This Row],[욕구 해소량]]</f>
        <v>0.26</v>
      </c>
      <c r="T6" s="85">
        <f>tblIncome85[[#This Row],[수용량]]/tblIncome85[[#This Row],[이용시간]]</f>
        <v>1.1666666666666667</v>
      </c>
      <c r="U6" s="85"/>
      <c r="V6" s="65" t="s">
        <v>52</v>
      </c>
      <c r="W6" s="65"/>
    </row>
    <row r="7" spans="1:23" ht="100.05" customHeight="1">
      <c r="A7" s="1"/>
      <c r="B7" s="24" t="s">
        <v>54</v>
      </c>
      <c r="C7" s="57"/>
      <c r="D7" s="58">
        <v>20</v>
      </c>
      <c r="E7" s="59">
        <v>20</v>
      </c>
      <c r="F7" s="60">
        <v>22</v>
      </c>
      <c r="G7" s="61"/>
      <c r="H7" s="52" t="s">
        <v>46</v>
      </c>
      <c r="I7" s="178">
        <v>60</v>
      </c>
      <c r="J7" s="61" t="s">
        <v>271</v>
      </c>
      <c r="K7" s="68"/>
      <c r="L7" s="51">
        <f>ROUND(IF(ISBLANK(tblIncome85[[#This Row],[보너스]]),INDEX('건설 부지에 따른 수치표'!$A$1:$D$13, MATCH(tblIncome85[[#This Row],[건설 부지]], '건설 부지에 따른 수치표'!A:A, 0), MATCH(tblIncome856[[#Headers],[건설 비용 회수 시간]], '건설 부지에 따른 수치표'!$1:$1, 0))*tblIncome85[[#This Row],[수익률]],INDEX('건설 부지에 따른 수치표'!$A$1:$D$13, MATCH(tblIncome85[[#This Row],[건설 부지]], '건설 부지에 따른 수치표'!A:A, 0), MATCH(tblIncome856[[#Headers],[건설 비용 회수 시간]], '건설 부지에 따른 수치표'!$1:$1, 0))*tblIncome85[[#This Row],[수익률]]*1.2), -1)</f>
        <v>2090</v>
      </c>
      <c r="M7" s="142">
        <v>4</v>
      </c>
      <c r="N7" s="62">
        <f>tblIncome85[[#This Row],[수용량]]*tblIncome85[[#This Row],[요금]]/tblIncome85[[#This Row],[이용시간]]</f>
        <v>22</v>
      </c>
      <c r="O7" s="63">
        <f>tblIncome85[[#This Row],[수익률]]/tblIncome85[[#This Row],[건설 비용]]</f>
        <v>1.0526315789473684E-2</v>
      </c>
      <c r="P7" s="162">
        <f>tblIncome85[[#This Row],[건설 비용]]/tblIncome85[[#This Row],[수익률]]</f>
        <v>95</v>
      </c>
      <c r="Q7" s="64">
        <f>tblIncome85[[#This Row],[수익률]]/tblIncome85[[#This Row],[건설 부지]]</f>
        <v>5.5</v>
      </c>
      <c r="R7" s="218">
        <f>tblIncome85[[#This Row],[수용량]]*tblIncome85[[#This Row],[욕구 해소량]]/tblIncome85[[#This Row],[이용시간]]</f>
        <v>60</v>
      </c>
      <c r="S7" s="90">
        <f>tblIncome85[[#This Row],[요금]]/tblIncome85[[#This Row],[욕구 해소량]]</f>
        <v>0.36666666666666664</v>
      </c>
      <c r="T7" s="85">
        <f>tblIncome85[[#This Row],[수용량]]/tblIncome85[[#This Row],[이용시간]]</f>
        <v>1</v>
      </c>
      <c r="U7" s="85" t="s">
        <v>432</v>
      </c>
      <c r="V7" s="65" t="s">
        <v>272</v>
      </c>
      <c r="W7" s="65"/>
    </row>
    <row r="8" spans="1:23" s="15" customFormat="1" ht="100.05" customHeight="1">
      <c r="A8" s="13"/>
      <c r="B8" s="24" t="s">
        <v>55</v>
      </c>
      <c r="C8" s="57"/>
      <c r="D8" s="58">
        <v>25</v>
      </c>
      <c r="E8" s="59">
        <v>20</v>
      </c>
      <c r="F8" s="60">
        <v>30</v>
      </c>
      <c r="G8" s="61"/>
      <c r="H8" s="52" t="s">
        <v>46</v>
      </c>
      <c r="I8" s="178">
        <v>60</v>
      </c>
      <c r="J8" s="61" t="s">
        <v>51</v>
      </c>
      <c r="K8" s="68"/>
      <c r="L8" s="51">
        <f>ROUND(IF(ISBLANK(tblIncome85[[#This Row],[보너스]]),INDEX('건설 부지에 따른 수치표'!$A$1:$D$13, MATCH(tblIncome85[[#This Row],[건설 부지]], '건설 부지에 따른 수치표'!A:A, 0), MATCH(tblIncome856[[#Headers],[건설 비용 회수 시간]], '건설 부지에 따른 수치표'!$1:$1, 0))*tblIncome85[[#This Row],[수익률]],INDEX('건설 부지에 따른 수치표'!$A$1:$D$13, MATCH(tblIncome85[[#This Row],[건설 부지]], '건설 부지에 따른 수치표'!A:A, 0), MATCH(tblIncome856[[#Headers],[건설 비용 회수 시간]], '건설 부지에 따른 수치표'!$1:$1, 0))*tblIncome85[[#This Row],[수익률]]*1.2), -1)</f>
        <v>4500</v>
      </c>
      <c r="M8" s="142">
        <v>5</v>
      </c>
      <c r="N8" s="62">
        <f>tblIncome85[[#This Row],[수용량]]*tblIncome85[[#This Row],[요금]]/tblIncome85[[#This Row],[이용시간]]</f>
        <v>37.5</v>
      </c>
      <c r="O8" s="63">
        <f>tblIncome85[[#This Row],[수익률]]/tblIncome85[[#This Row],[건설 비용]]</f>
        <v>8.3333333333333332E-3</v>
      </c>
      <c r="P8" s="162">
        <f>tblIncome85[[#This Row],[건설 비용]]/tblIncome85[[#This Row],[수익률]]</f>
        <v>120</v>
      </c>
      <c r="Q8" s="64">
        <f>tblIncome85[[#This Row],[수익률]]/tblIncome85[[#This Row],[건설 부지]]</f>
        <v>7.5</v>
      </c>
      <c r="R8" s="218">
        <f>tblIncome85[[#This Row],[수용량]]*tblIncome85[[#This Row],[욕구 해소량]]/tblIncome85[[#This Row],[이용시간]]</f>
        <v>75</v>
      </c>
      <c r="S8" s="90">
        <f>tblIncome85[[#This Row],[요금]]/tblIncome85[[#This Row],[욕구 해소량]]</f>
        <v>0.5</v>
      </c>
      <c r="T8" s="85">
        <f>tblIncome85[[#This Row],[수용량]]/tblIncome85[[#This Row],[이용시간]]</f>
        <v>1.25</v>
      </c>
      <c r="U8" s="85" t="s">
        <v>433</v>
      </c>
      <c r="V8" s="65" t="s">
        <v>56</v>
      </c>
      <c r="W8" s="65"/>
    </row>
    <row r="9" spans="1:23" s="9" customFormat="1" ht="100.05" customHeight="1">
      <c r="B9" s="47" t="s">
        <v>88</v>
      </c>
      <c r="C9" s="57"/>
      <c r="D9" s="58">
        <v>20</v>
      </c>
      <c r="E9" s="59">
        <v>20</v>
      </c>
      <c r="F9" s="60">
        <v>40</v>
      </c>
      <c r="G9" s="61"/>
      <c r="H9" s="52" t="s">
        <v>46</v>
      </c>
      <c r="I9" s="178">
        <v>55</v>
      </c>
      <c r="J9" s="61" t="s">
        <v>271</v>
      </c>
      <c r="K9" s="68" t="s">
        <v>434</v>
      </c>
      <c r="L9" s="51">
        <f>ROUND(IF(ISBLANK(tblIncome85[[#This Row],[보너스]]),INDEX('건설 부지에 따른 수치표'!$A$1:$D$13, MATCH(tblIncome85[[#This Row],[건설 부지]], '건설 부지에 따른 수치표'!A:A, 0), MATCH(tblIncome856[[#Headers],[건설 비용 회수 시간]], '건설 부지에 따른 수치표'!$1:$1, 0))*tblIncome85[[#This Row],[수익률]],INDEX('건설 부지에 따른 수치표'!$A$1:$D$13, MATCH(tblIncome85[[#This Row],[건설 부지]], '건설 부지에 따른 수치표'!A:A, 0), MATCH(tblIncome856[[#Headers],[건설 비용 회수 시간]], '건설 부지에 따른 수치표'!$1:$1, 0))*tblIncome85[[#This Row],[수익률]]*1.2), -1)</f>
        <v>7200</v>
      </c>
      <c r="M9" s="142">
        <v>6</v>
      </c>
      <c r="N9" s="62">
        <f>tblIncome85[[#This Row],[수용량]]*tblIncome85[[#This Row],[요금]]/tblIncome85[[#This Row],[이용시간]]</f>
        <v>40</v>
      </c>
      <c r="O9" s="63">
        <f>tblIncome85[[#This Row],[수익률]]/tblIncome85[[#This Row],[건설 비용]]</f>
        <v>5.5555555555555558E-3</v>
      </c>
      <c r="P9" s="162">
        <f>tblIncome85[[#This Row],[건설 비용]]/tblIncome85[[#This Row],[수익률]]</f>
        <v>180</v>
      </c>
      <c r="Q9" s="64">
        <f>tblIncome85[[#This Row],[수익률]]/tblIncome85[[#This Row],[건설 부지]]</f>
        <v>6.666666666666667</v>
      </c>
      <c r="R9" s="218">
        <f>tblIncome85[[#This Row],[수용량]]*tblIncome85[[#This Row],[욕구 해소량]]/tblIncome85[[#This Row],[이용시간]]</f>
        <v>55</v>
      </c>
      <c r="S9" s="90">
        <f>tblIncome85[[#This Row],[요금]]/tblIncome85[[#This Row],[욕구 해소량]]</f>
        <v>0.72727272727272729</v>
      </c>
      <c r="T9" s="85">
        <f>tblIncome85[[#This Row],[수용량]]/tblIncome85[[#This Row],[이용시간]]</f>
        <v>1</v>
      </c>
      <c r="U9" s="85" t="s">
        <v>432</v>
      </c>
      <c r="V9" s="65" t="s">
        <v>89</v>
      </c>
      <c r="W9" s="65"/>
    </row>
    <row r="10" spans="1:23" s="15" customFormat="1" ht="100.05" customHeight="1">
      <c r="A10" s="13"/>
      <c r="B10" s="47" t="s">
        <v>273</v>
      </c>
      <c r="C10" s="57"/>
      <c r="D10" s="58">
        <v>30</v>
      </c>
      <c r="E10" s="59">
        <v>25</v>
      </c>
      <c r="F10" s="60">
        <v>60</v>
      </c>
      <c r="G10" s="61"/>
      <c r="H10" s="52" t="s">
        <v>46</v>
      </c>
      <c r="I10" s="178">
        <v>55</v>
      </c>
      <c r="J10" s="61" t="s">
        <v>51</v>
      </c>
      <c r="K10" s="68" t="s">
        <v>510</v>
      </c>
      <c r="L10" s="51">
        <f>ROUND(IF(ISBLANK(tblIncome85[[#This Row],[보너스]]),INDEX('건설 부지에 따른 수치표'!$A$1:$D$13, MATCH(tblIncome85[[#This Row],[건설 부지]], '건설 부지에 따른 수치표'!A:A, 0), MATCH(tblIncome856[[#Headers],[건설 비용 회수 시간]], '건설 부지에 따른 수치표'!$1:$1, 0))*tblIncome85[[#This Row],[수익률]],INDEX('건설 부지에 따른 수치표'!$A$1:$D$13, MATCH(tblIncome85[[#This Row],[건설 부지]], '건설 부지에 따른 수치표'!A:A, 0), MATCH(tblIncome856[[#Headers],[건설 비용 회수 시간]], '건설 부지에 따른 수치표'!$1:$1, 0))*tblIncome85[[#This Row],[수익률]]*1.2), -1)</f>
        <v>20300</v>
      </c>
      <c r="M10" s="142">
        <v>8</v>
      </c>
      <c r="N10" s="62">
        <f>tblIncome85[[#This Row],[수용량]]*tblIncome85[[#This Row],[요금]]/tblIncome85[[#This Row],[이용시간]]</f>
        <v>72</v>
      </c>
      <c r="O10" s="63">
        <f>tblIncome85[[#This Row],[수익률]]/tblIncome85[[#This Row],[건설 비용]]</f>
        <v>3.5467980295566504E-3</v>
      </c>
      <c r="P10" s="162">
        <f>tblIncome85[[#This Row],[건설 비용]]/tblIncome85[[#This Row],[수익률]]</f>
        <v>281.94444444444446</v>
      </c>
      <c r="Q10" s="64">
        <f>tblIncome85[[#This Row],[수익률]]/tblIncome85[[#This Row],[건설 부지]]</f>
        <v>9</v>
      </c>
      <c r="R10" s="218">
        <f>tblIncome85[[#This Row],[수용량]]*tblIncome85[[#This Row],[욕구 해소량]]/tblIncome85[[#This Row],[이용시간]]</f>
        <v>66</v>
      </c>
      <c r="S10" s="90">
        <f>tblIncome85[[#This Row],[요금]]/tblIncome85[[#This Row],[욕구 해소량]]</f>
        <v>1.0909090909090908</v>
      </c>
      <c r="T10" s="85">
        <f>tblIncome85[[#This Row],[수용량]]/tblIncome85[[#This Row],[이용시간]]</f>
        <v>1.2</v>
      </c>
      <c r="U10" s="157" t="s">
        <v>436</v>
      </c>
      <c r="V10" s="65" t="s">
        <v>274</v>
      </c>
      <c r="W10" s="65" t="s">
        <v>275</v>
      </c>
    </row>
    <row r="11" spans="1:23" ht="100.05" customHeight="1">
      <c r="A11" s="1"/>
      <c r="B11" s="47" t="s">
        <v>322</v>
      </c>
      <c r="C11" s="57"/>
      <c r="D11" s="58">
        <v>30</v>
      </c>
      <c r="E11" s="59">
        <v>25</v>
      </c>
      <c r="F11" s="60">
        <v>75</v>
      </c>
      <c r="G11" s="61"/>
      <c r="H11" s="52" t="s">
        <v>46</v>
      </c>
      <c r="I11" s="178">
        <v>55</v>
      </c>
      <c r="J11" s="61" t="s">
        <v>323</v>
      </c>
      <c r="K11" s="68"/>
      <c r="L11" s="51">
        <f>ROUND(IF(ISBLANK(tblIncome85[[#This Row],[보너스]]),INDEX('건설 부지에 따른 수치표'!$A$1:$D$13, MATCH(tblIncome85[[#This Row],[건설 부지]], '건설 부지에 따른 수치표'!A:A, 0), MATCH(tblIncome856[[#Headers],[건설 비용 회수 시간]], '건설 부지에 따른 수치표'!$1:$1, 0))*tblIncome85[[#This Row],[수익률]],INDEX('건설 부지에 따른 수치표'!$A$1:$D$13, MATCH(tblIncome85[[#This Row],[건설 부지]], '건설 부지에 따른 수치표'!A:A, 0), MATCH(tblIncome856[[#Headers],[건설 비용 회수 시간]], '건설 부지에 따른 수치표'!$1:$1, 0))*tblIncome85[[#This Row],[수익률]]*1.2), -1)</f>
        <v>27000</v>
      </c>
      <c r="M11" s="142">
        <v>9</v>
      </c>
      <c r="N11" s="62">
        <f>tblIncome85[[#This Row],[수용량]]*tblIncome85[[#This Row],[요금]]/tblIncome85[[#This Row],[이용시간]]</f>
        <v>90</v>
      </c>
      <c r="O11" s="63">
        <f>tblIncome85[[#This Row],[수익률]]/tblIncome85[[#This Row],[건설 비용]]</f>
        <v>3.3333333333333335E-3</v>
      </c>
      <c r="P11" s="162">
        <f>tblIncome85[[#This Row],[건설 비용]]/tblIncome85[[#This Row],[수익률]]</f>
        <v>300</v>
      </c>
      <c r="Q11" s="64">
        <f>tblIncome85[[#This Row],[수익률]]/tblIncome85[[#This Row],[건설 부지]]</f>
        <v>10</v>
      </c>
      <c r="R11" s="218">
        <f>tblIncome85[[#This Row],[수용량]]*tblIncome85[[#This Row],[욕구 해소량]]/tblIncome85[[#This Row],[이용시간]]</f>
        <v>66</v>
      </c>
      <c r="S11" s="90">
        <f>tblIncome85[[#This Row],[요금]]/tblIncome85[[#This Row],[욕구 해소량]]</f>
        <v>1.3636363636363635</v>
      </c>
      <c r="T11" s="85">
        <f>tblIncome85[[#This Row],[수용량]]/tblIncome85[[#This Row],[이용시간]]</f>
        <v>1.2</v>
      </c>
      <c r="U11" s="157" t="s">
        <v>435</v>
      </c>
      <c r="V11" s="65" t="s">
        <v>324</v>
      </c>
      <c r="W11" s="65"/>
    </row>
    <row r="12" spans="1:23" ht="100.05" customHeight="1">
      <c r="A12" s="1"/>
      <c r="B12" s="66"/>
      <c r="C12" s="66"/>
      <c r="D12" s="66"/>
      <c r="E12" s="66"/>
      <c r="F12" s="66"/>
      <c r="G12" s="66"/>
      <c r="H12" s="158"/>
      <c r="I12" s="179"/>
      <c r="J12" s="66"/>
      <c r="K12" s="66"/>
      <c r="L12" s="66"/>
      <c r="M12" s="66"/>
      <c r="N12" s="66"/>
      <c r="O12" s="66"/>
      <c r="P12" s="163"/>
      <c r="Q12" s="66"/>
      <c r="R12" s="219"/>
      <c r="S12" s="66"/>
    </row>
    <row r="13" spans="1:23" ht="21" customHeight="1">
      <c r="A13" s="1"/>
      <c r="B13" s="12"/>
      <c r="C13" s="7"/>
      <c r="D13" s="7"/>
      <c r="E13" s="7"/>
      <c r="F13" s="7"/>
      <c r="G13" s="7"/>
      <c r="H13" s="7"/>
      <c r="I13" s="180"/>
      <c r="J13" s="7"/>
      <c r="K13" s="7"/>
      <c r="L13" s="7"/>
      <c r="M13" s="7"/>
      <c r="N13" s="7"/>
      <c r="O13" s="7"/>
      <c r="P13" s="164"/>
      <c r="Q13" s="7"/>
      <c r="R13" s="220"/>
      <c r="S13" s="7"/>
    </row>
    <row r="14" spans="1:23" ht="21" customHeight="1">
      <c r="A14" s="1"/>
      <c r="B14" s="46"/>
      <c r="C14" s="19"/>
      <c r="D14" s="19"/>
      <c r="E14" s="19"/>
      <c r="F14" s="19"/>
      <c r="G14" s="19"/>
      <c r="H14" s="19"/>
      <c r="I14" s="181"/>
      <c r="J14" s="19"/>
      <c r="K14" s="19"/>
      <c r="L14" s="19"/>
      <c r="M14" s="19"/>
      <c r="N14" s="19"/>
      <c r="O14" s="19"/>
      <c r="P14" s="165"/>
      <c r="Q14" s="19"/>
      <c r="R14" s="221"/>
      <c r="S14" s="17"/>
    </row>
    <row r="15" spans="1:23" ht="60" customHeight="1" thickBot="1">
      <c r="A15" s="1"/>
      <c r="B15" s="46"/>
      <c r="C15" s="152" t="s">
        <v>348</v>
      </c>
      <c r="D15" s="263" t="s">
        <v>489</v>
      </c>
      <c r="F15" s="19"/>
      <c r="G15" s="19"/>
      <c r="H15" s="319" t="s">
        <v>355</v>
      </c>
      <c r="I15" s="319"/>
      <c r="Q15" s="19"/>
      <c r="R15" s="221"/>
      <c r="S15" s="17"/>
    </row>
    <row r="16" spans="1:23" ht="21" customHeight="1" thickTop="1" thickBot="1">
      <c r="A16" s="1"/>
      <c r="B16" s="138" t="s">
        <v>0</v>
      </c>
      <c r="C16" s="151" t="s">
        <v>2</v>
      </c>
      <c r="D16" s="324" t="s">
        <v>6</v>
      </c>
      <c r="E16" s="325"/>
      <c r="F16" s="326"/>
      <c r="G16" s="149" t="s">
        <v>295</v>
      </c>
      <c r="H16" s="339" t="s">
        <v>8</v>
      </c>
      <c r="I16" s="340"/>
      <c r="J16" s="324" t="s">
        <v>9</v>
      </c>
      <c r="K16" s="325"/>
      <c r="L16" s="326"/>
      <c r="M16" s="324" t="s">
        <v>100</v>
      </c>
      <c r="N16" s="325"/>
      <c r="O16" s="325"/>
      <c r="P16" s="167"/>
      <c r="Q16" s="19"/>
      <c r="R16" s="221"/>
      <c r="S16" s="17"/>
    </row>
    <row r="17" spans="1:19" ht="100.05" customHeight="1" thickTop="1" thickBot="1">
      <c r="A17" s="1"/>
      <c r="B17" s="140" t="s">
        <v>367</v>
      </c>
      <c r="C17" s="153"/>
      <c r="D17" s="320" t="s">
        <v>485</v>
      </c>
      <c r="E17" s="320"/>
      <c r="F17" s="320"/>
      <c r="G17" s="264">
        <v>0.15</v>
      </c>
      <c r="H17" s="335">
        <v>2</v>
      </c>
      <c r="I17" s="336"/>
      <c r="J17" s="332" t="s">
        <v>368</v>
      </c>
      <c r="K17" s="333"/>
      <c r="L17" s="334"/>
      <c r="M17" s="332"/>
      <c r="N17" s="333"/>
      <c r="O17" s="334"/>
      <c r="P17" s="168"/>
      <c r="Q17" s="19"/>
      <c r="R17" s="221"/>
      <c r="S17" s="17"/>
    </row>
    <row r="18" spans="1:19" ht="100.05" customHeight="1" thickTop="1" thickBot="1">
      <c r="A18" s="1"/>
      <c r="B18" s="140" t="s">
        <v>366</v>
      </c>
      <c r="C18" s="150"/>
      <c r="D18" s="321" t="s">
        <v>365</v>
      </c>
      <c r="E18" s="322"/>
      <c r="F18" s="323"/>
      <c r="G18" s="264">
        <v>0.2</v>
      </c>
      <c r="H18" s="337">
        <v>2</v>
      </c>
      <c r="I18" s="338"/>
      <c r="J18" s="329" t="s">
        <v>369</v>
      </c>
      <c r="K18" s="330"/>
      <c r="L18" s="331"/>
      <c r="M18" s="327"/>
      <c r="N18" s="328"/>
      <c r="O18" s="328"/>
      <c r="P18" s="169"/>
      <c r="Q18" s="19"/>
      <c r="R18" s="221"/>
      <c r="S18" s="17"/>
    </row>
    <row r="19" spans="1:19" ht="100.05" customHeight="1" thickTop="1" thickBot="1">
      <c r="A19" s="1"/>
      <c r="B19" s="140" t="s">
        <v>351</v>
      </c>
      <c r="C19" s="150"/>
      <c r="D19" s="320" t="s">
        <v>486</v>
      </c>
      <c r="E19" s="320"/>
      <c r="F19" s="320"/>
      <c r="G19" s="264">
        <v>0.3</v>
      </c>
      <c r="H19" s="337">
        <v>4</v>
      </c>
      <c r="I19" s="338"/>
      <c r="J19" s="329" t="s">
        <v>370</v>
      </c>
      <c r="K19" s="330"/>
      <c r="L19" s="331"/>
      <c r="M19" s="327" t="s">
        <v>358</v>
      </c>
      <c r="N19" s="328"/>
      <c r="O19" s="328"/>
      <c r="P19" s="169"/>
      <c r="Q19" s="19"/>
      <c r="R19" s="221"/>
      <c r="S19" s="17"/>
    </row>
    <row r="20" spans="1:19" ht="100.05" customHeight="1" thickTop="1" thickBot="1">
      <c r="A20" s="1"/>
      <c r="B20" s="155" t="s">
        <v>359</v>
      </c>
      <c r="C20" s="150"/>
      <c r="D20" s="320" t="s">
        <v>360</v>
      </c>
      <c r="E20" s="320"/>
      <c r="F20" s="320"/>
      <c r="G20" s="264">
        <v>0.15</v>
      </c>
      <c r="H20" s="337">
        <v>2</v>
      </c>
      <c r="I20" s="338"/>
      <c r="J20" s="329" t="s">
        <v>371</v>
      </c>
      <c r="K20" s="330"/>
      <c r="L20" s="331"/>
      <c r="M20" s="327" t="s">
        <v>358</v>
      </c>
      <c r="N20" s="328"/>
      <c r="O20" s="328"/>
      <c r="P20" s="169"/>
      <c r="Q20" s="19"/>
      <c r="R20" s="221"/>
      <c r="S20" s="17"/>
    </row>
    <row r="21" spans="1:19" ht="100.05" customHeight="1" thickTop="1">
      <c r="A21" s="1"/>
      <c r="B21" s="14"/>
      <c r="C21" s="19"/>
      <c r="D21" s="19"/>
      <c r="E21" s="19"/>
      <c r="F21" s="19"/>
      <c r="G21" s="19"/>
      <c r="H21" s="19"/>
      <c r="I21" s="181"/>
      <c r="J21" s="19"/>
      <c r="K21" s="19"/>
      <c r="L21" s="19"/>
      <c r="M21" s="19"/>
      <c r="N21" s="19"/>
      <c r="O21" s="19"/>
      <c r="P21" s="165"/>
      <c r="Q21" s="19"/>
      <c r="R21" s="221"/>
      <c r="S21" s="17"/>
    </row>
    <row r="22" spans="1:19" ht="100.05" customHeight="1">
      <c r="A22" s="1"/>
      <c r="B22" s="14"/>
      <c r="C22" s="19"/>
      <c r="D22" s="19"/>
      <c r="E22" s="19"/>
      <c r="F22" s="19"/>
      <c r="G22" s="19"/>
      <c r="H22" s="19"/>
      <c r="I22" s="181"/>
      <c r="J22" s="19"/>
      <c r="K22" s="19"/>
      <c r="L22" s="19"/>
      <c r="M22" s="19"/>
      <c r="N22" s="19"/>
      <c r="O22" s="19"/>
      <c r="P22" s="165"/>
      <c r="Q22" s="19"/>
      <c r="R22" s="221"/>
      <c r="S22" s="17"/>
    </row>
    <row r="23" spans="1:19" ht="100.05" customHeight="1">
      <c r="A23" s="1"/>
      <c r="B23" s="14"/>
      <c r="C23" s="19"/>
      <c r="D23" s="19"/>
      <c r="E23" s="19"/>
      <c r="F23" s="19"/>
      <c r="G23" s="19"/>
      <c r="H23" s="19"/>
      <c r="I23" s="181"/>
      <c r="J23" s="19"/>
      <c r="K23" s="19"/>
      <c r="L23" s="19"/>
      <c r="M23" s="19"/>
      <c r="N23" s="19"/>
      <c r="O23" s="19"/>
      <c r="P23" s="165"/>
      <c r="Q23" s="19"/>
      <c r="R23" s="221"/>
      <c r="S23" s="17"/>
    </row>
    <row r="24" spans="1:19" ht="100.05" customHeight="1">
      <c r="A24" s="1"/>
      <c r="B24" s="14"/>
      <c r="C24" s="19"/>
      <c r="D24" s="19"/>
      <c r="E24" s="19"/>
      <c r="F24" s="19"/>
      <c r="G24" s="19"/>
      <c r="H24" s="19"/>
      <c r="I24" s="181"/>
      <c r="J24" s="19"/>
      <c r="K24" s="19"/>
      <c r="L24" s="19"/>
      <c r="M24" s="19"/>
      <c r="N24" s="19"/>
      <c r="O24" s="19"/>
      <c r="P24" s="165"/>
      <c r="Q24" s="19"/>
      <c r="R24" s="221"/>
      <c r="S24" s="17"/>
    </row>
    <row r="25" spans="1:19" ht="100.05" customHeight="1">
      <c r="A25" s="1"/>
      <c r="B25" s="14"/>
      <c r="C25" s="19"/>
      <c r="D25" s="19"/>
      <c r="E25" s="19"/>
      <c r="F25" s="19"/>
      <c r="G25" s="19"/>
      <c r="H25" s="19"/>
      <c r="I25" s="181"/>
      <c r="J25" s="19"/>
      <c r="K25" s="19"/>
      <c r="L25" s="19"/>
      <c r="M25" s="19"/>
      <c r="N25" s="19"/>
      <c r="O25" s="19"/>
      <c r="P25" s="165"/>
      <c r="Q25" s="19"/>
      <c r="R25" s="221"/>
      <c r="S25" s="17"/>
    </row>
    <row r="26" spans="1:19" ht="21" customHeight="1">
      <c r="A26" s="1"/>
      <c r="B26" s="14"/>
      <c r="C26" s="19"/>
      <c r="D26" s="19"/>
      <c r="E26" s="19"/>
      <c r="F26" s="19"/>
      <c r="G26" s="19"/>
      <c r="H26" s="19"/>
      <c r="I26" s="181"/>
      <c r="J26" s="19"/>
      <c r="K26" s="19"/>
      <c r="L26" s="19"/>
      <c r="M26" s="19"/>
      <c r="N26" s="19"/>
      <c r="O26" s="19"/>
      <c r="P26" s="165"/>
      <c r="Q26" s="19"/>
      <c r="R26" s="221"/>
      <c r="S26" s="17"/>
    </row>
    <row r="27" spans="1:19" s="3" customFormat="1" ht="21" customHeight="1">
      <c r="B27" s="14"/>
      <c r="C27" s="19"/>
      <c r="D27" s="19"/>
      <c r="E27" s="19"/>
      <c r="F27" s="19"/>
      <c r="G27" s="19"/>
      <c r="H27" s="19"/>
      <c r="I27" s="181"/>
      <c r="J27" s="19"/>
      <c r="K27" s="19"/>
      <c r="L27" s="19"/>
      <c r="M27" s="19"/>
      <c r="N27" s="19"/>
      <c r="O27" s="19"/>
      <c r="P27" s="165"/>
      <c r="Q27" s="19"/>
      <c r="R27" s="221"/>
      <c r="S27" s="17"/>
    </row>
    <row r="28" spans="1:19" ht="21" customHeight="1">
      <c r="A28" s="1"/>
      <c r="B28" s="14"/>
      <c r="C28" s="20"/>
      <c r="D28" s="20"/>
      <c r="E28" s="20"/>
      <c r="F28" s="20"/>
      <c r="G28" s="20"/>
      <c r="H28" s="20"/>
      <c r="I28" s="183"/>
      <c r="J28" s="20"/>
      <c r="K28" s="20"/>
      <c r="L28" s="20"/>
      <c r="M28" s="20"/>
      <c r="N28" s="20"/>
      <c r="O28" s="20"/>
      <c r="P28" s="170"/>
      <c r="Q28" s="20"/>
      <c r="R28" s="222"/>
      <c r="S28" s="16"/>
    </row>
  </sheetData>
  <mergeCells count="21">
    <mergeCell ref="M20:O20"/>
    <mergeCell ref="J20:L20"/>
    <mergeCell ref="M17:O17"/>
    <mergeCell ref="J17:L17"/>
    <mergeCell ref="M16:O16"/>
    <mergeCell ref="J16:L16"/>
    <mergeCell ref="M19:O19"/>
    <mergeCell ref="J19:L19"/>
    <mergeCell ref="M18:O18"/>
    <mergeCell ref="J18:L18"/>
    <mergeCell ref="H15:I15"/>
    <mergeCell ref="D20:F20"/>
    <mergeCell ref="D18:F18"/>
    <mergeCell ref="D19:F19"/>
    <mergeCell ref="D16:F16"/>
    <mergeCell ref="D17:F17"/>
    <mergeCell ref="H17:I17"/>
    <mergeCell ref="H18:I18"/>
    <mergeCell ref="H19:I19"/>
    <mergeCell ref="H20:I20"/>
    <mergeCell ref="H16:I16"/>
  </mergeCells>
  <phoneticPr fontId="6" type="noConversion"/>
  <hyperlinks>
    <hyperlink ref="M3" location="음료부지모양" display="부지 모양" xr:uid="{00000000-0004-0000-0100-000000000000}"/>
    <hyperlink ref="H15" location="음료부지모양" display="부지 모양" xr:uid="{052CA7CA-AD89-4956-A7FA-73ECAF9396C1}"/>
    <hyperlink ref="H15:I15" location="음료_애드온_부지" display="부지 모양" xr:uid="{6AE47690-122C-4441-A75A-79CA5BF2297B}"/>
  </hyperlinks>
  <printOptions horizontalCentered="1"/>
  <pageMargins left="0.25" right="0.25" top="0.75" bottom="0.75" header="0.3" footer="0.3"/>
  <pageSetup scale="65" fitToHeight="0" orientation="landscape" r:id="rId1"/>
  <headerFooter differentFirst="1">
    <oddFooter>Page &amp;P of &amp;N</oddFooter>
  </headerFooter>
  <drawing r:id="rId2"/>
  <tableParts count="1">
    <tablePart r:id="rId3"/>
  </tableParts>
  <extLst>
    <ext xmlns:x14="http://schemas.microsoft.com/office/spreadsheetml/2009/9/main" uri="{05C60535-1F16-4fd2-B633-F4F36F0B64E0}">
      <x14:sparklineGroups xmlns:xm="http://schemas.microsoft.com/office/excel/2006/main">
        <x14:sparklineGroup manualMax="0" manualMin="0" type="column" displayEmptyCellsAs="gap" high="1" low="1" xr2:uid="{00000000-0003-0000-0100-000004000000}">
          <x14:colorSeries theme="5"/>
          <x14:colorNegative rgb="FFFFB620"/>
          <x14:colorAxis rgb="FF000000"/>
          <x14:colorMarkers rgb="FFD70077"/>
          <x14:colorFirst rgb="FF777777"/>
          <x14:colorLast rgb="FF359CEB"/>
          <x14:colorHigh rgb="FFFF0000"/>
          <x14:colorLow rgb="FF92D050"/>
          <x14:sparklines>
            <x14:sparkline>
              <xm:f>음료!C28:O28</xm:f>
              <xm:sqref>S28</xm:sqref>
            </x14:sparkline>
          </x14:sparklines>
        </x14:sparklineGroup>
      </x14:sparklineGroup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>
    <tabColor rgb="FF75CAE5"/>
    <pageSetUpPr autoPageBreaks="0" fitToPage="1"/>
  </sheetPr>
  <dimension ref="A1:W28"/>
  <sheetViews>
    <sheetView showGridLines="0" topLeftCell="A13" zoomScale="85" zoomScaleNormal="85" workbookViewId="0">
      <selection activeCell="I14" sqref="I14"/>
    </sheetView>
  </sheetViews>
  <sheetFormatPr defaultColWidth="9.109375" defaultRowHeight="21" customHeight="1"/>
  <cols>
    <col min="1" max="1" width="1.44140625" style="2" customWidth="1"/>
    <col min="2" max="2" width="23.33203125" style="2" customWidth="1"/>
    <col min="3" max="3" width="18.5546875" style="2" customWidth="1"/>
    <col min="4" max="6" width="12.6640625" style="2" customWidth="1"/>
    <col min="7" max="7" width="29.77734375" style="2" customWidth="1"/>
    <col min="8" max="8" width="13.6640625" style="2" customWidth="1"/>
    <col min="9" max="9" width="13.6640625" style="174" customWidth="1"/>
    <col min="10" max="10" width="12.6640625" style="2" customWidth="1"/>
    <col min="11" max="11" width="20.77734375" style="2" customWidth="1"/>
    <col min="12" max="14" width="12.6640625" style="2" customWidth="1"/>
    <col min="15" max="15" width="10.6640625" style="2" customWidth="1"/>
    <col min="16" max="16" width="10.6640625" style="166" customWidth="1"/>
    <col min="17" max="17" width="15.33203125" style="2" customWidth="1"/>
    <col min="18" max="19" width="10.6640625" style="2" customWidth="1"/>
    <col min="20" max="20" width="11.77734375" style="2" customWidth="1"/>
    <col min="21" max="21" width="25.77734375" style="2" customWidth="1"/>
    <col min="22" max="22" width="46.77734375" style="2" customWidth="1"/>
    <col min="23" max="23" width="30.77734375" style="2" customWidth="1"/>
    <col min="24" max="16384" width="9.109375" style="2"/>
  </cols>
  <sheetData>
    <row r="1" spans="1:23" ht="64.2" customHeight="1">
      <c r="A1" s="1"/>
      <c r="C1" s="26" t="s">
        <v>44</v>
      </c>
      <c r="D1" s="21"/>
      <c r="J1" s="1"/>
      <c r="K1" s="1"/>
      <c r="N1" s="1"/>
      <c r="O1" s="3"/>
      <c r="P1" s="159"/>
      <c r="Q1" s="3"/>
      <c r="R1" s="3"/>
      <c r="S1" s="3"/>
    </row>
    <row r="2" spans="1:23" ht="21" customHeight="1">
      <c r="A2" s="1"/>
      <c r="B2" s="4"/>
      <c r="C2" s="29"/>
      <c r="D2" s="27"/>
      <c r="E2" s="23"/>
      <c r="F2" s="25"/>
      <c r="G2" s="25"/>
      <c r="H2" s="235"/>
      <c r="I2" s="175"/>
      <c r="J2" s="1"/>
      <c r="K2" s="1"/>
      <c r="L2" s="1"/>
      <c r="M2" s="1"/>
      <c r="N2" s="1"/>
      <c r="O2" s="3"/>
      <c r="P2" s="159"/>
      <c r="R2" s="235" t="s">
        <v>470</v>
      </c>
    </row>
    <row r="3" spans="1:23" ht="21" customHeight="1" thickBot="1">
      <c r="A3" s="1"/>
      <c r="B3" s="1"/>
      <c r="C3" s="1"/>
      <c r="D3" s="1"/>
      <c r="E3" s="1"/>
      <c r="F3" s="1"/>
      <c r="G3" s="1"/>
      <c r="H3" s="236"/>
      <c r="I3" s="175"/>
      <c r="J3" s="1"/>
      <c r="K3" s="1"/>
      <c r="L3" s="1"/>
      <c r="M3" s="148" t="s">
        <v>356</v>
      </c>
      <c r="N3" s="1"/>
      <c r="O3" s="1"/>
      <c r="P3" s="160"/>
      <c r="Q3" s="1"/>
      <c r="R3" s="237">
        <f>(VLOOKUP(C1,'캐릭터 욕구 생성 표'!A1:N12,6,FALSE)+ VLOOKUP(C1,'캐릭터 욕구 생성 표'!A1:N12,12,FALSE))*'스테이지 관련 수치'!B11/2</f>
        <v>40</v>
      </c>
      <c r="S3" s="1"/>
    </row>
    <row r="4" spans="1:23" s="245" customFormat="1" ht="42" customHeight="1" thickTop="1" thickBot="1">
      <c r="A4" s="239"/>
      <c r="B4" s="240" t="s">
        <v>0</v>
      </c>
      <c r="C4" s="241" t="s">
        <v>2</v>
      </c>
      <c r="D4" s="240" t="s">
        <v>1</v>
      </c>
      <c r="E4" s="240" t="s">
        <v>23</v>
      </c>
      <c r="F4" s="240" t="s">
        <v>3</v>
      </c>
      <c r="G4" s="240" t="s">
        <v>4</v>
      </c>
      <c r="H4" s="242" t="s">
        <v>440</v>
      </c>
      <c r="I4" s="242" t="s">
        <v>439</v>
      </c>
      <c r="J4" s="243" t="s">
        <v>5</v>
      </c>
      <c r="K4" s="243" t="s">
        <v>6</v>
      </c>
      <c r="L4" s="244" t="s">
        <v>7</v>
      </c>
      <c r="M4" s="244" t="s">
        <v>8</v>
      </c>
      <c r="N4" s="224" t="s">
        <v>11</v>
      </c>
      <c r="O4" s="224" t="s">
        <v>438</v>
      </c>
      <c r="P4" s="225" t="s">
        <v>437</v>
      </c>
      <c r="Q4" s="224" t="s">
        <v>21</v>
      </c>
      <c r="R4" s="226" t="s">
        <v>447</v>
      </c>
      <c r="S4" s="224" t="s">
        <v>79</v>
      </c>
      <c r="T4" s="224" t="s">
        <v>70</v>
      </c>
      <c r="U4" s="240" t="s">
        <v>409</v>
      </c>
      <c r="V4" s="240" t="s">
        <v>9</v>
      </c>
      <c r="W4" s="240" t="s">
        <v>100</v>
      </c>
    </row>
    <row r="5" spans="1:23" s="11" customFormat="1" ht="99.6" customHeight="1">
      <c r="A5" s="5"/>
      <c r="B5" s="24" t="s">
        <v>25</v>
      </c>
      <c r="C5" s="48"/>
      <c r="D5" s="49">
        <v>8</v>
      </c>
      <c r="E5" s="50">
        <v>8</v>
      </c>
      <c r="F5" s="51">
        <v>8</v>
      </c>
      <c r="G5" s="52"/>
      <c r="H5" s="52" t="s">
        <v>44</v>
      </c>
      <c r="I5" s="184">
        <v>40</v>
      </c>
      <c r="J5" s="52" t="s">
        <v>26</v>
      </c>
      <c r="K5" s="67" t="s">
        <v>48</v>
      </c>
      <c r="L5" s="51">
        <f>ROUND(IF(ISBLANK(tblIncome8[[#This Row],[보너스]]),INDEX('건설 부지에 따른 수치표'!$A$1:$D$13, MATCH(tblIncome8[[#This Row],[건설 부지]], '건설 부지에 따른 수치표'!A:A, 0), MATCH(tblIncome856[[#Headers],[건설 비용 회수 시간]], '건설 부지에 따른 수치표'!$1:$1, 0))*tblIncome8[[#This Row],[수익률]],INDEX('건설 부지에 따른 수치표'!$A$1:$D$13, MATCH(tblIncome8[[#This Row],[건설 부지]], '건설 부지에 따른 수치표'!A:A, 0), MATCH(tblIncome856[[#Headers],[건설 비용 회수 시간]], '건설 부지에 따른 수치표'!$1:$1, 0))*tblIncome8[[#This Row],[수익률]]*1.2), -1)</f>
        <v>580</v>
      </c>
      <c r="M5" s="141">
        <v>2</v>
      </c>
      <c r="N5" s="53">
        <f>tblIncome8[[#This Row],[수용량]]*tblIncome8[[#This Row],[요금]]/tblIncome8[[#This Row],[이용시간]]</f>
        <v>8</v>
      </c>
      <c r="O5" s="54">
        <f>tblIncome8[[#This Row],[수익률]]/tblIncome8[[#This Row],[건설 비용]]</f>
        <v>1.3793103448275862E-2</v>
      </c>
      <c r="P5" s="161">
        <f>tblIncome8[[#This Row],[건설 비용]]/tblIncome8[[#This Row],[수익률]]</f>
        <v>72.5</v>
      </c>
      <c r="Q5" s="55">
        <f>tblIncome8[[#This Row],[수익률]]/tblIncome8[[#This Row],[건설 부지]]</f>
        <v>4</v>
      </c>
      <c r="R5" s="218">
        <f>tblIncome8[[#This Row],[수용량]]*tblIncome8[[#This Row],[욕구 해소량]]/tblIncome8[[#This Row],[이용시간]]</f>
        <v>40</v>
      </c>
      <c r="S5" s="90">
        <f>tblIncome8[[#This Row],[요금]]/tblIncome8[[#This Row],[욕구 해소량]]</f>
        <v>0.2</v>
      </c>
      <c r="T5" s="84">
        <f>tblIncome8[[#This Row],[수용량]]/tblIncome8[[#This Row],[이용시간]]</f>
        <v>1</v>
      </c>
      <c r="U5" s="156" t="s">
        <v>424</v>
      </c>
      <c r="V5" s="56" t="s">
        <v>30</v>
      </c>
      <c r="W5" s="56"/>
    </row>
    <row r="6" spans="1:23" ht="100.05" customHeight="1">
      <c r="A6" s="1"/>
      <c r="B6" s="24" t="s">
        <v>27</v>
      </c>
      <c r="C6" s="57"/>
      <c r="D6" s="58">
        <v>15</v>
      </c>
      <c r="E6" s="59">
        <v>16</v>
      </c>
      <c r="F6" s="60">
        <v>16</v>
      </c>
      <c r="G6" s="61"/>
      <c r="H6" s="52" t="s">
        <v>44</v>
      </c>
      <c r="I6" s="185">
        <v>60</v>
      </c>
      <c r="J6" s="61" t="s">
        <v>28</v>
      </c>
      <c r="K6" s="68"/>
      <c r="L6" s="51">
        <f>ROUND(IF(ISBLANK(tblIncome8[[#This Row],[보너스]]),INDEX('건설 부지에 따른 수치표'!$A$1:$D$13, MATCH(tblIncome8[[#This Row],[건설 부지]], '건설 부지에 따른 수치표'!A:A, 0), MATCH(tblIncome856[[#Headers],[건설 비용 회수 시간]], '건설 부지에 따른 수치표'!$1:$1, 0))*tblIncome8[[#This Row],[수익률]],INDEX('건설 부지에 따른 수치표'!$A$1:$D$13, MATCH(tblIncome8[[#This Row],[건설 부지]], '건설 부지에 따른 수치표'!A:A, 0), MATCH(tblIncome856[[#Headers],[건설 비용 회수 시간]], '건설 부지에 따른 수치표'!$1:$1, 0))*tblIncome8[[#This Row],[수익률]]*1.2), -1)</f>
        <v>1050</v>
      </c>
      <c r="M6" s="142">
        <v>3</v>
      </c>
      <c r="N6" s="62">
        <f>tblIncome8[[#This Row],[수용량]]*tblIncome8[[#This Row],[요금]]/tblIncome8[[#This Row],[이용시간]]</f>
        <v>15</v>
      </c>
      <c r="O6" s="63">
        <f>tblIncome8[[#This Row],[수익률]]/tblIncome8[[#This Row],[건설 비용]]</f>
        <v>1.4285714285714285E-2</v>
      </c>
      <c r="P6" s="162">
        <f>tblIncome8[[#This Row],[건설 비용]]/tblIncome8[[#This Row],[수익률]]</f>
        <v>70</v>
      </c>
      <c r="Q6" s="64">
        <f>tblIncome8[[#This Row],[수익률]]/tblIncome8[[#This Row],[건설 부지]]</f>
        <v>5</v>
      </c>
      <c r="R6" s="218">
        <f>tblIncome8[[#This Row],[수용량]]*tblIncome8[[#This Row],[욕구 해소량]]/tblIncome8[[#This Row],[이용시간]]</f>
        <v>56.25</v>
      </c>
      <c r="S6" s="91">
        <f>tblIncome8[[#This Row],[요금]]/tblIncome8[[#This Row],[욕구 해소량]]</f>
        <v>0.26666666666666666</v>
      </c>
      <c r="T6" s="85">
        <f>tblIncome8[[#This Row],[수용량]]/tblIncome8[[#This Row],[이용시간]]</f>
        <v>0.9375</v>
      </c>
      <c r="U6" s="157" t="s">
        <v>425</v>
      </c>
      <c r="V6" s="65" t="s">
        <v>31</v>
      </c>
      <c r="W6" s="65"/>
    </row>
    <row r="7" spans="1:23" ht="100.05" customHeight="1">
      <c r="A7" s="1"/>
      <c r="B7" s="24" t="s">
        <v>32</v>
      </c>
      <c r="C7" s="57"/>
      <c r="D7" s="58">
        <v>20</v>
      </c>
      <c r="E7" s="59">
        <v>16</v>
      </c>
      <c r="F7" s="60">
        <v>20</v>
      </c>
      <c r="G7" s="61"/>
      <c r="H7" s="52" t="s">
        <v>44</v>
      </c>
      <c r="I7" s="185">
        <v>55</v>
      </c>
      <c r="J7" s="61" t="s">
        <v>26</v>
      </c>
      <c r="K7" s="68" t="s">
        <v>320</v>
      </c>
      <c r="L7" s="51">
        <f>ROUND(IF(ISBLANK(tblIncome8[[#This Row],[보너스]]),INDEX('건설 부지에 따른 수치표'!$A$1:$D$13, MATCH(tblIncome8[[#This Row],[건설 부지]], '건설 부지에 따른 수치표'!A:A, 0), MATCH(tblIncome856[[#Headers],[건설 비용 회수 시간]], '건설 부지에 따른 수치표'!$1:$1, 0))*tblIncome8[[#This Row],[수익률]],INDEX('건설 부지에 따른 수치표'!$A$1:$D$13, MATCH(tblIncome8[[#This Row],[건설 부지]], '건설 부지에 따른 수치표'!A:A, 0), MATCH(tblIncome856[[#Headers],[건설 비용 회수 시간]], '건설 부지에 따른 수치표'!$1:$1, 0))*tblIncome8[[#This Row],[수익률]]*1.2), -1)</f>
        <v>2850</v>
      </c>
      <c r="M7" s="142">
        <v>4</v>
      </c>
      <c r="N7" s="62">
        <f>tblIncome8[[#This Row],[수용량]]*tblIncome8[[#This Row],[요금]]/tblIncome8[[#This Row],[이용시간]]</f>
        <v>25</v>
      </c>
      <c r="O7" s="63">
        <f>tblIncome8[[#This Row],[수익률]]/tblIncome8[[#This Row],[건설 비용]]</f>
        <v>8.771929824561403E-3</v>
      </c>
      <c r="P7" s="162">
        <f>tblIncome8[[#This Row],[건설 비용]]/tblIncome8[[#This Row],[수익률]]</f>
        <v>114</v>
      </c>
      <c r="Q7" s="64">
        <f>tblIncome8[[#This Row],[수익률]]/tblIncome8[[#This Row],[건설 부지]]</f>
        <v>6.25</v>
      </c>
      <c r="R7" s="218">
        <f>tblIncome8[[#This Row],[수용량]]*tblIncome8[[#This Row],[욕구 해소량]]/tblIncome8[[#This Row],[이용시간]]</f>
        <v>68.75</v>
      </c>
      <c r="S7" s="91">
        <f>tblIncome8[[#This Row],[요금]]/tblIncome8[[#This Row],[욕구 해소량]]</f>
        <v>0.36363636363636365</v>
      </c>
      <c r="T7" s="85">
        <f>tblIncome8[[#This Row],[수용량]]/tblIncome8[[#This Row],[이용시간]]</f>
        <v>1.25</v>
      </c>
      <c r="U7" s="157" t="s">
        <v>426</v>
      </c>
      <c r="V7" s="65"/>
      <c r="W7" s="65" t="s">
        <v>326</v>
      </c>
    </row>
    <row r="8" spans="1:23" s="15" customFormat="1" ht="100.05" customHeight="1">
      <c r="A8" s="13"/>
      <c r="B8" s="24" t="s">
        <v>312</v>
      </c>
      <c r="C8" s="57"/>
      <c r="D8" s="58">
        <v>20</v>
      </c>
      <c r="E8" s="59">
        <v>20</v>
      </c>
      <c r="F8" s="60">
        <v>35</v>
      </c>
      <c r="G8" s="61"/>
      <c r="H8" s="52" t="s">
        <v>44</v>
      </c>
      <c r="I8" s="185">
        <v>70</v>
      </c>
      <c r="J8" s="61" t="s">
        <v>28</v>
      </c>
      <c r="K8" s="68"/>
      <c r="L8" s="51">
        <f>ROUND(IF(ISBLANK(tblIncome8[[#This Row],[보너스]]),INDEX('건설 부지에 따른 수치표'!$A$1:$D$13, MATCH(tblIncome8[[#This Row],[건설 부지]], '건설 부지에 따른 수치표'!A:A, 0), MATCH(tblIncome856[[#Headers],[건설 비용 회수 시간]], '건설 부지에 따른 수치표'!$1:$1, 0))*tblIncome8[[#This Row],[수익률]],INDEX('건설 부지에 따른 수치표'!$A$1:$D$13, MATCH(tblIncome8[[#This Row],[건설 부지]], '건설 부지에 따른 수치표'!A:A, 0), MATCH(tblIncome856[[#Headers],[건설 비용 회수 시간]], '건설 부지에 따른 수치표'!$1:$1, 0))*tblIncome8[[#This Row],[수익률]]*1.2), -1)</f>
        <v>4200</v>
      </c>
      <c r="M8" s="142">
        <v>5</v>
      </c>
      <c r="N8" s="62">
        <f>tblIncome8[[#This Row],[수용량]]*tblIncome8[[#This Row],[요금]]/tblIncome8[[#This Row],[이용시간]]</f>
        <v>35</v>
      </c>
      <c r="O8" s="63">
        <f>tblIncome8[[#This Row],[수익률]]/tblIncome8[[#This Row],[건설 비용]]</f>
        <v>8.3333333333333332E-3</v>
      </c>
      <c r="P8" s="162">
        <f>tblIncome8[[#This Row],[건설 비용]]/tblIncome8[[#This Row],[수익률]]</f>
        <v>120</v>
      </c>
      <c r="Q8" s="64">
        <f>tblIncome8[[#This Row],[수익률]]/tblIncome8[[#This Row],[건설 부지]]</f>
        <v>7</v>
      </c>
      <c r="R8" s="218">
        <f>tblIncome8[[#This Row],[수용량]]*tblIncome8[[#This Row],[욕구 해소량]]/tblIncome8[[#This Row],[이용시간]]</f>
        <v>70</v>
      </c>
      <c r="S8" s="91">
        <f>tblIncome8[[#This Row],[요금]]/tblIncome8[[#This Row],[욕구 해소량]]</f>
        <v>0.5</v>
      </c>
      <c r="T8" s="85">
        <f>tblIncome8[[#This Row],[수용량]]/tblIncome8[[#This Row],[이용시간]]</f>
        <v>1</v>
      </c>
      <c r="U8" s="157" t="s">
        <v>427</v>
      </c>
      <c r="V8" s="65"/>
      <c r="W8" s="65"/>
    </row>
    <row r="9" spans="1:23" s="9" customFormat="1" ht="100.05" customHeight="1">
      <c r="B9" s="24" t="s">
        <v>325</v>
      </c>
      <c r="C9" s="57"/>
      <c r="D9" s="58">
        <v>16</v>
      </c>
      <c r="E9" s="59">
        <v>12</v>
      </c>
      <c r="F9" s="60">
        <v>36</v>
      </c>
      <c r="G9" s="61"/>
      <c r="H9" s="52" t="s">
        <v>44</v>
      </c>
      <c r="I9" s="185">
        <v>50</v>
      </c>
      <c r="J9" s="61" t="s">
        <v>33</v>
      </c>
      <c r="K9" s="135"/>
      <c r="L9" s="51">
        <f>ROUND(IF(ISBLANK(tblIncome8[[#This Row],[보너스]]),INDEX('건설 부지에 따른 수치표'!$A$1:$D$13, MATCH(tblIncome8[[#This Row],[건설 부지]], '건설 부지에 따른 수치표'!A:A, 0), MATCH(tblIncome856[[#Headers],[건설 비용 회수 시간]], '건설 부지에 따른 수치표'!$1:$1, 0))*tblIncome8[[#This Row],[수익률]],INDEX('건설 부지에 따른 수치표'!$A$1:$D$13, MATCH(tblIncome8[[#This Row],[건설 부지]], '건설 부지에 따른 수치표'!A:A, 0), MATCH(tblIncome856[[#Headers],[건설 비용 회수 시간]], '건설 부지에 따른 수치표'!$1:$1, 0))*tblIncome8[[#This Row],[수익률]]*1.2), -1)</f>
        <v>7200</v>
      </c>
      <c r="M9" s="142">
        <v>6</v>
      </c>
      <c r="N9" s="62">
        <f>tblIncome8[[#This Row],[수용량]]*tblIncome8[[#This Row],[요금]]/tblIncome8[[#This Row],[이용시간]]</f>
        <v>48</v>
      </c>
      <c r="O9" s="63">
        <f>tblIncome8[[#This Row],[수익률]]/tblIncome8[[#This Row],[건설 비용]]</f>
        <v>6.6666666666666671E-3</v>
      </c>
      <c r="P9" s="162">
        <f>tblIncome8[[#This Row],[건설 비용]]/tblIncome8[[#This Row],[수익률]]</f>
        <v>150</v>
      </c>
      <c r="Q9" s="64">
        <f>tblIncome8[[#This Row],[수익률]]/tblIncome8[[#This Row],[건설 부지]]</f>
        <v>8</v>
      </c>
      <c r="R9" s="218">
        <f>tblIncome8[[#This Row],[수용량]]*tblIncome8[[#This Row],[욕구 해소량]]/tblIncome8[[#This Row],[이용시간]]</f>
        <v>66.666666666666671</v>
      </c>
      <c r="S9" s="91">
        <f>tblIncome8[[#This Row],[요금]]/tblIncome8[[#This Row],[욕구 해소량]]</f>
        <v>0.72</v>
      </c>
      <c r="T9" s="85">
        <f>tblIncome8[[#This Row],[수용량]]/tblIncome8[[#This Row],[이용시간]]</f>
        <v>1.3333333333333333</v>
      </c>
      <c r="U9" s="157" t="s">
        <v>428</v>
      </c>
      <c r="V9" s="65"/>
      <c r="W9" s="65"/>
    </row>
    <row r="10" spans="1:23" s="15" customFormat="1" ht="100.05" customHeight="1">
      <c r="A10" s="13"/>
      <c r="B10" s="24" t="s">
        <v>311</v>
      </c>
      <c r="C10" s="57"/>
      <c r="D10" s="58">
        <v>24</v>
      </c>
      <c r="E10" s="59">
        <v>24</v>
      </c>
      <c r="F10" s="60">
        <v>63</v>
      </c>
      <c r="G10" s="61"/>
      <c r="H10" s="52" t="s">
        <v>44</v>
      </c>
      <c r="I10" s="185">
        <v>65</v>
      </c>
      <c r="J10" s="61" t="s">
        <v>34</v>
      </c>
      <c r="K10" s="68"/>
      <c r="L10" s="51">
        <f>ROUND(IF(ISBLANK(tblIncome8[[#This Row],[보너스]]),INDEX('건설 부지에 따른 수치표'!$A$1:$D$13, MATCH(tblIncome8[[#This Row],[건설 부지]], '건설 부지에 따른 수치표'!A:A, 0), MATCH(tblIncome856[[#Headers],[건설 비용 회수 시간]], '건설 부지에 따른 수치표'!$1:$1, 0))*tblIncome8[[#This Row],[수익률]],INDEX('건설 부지에 따른 수치표'!$A$1:$D$13, MATCH(tblIncome8[[#This Row],[건설 부지]], '건설 부지에 따른 수치표'!A:A, 0), MATCH(tblIncome856[[#Headers],[건설 비용 회수 시간]], '건설 부지에 따른 수치표'!$1:$1, 0))*tblIncome8[[#This Row],[수익률]]*1.2), -1)</f>
        <v>11970</v>
      </c>
      <c r="M10" s="142">
        <v>7</v>
      </c>
      <c r="N10" s="62">
        <f>tblIncome8[[#This Row],[수용량]]*tblIncome8[[#This Row],[요금]]/tblIncome8[[#This Row],[이용시간]]</f>
        <v>63</v>
      </c>
      <c r="O10" s="63">
        <f>tblIncome8[[#This Row],[수익률]]/tblIncome8[[#This Row],[건설 비용]]</f>
        <v>5.263157894736842E-3</v>
      </c>
      <c r="P10" s="162">
        <f>tblIncome8[[#This Row],[건설 비용]]/tblIncome8[[#This Row],[수익률]]</f>
        <v>190</v>
      </c>
      <c r="Q10" s="64">
        <f>tblIncome8[[#This Row],[수익률]]/tblIncome8[[#This Row],[건설 부지]]</f>
        <v>9</v>
      </c>
      <c r="R10" s="218">
        <f>tblIncome8[[#This Row],[수용량]]*tblIncome8[[#This Row],[욕구 해소량]]/tblIncome8[[#This Row],[이용시간]]</f>
        <v>65</v>
      </c>
      <c r="S10" s="91">
        <f>tblIncome8[[#This Row],[요금]]/tblIncome8[[#This Row],[욕구 해소량]]</f>
        <v>0.96923076923076923</v>
      </c>
      <c r="T10" s="85">
        <f>tblIncome8[[#This Row],[수용량]]/tblIncome8[[#This Row],[이용시간]]</f>
        <v>1</v>
      </c>
      <c r="U10" s="157" t="s">
        <v>429</v>
      </c>
      <c r="V10" s="65"/>
      <c r="W10" s="65"/>
    </row>
    <row r="11" spans="1:23" ht="100.05" customHeight="1">
      <c r="A11" s="1"/>
      <c r="B11" s="24" t="s">
        <v>313</v>
      </c>
      <c r="C11" s="57"/>
      <c r="D11" s="58">
        <v>20</v>
      </c>
      <c r="E11" s="59">
        <v>18</v>
      </c>
      <c r="F11" s="60">
        <v>60</v>
      </c>
      <c r="G11" s="61"/>
      <c r="H11" s="52" t="s">
        <v>44</v>
      </c>
      <c r="I11" s="185">
        <v>55</v>
      </c>
      <c r="J11" s="61" t="s">
        <v>316</v>
      </c>
      <c r="K11" s="68" t="s">
        <v>319</v>
      </c>
      <c r="L11" s="51">
        <f>ROUND(IF(ISBLANK(tblIncome8[[#This Row],[보너스]]),INDEX('건설 부지에 따른 수치표'!$A$1:$D$13, MATCH(tblIncome8[[#This Row],[건설 부지]], '건설 부지에 따른 수치표'!A:A, 0), MATCH(tblIncome856[[#Headers],[건설 비용 회수 시간]], '건설 부지에 따른 수치표'!$1:$1, 0))*tblIncome8[[#This Row],[수익률]],INDEX('건설 부지에 따른 수치표'!$A$1:$D$13, MATCH(tblIncome8[[#This Row],[건설 부지]], '건설 부지에 따른 수치표'!A:A, 0), MATCH(tblIncome856[[#Headers],[건설 비용 회수 시간]], '건설 부지에 따른 수치표'!$1:$1, 0))*tblIncome8[[#This Row],[수익률]]*1.2), -1)</f>
        <v>18800</v>
      </c>
      <c r="M11" s="142">
        <v>8</v>
      </c>
      <c r="N11" s="62">
        <f>tblIncome8[[#This Row],[수용량]]*tblIncome8[[#This Row],[요금]]/tblIncome8[[#This Row],[이용시간]]</f>
        <v>66.666666666666671</v>
      </c>
      <c r="O11" s="63">
        <f>tblIncome8[[#This Row],[수익률]]/tblIncome8[[#This Row],[건설 비용]]</f>
        <v>3.5460992907801422E-3</v>
      </c>
      <c r="P11" s="162">
        <f>tblIncome8[[#This Row],[건설 비용]]/tblIncome8[[#This Row],[수익률]]</f>
        <v>282</v>
      </c>
      <c r="Q11" s="64">
        <f>tblIncome8[[#This Row],[수익률]]/tblIncome8[[#This Row],[건설 부지]]</f>
        <v>8.3333333333333339</v>
      </c>
      <c r="R11" s="218">
        <f>tblIncome8[[#This Row],[수용량]]*tblIncome8[[#This Row],[욕구 해소량]]/tblIncome8[[#This Row],[이용시간]]</f>
        <v>61.111111111111114</v>
      </c>
      <c r="S11" s="91">
        <f>tblIncome8[[#This Row],[요금]]/tblIncome8[[#This Row],[욕구 해소량]]</f>
        <v>1.0909090909090908</v>
      </c>
      <c r="T11" s="85">
        <f>tblIncome8[[#This Row],[수용량]]/tblIncome8[[#This Row],[이용시간]]</f>
        <v>1.1111111111111112</v>
      </c>
      <c r="U11" s="157" t="s">
        <v>430</v>
      </c>
      <c r="V11" s="65"/>
    </row>
    <row r="12" spans="1:23" ht="100.05" customHeight="1">
      <c r="A12" s="1"/>
      <c r="B12" s="24" t="s">
        <v>314</v>
      </c>
      <c r="C12" s="57"/>
      <c r="D12" s="58">
        <v>30</v>
      </c>
      <c r="E12" s="59">
        <v>24</v>
      </c>
      <c r="F12" s="60">
        <v>100</v>
      </c>
      <c r="G12" s="61"/>
      <c r="H12" s="52" t="s">
        <v>44</v>
      </c>
      <c r="I12" s="185">
        <v>70</v>
      </c>
      <c r="J12" s="61" t="s">
        <v>34</v>
      </c>
      <c r="K12" s="68"/>
      <c r="L12" s="51">
        <f>ROUND(IF(ISBLANK(tblIncome8[[#This Row],[보너스]]),INDEX('건설 부지에 따른 수치표'!$A$1:$D$13, MATCH(tblIncome8[[#This Row],[건설 부지]], '건설 부지에 따른 수치표'!A:A, 0), MATCH(tblIncome856[[#Headers],[건설 비용 회수 시간]], '건설 부지에 따른 수치표'!$1:$1, 0))*tblIncome8[[#This Row],[수익률]],INDEX('건설 부지에 따른 수치표'!$A$1:$D$13, MATCH(tblIncome8[[#This Row],[건설 부지]], '건설 부지에 따른 수치표'!A:A, 0), MATCH(tblIncome856[[#Headers],[건설 비용 회수 시간]], '건설 부지에 따른 수치표'!$1:$1, 0))*tblIncome8[[#This Row],[수익률]]*1.2), -1)</f>
        <v>38750</v>
      </c>
      <c r="M12" s="142">
        <v>10</v>
      </c>
      <c r="N12" s="62">
        <f>tblIncome8[[#This Row],[수용량]]*tblIncome8[[#This Row],[요금]]/tblIncome8[[#This Row],[이용시간]]</f>
        <v>125</v>
      </c>
      <c r="O12" s="63">
        <f>tblIncome8[[#This Row],[수익률]]/tblIncome8[[#This Row],[건설 비용]]</f>
        <v>3.2258064516129032E-3</v>
      </c>
      <c r="P12" s="162">
        <f>tblIncome8[[#This Row],[건설 비용]]/tblIncome8[[#This Row],[수익률]]</f>
        <v>310</v>
      </c>
      <c r="Q12" s="64">
        <f>tblIncome8[[#This Row],[수익률]]/tblIncome8[[#This Row],[건설 부지]]</f>
        <v>12.5</v>
      </c>
      <c r="R12" s="218">
        <f>tblIncome8[[#This Row],[수용량]]*tblIncome8[[#This Row],[욕구 해소량]]/tblIncome8[[#This Row],[이용시간]]</f>
        <v>87.5</v>
      </c>
      <c r="S12" s="91">
        <f>tblIncome8[[#This Row],[요금]]/tblIncome8[[#This Row],[욕구 해소량]]</f>
        <v>1.4285714285714286</v>
      </c>
      <c r="T12" s="85">
        <f>tblIncome8[[#This Row],[수용량]]/tblIncome8[[#This Row],[이용시간]]</f>
        <v>1.25</v>
      </c>
      <c r="U12" s="157" t="s">
        <v>431</v>
      </c>
      <c r="V12" s="65"/>
    </row>
    <row r="13" spans="1:23" ht="21" customHeight="1">
      <c r="A13" s="1"/>
      <c r="B13" s="12"/>
      <c r="C13" s="7"/>
      <c r="D13" s="7"/>
      <c r="E13" s="7"/>
      <c r="F13" s="7"/>
      <c r="G13" s="7"/>
      <c r="H13" s="7"/>
      <c r="I13" s="180"/>
      <c r="J13" s="7"/>
      <c r="K13" s="7"/>
      <c r="L13" s="7"/>
      <c r="M13" s="7"/>
      <c r="N13" s="7"/>
      <c r="O13" s="7"/>
      <c r="P13" s="164"/>
      <c r="Q13" s="7"/>
      <c r="R13" s="7"/>
      <c r="S13" s="7"/>
    </row>
    <row r="14" spans="1:23" ht="40.049999999999997" customHeight="1">
      <c r="A14" s="1"/>
      <c r="B14" s="46"/>
      <c r="C14" s="19"/>
      <c r="D14" s="19"/>
      <c r="E14" s="19"/>
      <c r="F14" s="19"/>
      <c r="G14" s="19"/>
      <c r="H14" s="19"/>
      <c r="I14" s="181"/>
      <c r="J14" s="19"/>
      <c r="K14" s="19"/>
      <c r="L14" s="19"/>
      <c r="M14" s="19"/>
      <c r="N14" s="19"/>
      <c r="O14" s="19"/>
      <c r="P14" s="165"/>
      <c r="Q14" s="19"/>
      <c r="R14" s="19"/>
      <c r="S14" s="17"/>
    </row>
    <row r="15" spans="1:23" ht="60" customHeight="1" thickBot="1">
      <c r="A15" s="1"/>
      <c r="B15" s="46"/>
      <c r="C15" s="152" t="s">
        <v>353</v>
      </c>
      <c r="D15" s="263" t="s">
        <v>489</v>
      </c>
      <c r="F15" s="19"/>
      <c r="G15" s="19"/>
      <c r="H15" s="319" t="s">
        <v>355</v>
      </c>
      <c r="I15" s="319"/>
    </row>
    <row r="16" spans="1:23" ht="21" customHeight="1" thickTop="1" thickBot="1">
      <c r="A16" s="1"/>
      <c r="B16" s="138" t="s">
        <v>0</v>
      </c>
      <c r="C16" s="151" t="s">
        <v>2</v>
      </c>
      <c r="D16" s="324" t="s">
        <v>6</v>
      </c>
      <c r="E16" s="325"/>
      <c r="F16" s="326"/>
      <c r="G16" s="149" t="s">
        <v>295</v>
      </c>
      <c r="H16" s="339" t="s">
        <v>8</v>
      </c>
      <c r="I16" s="340"/>
      <c r="J16" s="324" t="s">
        <v>9</v>
      </c>
      <c r="K16" s="325"/>
      <c r="L16" s="326"/>
      <c r="M16" s="324" t="s">
        <v>100</v>
      </c>
      <c r="N16" s="325"/>
      <c r="O16" s="325"/>
      <c r="P16" s="167"/>
    </row>
    <row r="17" spans="1:19" ht="100.05" customHeight="1" thickTop="1" thickBot="1">
      <c r="A17" s="1"/>
      <c r="B17" s="140" t="s">
        <v>344</v>
      </c>
      <c r="C17" s="153"/>
      <c r="D17" s="320" t="s">
        <v>485</v>
      </c>
      <c r="E17" s="320"/>
      <c r="F17" s="320"/>
      <c r="G17" s="264">
        <f>0.15</f>
        <v>0.15</v>
      </c>
      <c r="H17" s="335">
        <v>2</v>
      </c>
      <c r="I17" s="336"/>
      <c r="J17" s="341" t="s">
        <v>345</v>
      </c>
      <c r="K17" s="341"/>
      <c r="L17" s="341"/>
      <c r="M17" s="341"/>
      <c r="N17" s="341"/>
      <c r="O17" s="341"/>
      <c r="P17" s="168"/>
    </row>
    <row r="18" spans="1:19" ht="100.05" customHeight="1" thickTop="1" thickBot="1">
      <c r="A18" s="1"/>
      <c r="B18" s="140" t="s">
        <v>346</v>
      </c>
      <c r="C18" s="150"/>
      <c r="D18" s="321" t="s">
        <v>347</v>
      </c>
      <c r="E18" s="322"/>
      <c r="F18" s="323"/>
      <c r="G18" s="264">
        <f>0.1</f>
        <v>0.1</v>
      </c>
      <c r="H18" s="337">
        <v>1</v>
      </c>
      <c r="I18" s="338"/>
      <c r="J18" s="329" t="s">
        <v>364</v>
      </c>
      <c r="K18" s="330"/>
      <c r="L18" s="331"/>
      <c r="M18" s="327"/>
      <c r="N18" s="328"/>
      <c r="O18" s="328"/>
      <c r="P18" s="169"/>
    </row>
    <row r="19" spans="1:19" ht="100.05" customHeight="1" thickTop="1" thickBot="1">
      <c r="A19" s="1"/>
      <c r="B19" s="140" t="s">
        <v>351</v>
      </c>
      <c r="C19" s="150"/>
      <c r="D19" s="320" t="s">
        <v>486</v>
      </c>
      <c r="E19" s="320"/>
      <c r="F19" s="320"/>
      <c r="G19" s="264">
        <f>0.3</f>
        <v>0.3</v>
      </c>
      <c r="H19" s="337">
        <v>4</v>
      </c>
      <c r="I19" s="338"/>
      <c r="J19" s="329" t="s">
        <v>370</v>
      </c>
      <c r="K19" s="330"/>
      <c r="L19" s="331"/>
      <c r="M19" s="327" t="s">
        <v>358</v>
      </c>
      <c r="N19" s="328"/>
      <c r="O19" s="328"/>
      <c r="P19" s="169"/>
    </row>
    <row r="20" spans="1:19" ht="100.05" customHeight="1" thickTop="1" thickBot="1">
      <c r="A20" s="1"/>
      <c r="B20" s="155" t="s">
        <v>362</v>
      </c>
      <c r="C20" s="150"/>
      <c r="D20" s="320" t="s">
        <v>361</v>
      </c>
      <c r="E20" s="320"/>
      <c r="F20" s="320"/>
      <c r="G20" s="264">
        <f>0.225</f>
        <v>0.22500000000000001</v>
      </c>
      <c r="H20" s="337">
        <v>3</v>
      </c>
      <c r="I20" s="338"/>
      <c r="J20" s="329" t="s">
        <v>363</v>
      </c>
      <c r="K20" s="330"/>
      <c r="L20" s="331"/>
      <c r="M20" s="327" t="s">
        <v>358</v>
      </c>
      <c r="N20" s="328"/>
      <c r="O20" s="328"/>
      <c r="P20" s="169"/>
    </row>
    <row r="21" spans="1:19" ht="100.05" customHeight="1" thickTop="1">
      <c r="A21" s="1"/>
      <c r="B21" s="14"/>
      <c r="C21" s="19"/>
      <c r="D21" s="19"/>
      <c r="E21" s="19"/>
      <c r="F21" s="19"/>
      <c r="G21" s="19"/>
      <c r="H21" s="19"/>
      <c r="I21" s="181"/>
    </row>
    <row r="22" spans="1:19" ht="100.05" customHeight="1">
      <c r="A22" s="1"/>
      <c r="B22" s="14"/>
      <c r="C22" s="19"/>
      <c r="D22" s="19"/>
      <c r="E22" s="19"/>
      <c r="F22" s="19"/>
      <c r="G22" s="19"/>
      <c r="H22" s="19"/>
      <c r="I22" s="181"/>
    </row>
    <row r="23" spans="1:19" ht="100.05" customHeight="1">
      <c r="A23" s="1"/>
      <c r="B23" s="14"/>
      <c r="C23" s="19"/>
      <c r="D23" s="19"/>
      <c r="E23" s="19"/>
      <c r="F23" s="19"/>
      <c r="G23" s="19"/>
      <c r="H23" s="19"/>
      <c r="I23" s="181"/>
      <c r="J23" s="19"/>
      <c r="K23" s="19"/>
      <c r="L23" s="19"/>
    </row>
    <row r="24" spans="1:19" ht="100.05" customHeight="1">
      <c r="A24" s="1"/>
      <c r="B24" s="14"/>
      <c r="C24" s="19"/>
      <c r="D24" s="19"/>
      <c r="E24" s="19"/>
      <c r="F24" s="19"/>
      <c r="G24" s="19"/>
      <c r="H24" s="19"/>
      <c r="I24" s="181"/>
      <c r="J24" s="19"/>
      <c r="K24" s="19"/>
      <c r="L24" s="19"/>
    </row>
    <row r="25" spans="1:19" ht="100.05" customHeight="1">
      <c r="A25" s="1"/>
      <c r="B25" s="14"/>
      <c r="C25" s="19"/>
      <c r="D25" s="19"/>
      <c r="E25" s="19"/>
      <c r="F25" s="19"/>
      <c r="G25" s="19"/>
      <c r="H25" s="19"/>
      <c r="I25" s="181"/>
      <c r="J25" s="19"/>
      <c r="K25" s="19"/>
      <c r="L25" s="19"/>
      <c r="M25" s="19"/>
      <c r="N25" s="19"/>
      <c r="O25" s="19"/>
      <c r="P25" s="165"/>
      <c r="Q25" s="19"/>
      <c r="R25" s="19"/>
      <c r="S25" s="17"/>
    </row>
    <row r="26" spans="1:19" ht="100.05" customHeight="1">
      <c r="A26" s="1"/>
      <c r="B26" s="14"/>
      <c r="C26" s="19"/>
      <c r="D26" s="19"/>
      <c r="E26" s="19"/>
      <c r="F26" s="19"/>
      <c r="G26" s="19"/>
      <c r="H26" s="19"/>
      <c r="I26" s="181"/>
      <c r="J26" s="19"/>
      <c r="K26" s="19"/>
      <c r="L26" s="19"/>
      <c r="M26" s="19"/>
      <c r="N26" s="19"/>
      <c r="O26" s="19"/>
      <c r="P26" s="165"/>
      <c r="Q26" s="19"/>
      <c r="R26" s="19"/>
      <c r="S26" s="17"/>
    </row>
    <row r="27" spans="1:19" s="3" customFormat="1" ht="100.05" customHeight="1">
      <c r="B27" s="14"/>
      <c r="C27" s="19"/>
      <c r="D27" s="19"/>
      <c r="E27" s="19"/>
      <c r="F27" s="19"/>
      <c r="G27" s="19"/>
      <c r="H27" s="19"/>
      <c r="I27" s="181"/>
      <c r="J27" s="19"/>
      <c r="K27" s="19"/>
      <c r="L27" s="19"/>
      <c r="M27" s="19"/>
      <c r="N27" s="19"/>
      <c r="O27" s="19"/>
      <c r="P27" s="165"/>
      <c r="Q27" s="19"/>
      <c r="R27" s="19"/>
      <c r="S27" s="17"/>
    </row>
    <row r="28" spans="1:19" ht="100.05" customHeight="1">
      <c r="A28" s="1"/>
      <c r="B28" s="14"/>
      <c r="C28" s="20"/>
      <c r="D28" s="20"/>
      <c r="E28" s="20"/>
      <c r="F28" s="20"/>
      <c r="G28" s="20"/>
      <c r="H28" s="20"/>
      <c r="I28" s="183"/>
      <c r="J28" s="20"/>
      <c r="K28" s="20"/>
      <c r="L28" s="20"/>
      <c r="M28" s="20"/>
      <c r="N28" s="20"/>
      <c r="O28" s="20"/>
      <c r="P28" s="170"/>
      <c r="Q28" s="20"/>
      <c r="R28" s="20"/>
      <c r="S28" s="16"/>
    </row>
  </sheetData>
  <mergeCells count="21">
    <mergeCell ref="J20:L20"/>
    <mergeCell ref="M20:O20"/>
    <mergeCell ref="M16:O16"/>
    <mergeCell ref="M17:O17"/>
    <mergeCell ref="M19:O19"/>
    <mergeCell ref="M18:O18"/>
    <mergeCell ref="J18:L18"/>
    <mergeCell ref="J19:L19"/>
    <mergeCell ref="J16:L16"/>
    <mergeCell ref="J17:L17"/>
    <mergeCell ref="H15:I15"/>
    <mergeCell ref="D20:F20"/>
    <mergeCell ref="H16:I16"/>
    <mergeCell ref="H17:I17"/>
    <mergeCell ref="D16:F16"/>
    <mergeCell ref="D17:F17"/>
    <mergeCell ref="D18:F18"/>
    <mergeCell ref="D19:F19"/>
    <mergeCell ref="H18:I18"/>
    <mergeCell ref="H19:I19"/>
    <mergeCell ref="H20:I20"/>
  </mergeCells>
  <phoneticPr fontId="6" type="noConversion"/>
  <hyperlinks>
    <hyperlink ref="M3" location="음식부지모양" display="부지 모양" xr:uid="{00000000-0004-0000-0200-000000000000}"/>
    <hyperlink ref="H15" location="음료부지모양" display="부지 모양" xr:uid="{314FB24C-2EFA-4414-80AB-5713CA3796F1}"/>
    <hyperlink ref="H15:I15" location="음식_애드온_부지" display="부지 모양" xr:uid="{8E6D48DA-D69A-4AA3-8750-AFA246430689}"/>
  </hyperlinks>
  <printOptions horizontalCentered="1"/>
  <pageMargins left="0.25" right="0.25" top="0.75" bottom="0.75" header="0.3" footer="0.3"/>
  <pageSetup scale="65" fitToHeight="0" orientation="landscape" r:id="rId1"/>
  <headerFooter differentFirst="1">
    <oddFooter>Page &amp;P of &amp;N</oddFooter>
  </headerFooter>
  <drawing r:id="rId2"/>
  <tableParts count="1">
    <tablePart r:id="rId3"/>
  </tableParts>
  <extLst>
    <ext xmlns:x14="http://schemas.microsoft.com/office/spreadsheetml/2009/9/main" uri="{05C60535-1F16-4fd2-B633-F4F36F0B64E0}">
      <x14:sparklineGroups xmlns:xm="http://schemas.microsoft.com/office/excel/2006/main">
        <x14:sparklineGroup manualMax="0" manualMin="0" type="column" displayEmptyCellsAs="gap" high="1" low="1" xr2:uid="{00000000-0003-0000-0200-000006000000}">
          <x14:colorSeries theme="5"/>
          <x14:colorNegative rgb="FFFFB620"/>
          <x14:colorAxis rgb="FF000000"/>
          <x14:colorMarkers rgb="FFD70077"/>
          <x14:colorFirst rgb="FF777777"/>
          <x14:colorLast rgb="FF359CEB"/>
          <x14:colorHigh rgb="FFFF0000"/>
          <x14:colorLow rgb="FF92D050"/>
          <x14:sparklines>
            <x14:sparkline>
              <xm:f>음식!C28:O28</xm:f>
              <xm:sqref>S28</xm:sqref>
            </x14:sparkline>
          </x14:sparklines>
        </x14:sparklineGroup>
        <x14:sparklineGroup manualMax="0" manualMin="0" displayEmptyCellsAs="span" markers="1" high="1" low="1" displayHidden="1" xr2:uid="{00000000-0003-0000-0200-000005000000}">
          <x14:colorSeries theme="5" tint="0.39997558519241921"/>
          <x14:colorNegative theme="0" tint="-0.499984740745262"/>
          <x14:colorAxis rgb="FF000000"/>
          <x14:colorMarkers theme="5"/>
          <x14:colorFirst theme="6" tint="-0.249977111117893"/>
          <x14:colorLast theme="6" tint="-0.249977111117893"/>
          <x14:colorHigh theme="5"/>
          <x14:colorLow rgb="FFFF0000"/>
          <x14:sparklines>
            <x14:sparkline>
              <xm:f>음식!C14:O14</xm:f>
              <xm:sqref>S14</xm:sqref>
            </x14:sparkline>
            <x14:sparkline>
              <xm:f>음식!C25:O25</xm:f>
              <xm:sqref>S25</xm:sqref>
            </x14:sparkline>
            <x14:sparkline>
              <xm:f>음식!C26:O26</xm:f>
              <xm:sqref>S26</xm:sqref>
            </x14:sparkline>
            <x14:sparkline>
              <xm:f>음식!C27:O27</xm:f>
              <xm:sqref>S27</xm:sqref>
            </x14:sparkline>
          </x14:sparklines>
        </x14:sparklineGroup>
      </x14:sparklineGroup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rgb="FFD1F3E8"/>
    <pageSetUpPr autoPageBreaks="0" fitToPage="1"/>
  </sheetPr>
  <dimension ref="A1:W29"/>
  <sheetViews>
    <sheetView showGridLines="0" topLeftCell="A9" zoomScale="85" zoomScaleNormal="85" workbookViewId="0">
      <selection activeCell="H15" sqref="H15:I15"/>
    </sheetView>
  </sheetViews>
  <sheetFormatPr defaultColWidth="9.109375" defaultRowHeight="21" customHeight="1"/>
  <cols>
    <col min="1" max="1" width="1.44140625" style="2" customWidth="1"/>
    <col min="2" max="2" width="23.33203125" style="2" customWidth="1"/>
    <col min="3" max="3" width="18.5546875" style="2" customWidth="1"/>
    <col min="4" max="6" width="12.6640625" style="2" customWidth="1"/>
    <col min="7" max="7" width="29.77734375" style="2" customWidth="1"/>
    <col min="8" max="8" width="13.6640625" style="2" customWidth="1"/>
    <col min="9" max="9" width="13.6640625" style="174" customWidth="1"/>
    <col min="10" max="10" width="12.6640625" style="2" customWidth="1"/>
    <col min="11" max="11" width="20.77734375" style="2" customWidth="1"/>
    <col min="12" max="14" width="12.6640625" style="2" customWidth="1"/>
    <col min="15" max="15" width="10.6640625" style="2" customWidth="1"/>
    <col min="16" max="16" width="10.6640625" style="166" customWidth="1"/>
    <col min="17" max="17" width="15.33203125" style="2" customWidth="1"/>
    <col min="18" max="18" width="10.6640625" style="217" customWidth="1"/>
    <col min="19" max="19" width="10.6640625" style="2" customWidth="1"/>
    <col min="20" max="20" width="11.77734375" style="2" customWidth="1"/>
    <col min="21" max="21" width="25.77734375" style="2" customWidth="1"/>
    <col min="22" max="22" width="46.77734375" style="2" customWidth="1"/>
    <col min="23" max="23" width="30.77734375" style="2" customWidth="1"/>
    <col min="24" max="16384" width="9.109375" style="2"/>
  </cols>
  <sheetData>
    <row r="1" spans="1:23" ht="64.2" customHeight="1">
      <c r="A1" s="1"/>
      <c r="C1" s="26" t="s">
        <v>74</v>
      </c>
      <c r="D1" s="21"/>
      <c r="J1" s="1"/>
      <c r="K1" s="1"/>
      <c r="N1" s="1"/>
      <c r="O1" s="3"/>
      <c r="P1" s="159"/>
      <c r="Q1" s="3"/>
      <c r="R1" s="216"/>
      <c r="S1" s="3"/>
    </row>
    <row r="2" spans="1:23" ht="21" customHeight="1">
      <c r="A2" s="1"/>
      <c r="B2" s="4"/>
      <c r="C2" s="29" t="s">
        <v>497</v>
      </c>
      <c r="D2" s="27"/>
      <c r="E2" s="23"/>
      <c r="F2" s="25"/>
      <c r="G2" s="25"/>
      <c r="H2" s="235"/>
      <c r="I2" s="175"/>
      <c r="J2" s="1"/>
      <c r="K2" s="1"/>
      <c r="L2" s="1"/>
      <c r="M2" s="1"/>
      <c r="N2" s="1"/>
      <c r="O2" s="3"/>
      <c r="P2" s="159"/>
      <c r="R2" s="235" t="s">
        <v>470</v>
      </c>
    </row>
    <row r="3" spans="1:23" ht="21" customHeight="1" thickBot="1">
      <c r="A3" s="1"/>
      <c r="B3" s="1"/>
      <c r="C3" s="1"/>
      <c r="D3" s="1"/>
      <c r="E3" s="1"/>
      <c r="F3" s="1"/>
      <c r="G3" s="1"/>
      <c r="H3" s="236"/>
      <c r="I3" s="175"/>
      <c r="J3" s="1"/>
      <c r="K3" s="1"/>
      <c r="L3" s="1"/>
      <c r="M3" s="148" t="s">
        <v>356</v>
      </c>
      <c r="N3" s="1"/>
      <c r="O3" s="1"/>
      <c r="P3" s="160"/>
      <c r="Q3" s="1"/>
      <c r="R3" s="237">
        <f>(VLOOKUP(C1,'캐릭터 욕구 생성 표'!A1:N12,6,FALSE)+ VLOOKUP(C1,'캐릭터 욕구 생성 표'!A1:N12,12,FALSE))*'스테이지 관련 수치'!B11/2</f>
        <v>30</v>
      </c>
      <c r="S3" s="1"/>
    </row>
    <row r="4" spans="1:23" s="245" customFormat="1" ht="42" customHeight="1" thickTop="1" thickBot="1">
      <c r="A4" s="239"/>
      <c r="B4" s="240" t="s">
        <v>0</v>
      </c>
      <c r="C4" s="241" t="s">
        <v>2</v>
      </c>
      <c r="D4" s="240" t="s">
        <v>1</v>
      </c>
      <c r="E4" s="240" t="s">
        <v>23</v>
      </c>
      <c r="F4" s="240" t="s">
        <v>3</v>
      </c>
      <c r="G4" s="240" t="s">
        <v>4</v>
      </c>
      <c r="H4" s="243" t="s">
        <v>440</v>
      </c>
      <c r="I4" s="242" t="s">
        <v>439</v>
      </c>
      <c r="J4" s="243" t="s">
        <v>5</v>
      </c>
      <c r="K4" s="243" t="s">
        <v>6</v>
      </c>
      <c r="L4" s="244" t="s">
        <v>7</v>
      </c>
      <c r="M4" s="244" t="s">
        <v>8</v>
      </c>
      <c r="N4" s="224" t="s">
        <v>11</v>
      </c>
      <c r="O4" s="224" t="s">
        <v>438</v>
      </c>
      <c r="P4" s="225" t="s">
        <v>437</v>
      </c>
      <c r="Q4" s="224" t="s">
        <v>21</v>
      </c>
      <c r="R4" s="226" t="s">
        <v>447</v>
      </c>
      <c r="S4" s="224" t="s">
        <v>79</v>
      </c>
      <c r="T4" s="224" t="s">
        <v>70</v>
      </c>
      <c r="U4" s="240" t="s">
        <v>409</v>
      </c>
      <c r="V4" s="240" t="s">
        <v>9</v>
      </c>
      <c r="W4" s="240" t="s">
        <v>100</v>
      </c>
    </row>
    <row r="5" spans="1:23" s="11" customFormat="1" ht="99.6" customHeight="1">
      <c r="A5" s="5"/>
      <c r="B5" s="24" t="s">
        <v>75</v>
      </c>
      <c r="C5" s="48"/>
      <c r="D5" s="49">
        <v>12</v>
      </c>
      <c r="E5" s="50">
        <v>15</v>
      </c>
      <c r="F5" s="51">
        <v>25</v>
      </c>
      <c r="G5" s="52"/>
      <c r="H5" s="52" t="s">
        <v>74</v>
      </c>
      <c r="I5" s="177">
        <v>45</v>
      </c>
      <c r="J5" s="52" t="s">
        <v>93</v>
      </c>
      <c r="K5" s="67">
        <v>1300</v>
      </c>
      <c r="L5" s="51">
        <f>ROUND(IF(ISBLANK(tblIncome856[[#This Row],[보너스]]),INDEX('건설 부지에 따른 수치표'!$A$1:$D$13, MATCH(tblIncome856[[#This Row],[건설 부지]], '건설 부지에 따른 수치표'!A:A, 0), MATCH(tblIncome856[[#Headers],[건설 비용 회수 시간]], '건설 부지에 따른 수치표'!$1:$1, 0))*tblIncome856[[#This Row],[수익률]],INDEX('건설 부지에 따른 수치표'!$A$1:$D$13, MATCH(tblIncome856[[#This Row],[건설 부지]], '건설 부지에 따른 수치표'!A:A, 0), MATCH(tblIncome856[[#Headers],[건설 비용 회수 시간]], '건설 부지에 따른 수치표'!$1:$1, 0))*tblIncome856[[#This Row],[수익률]]*1.2), -1)</f>
        <v>2280</v>
      </c>
      <c r="M5" s="141">
        <v>4</v>
      </c>
      <c r="N5" s="53">
        <f>tblIncome856[[#This Row],[수용량]]*tblIncome856[[#This Row],[요금]]/tblIncome856[[#This Row],[이용시간]]</f>
        <v>20</v>
      </c>
      <c r="O5" s="54">
        <f>tblIncome856[[#This Row],[수익률]]/tblIncome856[[#This Row],[건설 비용]]</f>
        <v>8.771929824561403E-3</v>
      </c>
      <c r="P5" s="161">
        <f>tblIncome856[[#This Row],[건설 비용]]/tblIncome856[[#This Row],[수익률]]</f>
        <v>114</v>
      </c>
      <c r="Q5" s="55">
        <f>tblIncome856[[#This Row],[수익률]]/tblIncome856[[#This Row],[건설 부지]]</f>
        <v>5</v>
      </c>
      <c r="R5" s="218">
        <f>tblIncome856[[#This Row],[수용량]]*tblIncome856[[#This Row],[욕구 해소량]]/tblIncome856[[#This Row],[이용시간]]</f>
        <v>36</v>
      </c>
      <c r="S5" s="90">
        <f>tblIncome856[[#This Row],[요금]]/tblIncome856[[#This Row],[욕구 해소량]]</f>
        <v>0.55555555555555558</v>
      </c>
      <c r="T5" s="84">
        <f>tblIncome856[[#This Row],[수용량]]/tblIncome856[[#This Row],[이용시간]]</f>
        <v>0.8</v>
      </c>
      <c r="U5" s="156"/>
      <c r="V5" s="56" t="s">
        <v>78</v>
      </c>
      <c r="W5" s="56"/>
    </row>
    <row r="6" spans="1:23" ht="100.05" customHeight="1">
      <c r="A6" s="1"/>
      <c r="B6" s="24" t="s">
        <v>90</v>
      </c>
      <c r="C6" s="57"/>
      <c r="D6" s="58">
        <v>10</v>
      </c>
      <c r="E6" s="59">
        <v>20</v>
      </c>
      <c r="F6" s="60">
        <v>52</v>
      </c>
      <c r="G6" s="61"/>
      <c r="H6" s="52" t="s">
        <v>74</v>
      </c>
      <c r="I6" s="177">
        <v>70</v>
      </c>
      <c r="J6" s="61" t="s">
        <v>76</v>
      </c>
      <c r="K6" s="68"/>
      <c r="L6" s="51">
        <f>ROUND(IF(ISBLANK(tblIncome856[[#This Row],[보너스]]),INDEX('건설 부지에 따른 수치표'!$A$1:$D$13, MATCH(tblIncome856[[#This Row],[건설 부지]], '건설 부지에 따른 수치표'!A:A, 0), MATCH(tblIncome856[[#Headers],[건설 비용 회수 시간]], '건설 부지에 따른 수치표'!$1:$1, 0))*tblIncome856[[#This Row],[수익률]],INDEX('건설 부지에 따른 수치표'!$A$1:$D$13, MATCH(tblIncome856[[#This Row],[건설 부지]], '건설 부지에 따른 수치표'!A:A, 0), MATCH(tblIncome856[[#Headers],[건설 비용 회수 시간]], '건설 부지에 따른 수치표'!$1:$1, 0))*tblIncome856[[#This Row],[수익률]]*1.2), -1)</f>
        <v>3120</v>
      </c>
      <c r="M6" s="142">
        <v>5</v>
      </c>
      <c r="N6" s="62">
        <f>tblIncome856[[#This Row],[수용량]]*tblIncome856[[#This Row],[요금]]/tblIncome856[[#This Row],[이용시간]]</f>
        <v>26</v>
      </c>
      <c r="O6" s="63">
        <f>tblIncome856[[#This Row],[수익률]]/tblIncome856[[#This Row],[건설 비용]]</f>
        <v>8.3333333333333332E-3</v>
      </c>
      <c r="P6" s="162">
        <f>tblIncome856[[#This Row],[건설 비용]]/tblIncome856[[#This Row],[수익률]]</f>
        <v>120</v>
      </c>
      <c r="Q6" s="64">
        <f>tblIncome856[[#This Row],[수익률]]/tblIncome856[[#This Row],[건설 부지]]</f>
        <v>5.2</v>
      </c>
      <c r="R6" s="218">
        <f>tblIncome856[[#This Row],[수용량]]*tblIncome856[[#This Row],[욕구 해소량]]/tblIncome856[[#This Row],[이용시간]]</f>
        <v>35</v>
      </c>
      <c r="S6" s="90">
        <f>tblIncome856[[#This Row],[요금]]/tblIncome856[[#This Row],[욕구 해소량]]</f>
        <v>0.74285714285714288</v>
      </c>
      <c r="T6" s="84">
        <f>tblIncome856[[#This Row],[수용량]]/tblIncome856[[#This Row],[이용시간]]</f>
        <v>0.5</v>
      </c>
      <c r="U6" s="156" t="s">
        <v>417</v>
      </c>
      <c r="V6" s="65" t="s">
        <v>91</v>
      </c>
      <c r="W6" s="65"/>
    </row>
    <row r="7" spans="1:23" ht="100.05" customHeight="1">
      <c r="A7" s="1"/>
      <c r="B7" s="24" t="s">
        <v>60</v>
      </c>
      <c r="C7" s="57"/>
      <c r="D7" s="58">
        <v>21</v>
      </c>
      <c r="E7" s="59">
        <v>18</v>
      </c>
      <c r="F7" s="60">
        <v>32</v>
      </c>
      <c r="G7" s="61"/>
      <c r="H7" s="52" t="s">
        <v>74</v>
      </c>
      <c r="I7" s="177">
        <v>35</v>
      </c>
      <c r="J7" s="61" t="s">
        <v>93</v>
      </c>
      <c r="K7" s="68"/>
      <c r="L7" s="51">
        <f>ROUND(IF(ISBLANK(tblIncome856[[#This Row],[보너스]]),INDEX('건설 부지에 따른 수치표'!$A$1:$D$13, MATCH(tblIncome856[[#This Row],[건설 부지]], '건설 부지에 따른 수치표'!A:A, 0), MATCH(tblIncome856[[#Headers],[건설 비용 회수 시간]], '건설 부지에 따른 수치표'!$1:$1, 0))*tblIncome856[[#This Row],[수익률]],INDEX('건설 부지에 따른 수치표'!$A$1:$D$13, MATCH(tblIncome856[[#This Row],[건설 부지]], '건설 부지에 따른 수치표'!A:A, 0), MATCH(tblIncome856[[#Headers],[건설 비용 회수 시간]], '건설 부지에 따른 수치표'!$1:$1, 0))*tblIncome856[[#This Row],[수익률]]*1.2), -1)</f>
        <v>5600</v>
      </c>
      <c r="M7" s="142">
        <v>6</v>
      </c>
      <c r="N7" s="62">
        <f>tblIncome856[[#This Row],[수용량]]*tblIncome856[[#This Row],[요금]]/tblIncome856[[#This Row],[이용시간]]</f>
        <v>37.333333333333336</v>
      </c>
      <c r="O7" s="63">
        <f>tblIncome856[[#This Row],[수익률]]/tblIncome856[[#This Row],[건설 비용]]</f>
        <v>6.6666666666666671E-3</v>
      </c>
      <c r="P7" s="162">
        <f>tblIncome856[[#This Row],[건설 비용]]/tblIncome856[[#This Row],[수익률]]</f>
        <v>150</v>
      </c>
      <c r="Q7" s="64">
        <f>tblIncome856[[#This Row],[수익률]]/tblIncome856[[#This Row],[건설 부지]]</f>
        <v>6.2222222222222223</v>
      </c>
      <c r="R7" s="218">
        <f>tblIncome856[[#This Row],[수용량]]*tblIncome856[[#This Row],[욕구 해소량]]/tblIncome856[[#This Row],[이용시간]]</f>
        <v>40.833333333333336</v>
      </c>
      <c r="S7" s="90">
        <f>tblIncome856[[#This Row],[요금]]/tblIncome856[[#This Row],[욕구 해소량]]</f>
        <v>0.91428571428571426</v>
      </c>
      <c r="T7" s="84">
        <f>tblIncome856[[#This Row],[수용량]]/tblIncome856[[#This Row],[이용시간]]</f>
        <v>1.1666666666666667</v>
      </c>
      <c r="U7" s="156" t="s">
        <v>421</v>
      </c>
      <c r="V7" s="65" t="s">
        <v>95</v>
      </c>
      <c r="W7" s="65" t="s">
        <v>101</v>
      </c>
    </row>
    <row r="8" spans="1:23" s="15" customFormat="1" ht="100.05" customHeight="1">
      <c r="A8" s="13"/>
      <c r="B8" s="24" t="s">
        <v>96</v>
      </c>
      <c r="C8" s="57"/>
      <c r="D8" s="58">
        <v>12</v>
      </c>
      <c r="E8" s="59">
        <v>22</v>
      </c>
      <c r="F8" s="60">
        <v>94</v>
      </c>
      <c r="G8" s="61"/>
      <c r="H8" s="52" t="s">
        <v>74</v>
      </c>
      <c r="I8" s="177">
        <v>90</v>
      </c>
      <c r="J8" s="61" t="s">
        <v>76</v>
      </c>
      <c r="K8" s="68"/>
      <c r="L8" s="51">
        <f>ROUND(IF(ISBLANK(tblIncome856[[#This Row],[보너스]]),INDEX('건설 부지에 따른 수치표'!$A$1:$D$13, MATCH(tblIncome856[[#This Row],[건설 부지]], '건설 부지에 따른 수치표'!A:A, 0), MATCH(tblIncome856[[#Headers],[건설 비용 회수 시간]], '건설 부지에 따른 수치표'!$1:$1, 0))*tblIncome856[[#This Row],[수익률]],INDEX('건설 부지에 따른 수치표'!$A$1:$D$13, MATCH(tblIncome856[[#This Row],[건설 부지]], '건설 부지에 따른 수치표'!A:A, 0), MATCH(tblIncome856[[#Headers],[건설 비용 회수 시간]], '건설 부지에 따른 수치표'!$1:$1, 0))*tblIncome856[[#This Row],[수익률]]*1.2), -1)</f>
        <v>9740</v>
      </c>
      <c r="M8" s="142">
        <v>7</v>
      </c>
      <c r="N8" s="62">
        <f>tblIncome856[[#This Row],[수용량]]*tblIncome856[[#This Row],[요금]]/tblIncome856[[#This Row],[이용시간]]</f>
        <v>51.272727272727273</v>
      </c>
      <c r="O8" s="63">
        <f>tblIncome856[[#This Row],[수익률]]/tblIncome856[[#This Row],[건설 비용]]</f>
        <v>5.2641403770767219E-3</v>
      </c>
      <c r="P8" s="162">
        <f>tblIncome856[[#This Row],[건설 비용]]/tblIncome856[[#This Row],[수익률]]</f>
        <v>189.96453900709218</v>
      </c>
      <c r="Q8" s="64">
        <f>tblIncome856[[#This Row],[수익률]]/tblIncome856[[#This Row],[건설 부지]]</f>
        <v>7.3246753246753249</v>
      </c>
      <c r="R8" s="218">
        <f>tblIncome856[[#This Row],[수용량]]*tblIncome856[[#This Row],[욕구 해소량]]/tblIncome856[[#This Row],[이용시간]]</f>
        <v>49.090909090909093</v>
      </c>
      <c r="S8" s="90">
        <f>tblIncome856[[#This Row],[요금]]/tblIncome856[[#This Row],[욕구 해소량]]</f>
        <v>1.0444444444444445</v>
      </c>
      <c r="T8" s="84">
        <f>tblIncome856[[#This Row],[수용량]]/tblIncome856[[#This Row],[이용시간]]</f>
        <v>0.54545454545454541</v>
      </c>
      <c r="U8" s="156" t="s">
        <v>420</v>
      </c>
      <c r="V8" s="65" t="s">
        <v>98</v>
      </c>
      <c r="W8" s="65" t="s">
        <v>102</v>
      </c>
    </row>
    <row r="9" spans="1:23" s="9" customFormat="1" ht="100.05" customHeight="1">
      <c r="B9" s="24" t="s">
        <v>243</v>
      </c>
      <c r="C9" s="57"/>
      <c r="D9" s="58">
        <v>22</v>
      </c>
      <c r="E9" s="59">
        <v>15</v>
      </c>
      <c r="F9" s="60">
        <v>43</v>
      </c>
      <c r="G9" s="61"/>
      <c r="H9" s="52" t="s">
        <v>74</v>
      </c>
      <c r="I9" s="177">
        <v>40</v>
      </c>
      <c r="J9" s="61" t="s">
        <v>93</v>
      </c>
      <c r="K9" s="68"/>
      <c r="L9" s="51">
        <f>ROUND(IF(ISBLANK(tblIncome856[[#This Row],[보너스]]),INDEX('건설 부지에 따른 수치표'!$A$1:$D$13, MATCH(tblIncome856[[#This Row],[건설 부지]], '건설 부지에 따른 수치표'!A:A, 0), MATCH(tblIncome856[[#Headers],[건설 비용 회수 시간]], '건설 부지에 따른 수치표'!$1:$1, 0))*tblIncome856[[#This Row],[수익률]],INDEX('건설 부지에 따른 수치표'!$A$1:$D$13, MATCH(tblIncome856[[#This Row],[건설 부지]], '건설 부지에 따른 수치표'!A:A, 0), MATCH(tblIncome856[[#Headers],[건설 비용 회수 시간]], '건설 부지에 따른 수치표'!$1:$1, 0))*tblIncome856[[#This Row],[수익률]]*1.2), -1)</f>
        <v>14820</v>
      </c>
      <c r="M9" s="142">
        <v>8</v>
      </c>
      <c r="N9" s="62">
        <f>tblIncome856[[#This Row],[수용량]]*tblIncome856[[#This Row],[요금]]/tblIncome856[[#This Row],[이용시간]]</f>
        <v>63.06666666666667</v>
      </c>
      <c r="O9" s="63">
        <f>tblIncome856[[#This Row],[수익률]]/tblIncome856[[#This Row],[건설 비용]]</f>
        <v>4.2555105713000451E-3</v>
      </c>
      <c r="P9" s="162">
        <f>tblIncome856[[#This Row],[건설 비용]]/tblIncome856[[#This Row],[수익률]]</f>
        <v>234.98942917547566</v>
      </c>
      <c r="Q9" s="64">
        <f>tblIncome856[[#This Row],[수익률]]/tblIncome856[[#This Row],[건설 부지]]</f>
        <v>7.8833333333333337</v>
      </c>
      <c r="R9" s="218">
        <f>tblIncome856[[#This Row],[수용량]]*tblIncome856[[#This Row],[욕구 해소량]]/tblIncome856[[#This Row],[이용시간]]</f>
        <v>58.666666666666664</v>
      </c>
      <c r="S9" s="90">
        <f>tblIncome856[[#This Row],[요금]]/tblIncome856[[#This Row],[욕구 해소량]]</f>
        <v>1.075</v>
      </c>
      <c r="T9" s="84">
        <f>tblIncome856[[#This Row],[수용량]]/tblIncome856[[#This Row],[이용시간]]</f>
        <v>1.4666666666666666</v>
      </c>
      <c r="U9" s="156" t="s">
        <v>419</v>
      </c>
      <c r="V9" s="65" t="s">
        <v>240</v>
      </c>
      <c r="W9" s="65"/>
    </row>
    <row r="10" spans="1:23" s="15" customFormat="1" ht="100.05" customHeight="1">
      <c r="A10" s="13"/>
      <c r="B10" s="47" t="s">
        <v>288</v>
      </c>
      <c r="C10" s="57"/>
      <c r="D10" s="58">
        <v>24</v>
      </c>
      <c r="E10" s="59">
        <v>40</v>
      </c>
      <c r="F10" s="60">
        <v>128</v>
      </c>
      <c r="G10" s="61"/>
      <c r="H10" s="52" t="s">
        <v>74</v>
      </c>
      <c r="I10" s="177">
        <v>95</v>
      </c>
      <c r="J10" s="61" t="s">
        <v>76</v>
      </c>
      <c r="K10" s="68" t="s">
        <v>290</v>
      </c>
      <c r="L10" s="51">
        <f>ROUND(IF(ISBLANK(tblIncome856[[#This Row],[보너스]]),INDEX('건설 부지에 따른 수치표'!$A$1:$D$13, MATCH(tblIncome856[[#This Row],[건설 부지]], '건설 부지에 따른 수치표'!A:A, 0), MATCH(tblIncome856[[#Headers],[건설 비용 회수 시간]], '건설 부지에 따른 수치표'!$1:$1, 0))*tblIncome856[[#This Row],[수익률]],INDEX('건설 부지에 따른 수치표'!$A$1:$D$13, MATCH(tblIncome856[[#This Row],[건설 부지]], '건설 부지에 따른 수치표'!A:A, 0), MATCH(tblIncome856[[#Headers],[건설 비용 회수 시간]], '건설 부지에 따른 수치표'!$1:$1, 0))*tblIncome856[[#This Row],[수익률]]*1.2), -1)</f>
        <v>27650</v>
      </c>
      <c r="M10" s="142">
        <v>9</v>
      </c>
      <c r="N10" s="62">
        <f>tblIncome856[[#This Row],[수용량]]*tblIncome856[[#This Row],[요금]]/tblIncome856[[#This Row],[이용시간]]</f>
        <v>76.8</v>
      </c>
      <c r="O10" s="63">
        <f>tblIncome856[[#This Row],[수익률]]/tblIncome856[[#This Row],[건설 비용]]</f>
        <v>2.7775768535262205E-3</v>
      </c>
      <c r="P10" s="162">
        <f>tblIncome856[[#This Row],[건설 비용]]/tblIncome856[[#This Row],[수익률]]</f>
        <v>360.02604166666669</v>
      </c>
      <c r="Q10" s="64">
        <f>tblIncome856[[#This Row],[수익률]]/tblIncome856[[#This Row],[건설 부지]]</f>
        <v>8.5333333333333332</v>
      </c>
      <c r="R10" s="218">
        <f>tblIncome856[[#This Row],[수용량]]*tblIncome856[[#This Row],[욕구 해소량]]/tblIncome856[[#This Row],[이용시간]]</f>
        <v>57</v>
      </c>
      <c r="S10" s="90">
        <f>tblIncome856[[#This Row],[요금]]/tblIncome856[[#This Row],[욕구 해소량]]</f>
        <v>1.3473684210526315</v>
      </c>
      <c r="T10" s="84">
        <f>tblIncome856[[#This Row],[수용량]]/tblIncome856[[#This Row],[이용시간]]</f>
        <v>0.6</v>
      </c>
      <c r="U10" s="156" t="s">
        <v>418</v>
      </c>
      <c r="V10" s="65" t="s">
        <v>289</v>
      </c>
      <c r="W10" s="65" t="s">
        <v>103</v>
      </c>
    </row>
    <row r="11" spans="1:23" ht="100.05" customHeight="1">
      <c r="A11" s="1"/>
      <c r="B11" s="47" t="s">
        <v>234</v>
      </c>
      <c r="C11" s="57"/>
      <c r="D11" s="58">
        <v>30</v>
      </c>
      <c r="E11" s="59">
        <v>15</v>
      </c>
      <c r="F11" s="60">
        <v>60</v>
      </c>
      <c r="G11" s="61"/>
      <c r="H11" s="52" t="s">
        <v>74</v>
      </c>
      <c r="I11" s="177">
        <v>50</v>
      </c>
      <c r="J11" s="61" t="s">
        <v>93</v>
      </c>
      <c r="K11" s="68" t="s">
        <v>308</v>
      </c>
      <c r="L11" s="51">
        <f>ROUND(IF(ISBLANK(tblIncome856[[#This Row],[보너스]]),INDEX('건설 부지에 따른 수치표'!$A$1:$D$13, MATCH(tblIncome856[[#This Row],[건설 부지]], '건설 부지에 따른 수치표'!A:A, 0), MATCH(tblIncome856[[#Headers],[건설 비용 회수 시간]], '건설 부지에 따른 수치표'!$1:$1, 0))*tblIncome856[[#This Row],[수익률]],INDEX('건설 부지에 따른 수치표'!$A$1:$D$13, MATCH(tblIncome856[[#This Row],[건설 부지]], '건설 부지에 따른 수치표'!A:A, 0), MATCH(tblIncome856[[#Headers],[건설 비용 회수 시간]], '건설 부지에 따른 수치표'!$1:$1, 0))*tblIncome856[[#This Row],[수익률]]*1.2), -1)</f>
        <v>46080</v>
      </c>
      <c r="M11" s="142">
        <v>11</v>
      </c>
      <c r="N11" s="62">
        <f>tblIncome856[[#This Row],[수용량]]*tblIncome856[[#This Row],[요금]]/tblIncome856[[#This Row],[이용시간]]</f>
        <v>120</v>
      </c>
      <c r="O11" s="63">
        <f>tblIncome856[[#This Row],[수익률]]/tblIncome856[[#This Row],[건설 비용]]</f>
        <v>2.6041666666666665E-3</v>
      </c>
      <c r="P11" s="162">
        <f>tblIncome856[[#This Row],[건설 비용]]/tblIncome856[[#This Row],[수익률]]</f>
        <v>384</v>
      </c>
      <c r="Q11" s="64">
        <f>tblIncome856[[#This Row],[수익률]]/tblIncome856[[#This Row],[건설 부지]]</f>
        <v>10.909090909090908</v>
      </c>
      <c r="R11" s="218">
        <f>tblIncome856[[#This Row],[수용량]]*tblIncome856[[#This Row],[욕구 해소량]]/tblIncome856[[#This Row],[이용시간]]</f>
        <v>100</v>
      </c>
      <c r="S11" s="90">
        <f>tblIncome856[[#This Row],[요금]]/tblIncome856[[#This Row],[욕구 해소량]]</f>
        <v>1.2</v>
      </c>
      <c r="T11" s="84">
        <f>tblIncome856[[#This Row],[수용량]]/tblIncome856[[#This Row],[이용시간]]</f>
        <v>2</v>
      </c>
      <c r="U11" s="156" t="s">
        <v>423</v>
      </c>
      <c r="V11" s="65" t="s">
        <v>235</v>
      </c>
      <c r="W11" s="65" t="s">
        <v>242</v>
      </c>
    </row>
    <row r="12" spans="1:23" ht="100.05" customHeight="1">
      <c r="A12" s="1"/>
      <c r="B12" s="47" t="s">
        <v>203</v>
      </c>
      <c r="C12" s="57"/>
      <c r="D12" s="58">
        <v>75</v>
      </c>
      <c r="E12" s="59">
        <v>30</v>
      </c>
      <c r="F12" s="60">
        <v>60</v>
      </c>
      <c r="G12" s="61"/>
      <c r="H12" s="52" t="s">
        <v>74</v>
      </c>
      <c r="I12" s="177">
        <v>65</v>
      </c>
      <c r="J12" s="61" t="s">
        <v>76</v>
      </c>
      <c r="K12" s="68"/>
      <c r="L12" s="51">
        <f>ROUND(IF(ISBLANK(tblIncome856[[#This Row],[보너스]]),INDEX('건설 부지에 따른 수치표'!$A$1:$D$13, MATCH(tblIncome856[[#This Row],[건설 부지]], '건설 부지에 따른 수치표'!A:A, 0), MATCH(tblIncome856[[#Headers],[건설 비용 회수 시간]], '건설 부지에 따른 수치표'!$1:$1, 0))*tblIncome856[[#This Row],[수익률]],INDEX('건설 부지에 따른 수치표'!$A$1:$D$13, MATCH(tblIncome856[[#This Row],[건설 부지]], '건설 부지에 따른 수치표'!A:A, 0), MATCH(tblIncome856[[#Headers],[건설 비용 회수 시간]], '건설 부지에 따른 수치표'!$1:$1, 0))*tblIncome856[[#This Row],[수익률]]*1.2), -1)</f>
        <v>49500</v>
      </c>
      <c r="M12" s="142">
        <v>12</v>
      </c>
      <c r="N12" s="62">
        <f>tblIncome856[[#This Row],[수용량]]*tblIncome856[[#This Row],[요금]]/tblIncome856[[#This Row],[이용시간]]</f>
        <v>150</v>
      </c>
      <c r="O12" s="63">
        <f>tblIncome856[[#This Row],[수익률]]/tblIncome856[[#This Row],[건설 비용]]</f>
        <v>3.0303030303030303E-3</v>
      </c>
      <c r="P12" s="162">
        <f>tblIncome856[[#This Row],[건설 비용]]/tblIncome856[[#This Row],[수익률]]</f>
        <v>330</v>
      </c>
      <c r="Q12" s="64">
        <f>tblIncome856[[#This Row],[수익률]]/tblIncome856[[#This Row],[건설 부지]]</f>
        <v>12.5</v>
      </c>
      <c r="R12" s="218">
        <f>tblIncome856[[#This Row],[수용량]]*tblIncome856[[#This Row],[욕구 해소량]]/tblIncome856[[#This Row],[이용시간]]</f>
        <v>162.5</v>
      </c>
      <c r="S12" s="90">
        <f>tblIncome856[[#This Row],[요금]]/tblIncome856[[#This Row],[욕구 해소량]]</f>
        <v>0.92307692307692313</v>
      </c>
      <c r="T12" s="84">
        <f>tblIncome856[[#This Row],[수용량]]/tblIncome856[[#This Row],[이용시간]]</f>
        <v>2.5</v>
      </c>
      <c r="U12" s="156" t="s">
        <v>422</v>
      </c>
      <c r="V12" s="65" t="s">
        <v>241</v>
      </c>
      <c r="W12" s="65" t="s">
        <v>309</v>
      </c>
    </row>
    <row r="13" spans="1:23" ht="21" customHeight="1">
      <c r="A13" s="1"/>
      <c r="B13" s="12"/>
      <c r="C13" s="7"/>
      <c r="D13" s="7"/>
      <c r="E13" s="7"/>
      <c r="F13" s="7"/>
      <c r="G13" s="7"/>
      <c r="H13" s="7"/>
      <c r="I13" s="180"/>
      <c r="J13" s="7"/>
      <c r="K13" s="7"/>
      <c r="L13" s="7"/>
      <c r="M13" s="7"/>
      <c r="N13" s="7"/>
      <c r="O13" s="7"/>
      <c r="P13" s="164"/>
      <c r="Q13" s="7"/>
      <c r="R13" s="220"/>
      <c r="S13" s="7"/>
    </row>
    <row r="14" spans="1:23" ht="21" customHeight="1">
      <c r="A14" s="1"/>
      <c r="B14" s="46"/>
      <c r="C14" s="19"/>
      <c r="D14" s="19"/>
      <c r="E14" s="19"/>
      <c r="F14" s="19"/>
      <c r="G14" s="19"/>
      <c r="H14" s="19"/>
      <c r="I14" s="181"/>
      <c r="J14" s="19"/>
      <c r="K14" s="19"/>
      <c r="L14" s="19"/>
      <c r="M14" s="19"/>
      <c r="N14" s="19"/>
      <c r="O14" s="19"/>
      <c r="P14" s="165"/>
      <c r="Q14" s="19"/>
      <c r="R14" s="221"/>
    </row>
    <row r="15" spans="1:23" ht="60" customHeight="1" thickBot="1">
      <c r="A15" s="1"/>
      <c r="B15" s="46"/>
      <c r="C15" s="152" t="s">
        <v>348</v>
      </c>
      <c r="D15" s="263" t="s">
        <v>489</v>
      </c>
      <c r="F15" s="19"/>
      <c r="G15" s="19"/>
      <c r="H15" s="319" t="s">
        <v>355</v>
      </c>
      <c r="I15" s="319"/>
      <c r="Q15" s="19"/>
      <c r="R15" s="221"/>
      <c r="S15" s="17"/>
    </row>
    <row r="16" spans="1:23" ht="21" customHeight="1" thickTop="1" thickBot="1">
      <c r="A16" s="1"/>
      <c r="B16" s="138" t="s">
        <v>0</v>
      </c>
      <c r="C16" s="151" t="s">
        <v>2</v>
      </c>
      <c r="D16" s="324" t="s">
        <v>6</v>
      </c>
      <c r="E16" s="325"/>
      <c r="F16" s="326"/>
      <c r="G16" s="149" t="s">
        <v>295</v>
      </c>
      <c r="H16" s="339" t="s">
        <v>8</v>
      </c>
      <c r="I16" s="340"/>
      <c r="J16" s="324" t="s">
        <v>9</v>
      </c>
      <c r="K16" s="325"/>
      <c r="L16" s="326"/>
      <c r="M16" s="324" t="s">
        <v>100</v>
      </c>
      <c r="N16" s="325"/>
      <c r="O16" s="325"/>
      <c r="P16" s="167"/>
      <c r="Q16" s="19"/>
      <c r="R16" s="221"/>
      <c r="S16" s="17"/>
    </row>
    <row r="17" spans="1:19" ht="100.05" customHeight="1" thickTop="1" thickBot="1">
      <c r="A17" s="1"/>
      <c r="B17" s="140" t="s">
        <v>373</v>
      </c>
      <c r="C17" s="153"/>
      <c r="D17" s="320" t="s">
        <v>360</v>
      </c>
      <c r="E17" s="320"/>
      <c r="F17" s="320"/>
      <c r="G17" s="264">
        <f>0.15</f>
        <v>0.15</v>
      </c>
      <c r="H17" s="335">
        <v>1</v>
      </c>
      <c r="I17" s="336"/>
      <c r="J17" s="341" t="s">
        <v>380</v>
      </c>
      <c r="K17" s="341"/>
      <c r="L17" s="341"/>
      <c r="M17" s="341"/>
      <c r="N17" s="341"/>
      <c r="O17" s="341"/>
      <c r="P17" s="168"/>
      <c r="Q17" s="19"/>
      <c r="R17" s="221"/>
      <c r="S17" s="17"/>
    </row>
    <row r="18" spans="1:19" ht="100.05" customHeight="1" thickTop="1" thickBot="1">
      <c r="A18" s="1"/>
      <c r="B18" s="140" t="s">
        <v>372</v>
      </c>
      <c r="C18" s="150"/>
      <c r="D18" s="321" t="s">
        <v>487</v>
      </c>
      <c r="E18" s="322"/>
      <c r="F18" s="323"/>
      <c r="G18" s="264">
        <f>0.275</f>
        <v>0.27500000000000002</v>
      </c>
      <c r="H18" s="337">
        <v>2</v>
      </c>
      <c r="I18" s="338"/>
      <c r="J18" s="329" t="s">
        <v>378</v>
      </c>
      <c r="K18" s="330"/>
      <c r="L18" s="331"/>
      <c r="M18" s="327"/>
      <c r="N18" s="328"/>
      <c r="O18" s="328"/>
      <c r="P18" s="169"/>
      <c r="Q18" s="19"/>
      <c r="R18" s="221"/>
      <c r="S18" s="17"/>
    </row>
    <row r="19" spans="1:19" ht="100.05" customHeight="1" thickTop="1" thickBot="1">
      <c r="A19" s="1"/>
      <c r="B19" s="140" t="s">
        <v>374</v>
      </c>
      <c r="C19" s="150"/>
      <c r="D19" s="320" t="s">
        <v>494</v>
      </c>
      <c r="E19" s="320"/>
      <c r="F19" s="320"/>
      <c r="G19" s="264">
        <f>0.2*1.5+0.15</f>
        <v>0.45000000000000007</v>
      </c>
      <c r="H19" s="337">
        <v>3</v>
      </c>
      <c r="I19" s="338"/>
      <c r="J19" s="329" t="s">
        <v>379</v>
      </c>
      <c r="K19" s="330"/>
      <c r="L19" s="331"/>
      <c r="M19" s="327"/>
      <c r="N19" s="328"/>
      <c r="O19" s="328"/>
      <c r="P19" s="169"/>
      <c r="Q19" s="19"/>
      <c r="R19" s="221"/>
      <c r="S19" s="17"/>
    </row>
    <row r="20" spans="1:19" ht="100.05" customHeight="1" thickTop="1" thickBot="1">
      <c r="A20" s="1"/>
      <c r="B20" s="155" t="s">
        <v>375</v>
      </c>
      <c r="C20" s="150"/>
      <c r="D20" s="320" t="s">
        <v>495</v>
      </c>
      <c r="E20" s="320"/>
      <c r="F20" s="320"/>
      <c r="G20" s="264">
        <f>0.2*1.5+0.15</f>
        <v>0.45000000000000007</v>
      </c>
      <c r="H20" s="337">
        <v>3</v>
      </c>
      <c r="I20" s="338"/>
      <c r="J20" s="329" t="s">
        <v>381</v>
      </c>
      <c r="K20" s="330"/>
      <c r="L20" s="331"/>
      <c r="M20" s="327"/>
      <c r="N20" s="328"/>
      <c r="O20" s="328"/>
      <c r="P20" s="169"/>
      <c r="Q20" s="19"/>
      <c r="R20" s="221"/>
      <c r="S20" s="17"/>
    </row>
    <row r="21" spans="1:19" ht="100.05" customHeight="1" thickTop="1" thickBot="1">
      <c r="A21" s="1"/>
      <c r="B21" s="155" t="s">
        <v>382</v>
      </c>
      <c r="C21" s="150"/>
      <c r="D21" s="320" t="s">
        <v>392</v>
      </c>
      <c r="E21" s="320"/>
      <c r="F21" s="320"/>
      <c r="G21" s="264">
        <f>0.15</f>
        <v>0.15</v>
      </c>
      <c r="H21" s="337">
        <v>0</v>
      </c>
      <c r="I21" s="338"/>
      <c r="J21" s="329" t="s">
        <v>383</v>
      </c>
      <c r="K21" s="330"/>
      <c r="L21" s="331"/>
      <c r="M21" s="327"/>
      <c r="N21" s="328"/>
      <c r="O21" s="328"/>
      <c r="P21" s="169"/>
      <c r="Q21" s="19"/>
      <c r="R21" s="221"/>
      <c r="S21" s="17"/>
    </row>
    <row r="22" spans="1:19" ht="100.05" customHeight="1" thickTop="1" thickBot="1">
      <c r="A22" s="1"/>
      <c r="B22" s="155" t="s">
        <v>376</v>
      </c>
      <c r="C22" s="150"/>
      <c r="D22" s="320" t="s">
        <v>485</v>
      </c>
      <c r="E22" s="320"/>
      <c r="F22" s="320"/>
      <c r="G22" s="264">
        <f>0.1*1.5</f>
        <v>0.15000000000000002</v>
      </c>
      <c r="H22" s="337">
        <v>0</v>
      </c>
      <c r="I22" s="338"/>
      <c r="J22" s="329" t="s">
        <v>377</v>
      </c>
      <c r="K22" s="330"/>
      <c r="L22" s="331"/>
      <c r="M22" s="327"/>
      <c r="N22" s="328"/>
      <c r="O22" s="328"/>
      <c r="P22" s="169"/>
      <c r="Q22" s="19"/>
      <c r="R22" s="221"/>
      <c r="S22" s="17"/>
    </row>
    <row r="23" spans="1:19" ht="100.05" customHeight="1" thickTop="1" thickBot="1">
      <c r="A23" s="1"/>
      <c r="B23" s="155"/>
      <c r="C23" s="150"/>
      <c r="D23" s="320"/>
      <c r="E23" s="320"/>
      <c r="F23" s="320"/>
      <c r="G23" s="264"/>
      <c r="H23" s="337"/>
      <c r="I23" s="338"/>
      <c r="J23" s="329"/>
      <c r="K23" s="330"/>
      <c r="L23" s="331"/>
      <c r="M23" s="327"/>
      <c r="N23" s="328"/>
      <c r="O23" s="328"/>
      <c r="P23" s="169"/>
      <c r="Q23" s="19"/>
      <c r="R23" s="221"/>
      <c r="S23" s="17"/>
    </row>
    <row r="24" spans="1:19" ht="100.05" customHeight="1" thickTop="1">
      <c r="A24" s="1"/>
      <c r="B24" s="14"/>
      <c r="C24" s="19"/>
      <c r="D24" s="19"/>
      <c r="E24" s="19"/>
      <c r="F24" s="19"/>
      <c r="G24" s="19"/>
      <c r="H24" s="19"/>
      <c r="I24" s="181"/>
      <c r="J24" s="19"/>
      <c r="K24" s="19"/>
      <c r="L24" s="19"/>
      <c r="M24" s="19"/>
      <c r="N24" s="19"/>
      <c r="O24" s="19"/>
      <c r="P24" s="165"/>
      <c r="Q24" s="19"/>
      <c r="R24" s="221"/>
      <c r="S24" s="17"/>
    </row>
    <row r="25" spans="1:19" ht="100.05" customHeight="1">
      <c r="A25" s="1"/>
      <c r="B25" s="14"/>
      <c r="C25" s="19"/>
      <c r="D25" s="19"/>
      <c r="E25" s="19"/>
      <c r="F25" s="19"/>
      <c r="G25" s="19"/>
      <c r="H25" s="19"/>
      <c r="I25" s="181"/>
      <c r="J25" s="19"/>
      <c r="K25" s="19"/>
      <c r="L25" s="19"/>
      <c r="M25" s="19"/>
      <c r="N25" s="19"/>
      <c r="O25" s="19"/>
      <c r="P25" s="165"/>
      <c r="Q25" s="19"/>
      <c r="R25" s="221"/>
      <c r="S25" s="17"/>
    </row>
    <row r="26" spans="1:19" ht="100.05" customHeight="1">
      <c r="A26" s="1"/>
      <c r="B26" s="14"/>
      <c r="C26" s="19"/>
      <c r="D26" s="19"/>
      <c r="E26" s="19"/>
      <c r="F26" s="19"/>
      <c r="G26" s="19"/>
      <c r="H26" s="19"/>
      <c r="I26" s="181"/>
      <c r="J26" s="19"/>
      <c r="K26" s="19"/>
      <c r="L26" s="19"/>
      <c r="M26" s="19"/>
      <c r="N26" s="19"/>
      <c r="O26" s="19"/>
      <c r="P26" s="165"/>
      <c r="Q26" s="19"/>
      <c r="R26" s="221"/>
      <c r="S26" s="17"/>
    </row>
    <row r="27" spans="1:19" s="3" customFormat="1" ht="100.05" customHeight="1">
      <c r="B27" s="14"/>
      <c r="C27" s="19"/>
      <c r="D27" s="19"/>
      <c r="E27" s="19"/>
      <c r="F27" s="19"/>
      <c r="G27" s="19"/>
      <c r="H27" s="19"/>
      <c r="I27" s="181"/>
      <c r="J27" s="19"/>
      <c r="K27" s="19"/>
      <c r="L27" s="19"/>
      <c r="M27" s="19"/>
      <c r="N27" s="19"/>
      <c r="O27" s="19"/>
      <c r="P27" s="165"/>
      <c r="Q27" s="19"/>
      <c r="R27" s="221"/>
      <c r="S27" s="17"/>
    </row>
    <row r="28" spans="1:19" ht="100.05" customHeight="1">
      <c r="A28" s="1"/>
      <c r="B28" s="14"/>
      <c r="C28" s="20"/>
      <c r="D28" s="20"/>
      <c r="E28" s="20"/>
      <c r="F28" s="20"/>
      <c r="G28" s="20"/>
      <c r="H28" s="20"/>
      <c r="I28" s="183"/>
      <c r="J28" s="20"/>
      <c r="K28" s="20"/>
      <c r="L28" s="20"/>
      <c r="M28" s="20"/>
      <c r="N28" s="20"/>
      <c r="O28" s="20"/>
      <c r="P28" s="170"/>
      <c r="Q28" s="20"/>
      <c r="R28" s="222"/>
      <c r="S28" s="16"/>
    </row>
    <row r="29" spans="1:19" ht="100.05" customHeight="1"/>
  </sheetData>
  <mergeCells count="33">
    <mergeCell ref="M23:O23"/>
    <mergeCell ref="D22:F22"/>
    <mergeCell ref="J22:L22"/>
    <mergeCell ref="D20:F20"/>
    <mergeCell ref="J20:L20"/>
    <mergeCell ref="M22:O22"/>
    <mergeCell ref="M20:O20"/>
    <mergeCell ref="M21:O21"/>
    <mergeCell ref="D21:F21"/>
    <mergeCell ref="J21:L21"/>
    <mergeCell ref="D23:F23"/>
    <mergeCell ref="J23:L23"/>
    <mergeCell ref="H20:I20"/>
    <mergeCell ref="H21:I21"/>
    <mergeCell ref="H22:I22"/>
    <mergeCell ref="H23:I23"/>
    <mergeCell ref="D18:F18"/>
    <mergeCell ref="J18:L18"/>
    <mergeCell ref="M18:O18"/>
    <mergeCell ref="D19:F19"/>
    <mergeCell ref="J19:L19"/>
    <mergeCell ref="M19:O19"/>
    <mergeCell ref="H18:I18"/>
    <mergeCell ref="H19:I19"/>
    <mergeCell ref="H15:I15"/>
    <mergeCell ref="D16:F16"/>
    <mergeCell ref="J16:L16"/>
    <mergeCell ref="M16:O16"/>
    <mergeCell ref="D17:F17"/>
    <mergeCell ref="J17:L17"/>
    <mergeCell ref="M17:O17"/>
    <mergeCell ref="H16:I16"/>
    <mergeCell ref="H17:I17"/>
  </mergeCells>
  <phoneticPr fontId="6" type="noConversion"/>
  <hyperlinks>
    <hyperlink ref="M3" location="숙박부지모양" display="부지 모양" xr:uid="{00000000-0004-0000-0300-000000000000}"/>
    <hyperlink ref="H15" location="음료부지모양" display="부지 모양" xr:uid="{82CCCF42-C0C1-4BA3-93CC-592D17BC8203}"/>
    <hyperlink ref="H15:I15" location="숙박_애드온_부지" display="부지 모양" xr:uid="{54EF88CB-7115-4904-9B57-0BB3225DA8ED}"/>
  </hyperlinks>
  <printOptions horizontalCentered="1"/>
  <pageMargins left="0.25" right="0.25" top="0.75" bottom="0.75" header="0.3" footer="0.3"/>
  <pageSetup scale="65" fitToHeight="0" orientation="landscape" r:id="rId1"/>
  <headerFooter differentFirst="1">
    <oddFooter>Page &amp;P of &amp;N</oddFooter>
  </headerFooter>
  <drawing r:id="rId2"/>
  <tableParts count="1">
    <tablePart r:id="rId3"/>
  </tableParts>
  <extLst>
    <ext xmlns:x14="http://schemas.microsoft.com/office/spreadsheetml/2009/9/main" uri="{05C60535-1F16-4fd2-B633-F4F36F0B64E0}">
      <x14:sparklineGroups xmlns:xm="http://schemas.microsoft.com/office/excel/2006/main">
        <x14:sparklineGroup manualMax="0" manualMin="0" type="column" displayEmptyCellsAs="gap" high="1" low="1" xr2:uid="{00000000-0003-0000-0300-000007000000}">
          <x14:colorSeries theme="5"/>
          <x14:colorNegative rgb="FFFFB620"/>
          <x14:colorAxis rgb="FF000000"/>
          <x14:colorMarkers rgb="FFD70077"/>
          <x14:colorFirst rgb="FF777777"/>
          <x14:colorLast rgb="FF359CEB"/>
          <x14:colorHigh rgb="FFFF0000"/>
          <x14:colorLow rgb="FF92D050"/>
          <x14:sparklines>
            <x14:sparkline>
              <xm:f>숙박!C28:O28</xm:f>
              <xm:sqref>S28</xm:sqref>
            </x14:sparkline>
          </x14:sparklines>
        </x14:sparklineGroup>
      </x14:sparklineGroup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10">
    <tabColor rgb="FFD1F3E8"/>
    <pageSetUpPr autoPageBreaks="0" fitToPage="1"/>
  </sheetPr>
  <dimension ref="A1:W30"/>
  <sheetViews>
    <sheetView showGridLines="0" topLeftCell="A17" zoomScale="85" zoomScaleNormal="85" workbookViewId="0">
      <selection activeCell="D24" sqref="D24:F24"/>
    </sheetView>
  </sheetViews>
  <sheetFormatPr defaultColWidth="9.109375" defaultRowHeight="21" customHeight="1"/>
  <cols>
    <col min="1" max="1" width="1.44140625" style="2" customWidth="1"/>
    <col min="2" max="2" width="23.33203125" style="2" customWidth="1"/>
    <col min="3" max="3" width="18.5546875" style="2" customWidth="1"/>
    <col min="4" max="6" width="12.6640625" style="2" customWidth="1"/>
    <col min="7" max="7" width="29.77734375" style="2" customWidth="1"/>
    <col min="8" max="8" width="13.6640625" style="2" customWidth="1"/>
    <col min="9" max="9" width="13.6640625" style="174" customWidth="1"/>
    <col min="10" max="10" width="12.6640625" style="2" customWidth="1"/>
    <col min="11" max="11" width="18" style="2" customWidth="1"/>
    <col min="12" max="12" width="12.6640625" style="2" customWidth="1"/>
    <col min="13" max="13" width="12.6640625" style="143" customWidth="1"/>
    <col min="14" max="14" width="12.6640625" style="2" customWidth="1"/>
    <col min="15" max="15" width="10.6640625" style="2" customWidth="1"/>
    <col min="16" max="16" width="10.6640625" style="166" customWidth="1"/>
    <col min="17" max="17" width="15.33203125" style="2" customWidth="1"/>
    <col min="18" max="18" width="10.6640625" style="217" customWidth="1"/>
    <col min="19" max="19" width="10.6640625" style="2" customWidth="1"/>
    <col min="20" max="20" width="11.77734375" style="2" customWidth="1"/>
    <col min="21" max="21" width="25.77734375" style="2" customWidth="1"/>
    <col min="22" max="22" width="46.77734375" style="2" customWidth="1"/>
    <col min="23" max="23" width="30.77734375" style="2" customWidth="1"/>
    <col min="24" max="16384" width="9.109375" style="2"/>
  </cols>
  <sheetData>
    <row r="1" spans="1:23" ht="64.2" customHeight="1">
      <c r="A1" s="1"/>
      <c r="C1" s="26" t="s">
        <v>127</v>
      </c>
      <c r="D1" s="21"/>
      <c r="J1" s="1"/>
      <c r="K1" s="1"/>
      <c r="N1" s="1"/>
      <c r="O1" s="3"/>
      <c r="P1" s="159"/>
      <c r="Q1" s="3"/>
      <c r="R1" s="216"/>
      <c r="S1" s="3"/>
    </row>
    <row r="2" spans="1:23" ht="21" customHeight="1">
      <c r="A2" s="1"/>
      <c r="B2" s="4"/>
      <c r="C2" s="29" t="s">
        <v>496</v>
      </c>
      <c r="D2" s="27"/>
      <c r="E2" s="23"/>
      <c r="F2" s="25"/>
      <c r="G2" s="25"/>
      <c r="H2" s="235"/>
      <c r="I2" s="175"/>
      <c r="J2" s="1"/>
      <c r="K2" s="1"/>
      <c r="L2" s="1"/>
      <c r="M2" s="144"/>
      <c r="N2" s="1"/>
      <c r="O2" s="3"/>
      <c r="P2" s="159"/>
      <c r="R2" s="235" t="s">
        <v>470</v>
      </c>
    </row>
    <row r="3" spans="1:23" ht="21" customHeight="1" thickBot="1">
      <c r="A3" s="1"/>
      <c r="B3" s="1"/>
      <c r="C3" s="1"/>
      <c r="D3" s="1"/>
      <c r="E3" s="1"/>
      <c r="F3" s="1"/>
      <c r="G3" s="1"/>
      <c r="H3" s="236"/>
      <c r="I3" s="175"/>
      <c r="J3" s="1"/>
      <c r="K3" s="1"/>
      <c r="L3" s="1"/>
      <c r="M3" s="144"/>
      <c r="N3" s="148" t="s">
        <v>355</v>
      </c>
      <c r="O3" s="1"/>
      <c r="P3" s="160"/>
      <c r="Q3" s="1"/>
      <c r="R3" s="237">
        <f>(VLOOKUP(C1,'캐릭터 욕구 생성 표'!A1:N12,6,FALSE)+ VLOOKUP(C1,'캐릭터 욕구 생성 표'!A1:N12,12,FALSE))*'스테이지 관련 수치'!B11/2/평균_사냥_시간</f>
        <v>34.090909090909093</v>
      </c>
      <c r="S3" s="1"/>
    </row>
    <row r="4" spans="1:23" s="245" customFormat="1" ht="42" customHeight="1" thickTop="1" thickBot="1">
      <c r="A4" s="239"/>
      <c r="B4" s="240" t="s">
        <v>0</v>
      </c>
      <c r="C4" s="241" t="s">
        <v>2</v>
      </c>
      <c r="D4" s="240" t="s">
        <v>1</v>
      </c>
      <c r="E4" s="240" t="s">
        <v>23</v>
      </c>
      <c r="F4" s="240" t="s">
        <v>3</v>
      </c>
      <c r="G4" s="240" t="s">
        <v>4</v>
      </c>
      <c r="H4" s="243" t="s">
        <v>440</v>
      </c>
      <c r="I4" s="242" t="s">
        <v>439</v>
      </c>
      <c r="J4" s="243" t="s">
        <v>5</v>
      </c>
      <c r="K4" s="243" t="s">
        <v>6</v>
      </c>
      <c r="L4" s="244" t="s">
        <v>7</v>
      </c>
      <c r="M4" s="244" t="s">
        <v>8</v>
      </c>
      <c r="N4" s="224" t="s">
        <v>11</v>
      </c>
      <c r="O4" s="224" t="s">
        <v>438</v>
      </c>
      <c r="P4" s="225" t="s">
        <v>437</v>
      </c>
      <c r="Q4" s="224" t="s">
        <v>21</v>
      </c>
      <c r="R4" s="226" t="s">
        <v>447</v>
      </c>
      <c r="S4" s="224" t="s">
        <v>79</v>
      </c>
      <c r="T4" s="224" t="s">
        <v>70</v>
      </c>
      <c r="U4" s="240" t="s">
        <v>409</v>
      </c>
      <c r="V4" s="240" t="s">
        <v>9</v>
      </c>
      <c r="W4" s="240" t="s">
        <v>100</v>
      </c>
    </row>
    <row r="5" spans="1:23" s="11" customFormat="1" ht="99.6" customHeight="1">
      <c r="A5" s="5"/>
      <c r="B5" s="24" t="s">
        <v>129</v>
      </c>
      <c r="C5" s="48"/>
      <c r="D5" s="49">
        <v>8</v>
      </c>
      <c r="E5" s="50">
        <v>8</v>
      </c>
      <c r="F5" s="51">
        <v>11</v>
      </c>
      <c r="G5" s="52"/>
      <c r="H5" s="52" t="s">
        <v>127</v>
      </c>
      <c r="I5" s="177">
        <v>55</v>
      </c>
      <c r="J5" s="52" t="s">
        <v>213</v>
      </c>
      <c r="K5" s="137" t="s">
        <v>214</v>
      </c>
      <c r="L5" s="51">
        <f>ROUND(IF(ISBLANK(tblIncome8569101114[[#This Row],[보너스]]),INDEX('건설 부지에 따른 수치표'!$A$1:$D$13, MATCH(tblIncome8569101114[[#This Row],[건설 부지]], '건설 부지에 따른 수치표'!A:A, 0), MATCH(tblIncome856[[#Headers],[건설 비용 회수 시간]], '건설 부지에 따른 수치표'!$1:$1, 0))*tblIncome8569101114[[#This Row],[수익률]],INDEX('건설 부지에 따른 수치표'!$A$1:$D$13, MATCH(tblIncome8569101114[[#This Row],[건설 부지]], '건설 부지에 따른 수치표'!A:A, 0), MATCH(tblIncome856[[#Headers],[건설 비용 회수 시간]], '건설 부지에 따른 수치표'!$1:$1, 0))*tblIncome8569101114[[#This Row],[수익률]]*1.2), -1)</f>
        <v>790</v>
      </c>
      <c r="M5" s="141">
        <v>2</v>
      </c>
      <c r="N5" s="53">
        <f>tblIncome8569101114[[#This Row],[수용량]]*tblIncome8569101114[[#This Row],[요금]]/tblIncome8569101114[[#This Row],[이용시간]]</f>
        <v>11</v>
      </c>
      <c r="O5" s="54">
        <f>tblIncome8569101114[[#This Row],[수익률]]/tblIncome8569101114[[#This Row],[건설 비용]]</f>
        <v>1.3924050632911392E-2</v>
      </c>
      <c r="P5" s="161">
        <f>tblIncome8569101114[[#This Row],[건설 비용]]/tblIncome8569101114[[#This Row],[수익률]]</f>
        <v>71.818181818181813</v>
      </c>
      <c r="Q5" s="55">
        <f>tblIncome8569101114[[#This Row],[수익률]]/tblIncome8569101114[[#This Row],[건설 부지]]</f>
        <v>5.5</v>
      </c>
      <c r="R5" s="218">
        <f>tblIncome8569101114[[#This Row],[수용량]]*tblIncome8569101114[[#This Row],[욕구 해소량]]/tblIncome8569101114[[#This Row],[이용시간]]</f>
        <v>55</v>
      </c>
      <c r="S5" s="90">
        <f>tblIncome8569101114[[#This Row],[요금]]/tblIncome8569101114[[#This Row],[욕구 해소량]]</f>
        <v>0.2</v>
      </c>
      <c r="T5" s="84">
        <f>tblIncome8569101114[[#This Row],[수용량]]/tblIncome8569101114[[#This Row],[이용시간]]</f>
        <v>1</v>
      </c>
      <c r="U5" s="84" t="s">
        <v>413</v>
      </c>
      <c r="V5" s="56" t="s">
        <v>131</v>
      </c>
      <c r="W5" s="56"/>
    </row>
    <row r="6" spans="1:23" ht="100.05" customHeight="1">
      <c r="A6" s="1"/>
      <c r="B6" s="24" t="s">
        <v>336</v>
      </c>
      <c r="C6" s="57"/>
      <c r="D6" s="58">
        <v>16</v>
      </c>
      <c r="E6" s="59">
        <v>15</v>
      </c>
      <c r="F6" s="60">
        <v>18</v>
      </c>
      <c r="G6" s="61"/>
      <c r="H6" s="52" t="s">
        <v>127</v>
      </c>
      <c r="I6" s="177">
        <v>70</v>
      </c>
      <c r="J6" s="61" t="s">
        <v>126</v>
      </c>
      <c r="K6" s="137" t="s">
        <v>130</v>
      </c>
      <c r="L6" s="51">
        <f>ROUND(IF(ISBLANK(tblIncome8569101114[[#This Row],[보너스]]),INDEX('건설 부지에 따른 수치표'!$A$1:$D$13, MATCH(tblIncome8569101114[[#This Row],[건설 부지]], '건설 부지에 따른 수치표'!A:A, 0), MATCH(tblIncome856[[#Headers],[건설 비용 회수 시간]], '건설 부지에 따른 수치표'!$1:$1, 0))*tblIncome8569101114[[#This Row],[수익률]],INDEX('건설 부지에 따른 수치표'!$A$1:$D$13, MATCH(tblIncome8569101114[[#This Row],[건설 부지]], '건설 부지에 따른 수치표'!A:A, 0), MATCH(tblIncome856[[#Headers],[건설 비용 회수 시간]], '건설 부지에 따른 수치표'!$1:$1, 0))*tblIncome8569101114[[#This Row],[수익률]]*1.2), -1)</f>
        <v>1610</v>
      </c>
      <c r="M6" s="142">
        <v>3</v>
      </c>
      <c r="N6" s="62">
        <f>tblIncome8569101114[[#This Row],[수용량]]*tblIncome8569101114[[#This Row],[요금]]/tblIncome8569101114[[#This Row],[이용시간]]</f>
        <v>19.2</v>
      </c>
      <c r="O6" s="63">
        <f>tblIncome8569101114[[#This Row],[수익률]]/tblIncome8569101114[[#This Row],[건설 비용]]</f>
        <v>1.1925465838509315E-2</v>
      </c>
      <c r="P6" s="162">
        <f>tblIncome8569101114[[#This Row],[건설 비용]]/tblIncome8569101114[[#This Row],[수익률]]</f>
        <v>83.854166666666671</v>
      </c>
      <c r="Q6" s="64">
        <f>tblIncome8569101114[[#This Row],[수익률]]/tblIncome8569101114[[#This Row],[건설 부지]]</f>
        <v>6.3999999999999995</v>
      </c>
      <c r="R6" s="218">
        <f>tblIncome8569101114[[#This Row],[수용량]]*tblIncome8569101114[[#This Row],[욕구 해소량]]/tblIncome8569101114[[#This Row],[이용시간]]</f>
        <v>74.666666666666671</v>
      </c>
      <c r="S6" s="90">
        <f>tblIncome8569101114[[#This Row],[요금]]/tblIncome8569101114[[#This Row],[욕구 해소량]]</f>
        <v>0.25714285714285712</v>
      </c>
      <c r="T6" s="84">
        <f>tblIncome8569101114[[#This Row],[수용량]]/tblIncome8569101114[[#This Row],[이용시간]]</f>
        <v>1.0666666666666667</v>
      </c>
      <c r="U6" s="84" t="s">
        <v>414</v>
      </c>
      <c r="V6" s="65" t="s">
        <v>136</v>
      </c>
      <c r="W6" s="65"/>
    </row>
    <row r="7" spans="1:23" ht="100.05" customHeight="1">
      <c r="A7" s="1"/>
      <c r="B7" s="24" t="s">
        <v>337</v>
      </c>
      <c r="C7" s="57"/>
      <c r="D7" s="58">
        <v>18</v>
      </c>
      <c r="E7" s="59">
        <v>20</v>
      </c>
      <c r="F7" s="60">
        <v>20</v>
      </c>
      <c r="G7" s="61"/>
      <c r="H7" s="52" t="s">
        <v>127</v>
      </c>
      <c r="I7" s="177">
        <v>80</v>
      </c>
      <c r="J7" s="61" t="s">
        <v>133</v>
      </c>
      <c r="K7" s="137" t="s">
        <v>134</v>
      </c>
      <c r="L7" s="51">
        <f>ROUND(IF(ISBLANK(tblIncome8569101114[[#This Row],[보너스]]),INDEX('건설 부지에 따른 수치표'!$A$1:$D$13, MATCH(tblIncome8569101114[[#This Row],[건설 부지]], '건설 부지에 따른 수치표'!A:A, 0), MATCH(tblIncome856[[#Headers],[건설 비용 회수 시간]], '건설 부지에 따른 수치표'!$1:$1, 0))*tblIncome8569101114[[#This Row],[수익률]],INDEX('건설 부지에 따른 수치표'!$A$1:$D$13, MATCH(tblIncome8569101114[[#This Row],[건설 부지]], '건설 부지에 따른 수치표'!A:A, 0), MATCH(tblIncome856[[#Headers],[건설 비용 회수 시간]], '건설 부지에 따른 수치표'!$1:$1, 0))*tblIncome8569101114[[#This Row],[수익률]]*1.2), -1)</f>
        <v>1510</v>
      </c>
      <c r="M7" s="142">
        <v>3</v>
      </c>
      <c r="N7" s="62">
        <f>tblIncome8569101114[[#This Row],[수용량]]*tblIncome8569101114[[#This Row],[요금]]/tblIncome8569101114[[#This Row],[이용시간]]</f>
        <v>18</v>
      </c>
      <c r="O7" s="63">
        <f>tblIncome8569101114[[#This Row],[수익률]]/tblIncome8569101114[[#This Row],[건설 비용]]</f>
        <v>1.1920529801324504E-2</v>
      </c>
      <c r="P7" s="162">
        <f>tblIncome8569101114[[#This Row],[건설 비용]]/tblIncome8569101114[[#This Row],[수익률]]</f>
        <v>83.888888888888886</v>
      </c>
      <c r="Q7" s="64">
        <f>tblIncome8569101114[[#This Row],[수익률]]/tblIncome8569101114[[#This Row],[건설 부지]]</f>
        <v>6</v>
      </c>
      <c r="R7" s="218">
        <f>tblIncome8569101114[[#This Row],[수용량]]*tblIncome8569101114[[#This Row],[욕구 해소량]]/tblIncome8569101114[[#This Row],[이용시간]]</f>
        <v>72</v>
      </c>
      <c r="S7" s="90">
        <f>tblIncome8569101114[[#This Row],[요금]]/tblIncome8569101114[[#This Row],[욕구 해소량]]</f>
        <v>0.25</v>
      </c>
      <c r="T7" s="84">
        <f>tblIncome8569101114[[#This Row],[수용량]]/tblIncome8569101114[[#This Row],[이용시간]]</f>
        <v>0.9</v>
      </c>
      <c r="U7" s="84" t="s">
        <v>414</v>
      </c>
      <c r="V7" s="65" t="s">
        <v>140</v>
      </c>
      <c r="W7" s="65"/>
    </row>
    <row r="8" spans="1:23" s="15" customFormat="1" ht="100.05" customHeight="1">
      <c r="A8" s="13"/>
      <c r="B8" s="24" t="s">
        <v>137</v>
      </c>
      <c r="C8" s="57"/>
      <c r="D8" s="58">
        <v>20</v>
      </c>
      <c r="E8" s="59">
        <v>10</v>
      </c>
      <c r="F8" s="60">
        <v>15</v>
      </c>
      <c r="G8" s="61"/>
      <c r="H8" s="52" t="s">
        <v>127</v>
      </c>
      <c r="I8" s="177">
        <v>40</v>
      </c>
      <c r="J8" s="61" t="s">
        <v>213</v>
      </c>
      <c r="K8" s="137" t="s">
        <v>214</v>
      </c>
      <c r="L8" s="51">
        <f>ROUND(IF(ISBLANK(tblIncome8569101114[[#This Row],[보너스]]),INDEX('건설 부지에 따른 수치표'!$A$1:$D$13, MATCH(tblIncome8569101114[[#This Row],[건설 부지]], '건설 부지에 따른 수치표'!A:A, 0), MATCH(tblIncome856[[#Headers],[건설 비용 회수 시간]], '건설 부지에 따른 수치표'!$1:$1, 0))*tblIncome8569101114[[#This Row],[수익률]],INDEX('건설 부지에 따른 수치표'!$A$1:$D$13, MATCH(tblIncome8569101114[[#This Row],[건설 부지]], '건설 부지에 따른 수치표'!A:A, 0), MATCH(tblIncome856[[#Headers],[건설 비용 회수 시간]], '건설 부지에 따른 수치표'!$1:$1, 0))*tblIncome8569101114[[#This Row],[수익률]]*1.2), -1)</f>
        <v>3420</v>
      </c>
      <c r="M8" s="142">
        <v>4</v>
      </c>
      <c r="N8" s="62">
        <f>tblIncome8569101114[[#This Row],[수용량]]*tblIncome8569101114[[#This Row],[요금]]/tblIncome8569101114[[#This Row],[이용시간]]</f>
        <v>30</v>
      </c>
      <c r="O8" s="63">
        <f>tblIncome8569101114[[#This Row],[수익률]]/tblIncome8569101114[[#This Row],[건설 비용]]</f>
        <v>8.771929824561403E-3</v>
      </c>
      <c r="P8" s="162">
        <f>tblIncome8569101114[[#This Row],[건설 비용]]/tblIncome8569101114[[#This Row],[수익률]]</f>
        <v>114</v>
      </c>
      <c r="Q8" s="64">
        <f>tblIncome8569101114[[#This Row],[수익률]]/tblIncome8569101114[[#This Row],[건설 부지]]</f>
        <v>7.5</v>
      </c>
      <c r="R8" s="218">
        <f>tblIncome8569101114[[#This Row],[수용량]]*tblIncome8569101114[[#This Row],[욕구 해소량]]/tblIncome8569101114[[#This Row],[이용시간]]</f>
        <v>80</v>
      </c>
      <c r="S8" s="90">
        <f>tblIncome8569101114[[#This Row],[요금]]/tblIncome8569101114[[#This Row],[욕구 해소량]]</f>
        <v>0.375</v>
      </c>
      <c r="T8" s="84">
        <f>tblIncome8569101114[[#This Row],[수용량]]/tblIncome8569101114[[#This Row],[이용시간]]</f>
        <v>2</v>
      </c>
      <c r="U8" s="84" t="s">
        <v>415</v>
      </c>
      <c r="V8" s="65" t="s">
        <v>142</v>
      </c>
      <c r="W8" s="65"/>
    </row>
    <row r="9" spans="1:23" s="9" customFormat="1" ht="100.05" customHeight="1">
      <c r="B9" s="24" t="s">
        <v>138</v>
      </c>
      <c r="C9" s="57"/>
      <c r="D9" s="58">
        <v>28</v>
      </c>
      <c r="E9" s="59">
        <v>20</v>
      </c>
      <c r="F9" s="60">
        <v>30</v>
      </c>
      <c r="G9" s="61"/>
      <c r="H9" s="52" t="s">
        <v>127</v>
      </c>
      <c r="I9" s="177">
        <v>60</v>
      </c>
      <c r="J9" s="61" t="s">
        <v>126</v>
      </c>
      <c r="K9" s="137" t="s">
        <v>130</v>
      </c>
      <c r="L9" s="51">
        <f>ROUND(IF(ISBLANK(tblIncome8569101114[[#This Row],[보너스]]),INDEX('건설 부지에 따른 수치표'!$A$1:$D$13, MATCH(tblIncome8569101114[[#This Row],[건설 부지]], '건설 부지에 따른 수치표'!A:A, 0), MATCH(tblIncome856[[#Headers],[건설 비용 회수 시간]], '건설 부지에 따른 수치표'!$1:$1, 0))*tblIncome8569101114[[#This Row],[수익률]],INDEX('건설 부지에 따른 수치표'!$A$1:$D$13, MATCH(tblIncome8569101114[[#This Row],[건설 부지]], '건설 부지에 따른 수치표'!A:A, 0), MATCH(tblIncome856[[#Headers],[건설 비용 회수 시간]], '건설 부지에 따른 수치표'!$1:$1, 0))*tblIncome8569101114[[#This Row],[수익률]]*1.2), -1)</f>
        <v>6050</v>
      </c>
      <c r="M9" s="142">
        <v>5</v>
      </c>
      <c r="N9" s="62">
        <f>tblIncome8569101114[[#This Row],[수용량]]*tblIncome8569101114[[#This Row],[요금]]/tblIncome8569101114[[#This Row],[이용시간]]</f>
        <v>42</v>
      </c>
      <c r="O9" s="63">
        <f>tblIncome8569101114[[#This Row],[수익률]]/tblIncome8569101114[[#This Row],[건설 비용]]</f>
        <v>6.9421487603305784E-3</v>
      </c>
      <c r="P9" s="162">
        <f>tblIncome8569101114[[#This Row],[건설 비용]]/tblIncome8569101114[[#This Row],[수익률]]</f>
        <v>144.04761904761904</v>
      </c>
      <c r="Q9" s="64">
        <f>tblIncome8569101114[[#This Row],[수익률]]/tblIncome8569101114[[#This Row],[건설 부지]]</f>
        <v>8.4</v>
      </c>
      <c r="R9" s="218">
        <f>tblIncome8569101114[[#This Row],[수용량]]*tblIncome8569101114[[#This Row],[욕구 해소량]]/tblIncome8569101114[[#This Row],[이용시간]]</f>
        <v>84</v>
      </c>
      <c r="S9" s="90">
        <f>tblIncome8569101114[[#This Row],[요금]]/tblIncome8569101114[[#This Row],[욕구 해소량]]</f>
        <v>0.5</v>
      </c>
      <c r="T9" s="84">
        <f>tblIncome8569101114[[#This Row],[수용량]]/tblIncome8569101114[[#This Row],[이용시간]]</f>
        <v>1.4</v>
      </c>
      <c r="U9" s="84" t="s">
        <v>416</v>
      </c>
      <c r="V9" s="65" t="s">
        <v>141</v>
      </c>
      <c r="W9" s="65"/>
    </row>
    <row r="10" spans="1:23" s="15" customFormat="1" ht="100.05" customHeight="1">
      <c r="A10" s="13"/>
      <c r="B10" s="24" t="s">
        <v>139</v>
      </c>
      <c r="C10" s="57"/>
      <c r="D10" s="58">
        <v>28</v>
      </c>
      <c r="E10" s="59">
        <v>22</v>
      </c>
      <c r="F10" s="60">
        <v>32.5</v>
      </c>
      <c r="G10" s="61"/>
      <c r="H10" s="52" t="s">
        <v>127</v>
      </c>
      <c r="I10" s="177">
        <v>65</v>
      </c>
      <c r="J10" s="61" t="s">
        <v>133</v>
      </c>
      <c r="K10" s="137" t="s">
        <v>134</v>
      </c>
      <c r="L10" s="51">
        <f>ROUND(IF(ISBLANK(tblIncome8569101114[[#This Row],[보너스]]),INDEX('건설 부지에 따른 수치표'!$A$1:$D$13, MATCH(tblIncome8569101114[[#This Row],[건설 부지]], '건설 부지에 따른 수치표'!A:A, 0), MATCH(tblIncome856[[#Headers],[건설 비용 회수 시간]], '건설 부지에 따른 수치표'!$1:$1, 0))*tblIncome8569101114[[#This Row],[수익률]],INDEX('건설 부지에 따른 수치표'!$A$1:$D$13, MATCH(tblIncome8569101114[[#This Row],[건설 부지]], '건설 부지에 따른 수치표'!A:A, 0), MATCH(tblIncome856[[#Headers],[건설 비용 회수 시간]], '건설 부지에 따른 수치표'!$1:$1, 0))*tblIncome8569101114[[#This Row],[수익률]]*1.2), -1)</f>
        <v>5960</v>
      </c>
      <c r="M10" s="142">
        <v>5</v>
      </c>
      <c r="N10" s="62">
        <f>tblIncome8569101114[[#This Row],[수용량]]*tblIncome8569101114[[#This Row],[요금]]/tblIncome8569101114[[#This Row],[이용시간]]</f>
        <v>41.363636363636367</v>
      </c>
      <c r="O10" s="63">
        <f>tblIncome8569101114[[#This Row],[수익률]]/tblIncome8569101114[[#This Row],[건설 비용]]</f>
        <v>6.9402074435631492E-3</v>
      </c>
      <c r="P10" s="162">
        <f>tblIncome8569101114[[#This Row],[건설 비용]]/tblIncome8569101114[[#This Row],[수익률]]</f>
        <v>144.08791208791209</v>
      </c>
      <c r="Q10" s="64">
        <f>tblIncome8569101114[[#This Row],[수익률]]/tblIncome8569101114[[#This Row],[건설 부지]]</f>
        <v>8.2727272727272734</v>
      </c>
      <c r="R10" s="218">
        <f>tblIncome8569101114[[#This Row],[수용량]]*tblIncome8569101114[[#This Row],[욕구 해소량]]/tblIncome8569101114[[#This Row],[이용시간]]</f>
        <v>82.727272727272734</v>
      </c>
      <c r="S10" s="90">
        <f>tblIncome8569101114[[#This Row],[요금]]/tblIncome8569101114[[#This Row],[욕구 해소량]]</f>
        <v>0.5</v>
      </c>
      <c r="T10" s="84">
        <f>tblIncome8569101114[[#This Row],[수용량]]/tblIncome8569101114[[#This Row],[이용시간]]</f>
        <v>1.2727272727272727</v>
      </c>
      <c r="U10" s="84" t="s">
        <v>416</v>
      </c>
      <c r="V10" s="65" t="s">
        <v>209</v>
      </c>
      <c r="W10" s="65"/>
    </row>
    <row r="11" spans="1:23" ht="100.05" customHeight="1">
      <c r="A11" s="1"/>
      <c r="B11" s="24" t="s">
        <v>208</v>
      </c>
      <c r="C11" s="57"/>
      <c r="D11" s="58">
        <v>52</v>
      </c>
      <c r="E11" s="59">
        <v>17</v>
      </c>
      <c r="F11" s="60">
        <v>24</v>
      </c>
      <c r="G11" s="61"/>
      <c r="H11" s="52" t="s">
        <v>127</v>
      </c>
      <c r="I11" s="177">
        <v>25</v>
      </c>
      <c r="J11" s="61" t="s">
        <v>213</v>
      </c>
      <c r="K11" s="137" t="s">
        <v>214</v>
      </c>
      <c r="L11" s="51">
        <f>ROUND(IF(ISBLANK(tblIncome8569101114[[#This Row],[보너스]]),INDEX('건설 부지에 따른 수치표'!$A$1:$D$13, MATCH(tblIncome8569101114[[#This Row],[건설 부지]], '건설 부지에 따른 수치표'!A:A, 0), MATCH(tblIncome856[[#Headers],[건설 비용 회수 시간]], '건설 부지에 따른 수치표'!$1:$1, 0))*tblIncome8569101114[[#This Row],[수익률]],INDEX('건설 부지에 따른 수치표'!$A$1:$D$13, MATCH(tblIncome8569101114[[#This Row],[건설 부지]], '건설 부지에 따른 수치표'!A:A, 0), MATCH(tblIncome856[[#Headers],[건설 비용 회수 시간]], '건설 부지에 따른 수치표'!$1:$1, 0))*tblIncome8569101114[[#This Row],[수익률]]*1.2), -1)</f>
        <v>16740</v>
      </c>
      <c r="M11" s="142">
        <v>7</v>
      </c>
      <c r="N11" s="62">
        <f>tblIncome8569101114[[#This Row],[수용량]]*tblIncome8569101114[[#This Row],[요금]]/tblIncome8569101114[[#This Row],[이용시간]]</f>
        <v>73.411764705882348</v>
      </c>
      <c r="O11" s="63">
        <f>tblIncome8569101114[[#This Row],[수익률]]/tblIncome8569101114[[#This Row],[건설 비용]]</f>
        <v>4.3854100780096978E-3</v>
      </c>
      <c r="P11" s="162">
        <f>tblIncome8569101114[[#This Row],[건설 비용]]/tblIncome8569101114[[#This Row],[수익률]]</f>
        <v>228.02884615384616</v>
      </c>
      <c r="Q11" s="64">
        <f>tblIncome8569101114[[#This Row],[수익률]]/tblIncome8569101114[[#This Row],[건설 부지]]</f>
        <v>10.487394957983193</v>
      </c>
      <c r="R11" s="218">
        <f>tblIncome8569101114[[#This Row],[수용량]]*tblIncome8569101114[[#This Row],[욕구 해소량]]/tblIncome8569101114[[#This Row],[이용시간]]</f>
        <v>76.470588235294116</v>
      </c>
      <c r="S11" s="90">
        <f>tblIncome8569101114[[#This Row],[요금]]/tblIncome8569101114[[#This Row],[욕구 해소량]]</f>
        <v>0.96</v>
      </c>
      <c r="T11" s="84">
        <f>tblIncome8569101114[[#This Row],[수용량]]/tblIncome8569101114[[#This Row],[이용시간]]</f>
        <v>3.0588235294117645</v>
      </c>
      <c r="U11" s="84" t="s">
        <v>415</v>
      </c>
      <c r="V11" s="65" t="s">
        <v>146</v>
      </c>
      <c r="W11" s="65"/>
    </row>
    <row r="12" spans="1:23" ht="100.05" customHeight="1">
      <c r="A12" s="1"/>
      <c r="B12" s="24" t="s">
        <v>202</v>
      </c>
      <c r="C12" s="57"/>
      <c r="D12" s="58">
        <v>60</v>
      </c>
      <c r="E12" s="59">
        <v>26</v>
      </c>
      <c r="F12" s="60">
        <v>40</v>
      </c>
      <c r="G12" s="61"/>
      <c r="H12" s="52" t="s">
        <v>127</v>
      </c>
      <c r="I12" s="177">
        <v>35</v>
      </c>
      <c r="J12" s="61" t="s">
        <v>126</v>
      </c>
      <c r="K12" s="137" t="s">
        <v>130</v>
      </c>
      <c r="L12" s="51">
        <f>ROUND(IF(ISBLANK(tblIncome8569101114[[#This Row],[보너스]]),INDEX('건설 부지에 따른 수치표'!$A$1:$D$13, MATCH(tblIncome8569101114[[#This Row],[건설 부지]], '건설 부지에 따른 수치표'!A:A, 0), MATCH(tblIncome856[[#Headers],[건설 비용 회수 시간]], '건설 부지에 따른 수치표'!$1:$1, 0))*tblIncome8569101114[[#This Row],[수익률]],INDEX('건설 부지에 따른 수치표'!$A$1:$D$13, MATCH(tblIncome8569101114[[#This Row],[건설 부지]], '건설 부지에 따른 수치표'!A:A, 0), MATCH(tblIncome856[[#Headers],[건설 비용 회수 시간]], '건설 부지에 따른 수치표'!$1:$1, 0))*tblIncome8569101114[[#This Row],[수익률]]*1.2), -1)</f>
        <v>26030</v>
      </c>
      <c r="M12" s="142">
        <v>8</v>
      </c>
      <c r="N12" s="62">
        <f>tblIncome8569101114[[#This Row],[수용량]]*tblIncome8569101114[[#This Row],[요금]]/tblIncome8569101114[[#This Row],[이용시간]]</f>
        <v>92.307692307692307</v>
      </c>
      <c r="O12" s="63">
        <f>tblIncome8569101114[[#This Row],[수익률]]/tblIncome8569101114[[#This Row],[건설 비용]]</f>
        <v>3.5462040840450368E-3</v>
      </c>
      <c r="P12" s="162">
        <f>tblIncome8569101114[[#This Row],[건설 비용]]/tblIncome8569101114[[#This Row],[수익률]]</f>
        <v>281.99166666666667</v>
      </c>
      <c r="Q12" s="64">
        <f>tblIncome8569101114[[#This Row],[수익률]]/tblIncome8569101114[[#This Row],[건설 부지]]</f>
        <v>11.538461538461538</v>
      </c>
      <c r="R12" s="218">
        <f>tblIncome8569101114[[#This Row],[수용량]]*tblIncome8569101114[[#This Row],[욕구 해소량]]/tblIncome8569101114[[#This Row],[이용시간]]</f>
        <v>80.769230769230774</v>
      </c>
      <c r="S12" s="90">
        <f>tblIncome8569101114[[#This Row],[요금]]/tblIncome8569101114[[#This Row],[욕구 해소량]]</f>
        <v>1.1428571428571428</v>
      </c>
      <c r="T12" s="84">
        <f>tblIncome8569101114[[#This Row],[수용량]]/tblIncome8569101114[[#This Row],[이용시간]]</f>
        <v>2.3076923076923075</v>
      </c>
      <c r="U12" s="84" t="s">
        <v>416</v>
      </c>
      <c r="V12" s="65" t="s">
        <v>210</v>
      </c>
      <c r="W12" s="65"/>
    </row>
    <row r="13" spans="1:23" ht="100.05" customHeight="1">
      <c r="A13" s="1"/>
      <c r="B13" s="47" t="s">
        <v>204</v>
      </c>
      <c r="C13" s="57"/>
      <c r="D13" s="58">
        <v>56</v>
      </c>
      <c r="E13" s="59">
        <v>32</v>
      </c>
      <c r="F13" s="60">
        <v>52.5</v>
      </c>
      <c r="G13" s="61"/>
      <c r="H13" s="52" t="s">
        <v>127</v>
      </c>
      <c r="I13" s="177">
        <v>45</v>
      </c>
      <c r="J13" s="61" t="s">
        <v>133</v>
      </c>
      <c r="K13" s="137" t="s">
        <v>134</v>
      </c>
      <c r="L13" s="51">
        <f>ROUND(IF(ISBLANK(tblIncome8569101114[[#This Row],[보너스]]),INDEX('건설 부지에 따른 수치표'!$A$1:$D$13, MATCH(tblIncome8569101114[[#This Row],[건설 부지]], '건설 부지에 따른 수치표'!A:A, 0), MATCH(tblIncome856[[#Headers],[건설 비용 회수 시간]], '건설 부지에 따른 수치표'!$1:$1, 0))*tblIncome8569101114[[#This Row],[수익률]],INDEX('건설 부지에 따른 수치표'!$A$1:$D$13, MATCH(tblIncome8569101114[[#This Row],[건설 부지]], '건설 부지에 따른 수치표'!A:A, 0), MATCH(tblIncome856[[#Headers],[건설 비용 회수 시간]], '건설 부지에 따른 수치표'!$1:$1, 0))*tblIncome8569101114[[#This Row],[수익률]]*1.2), -1)</f>
        <v>25910</v>
      </c>
      <c r="M13" s="142">
        <v>8</v>
      </c>
      <c r="N13" s="62">
        <f>tblIncome8569101114[[#This Row],[수용량]]*tblIncome8569101114[[#This Row],[요금]]/tblIncome8569101114[[#This Row],[이용시간]]</f>
        <v>91.875</v>
      </c>
      <c r="O13" s="63">
        <f>tblIncome8569101114[[#This Row],[수익률]]/tblIncome8569101114[[#This Row],[건설 비용]]</f>
        <v>3.5459282130451564E-3</v>
      </c>
      <c r="P13" s="162">
        <f>tblIncome8569101114[[#This Row],[건설 비용]]/tblIncome8569101114[[#This Row],[수익률]]</f>
        <v>282.01360544217687</v>
      </c>
      <c r="Q13" s="64">
        <f>tblIncome8569101114[[#This Row],[수익률]]/tblIncome8569101114[[#This Row],[건설 부지]]</f>
        <v>11.484375</v>
      </c>
      <c r="R13" s="218">
        <f>tblIncome8569101114[[#This Row],[수용량]]*tblIncome8569101114[[#This Row],[욕구 해소량]]/tblIncome8569101114[[#This Row],[이용시간]]</f>
        <v>78.75</v>
      </c>
      <c r="S13" s="90">
        <f>tblIncome8569101114[[#This Row],[요금]]/tblIncome8569101114[[#This Row],[욕구 해소량]]</f>
        <v>1.1666666666666667</v>
      </c>
      <c r="T13" s="84">
        <f>tblIncome8569101114[[#This Row],[수용량]]/tblIncome8569101114[[#This Row],[이용시간]]</f>
        <v>1.75</v>
      </c>
      <c r="U13" s="84" t="s">
        <v>416</v>
      </c>
      <c r="V13" s="65" t="s">
        <v>211</v>
      </c>
      <c r="W13" s="65"/>
    </row>
    <row r="14" spans="1:23" ht="100.05" customHeight="1">
      <c r="A14" s="1"/>
      <c r="B14" s="24" t="s">
        <v>207</v>
      </c>
      <c r="C14" s="57"/>
      <c r="D14" s="58">
        <v>60</v>
      </c>
      <c r="E14" s="59">
        <v>22</v>
      </c>
      <c r="F14" s="60">
        <v>41</v>
      </c>
      <c r="G14" s="61"/>
      <c r="H14" s="52" t="s">
        <v>127</v>
      </c>
      <c r="I14" s="177">
        <v>30</v>
      </c>
      <c r="J14" s="61" t="s">
        <v>213</v>
      </c>
      <c r="K14" s="137" t="s">
        <v>217</v>
      </c>
      <c r="L14" s="51">
        <f>ROUND(IF(ISBLANK(tblIncome8569101114[[#This Row],[보너스]]),INDEX('건설 부지에 따른 수치표'!$A$1:$D$13, MATCH(tblIncome8569101114[[#This Row],[건설 부지]], '건설 부지에 따른 수치표'!A:A, 0), MATCH(tblIncome856[[#Headers],[건설 비용 회수 시간]], '건설 부지에 따른 수치표'!$1:$1, 0))*tblIncome8569101114[[#This Row],[수익률]],INDEX('건설 부지에 따른 수치표'!$A$1:$D$13, MATCH(tblIncome8569101114[[#This Row],[건설 부지]], '건설 부지에 따른 수치표'!A:A, 0), MATCH(tblIncome856[[#Headers],[건설 비용 회수 시간]], '건설 부지에 따른 수치표'!$1:$1, 0))*tblIncome8569101114[[#This Row],[수익률]]*1.2), -1)</f>
        <v>40250</v>
      </c>
      <c r="M14" s="142">
        <v>9</v>
      </c>
      <c r="N14" s="62">
        <f>tblIncome8569101114[[#This Row],[수용량]]*tblIncome8569101114[[#This Row],[요금]]/tblIncome8569101114[[#This Row],[이용시간]]</f>
        <v>111.81818181818181</v>
      </c>
      <c r="O14" s="63">
        <f>tblIncome8569101114[[#This Row],[수익률]]/tblIncome8569101114[[#This Row],[건설 비용]]</f>
        <v>2.7780914737436475E-3</v>
      </c>
      <c r="P14" s="162">
        <f>tblIncome8569101114[[#This Row],[건설 비용]]/tblIncome8569101114[[#This Row],[수익률]]</f>
        <v>359.95934959349597</v>
      </c>
      <c r="Q14" s="64">
        <f>tblIncome8569101114[[#This Row],[수익률]]/tblIncome8569101114[[#This Row],[건설 부지]]</f>
        <v>12.424242424242424</v>
      </c>
      <c r="R14" s="218">
        <f>tblIncome8569101114[[#This Row],[수용량]]*tblIncome8569101114[[#This Row],[욕구 해소량]]/tblIncome8569101114[[#This Row],[이용시간]]</f>
        <v>81.818181818181813</v>
      </c>
      <c r="S14" s="90">
        <f>tblIncome8569101114[[#This Row],[요금]]/tblIncome8569101114[[#This Row],[욕구 해소량]]</f>
        <v>1.3666666666666667</v>
      </c>
      <c r="T14" s="84">
        <f>tblIncome8569101114[[#This Row],[수용량]]/tblIncome8569101114[[#This Row],[이용시간]]</f>
        <v>2.7272727272727271</v>
      </c>
      <c r="U14" s="84" t="s">
        <v>415</v>
      </c>
      <c r="V14" s="65" t="s">
        <v>212</v>
      </c>
      <c r="W14" s="65"/>
    </row>
    <row r="15" spans="1:23" ht="100.05" customHeight="1">
      <c r="A15" s="1"/>
      <c r="B15" s="24" t="s">
        <v>205</v>
      </c>
      <c r="C15" s="57"/>
      <c r="D15" s="58">
        <v>64</v>
      </c>
      <c r="E15" s="59">
        <v>33</v>
      </c>
      <c r="F15" s="60">
        <v>70</v>
      </c>
      <c r="G15" s="61"/>
      <c r="H15" s="52" t="s">
        <v>127</v>
      </c>
      <c r="I15" s="177">
        <v>50</v>
      </c>
      <c r="J15" s="61" t="s">
        <v>224</v>
      </c>
      <c r="K15" s="137" t="s">
        <v>216</v>
      </c>
      <c r="L15" s="51">
        <f>ROUND(IF(ISBLANK(tblIncome8569101114[[#This Row],[보너스]]),INDEX('건설 부지에 따른 수치표'!$A$1:$D$13, MATCH(tblIncome8569101114[[#This Row],[건설 부지]], '건설 부지에 따른 수치표'!A:A, 0), MATCH(tblIncome856[[#Headers],[건설 비용 회수 시간]], '건설 부지에 따른 수치표'!$1:$1, 0))*tblIncome8569101114[[#This Row],[수익률]],INDEX('건설 부지에 따른 수치표'!$A$1:$D$13, MATCH(tblIncome8569101114[[#This Row],[건설 부지]], '건설 부지에 따른 수치표'!A:A, 0), MATCH(tblIncome856[[#Headers],[건설 비용 회수 시간]], '건설 부지에 따른 수치표'!$1:$1, 0))*tblIncome8569101114[[#This Row],[수익률]]*1.2), -1)</f>
        <v>50500</v>
      </c>
      <c r="M15" s="142">
        <v>10</v>
      </c>
      <c r="N15" s="62">
        <f>tblIncome8569101114[[#This Row],[수용량]]*tblIncome8569101114[[#This Row],[요금]]/tblIncome8569101114[[#This Row],[이용시간]]</f>
        <v>135.75757575757575</v>
      </c>
      <c r="O15" s="63">
        <f>tblIncome8569101114[[#This Row],[수익률]]/tblIncome8569101114[[#This Row],[건설 비용]]</f>
        <v>2.6882688268826879E-3</v>
      </c>
      <c r="P15" s="162">
        <f>tblIncome8569101114[[#This Row],[건설 비용]]/tblIncome8569101114[[#This Row],[수익률]]</f>
        <v>371.98660714285717</v>
      </c>
      <c r="Q15" s="64">
        <f>tblIncome8569101114[[#This Row],[수익률]]/tblIncome8569101114[[#This Row],[건설 부지]]</f>
        <v>13.575757575757574</v>
      </c>
      <c r="R15" s="218">
        <f>tblIncome8569101114[[#This Row],[수용량]]*tblIncome8569101114[[#This Row],[욕구 해소량]]/tblIncome8569101114[[#This Row],[이용시간]]</f>
        <v>96.969696969696969</v>
      </c>
      <c r="S15" s="90">
        <f>tblIncome8569101114[[#This Row],[요금]]/tblIncome8569101114[[#This Row],[욕구 해소량]]</f>
        <v>1.4</v>
      </c>
      <c r="T15" s="84">
        <f>tblIncome8569101114[[#This Row],[수용량]]/tblIncome8569101114[[#This Row],[이용시간]]</f>
        <v>1.9393939393939394</v>
      </c>
      <c r="U15" s="84" t="s">
        <v>416</v>
      </c>
      <c r="V15" s="65" t="s">
        <v>220</v>
      </c>
      <c r="W15" s="65"/>
    </row>
    <row r="16" spans="1:23" ht="100.05" customHeight="1">
      <c r="A16" s="1"/>
      <c r="B16" s="24" t="s">
        <v>206</v>
      </c>
      <c r="C16" s="105"/>
      <c r="D16" s="58">
        <v>70</v>
      </c>
      <c r="E16" s="59">
        <v>39</v>
      </c>
      <c r="F16" s="60">
        <v>75</v>
      </c>
      <c r="G16" s="61"/>
      <c r="H16" s="52" t="s">
        <v>127</v>
      </c>
      <c r="I16" s="177">
        <v>55</v>
      </c>
      <c r="J16" s="61" t="s">
        <v>133</v>
      </c>
      <c r="K16" s="137" t="s">
        <v>215</v>
      </c>
      <c r="L16" s="51">
        <f>ROUND(IF(ISBLANK(tblIncome8569101114[[#This Row],[보너스]]),INDEX('건설 부지에 따른 수치표'!$A$1:$D$13, MATCH(tblIncome8569101114[[#This Row],[건설 부지]], '건설 부지에 따른 수치표'!A:A, 0), MATCH(tblIncome856[[#Headers],[건설 비용 회수 시간]], '건설 부지에 따른 수치표'!$1:$1, 0))*tblIncome8569101114[[#This Row],[수익률]],INDEX('건설 부지에 따른 수치표'!$A$1:$D$13, MATCH(tblIncome8569101114[[#This Row],[건설 부지]], '건설 부지에 따른 수치표'!A:A, 0), MATCH(tblIncome856[[#Headers],[건설 비용 회수 시간]], '건설 부지에 따른 수치표'!$1:$1, 0))*tblIncome8569101114[[#This Row],[수익률]]*1.2), -1)</f>
        <v>50080</v>
      </c>
      <c r="M16" s="142">
        <v>10</v>
      </c>
      <c r="N16" s="62">
        <f>tblIncome8569101114[[#This Row],[수용량]]*tblIncome8569101114[[#This Row],[요금]]/tblIncome8569101114[[#This Row],[이용시간]]</f>
        <v>134.61538461538461</v>
      </c>
      <c r="O16" s="63">
        <f>tblIncome8569101114[[#This Row],[수익률]]/tblIncome8569101114[[#This Row],[건설 비용]]</f>
        <v>2.6880068812976162E-3</v>
      </c>
      <c r="P16" s="162">
        <f>tblIncome8569101114[[#This Row],[건설 비용]]/tblIncome8569101114[[#This Row],[수익률]]</f>
        <v>372.02285714285716</v>
      </c>
      <c r="Q16" s="64">
        <f>tblIncome8569101114[[#This Row],[수익률]]/tblIncome8569101114[[#This Row],[건설 부지]]</f>
        <v>13.461538461538462</v>
      </c>
      <c r="R16" s="218">
        <f>tblIncome8569101114[[#This Row],[수용량]]*tblIncome8569101114[[#This Row],[욕구 해소량]]/tblIncome8569101114[[#This Row],[이용시간]]</f>
        <v>98.717948717948715</v>
      </c>
      <c r="S16" s="90">
        <f>tblIncome8569101114[[#This Row],[요금]]/tblIncome8569101114[[#This Row],[욕구 해소량]]</f>
        <v>1.3636363636363635</v>
      </c>
      <c r="T16" s="84">
        <f>tblIncome8569101114[[#This Row],[수용량]]/tblIncome8569101114[[#This Row],[이용시간]]</f>
        <v>1.7948717948717949</v>
      </c>
      <c r="U16" s="84" t="s">
        <v>416</v>
      </c>
      <c r="V16" s="65" t="s">
        <v>221</v>
      </c>
      <c r="W16" s="106"/>
    </row>
    <row r="17" spans="1:23" ht="100.05" customHeight="1">
      <c r="A17" s="1"/>
      <c r="B17" s="24" t="s">
        <v>218</v>
      </c>
      <c r="C17" s="105"/>
      <c r="D17" s="58">
        <v>48</v>
      </c>
      <c r="E17" s="59">
        <v>30</v>
      </c>
      <c r="F17" s="60">
        <v>20</v>
      </c>
      <c r="G17" s="61"/>
      <c r="H17" s="52" t="s">
        <v>127</v>
      </c>
      <c r="I17" s="177">
        <v>35</v>
      </c>
      <c r="J17" s="61" t="s">
        <v>225</v>
      </c>
      <c r="K17" s="137" t="s">
        <v>230</v>
      </c>
      <c r="L17" s="51">
        <f>ROUND(IF(ISBLANK(tblIncome8569101114[[#This Row],[보너스]]),INDEX('건설 부지에 따른 수치표'!$A$1:$D$13, MATCH(tblIncome8569101114[[#This Row],[건설 부지]], '건설 부지에 따른 수치표'!A:A, 0), MATCH(tblIncome856[[#Headers],[건설 비용 회수 시간]], '건설 부지에 따른 수치표'!$1:$1, 0))*tblIncome8569101114[[#This Row],[수익률]],INDEX('건설 부지에 따른 수치표'!$A$1:$D$13, MATCH(tblIncome8569101114[[#This Row],[건설 부지]], '건설 부지에 따른 수치표'!A:A, 0), MATCH(tblIncome856[[#Headers],[건설 비용 회수 시간]], '건설 부지에 따른 수치표'!$1:$1, 0))*tblIncome8569101114[[#This Row],[수익률]]*1.2), -1)</f>
        <v>5760</v>
      </c>
      <c r="M17" s="142">
        <v>6</v>
      </c>
      <c r="N17" s="62">
        <f>tblIncome8569101114[[#This Row],[수용량]]*tblIncome8569101114[[#This Row],[요금]]/tblIncome8569101114[[#This Row],[이용시간]]</f>
        <v>32</v>
      </c>
      <c r="O17" s="63">
        <f>tblIncome8569101114[[#This Row],[수익률]]/tblIncome8569101114[[#This Row],[건설 비용]]</f>
        <v>5.5555555555555558E-3</v>
      </c>
      <c r="P17" s="162">
        <f>tblIncome8569101114[[#This Row],[건설 비용]]/tblIncome8569101114[[#This Row],[수익률]]</f>
        <v>180</v>
      </c>
      <c r="Q17" s="64">
        <f>tblIncome8569101114[[#This Row],[수익률]]/tblIncome8569101114[[#This Row],[건설 부지]]</f>
        <v>5.333333333333333</v>
      </c>
      <c r="R17" s="218">
        <f>tblIncome8569101114[[#This Row],[수용량]]*tblIncome8569101114[[#This Row],[욕구 해소량]]/tblIncome8569101114[[#This Row],[이용시간]]</f>
        <v>56</v>
      </c>
      <c r="S17" s="90">
        <f>tblIncome8569101114[[#This Row],[요금]]/tblIncome8569101114[[#This Row],[욕구 해소량]]</f>
        <v>0.5714285714285714</v>
      </c>
      <c r="T17" s="84">
        <f>tblIncome8569101114[[#This Row],[수용량]]/tblIncome8569101114[[#This Row],[이용시간]]</f>
        <v>1.6</v>
      </c>
      <c r="U17" s="84" t="s">
        <v>414</v>
      </c>
      <c r="V17" s="65" t="s">
        <v>222</v>
      </c>
      <c r="W17" s="65"/>
    </row>
    <row r="18" spans="1:23" ht="100.05" customHeight="1">
      <c r="A18" s="1"/>
      <c r="B18" s="24" t="s">
        <v>219</v>
      </c>
      <c r="C18" s="105"/>
      <c r="D18" s="58">
        <v>72</v>
      </c>
      <c r="E18" s="59">
        <v>40</v>
      </c>
      <c r="F18" s="60">
        <v>50</v>
      </c>
      <c r="G18" s="61"/>
      <c r="H18" s="52" t="s">
        <v>127</v>
      </c>
      <c r="I18" s="177">
        <v>45</v>
      </c>
      <c r="J18" s="61" t="s">
        <v>127</v>
      </c>
      <c r="K18" s="137" t="s">
        <v>231</v>
      </c>
      <c r="L18" s="51">
        <f>ROUND(IF(ISBLANK(tblIncome8569101114[[#This Row],[보너스]]),INDEX('건설 부지에 따른 수치표'!$A$1:$D$13, MATCH(tblIncome8569101114[[#This Row],[건설 부지]], '건설 부지에 따른 수치표'!A:A, 0), MATCH(tblIncome856[[#Headers],[건설 비용 회수 시간]], '건설 부지에 따른 수치표'!$1:$1, 0))*tblIncome8569101114[[#This Row],[수익률]],INDEX('건설 부지에 따른 수치표'!$A$1:$D$13, MATCH(tblIncome8569101114[[#This Row],[건설 부지]], '건설 부지에 따른 수치표'!A:A, 0), MATCH(tblIncome856[[#Headers],[건설 비용 회수 시간]], '건설 부지에 따른 수치표'!$1:$1, 0))*tblIncome8569101114[[#This Row],[수익률]]*1.2), -1)</f>
        <v>34560</v>
      </c>
      <c r="M18" s="142">
        <v>11</v>
      </c>
      <c r="N18" s="62">
        <f>tblIncome8569101114[[#This Row],[수용량]]*tblIncome8569101114[[#This Row],[요금]]/tblIncome8569101114[[#This Row],[이용시간]]</f>
        <v>90</v>
      </c>
      <c r="O18" s="63">
        <f>tblIncome8569101114[[#This Row],[수익률]]/tblIncome8569101114[[#This Row],[건설 비용]]</f>
        <v>2.6041666666666665E-3</v>
      </c>
      <c r="P18" s="162">
        <f>tblIncome8569101114[[#This Row],[건설 비용]]/tblIncome8569101114[[#This Row],[수익률]]</f>
        <v>384</v>
      </c>
      <c r="Q18" s="64">
        <f>tblIncome8569101114[[#This Row],[수익률]]/tblIncome8569101114[[#This Row],[건설 부지]]</f>
        <v>8.1818181818181817</v>
      </c>
      <c r="R18" s="218">
        <f>tblIncome8569101114[[#This Row],[수용량]]*tblIncome8569101114[[#This Row],[욕구 해소량]]/tblIncome8569101114[[#This Row],[이용시간]]</f>
        <v>81</v>
      </c>
      <c r="S18" s="90">
        <f>tblIncome8569101114[[#This Row],[요금]]/tblIncome8569101114[[#This Row],[욕구 해소량]]</f>
        <v>1.1111111111111112</v>
      </c>
      <c r="T18" s="84">
        <f>tblIncome8569101114[[#This Row],[수용량]]/tblIncome8569101114[[#This Row],[이용시간]]</f>
        <v>1.8</v>
      </c>
      <c r="U18" s="84" t="s">
        <v>414</v>
      </c>
      <c r="V18" s="65" t="s">
        <v>223</v>
      </c>
      <c r="W18" s="65"/>
    </row>
    <row r="19" spans="1:23" ht="21" customHeight="1">
      <c r="A19" s="1"/>
      <c r="B19" s="14"/>
      <c r="C19" s="19"/>
      <c r="D19" s="19"/>
      <c r="E19" s="19"/>
      <c r="F19" s="19"/>
      <c r="G19" s="19"/>
      <c r="H19" s="19"/>
      <c r="I19" s="181"/>
      <c r="J19" s="19"/>
      <c r="K19" s="19"/>
      <c r="L19" s="19"/>
      <c r="M19" s="145"/>
      <c r="N19" s="19"/>
      <c r="O19" s="19"/>
      <c r="P19" s="165"/>
      <c r="Q19" s="19"/>
      <c r="R19" s="221"/>
      <c r="S19" s="17"/>
    </row>
    <row r="20" spans="1:23" ht="21" customHeight="1">
      <c r="A20" s="1"/>
      <c r="B20" s="14"/>
      <c r="C20" s="19"/>
      <c r="D20" s="19"/>
      <c r="E20" s="19"/>
      <c r="F20" s="19"/>
      <c r="G20" s="19"/>
      <c r="H20" s="19"/>
      <c r="I20" s="181"/>
      <c r="J20" s="19"/>
      <c r="K20" s="19"/>
      <c r="L20" s="19"/>
      <c r="M20" s="145"/>
      <c r="N20" s="19"/>
      <c r="O20" s="19"/>
      <c r="P20" s="165"/>
      <c r="Q20" s="19"/>
      <c r="R20" s="221"/>
      <c r="S20" s="17"/>
    </row>
    <row r="21" spans="1:23" ht="60" customHeight="1" thickBot="1">
      <c r="A21" s="1"/>
      <c r="B21" s="46"/>
      <c r="C21" s="152" t="s">
        <v>348</v>
      </c>
      <c r="D21" s="263" t="s">
        <v>490</v>
      </c>
      <c r="F21" s="19"/>
      <c r="G21" s="19"/>
      <c r="H21" s="19"/>
      <c r="I21" s="181"/>
      <c r="M21" s="2"/>
      <c r="Q21" s="19"/>
      <c r="R21" s="221"/>
      <c r="S21" s="17"/>
    </row>
    <row r="22" spans="1:23" ht="21" customHeight="1" thickTop="1" thickBot="1">
      <c r="A22" s="1"/>
      <c r="B22" s="138" t="s">
        <v>0</v>
      </c>
      <c r="C22" s="151" t="s">
        <v>2</v>
      </c>
      <c r="D22" s="324" t="s">
        <v>6</v>
      </c>
      <c r="E22" s="325"/>
      <c r="F22" s="326"/>
      <c r="G22" s="149" t="s">
        <v>7</v>
      </c>
      <c r="H22" s="342" t="s">
        <v>8</v>
      </c>
      <c r="I22" s="343"/>
      <c r="J22" s="324" t="s">
        <v>9</v>
      </c>
      <c r="K22" s="325"/>
      <c r="L22" s="326"/>
      <c r="M22" s="324" t="s">
        <v>100</v>
      </c>
      <c r="N22" s="325"/>
      <c r="O22" s="325"/>
      <c r="P22" s="167"/>
      <c r="Q22" s="19"/>
      <c r="R22" s="221"/>
      <c r="S22" s="17"/>
    </row>
    <row r="23" spans="1:23" ht="100.05" customHeight="1" thickTop="1" thickBot="1">
      <c r="A23" s="1"/>
      <c r="B23" s="140"/>
      <c r="C23" s="153"/>
      <c r="D23" s="320"/>
      <c r="E23" s="320"/>
      <c r="F23" s="320"/>
      <c r="G23" s="264"/>
      <c r="H23" s="344"/>
      <c r="I23" s="345"/>
      <c r="J23" s="341"/>
      <c r="K23" s="341"/>
      <c r="L23" s="341"/>
      <c r="M23" s="341"/>
      <c r="N23" s="341"/>
      <c r="O23" s="341"/>
      <c r="P23" s="168"/>
      <c r="Q23" s="19"/>
      <c r="R23" s="221"/>
      <c r="S23" s="17"/>
    </row>
    <row r="24" spans="1:23" ht="100.05" customHeight="1" thickTop="1" thickBot="1">
      <c r="A24" s="1"/>
      <c r="B24" s="140"/>
      <c r="C24" s="150"/>
      <c r="D24" s="321"/>
      <c r="E24" s="322"/>
      <c r="F24" s="323"/>
      <c r="G24" s="264"/>
      <c r="H24" s="329"/>
      <c r="I24" s="331"/>
      <c r="J24" s="329"/>
      <c r="K24" s="330"/>
      <c r="L24" s="331"/>
      <c r="M24" s="327"/>
      <c r="N24" s="328"/>
      <c r="O24" s="328"/>
      <c r="P24" s="169"/>
      <c r="Q24" s="19"/>
      <c r="R24" s="221"/>
      <c r="S24" s="17"/>
    </row>
    <row r="25" spans="1:23" ht="100.05" customHeight="1" thickTop="1" thickBot="1">
      <c r="A25" s="1"/>
      <c r="B25" s="140"/>
      <c r="C25" s="150"/>
      <c r="D25" s="320"/>
      <c r="E25" s="320"/>
      <c r="F25" s="320"/>
      <c r="G25" s="264"/>
      <c r="H25" s="329"/>
      <c r="I25" s="331"/>
      <c r="J25" s="329"/>
      <c r="K25" s="330"/>
      <c r="L25" s="331"/>
      <c r="M25" s="327"/>
      <c r="N25" s="328"/>
      <c r="O25" s="328"/>
      <c r="P25" s="169"/>
      <c r="Q25" s="19"/>
      <c r="R25" s="221"/>
      <c r="S25" s="17"/>
    </row>
    <row r="26" spans="1:23" ht="100.05" customHeight="1" thickTop="1">
      <c r="A26" s="1"/>
      <c r="B26" s="14"/>
      <c r="C26" s="19"/>
      <c r="D26" s="19"/>
      <c r="E26" s="19"/>
      <c r="F26" s="19"/>
      <c r="G26" s="19"/>
      <c r="H26" s="19"/>
      <c r="I26" s="181"/>
      <c r="J26" s="19"/>
      <c r="K26" s="19"/>
      <c r="L26" s="19"/>
      <c r="M26" s="145"/>
      <c r="N26" s="19"/>
      <c r="O26" s="19"/>
      <c r="P26" s="165"/>
      <c r="Q26" s="19"/>
      <c r="R26" s="221"/>
      <c r="S26" s="17"/>
    </row>
    <row r="27" spans="1:23" s="3" customFormat="1" ht="100.05" customHeight="1">
      <c r="B27" s="14"/>
      <c r="C27" s="19"/>
      <c r="D27" s="19"/>
      <c r="E27" s="19"/>
      <c r="F27" s="19"/>
      <c r="G27" s="19"/>
      <c r="H27" s="19"/>
      <c r="I27" s="181"/>
      <c r="J27" s="19"/>
      <c r="K27" s="19"/>
      <c r="L27" s="19"/>
      <c r="M27" s="145"/>
      <c r="N27" s="19"/>
      <c r="O27" s="19"/>
      <c r="P27" s="165"/>
      <c r="Q27" s="19"/>
      <c r="R27" s="221"/>
      <c r="S27" s="17"/>
      <c r="T27" s="2"/>
      <c r="U27" s="2"/>
      <c r="V27" s="2"/>
      <c r="W27" s="2"/>
    </row>
    <row r="28" spans="1:23" ht="100.05" customHeight="1">
      <c r="A28" s="1"/>
      <c r="B28" s="14"/>
      <c r="C28" s="19"/>
      <c r="D28" s="19"/>
      <c r="E28" s="19"/>
      <c r="F28" s="19"/>
      <c r="G28" s="19"/>
      <c r="H28" s="19"/>
      <c r="I28" s="181"/>
      <c r="J28" s="19"/>
      <c r="K28" s="19"/>
      <c r="L28" s="19"/>
      <c r="M28" s="145"/>
      <c r="N28" s="19"/>
      <c r="O28" s="19"/>
      <c r="P28" s="165"/>
      <c r="Q28" s="19"/>
      <c r="R28" s="221"/>
      <c r="S28" s="17"/>
    </row>
    <row r="29" spans="1:23" ht="100.05" customHeight="1">
      <c r="B29" s="14"/>
      <c r="C29" s="19"/>
      <c r="D29" s="19"/>
      <c r="E29" s="19"/>
      <c r="F29" s="19"/>
      <c r="G29" s="19"/>
      <c r="H29" s="19"/>
      <c r="I29" s="181"/>
      <c r="J29" s="19"/>
      <c r="K29" s="19"/>
      <c r="L29" s="19"/>
      <c r="M29" s="145"/>
      <c r="N29" s="19"/>
      <c r="O29" s="19"/>
      <c r="P29" s="165"/>
      <c r="Q29" s="19"/>
      <c r="R29" s="221"/>
      <c r="S29" s="17"/>
      <c r="T29" s="3"/>
      <c r="U29" s="3"/>
      <c r="V29" s="3"/>
      <c r="W29" s="3"/>
    </row>
    <row r="30" spans="1:23" ht="100.05" customHeight="1">
      <c r="B30" s="14"/>
      <c r="C30" s="20"/>
      <c r="D30" s="20"/>
      <c r="E30" s="20"/>
      <c r="F30" s="20"/>
      <c r="G30" s="20"/>
      <c r="H30" s="20"/>
      <c r="I30" s="183"/>
      <c r="J30" s="20"/>
      <c r="K30" s="20"/>
      <c r="L30" s="20"/>
      <c r="M30" s="145"/>
      <c r="N30" s="20"/>
      <c r="O30" s="20"/>
      <c r="P30" s="170"/>
      <c r="Q30" s="20"/>
      <c r="R30" s="222"/>
      <c r="S30" s="16"/>
    </row>
  </sheetData>
  <mergeCells count="16">
    <mergeCell ref="D24:F24"/>
    <mergeCell ref="J24:L24"/>
    <mergeCell ref="M24:O24"/>
    <mergeCell ref="D25:F25"/>
    <mergeCell ref="J25:L25"/>
    <mergeCell ref="M25:O25"/>
    <mergeCell ref="H24:I24"/>
    <mergeCell ref="H25:I25"/>
    <mergeCell ref="D22:F22"/>
    <mergeCell ref="J22:L22"/>
    <mergeCell ref="M22:O22"/>
    <mergeCell ref="D23:F23"/>
    <mergeCell ref="J23:L23"/>
    <mergeCell ref="M23:O23"/>
    <mergeCell ref="H22:I22"/>
    <mergeCell ref="H23:I23"/>
  </mergeCells>
  <phoneticPr fontId="6" type="noConversion"/>
  <hyperlinks>
    <hyperlink ref="N3" location="장비부지모양" display="부지 모양" xr:uid="{00000000-0004-0000-0400-000000000000}"/>
  </hyperlinks>
  <printOptions horizontalCentered="1"/>
  <pageMargins left="0.25" right="0.25" top="0.75" bottom="0.75" header="0.3" footer="0.3"/>
  <pageSetup scale="65" fitToHeight="0" orientation="landscape" r:id="rId1"/>
  <headerFooter differentFirst="1">
    <oddFooter>Page &amp;P of &amp;N</oddFooter>
  </headerFooter>
  <drawing r:id="rId2"/>
  <tableParts count="1">
    <tablePart r:id="rId3"/>
  </tableParts>
  <extLst>
    <ext xmlns:x14="http://schemas.microsoft.com/office/spreadsheetml/2009/9/main" uri="{05C60535-1F16-4fd2-B633-F4F36F0B64E0}">
      <x14:sparklineGroups xmlns:xm="http://schemas.microsoft.com/office/excel/2006/main">
        <x14:sparklineGroup manualMax="0" manualMin="0" type="column" displayEmptyCellsAs="gap" high="1" low="1" xr2:uid="{00000000-0003-0000-0400-000008000000}">
          <x14:colorSeries theme="5"/>
          <x14:colorNegative rgb="FFFFB620"/>
          <x14:colorAxis rgb="FF000000"/>
          <x14:colorMarkers rgb="FFD70077"/>
          <x14:colorFirst rgb="FF777777"/>
          <x14:colorLast rgb="FF359CEB"/>
          <x14:colorHigh rgb="FFFF0000"/>
          <x14:colorLow rgb="FF92D050"/>
          <x14:sparklines>
            <x14:sparkline>
              <xm:f>장비!C30:O30</xm:f>
              <xm:sqref>S30</xm:sqref>
            </x14:sparkline>
          </x14:sparklines>
        </x14:sparklineGroup>
      </x14:sparklineGroup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>
    <tabColor rgb="FFD1F3E8"/>
    <pageSetUpPr autoPageBreaks="0" fitToPage="1"/>
  </sheetPr>
  <dimension ref="A1:W28"/>
  <sheetViews>
    <sheetView showGridLines="0" topLeftCell="A9" zoomScale="85" zoomScaleNormal="85" workbookViewId="0">
      <selection activeCell="H14" sqref="H14:I14"/>
    </sheetView>
  </sheetViews>
  <sheetFormatPr defaultColWidth="9.109375" defaultRowHeight="21" customHeight="1"/>
  <cols>
    <col min="1" max="1" width="1.44140625" style="2" customWidth="1"/>
    <col min="2" max="2" width="23.33203125" style="2" customWidth="1"/>
    <col min="3" max="3" width="18.5546875" style="2" customWidth="1"/>
    <col min="4" max="6" width="12.6640625" style="2" customWidth="1"/>
    <col min="7" max="7" width="29.77734375" style="2" customWidth="1"/>
    <col min="8" max="8" width="13.6640625" style="2" customWidth="1"/>
    <col min="9" max="9" width="13.6640625" style="174" customWidth="1"/>
    <col min="10" max="10" width="12.6640625" style="2" customWidth="1"/>
    <col min="11" max="11" width="18" style="2" customWidth="1"/>
    <col min="12" max="12" width="12.6640625" style="2" customWidth="1"/>
    <col min="13" max="13" width="12.6640625" style="143" customWidth="1"/>
    <col min="14" max="14" width="12.6640625" style="2" customWidth="1"/>
    <col min="15" max="15" width="10.6640625" style="2" customWidth="1"/>
    <col min="16" max="16" width="10.6640625" style="166" customWidth="1"/>
    <col min="17" max="17" width="15.33203125" style="2" customWidth="1"/>
    <col min="18" max="18" width="10.6640625" style="217" customWidth="1"/>
    <col min="19" max="19" width="10.6640625" style="2" customWidth="1"/>
    <col min="20" max="20" width="11.77734375" style="2" customWidth="1"/>
    <col min="21" max="21" width="25.77734375" style="2" customWidth="1"/>
    <col min="22" max="22" width="46.77734375" style="2" customWidth="1"/>
    <col min="23" max="23" width="30.77734375" style="2" customWidth="1"/>
    <col min="24" max="16384" width="9.109375" style="2"/>
  </cols>
  <sheetData>
    <row r="1" spans="1:23" ht="64.2" customHeight="1">
      <c r="A1" s="1"/>
      <c r="C1" s="26" t="s">
        <v>190</v>
      </c>
      <c r="D1" s="21"/>
      <c r="J1" s="1"/>
      <c r="K1" s="1"/>
      <c r="N1" s="1"/>
      <c r="O1" s="3"/>
      <c r="P1" s="159"/>
      <c r="Q1" s="3"/>
      <c r="R1" s="216"/>
      <c r="S1" s="3"/>
    </row>
    <row r="2" spans="1:23" ht="21" customHeight="1">
      <c r="A2" s="1"/>
      <c r="B2" s="4"/>
      <c r="C2" s="29"/>
      <c r="D2" s="27"/>
      <c r="E2" s="23"/>
      <c r="F2" s="25"/>
      <c r="G2" s="25"/>
      <c r="H2" s="25"/>
      <c r="I2" s="175"/>
      <c r="J2" s="1"/>
      <c r="K2" s="1"/>
      <c r="L2" s="1"/>
      <c r="M2" s="144"/>
      <c r="N2" s="1"/>
      <c r="O2" s="3"/>
      <c r="P2" s="159"/>
      <c r="R2" s="235" t="s">
        <v>470</v>
      </c>
    </row>
    <row r="3" spans="1:23" ht="21" customHeight="1" thickBot="1">
      <c r="A3" s="1"/>
      <c r="B3" s="1"/>
      <c r="C3" s="1"/>
      <c r="D3" s="1"/>
      <c r="E3" s="1"/>
      <c r="F3" s="1"/>
      <c r="G3" s="1"/>
      <c r="H3" s="1"/>
      <c r="I3" s="175"/>
      <c r="J3" s="1"/>
      <c r="K3" s="1"/>
      <c r="L3" s="1"/>
      <c r="M3" s="148" t="s">
        <v>356</v>
      </c>
      <c r="N3" s="1"/>
      <c r="O3" s="1"/>
      <c r="P3" s="160"/>
      <c r="Q3" s="1"/>
      <c r="R3" s="237">
        <f>(VLOOKUP(C1,'캐릭터 욕구 생성 표'!A1:N12,6,FALSE)+ VLOOKUP(C1,'캐릭터 욕구 생성 표'!A1:N12,12,FALSE))*'스테이지 관련 수치'!B11/2</f>
        <v>30</v>
      </c>
      <c r="S3" s="1"/>
    </row>
    <row r="4" spans="1:23" s="245" customFormat="1" ht="42" customHeight="1" thickTop="1" thickBot="1">
      <c r="A4" s="239"/>
      <c r="B4" s="240" t="s">
        <v>0</v>
      </c>
      <c r="C4" s="241" t="s">
        <v>2</v>
      </c>
      <c r="D4" s="240" t="s">
        <v>1</v>
      </c>
      <c r="E4" s="240" t="s">
        <v>23</v>
      </c>
      <c r="F4" s="240" t="s">
        <v>3</v>
      </c>
      <c r="G4" s="240" t="s">
        <v>4</v>
      </c>
      <c r="H4" s="243" t="s">
        <v>440</v>
      </c>
      <c r="I4" s="242" t="s">
        <v>439</v>
      </c>
      <c r="J4" s="243" t="s">
        <v>5</v>
      </c>
      <c r="K4" s="243" t="s">
        <v>6</v>
      </c>
      <c r="L4" s="244" t="s">
        <v>7</v>
      </c>
      <c r="M4" s="244" t="s">
        <v>8</v>
      </c>
      <c r="N4" s="224" t="s">
        <v>11</v>
      </c>
      <c r="O4" s="224" t="s">
        <v>438</v>
      </c>
      <c r="P4" s="225" t="s">
        <v>437</v>
      </c>
      <c r="Q4" s="224" t="s">
        <v>21</v>
      </c>
      <c r="R4" s="226" t="s">
        <v>447</v>
      </c>
      <c r="S4" s="224" t="s">
        <v>79</v>
      </c>
      <c r="T4" s="224" t="s">
        <v>70</v>
      </c>
      <c r="U4" s="240" t="s">
        <v>401</v>
      </c>
      <c r="V4" s="240" t="s">
        <v>9</v>
      </c>
      <c r="W4" s="240" t="s">
        <v>100</v>
      </c>
    </row>
    <row r="5" spans="1:23" s="11" customFormat="1" ht="99.6" customHeight="1">
      <c r="A5" s="5"/>
      <c r="B5" s="24" t="s">
        <v>179</v>
      </c>
      <c r="C5" s="48"/>
      <c r="D5" s="49">
        <v>10</v>
      </c>
      <c r="E5" s="50">
        <v>12</v>
      </c>
      <c r="F5" s="51">
        <v>18</v>
      </c>
      <c r="G5" s="52"/>
      <c r="H5" s="52" t="s">
        <v>190</v>
      </c>
      <c r="I5" s="177">
        <v>70</v>
      </c>
      <c r="J5" s="52" t="s">
        <v>182</v>
      </c>
      <c r="K5" s="67" t="s">
        <v>180</v>
      </c>
      <c r="L5" s="51">
        <f>ROUND(IF(ISBLANK(tblIncome856910[[#This Row],[보너스]]),INDEX('건설 부지에 따른 수치표'!$A$1:$D$13, MATCH(tblIncome856910[[#This Row],[건설 부지]], '건설 부지에 따른 수치표'!A:A, 0), MATCH(tblIncome856[[#Headers],[건설 비용 회수 시간]], '건설 부지에 따른 수치표'!$1:$1, 0))*tblIncome856910[[#This Row],[수익률]],INDEX('건설 부지에 따른 수치표'!$A$1:$D$13, MATCH(tblIncome856910[[#This Row],[건설 부지]], '건설 부지에 따른 수치표'!A:A, 0), MATCH(tblIncome856[[#Headers],[건설 비용 회수 시간]], '건설 부지에 따른 수치표'!$1:$1, 0))*tblIncome856910[[#This Row],[수익률]]*1.2), -1)</f>
        <v>1260</v>
      </c>
      <c r="M5" s="141">
        <v>3</v>
      </c>
      <c r="N5" s="53">
        <f>tblIncome856910[[#This Row],[수용량]]*tblIncome856910[[#This Row],[요금]]/tblIncome856910[[#This Row],[이용시간]]</f>
        <v>15</v>
      </c>
      <c r="O5" s="54">
        <f>tblIncome856910[[#This Row],[수익률]]/tblIncome856910[[#This Row],[건설 비용]]</f>
        <v>1.1904761904761904E-2</v>
      </c>
      <c r="P5" s="161">
        <f>tblIncome856910[[#This Row],[건설 비용]]/tblIncome856910[[#This Row],[수익률]]</f>
        <v>84</v>
      </c>
      <c r="Q5" s="55">
        <f>tblIncome856910[[#This Row],[수익률]]/tblIncome856910[[#This Row],[건설 부지]]</f>
        <v>5</v>
      </c>
      <c r="R5" s="218">
        <f>tblIncome856910[[#This Row],[수용량]]*tblIncome856910[[#This Row],[욕구 해소량]]/tblIncome856910[[#This Row],[이용시간]]</f>
        <v>58.333333333333336</v>
      </c>
      <c r="S5" s="90">
        <f>tblIncome856910[[#This Row],[요금]]/tblIncome856910[[#This Row],[욕구 해소량]]</f>
        <v>0.25714285714285712</v>
      </c>
      <c r="T5" s="84">
        <f>tblIncome856910[[#This Row],[수용량]]/tblIncome856910[[#This Row],[이용시간]]</f>
        <v>0.83333333333333337</v>
      </c>
      <c r="U5" s="84"/>
      <c r="V5" s="56" t="s">
        <v>181</v>
      </c>
      <c r="W5" s="56"/>
    </row>
    <row r="6" spans="1:23" ht="100.05" customHeight="1">
      <c r="A6" s="1"/>
      <c r="B6" s="24" t="s">
        <v>183</v>
      </c>
      <c r="C6" s="57"/>
      <c r="D6" s="58">
        <v>12</v>
      </c>
      <c r="E6" s="59">
        <v>10</v>
      </c>
      <c r="F6" s="60">
        <v>20</v>
      </c>
      <c r="G6" s="61"/>
      <c r="H6" s="52" t="s">
        <v>190</v>
      </c>
      <c r="I6" s="177">
        <v>50</v>
      </c>
      <c r="J6" s="61" t="s">
        <v>190</v>
      </c>
      <c r="K6" s="68"/>
      <c r="L6" s="51">
        <f>ROUND(IF(ISBLANK(tblIncome856910[[#This Row],[보너스]]),INDEX('건설 부지에 따른 수치표'!$A$1:$D$13, MATCH(tblIncome856910[[#This Row],[건설 부지]], '건설 부지에 따른 수치표'!A:A, 0), MATCH(tblIncome856[[#Headers],[건설 비용 회수 시간]], '건설 부지에 따른 수치표'!$1:$1, 0))*tblIncome856910[[#This Row],[수익률]],INDEX('건설 부지에 따른 수치표'!$A$1:$D$13, MATCH(tblIncome856910[[#This Row],[건설 부지]], '건설 부지에 따른 수치표'!A:A, 0), MATCH(tblIncome856[[#Headers],[건설 비용 회수 시간]], '건설 부지에 따른 수치표'!$1:$1, 0))*tblIncome856910[[#This Row],[수익률]]*1.2), -1)</f>
        <v>2280</v>
      </c>
      <c r="M6" s="142">
        <v>4</v>
      </c>
      <c r="N6" s="62">
        <f>tblIncome856910[[#This Row],[수용량]]*tblIncome856910[[#This Row],[요금]]/tblIncome856910[[#This Row],[이용시간]]</f>
        <v>24</v>
      </c>
      <c r="O6" s="63">
        <f>tblIncome856910[[#This Row],[수익률]]/tblIncome856910[[#This Row],[건설 비용]]</f>
        <v>1.0526315789473684E-2</v>
      </c>
      <c r="P6" s="162">
        <f>tblIncome856910[[#This Row],[건설 비용]]/tblIncome856910[[#This Row],[수익률]]</f>
        <v>95</v>
      </c>
      <c r="Q6" s="64">
        <f>tblIncome856910[[#This Row],[수익률]]/tblIncome856910[[#This Row],[건설 부지]]</f>
        <v>6</v>
      </c>
      <c r="R6" s="218">
        <f>tblIncome856910[[#This Row],[수용량]]*tblIncome856910[[#This Row],[욕구 해소량]]/tblIncome856910[[#This Row],[이용시간]]</f>
        <v>60</v>
      </c>
      <c r="S6" s="90">
        <f>tblIncome856910[[#This Row],[요금]]/tblIncome856910[[#This Row],[욕구 해소량]]</f>
        <v>0.4</v>
      </c>
      <c r="T6" s="84">
        <f>tblIncome856910[[#This Row],[수용량]]/tblIncome856910[[#This Row],[이용시간]]</f>
        <v>1.2</v>
      </c>
      <c r="U6" s="84" t="s">
        <v>406</v>
      </c>
      <c r="V6" s="65" t="s">
        <v>184</v>
      </c>
      <c r="W6" s="65"/>
    </row>
    <row r="7" spans="1:23" ht="100.05" customHeight="1">
      <c r="A7" s="1"/>
      <c r="B7" s="24" t="s">
        <v>185</v>
      </c>
      <c r="C7" s="57"/>
      <c r="D7" s="58">
        <v>12</v>
      </c>
      <c r="E7" s="59">
        <v>10</v>
      </c>
      <c r="F7" s="60">
        <v>30</v>
      </c>
      <c r="G7" s="61"/>
      <c r="H7" s="52" t="s">
        <v>190</v>
      </c>
      <c r="I7" s="177">
        <v>60</v>
      </c>
      <c r="J7" s="61" t="s">
        <v>191</v>
      </c>
      <c r="K7" s="68"/>
      <c r="L7" s="51">
        <f>ROUND(IF(ISBLANK(tblIncome856910[[#This Row],[보너스]]),INDEX('건설 부지에 따른 수치표'!$A$1:$D$13, MATCH(tblIncome856910[[#This Row],[건설 부지]], '건설 부지에 따른 수치표'!A:A, 0), MATCH(tblIncome856[[#Headers],[건설 비용 회수 시간]], '건설 부지에 따른 수치표'!$1:$1, 0))*tblIncome856910[[#This Row],[수익률]],INDEX('건설 부지에 따른 수치표'!$A$1:$D$13, MATCH(tblIncome856910[[#This Row],[건설 부지]], '건설 부지에 따른 수치표'!A:A, 0), MATCH(tblIncome856[[#Headers],[건설 비용 회수 시간]], '건설 부지에 따른 수치표'!$1:$1, 0))*tblIncome856910[[#This Row],[수익률]]*1.2), -1)</f>
        <v>4320</v>
      </c>
      <c r="M7" s="142">
        <v>5</v>
      </c>
      <c r="N7" s="62">
        <f>tblIncome856910[[#This Row],[수용량]]*tblIncome856910[[#This Row],[요금]]/tblIncome856910[[#This Row],[이용시간]]</f>
        <v>36</v>
      </c>
      <c r="O7" s="63">
        <f>tblIncome856910[[#This Row],[수익률]]/tblIncome856910[[#This Row],[건설 비용]]</f>
        <v>8.3333333333333332E-3</v>
      </c>
      <c r="P7" s="162">
        <f>tblIncome856910[[#This Row],[건설 비용]]/tblIncome856910[[#This Row],[수익률]]</f>
        <v>120</v>
      </c>
      <c r="Q7" s="64">
        <f>tblIncome856910[[#This Row],[수익률]]/tblIncome856910[[#This Row],[건설 부지]]</f>
        <v>7.2</v>
      </c>
      <c r="R7" s="218">
        <f>tblIncome856910[[#This Row],[수용량]]*tblIncome856910[[#This Row],[욕구 해소량]]/tblIncome856910[[#This Row],[이용시간]]</f>
        <v>72</v>
      </c>
      <c r="S7" s="90">
        <f>tblIncome856910[[#This Row],[요금]]/tblIncome856910[[#This Row],[욕구 해소량]]</f>
        <v>0.5</v>
      </c>
      <c r="T7" s="84">
        <f>tblIncome856910[[#This Row],[수용량]]/tblIncome856910[[#This Row],[이용시간]]</f>
        <v>1.2</v>
      </c>
      <c r="U7" s="84" t="s">
        <v>404</v>
      </c>
      <c r="V7" s="65" t="s">
        <v>247</v>
      </c>
      <c r="W7" s="65"/>
    </row>
    <row r="8" spans="1:23" s="15" customFormat="1" ht="100.05" customHeight="1">
      <c r="A8" s="13"/>
      <c r="B8" s="24" t="s">
        <v>200</v>
      </c>
      <c r="C8" s="57"/>
      <c r="D8" s="58">
        <v>25</v>
      </c>
      <c r="E8" s="59">
        <v>24</v>
      </c>
      <c r="F8" s="60">
        <v>48</v>
      </c>
      <c r="G8" s="61"/>
      <c r="H8" s="52" t="s">
        <v>190</v>
      </c>
      <c r="I8" s="177">
        <v>65</v>
      </c>
      <c r="J8" s="61" t="s">
        <v>190</v>
      </c>
      <c r="K8" s="68"/>
      <c r="L8" s="51">
        <f>ROUND(IF(ISBLANK(tblIncome856910[[#This Row],[보너스]]),INDEX('건설 부지에 따른 수치표'!$A$1:$D$13, MATCH(tblIncome856910[[#This Row],[건설 부지]], '건설 부지에 따른 수치표'!A:A, 0), MATCH(tblIncome856[[#Headers],[건설 비용 회수 시간]], '건설 부지에 따른 수치표'!$1:$1, 0))*tblIncome856910[[#This Row],[수익률]],INDEX('건설 부지에 따른 수치표'!$A$1:$D$13, MATCH(tblIncome856910[[#This Row],[건설 부지]], '건설 부지에 따른 수치표'!A:A, 0), MATCH(tblIncome856[[#Headers],[건설 비용 회수 시간]], '건설 부지에 따른 수치표'!$1:$1, 0))*tblIncome856910[[#This Row],[수익률]]*1.2), -1)</f>
        <v>7500</v>
      </c>
      <c r="M8" s="142">
        <v>6</v>
      </c>
      <c r="N8" s="62">
        <f>tblIncome856910[[#This Row],[수용량]]*tblIncome856910[[#This Row],[요금]]/tblIncome856910[[#This Row],[이용시간]]</f>
        <v>50</v>
      </c>
      <c r="O8" s="63">
        <f>tblIncome856910[[#This Row],[수익률]]/tblIncome856910[[#This Row],[건설 비용]]</f>
        <v>6.6666666666666671E-3</v>
      </c>
      <c r="P8" s="162">
        <f>tblIncome856910[[#This Row],[건설 비용]]/tblIncome856910[[#This Row],[수익률]]</f>
        <v>150</v>
      </c>
      <c r="Q8" s="64">
        <f>tblIncome856910[[#This Row],[수익률]]/tblIncome856910[[#This Row],[건설 부지]]</f>
        <v>8.3333333333333339</v>
      </c>
      <c r="R8" s="218">
        <f>tblIncome856910[[#This Row],[수용량]]*tblIncome856910[[#This Row],[욕구 해소량]]/tblIncome856910[[#This Row],[이용시간]]</f>
        <v>67.708333333333329</v>
      </c>
      <c r="S8" s="90">
        <f>tblIncome856910[[#This Row],[요금]]/tblIncome856910[[#This Row],[욕구 해소량]]</f>
        <v>0.7384615384615385</v>
      </c>
      <c r="T8" s="84">
        <f>tblIncome856910[[#This Row],[수용량]]/tblIncome856910[[#This Row],[이용시간]]</f>
        <v>1.0416666666666667</v>
      </c>
      <c r="U8" s="84" t="s">
        <v>406</v>
      </c>
      <c r="V8" s="65" t="s">
        <v>248</v>
      </c>
      <c r="W8" s="65"/>
    </row>
    <row r="9" spans="1:23" s="9" customFormat="1" ht="100.05" customHeight="1">
      <c r="B9" s="24" t="s">
        <v>198</v>
      </c>
      <c r="C9" s="57"/>
      <c r="D9" s="58">
        <v>35</v>
      </c>
      <c r="E9" s="59">
        <v>35</v>
      </c>
      <c r="F9" s="60">
        <v>70</v>
      </c>
      <c r="G9" s="61"/>
      <c r="H9" s="52" t="s">
        <v>190</v>
      </c>
      <c r="I9" s="177">
        <v>65</v>
      </c>
      <c r="J9" s="61" t="s">
        <v>182</v>
      </c>
      <c r="K9" s="68" t="s">
        <v>201</v>
      </c>
      <c r="L9" s="51">
        <f>ROUND(IF(ISBLANK(tblIncome856910[[#This Row],[보너스]]),INDEX('건설 부지에 따른 수치표'!$A$1:$D$13, MATCH(tblIncome856910[[#This Row],[건설 부지]], '건설 부지에 따른 수치표'!A:A, 0), MATCH(tblIncome856[[#Headers],[건설 비용 회수 시간]], '건설 부지에 따른 수치표'!$1:$1, 0))*tblIncome856910[[#This Row],[수익률]],INDEX('건설 부지에 따른 수치표'!$A$1:$D$13, MATCH(tblIncome856910[[#This Row],[건설 부지]], '건설 부지에 따른 수치표'!A:A, 0), MATCH(tblIncome856[[#Headers],[건설 비용 회수 시간]], '건설 부지에 따른 수치표'!$1:$1, 0))*tblIncome856910[[#This Row],[수익률]]*1.2), -1)</f>
        <v>19740</v>
      </c>
      <c r="M9" s="142">
        <v>8</v>
      </c>
      <c r="N9" s="62">
        <f>tblIncome856910[[#This Row],[수용량]]*tblIncome856910[[#This Row],[요금]]/tblIncome856910[[#This Row],[이용시간]]</f>
        <v>70</v>
      </c>
      <c r="O9" s="63">
        <f>tblIncome856910[[#This Row],[수익률]]/tblIncome856910[[#This Row],[건설 비용]]</f>
        <v>3.5460992907801418E-3</v>
      </c>
      <c r="P9" s="162">
        <f>tblIncome856910[[#This Row],[건설 비용]]/tblIncome856910[[#This Row],[수익률]]</f>
        <v>282</v>
      </c>
      <c r="Q9" s="64">
        <f>tblIncome856910[[#This Row],[수익률]]/tblIncome856910[[#This Row],[건설 부지]]</f>
        <v>8.75</v>
      </c>
      <c r="R9" s="218">
        <f>tblIncome856910[[#This Row],[수용량]]*tblIncome856910[[#This Row],[욕구 해소량]]/tblIncome856910[[#This Row],[이용시간]]</f>
        <v>65</v>
      </c>
      <c r="S9" s="90">
        <f>tblIncome856910[[#This Row],[요금]]/tblIncome856910[[#This Row],[욕구 해소량]]</f>
        <v>1.0769230769230769</v>
      </c>
      <c r="T9" s="84">
        <f>tblIncome856910[[#This Row],[수용량]]/tblIncome856910[[#This Row],[이용시간]]</f>
        <v>1</v>
      </c>
      <c r="U9" s="156" t="s">
        <v>405</v>
      </c>
      <c r="V9" s="65" t="s">
        <v>249</v>
      </c>
      <c r="W9" s="65"/>
    </row>
    <row r="10" spans="1:23" s="15" customFormat="1" ht="100.05" customHeight="1">
      <c r="A10" s="13"/>
      <c r="B10" s="47" t="s">
        <v>197</v>
      </c>
      <c r="C10" s="57"/>
      <c r="D10" s="58">
        <v>30</v>
      </c>
      <c r="E10" s="59">
        <v>13</v>
      </c>
      <c r="F10" s="60">
        <v>40</v>
      </c>
      <c r="G10" s="61"/>
      <c r="H10" s="52" t="s">
        <v>190</v>
      </c>
      <c r="I10" s="177">
        <v>30</v>
      </c>
      <c r="J10" s="61" t="s">
        <v>190</v>
      </c>
      <c r="K10" s="68"/>
      <c r="L10" s="51">
        <f>ROUND(IF(ISBLANK(tblIncome856910[[#This Row],[보너스]]),INDEX('건설 부지에 따른 수치표'!$A$1:$D$13, MATCH(tblIncome856910[[#This Row],[건설 부지]], '건설 부지에 따른 수치표'!A:A, 0), MATCH(tblIncome856[[#Headers],[건설 비용 회수 시간]], '건설 부지에 따른 수치표'!$1:$1, 0))*tblIncome856910[[#This Row],[수익률]],INDEX('건설 부지에 따른 수치표'!$A$1:$D$13, MATCH(tblIncome856910[[#This Row],[건설 부지]], '건설 부지에 따른 수치표'!A:A, 0), MATCH(tblIncome856[[#Headers],[건설 비용 회수 시간]], '건설 부지에 따른 수치표'!$1:$1, 0))*tblIncome856910[[#This Row],[수익률]]*1.2), -1)</f>
        <v>27690</v>
      </c>
      <c r="M10" s="142">
        <v>9</v>
      </c>
      <c r="N10" s="62">
        <f>tblIncome856910[[#This Row],[수용량]]*tblIncome856910[[#This Row],[요금]]/tblIncome856910[[#This Row],[이용시간]]</f>
        <v>92.307692307692307</v>
      </c>
      <c r="O10" s="63">
        <f>tblIncome856910[[#This Row],[수익률]]/tblIncome856910[[#This Row],[건설 비용]]</f>
        <v>3.3336111342611883E-3</v>
      </c>
      <c r="P10" s="162">
        <f>tblIncome856910[[#This Row],[건설 비용]]/tblIncome856910[[#This Row],[수익률]]</f>
        <v>299.97500000000002</v>
      </c>
      <c r="Q10" s="64">
        <f>tblIncome856910[[#This Row],[수익률]]/tblIncome856910[[#This Row],[건설 부지]]</f>
        <v>10.256410256410255</v>
      </c>
      <c r="R10" s="218">
        <f>tblIncome856910[[#This Row],[수용량]]*tblIncome856910[[#This Row],[욕구 해소량]]/tblIncome856910[[#This Row],[이용시간]]</f>
        <v>69.230769230769226</v>
      </c>
      <c r="S10" s="90">
        <f>tblIncome856910[[#This Row],[요금]]/tblIncome856910[[#This Row],[욕구 해소량]]</f>
        <v>1.3333333333333333</v>
      </c>
      <c r="T10" s="84">
        <f>tblIncome856910[[#This Row],[수용량]]/tblIncome856910[[#This Row],[이용시간]]</f>
        <v>2.3076923076923075</v>
      </c>
      <c r="U10" s="84" t="s">
        <v>408</v>
      </c>
      <c r="V10" s="65" t="s">
        <v>250</v>
      </c>
      <c r="W10" s="65"/>
    </row>
    <row r="11" spans="1:23" ht="100.05" customHeight="1">
      <c r="A11" s="1"/>
      <c r="B11" s="47" t="s">
        <v>199</v>
      </c>
      <c r="C11" s="57"/>
      <c r="D11" s="58">
        <v>24</v>
      </c>
      <c r="E11" s="59">
        <v>20</v>
      </c>
      <c r="F11" s="60">
        <v>100</v>
      </c>
      <c r="G11" s="61"/>
      <c r="H11" s="52" t="s">
        <v>190</v>
      </c>
      <c r="I11" s="177">
        <v>65</v>
      </c>
      <c r="J11" s="61" t="s">
        <v>190</v>
      </c>
      <c r="K11" s="136" t="s">
        <v>343</v>
      </c>
      <c r="L11" s="51">
        <f>ROUND(IF(ISBLANK(tblIncome856910[[#This Row],[보너스]]),INDEX('건설 부지에 따른 수치표'!$A$1:$D$13, MATCH(tblIncome856910[[#This Row],[건설 부지]], '건설 부지에 따른 수치표'!A:A, 0), MATCH(tblIncome856[[#Headers],[건설 비용 회수 시간]], '건설 부지에 따른 수치표'!$1:$1, 0))*tblIncome856910[[#This Row],[수익률]],INDEX('건설 부지에 따른 수치표'!$A$1:$D$13, MATCH(tblIncome856910[[#This Row],[건설 부지]], '건설 부지에 따른 수치표'!A:A, 0), MATCH(tblIncome856[[#Headers],[건설 비용 회수 시간]], '건설 부지에 따른 수치표'!$1:$1, 0))*tblIncome856910[[#This Row],[수익률]]*1.2), -1)</f>
        <v>47520</v>
      </c>
      <c r="M11" s="142">
        <v>12</v>
      </c>
      <c r="N11" s="62">
        <f>tblIncome856910[[#This Row],[수용량]]*tblIncome856910[[#This Row],[요금]]/tblIncome856910[[#This Row],[이용시간]]</f>
        <v>120</v>
      </c>
      <c r="O11" s="63">
        <f>tblIncome856910[[#This Row],[수익률]]/tblIncome856910[[#This Row],[건설 비용]]</f>
        <v>2.5252525252525255E-3</v>
      </c>
      <c r="P11" s="162">
        <f>tblIncome856910[[#This Row],[건설 비용]]/tblIncome856910[[#This Row],[수익률]]</f>
        <v>396</v>
      </c>
      <c r="Q11" s="64">
        <f>tblIncome856910[[#This Row],[수익률]]/tblIncome856910[[#This Row],[건설 부지]]</f>
        <v>10</v>
      </c>
      <c r="R11" s="218">
        <f>tblIncome856910[[#This Row],[수용량]]*tblIncome856910[[#This Row],[욕구 해소량]]/tblIncome856910[[#This Row],[이용시간]]</f>
        <v>78</v>
      </c>
      <c r="S11" s="90">
        <f>tblIncome856910[[#This Row],[요금]]/tblIncome856910[[#This Row],[욕구 해소량]]</f>
        <v>1.5384615384615385</v>
      </c>
      <c r="T11" s="84">
        <f>tblIncome856910[[#This Row],[수용량]]/tblIncome856910[[#This Row],[이용시간]]</f>
        <v>1.2</v>
      </c>
      <c r="U11" s="84" t="s">
        <v>406</v>
      </c>
      <c r="V11" s="65" t="s">
        <v>251</v>
      </c>
      <c r="W11" s="65"/>
    </row>
    <row r="12" spans="1:23" ht="21" customHeight="1">
      <c r="A12" s="1"/>
      <c r="B12" s="98"/>
      <c r="C12" s="98"/>
      <c r="D12" s="98"/>
      <c r="E12" s="98"/>
      <c r="F12" s="98"/>
      <c r="G12" s="98"/>
      <c r="H12" s="171"/>
      <c r="I12" s="179"/>
      <c r="J12" s="98"/>
      <c r="K12" s="98"/>
      <c r="L12" s="98"/>
      <c r="M12" s="139"/>
      <c r="N12" s="98"/>
      <c r="O12" s="98"/>
      <c r="P12" s="163"/>
      <c r="Q12" s="98"/>
      <c r="R12" s="219"/>
      <c r="S12" s="98"/>
    </row>
    <row r="13" spans="1:23" ht="21" customHeight="1">
      <c r="A13" s="1"/>
      <c r="B13" s="12"/>
      <c r="C13" s="7"/>
      <c r="D13" s="7"/>
      <c r="E13" s="7"/>
      <c r="F13" s="7"/>
      <c r="G13" s="7"/>
      <c r="H13" s="7"/>
      <c r="I13" s="180"/>
      <c r="J13" s="7"/>
      <c r="K13" s="7"/>
      <c r="L13" s="7"/>
      <c r="M13" s="146"/>
      <c r="N13" s="7"/>
      <c r="O13" s="7"/>
      <c r="P13" s="164"/>
      <c r="Q13" s="7"/>
      <c r="R13" s="220"/>
      <c r="S13" s="7"/>
    </row>
    <row r="14" spans="1:23" ht="60" customHeight="1" thickBot="1">
      <c r="A14" s="1"/>
      <c r="B14" s="46"/>
      <c r="C14" s="152" t="s">
        <v>348</v>
      </c>
      <c r="D14" s="263" t="s">
        <v>490</v>
      </c>
      <c r="F14" s="19"/>
      <c r="G14" s="19"/>
      <c r="H14" s="319" t="s">
        <v>355</v>
      </c>
      <c r="I14" s="319"/>
      <c r="M14" s="2"/>
      <c r="Q14" s="19"/>
      <c r="R14" s="221"/>
      <c r="S14" s="17"/>
    </row>
    <row r="15" spans="1:23" ht="21" customHeight="1" thickTop="1" thickBot="1">
      <c r="A15" s="1"/>
      <c r="B15" s="138" t="s">
        <v>0</v>
      </c>
      <c r="C15" s="151" t="s">
        <v>2</v>
      </c>
      <c r="D15" s="324" t="s">
        <v>6</v>
      </c>
      <c r="E15" s="325"/>
      <c r="F15" s="326"/>
      <c r="G15" s="149" t="s">
        <v>295</v>
      </c>
      <c r="H15" s="342" t="s">
        <v>8</v>
      </c>
      <c r="I15" s="343"/>
      <c r="J15" s="324" t="s">
        <v>9</v>
      </c>
      <c r="K15" s="325"/>
      <c r="L15" s="326"/>
      <c r="M15" s="324" t="s">
        <v>100</v>
      </c>
      <c r="N15" s="325"/>
      <c r="O15" s="325"/>
      <c r="P15" s="167"/>
      <c r="Q15" s="19"/>
      <c r="R15" s="221"/>
      <c r="S15" s="17"/>
    </row>
    <row r="16" spans="1:23" ht="100.05" customHeight="1" thickTop="1" thickBot="1">
      <c r="A16" s="1"/>
      <c r="B16" s="140" t="s">
        <v>390</v>
      </c>
      <c r="C16" s="153"/>
      <c r="D16" s="320" t="s">
        <v>485</v>
      </c>
      <c r="E16" s="320"/>
      <c r="F16" s="320"/>
      <c r="G16" s="264">
        <f>0.1*1.5</f>
        <v>0.15000000000000002</v>
      </c>
      <c r="H16" s="344">
        <v>2</v>
      </c>
      <c r="I16" s="345"/>
      <c r="J16" s="341" t="s">
        <v>391</v>
      </c>
      <c r="K16" s="341"/>
      <c r="L16" s="341"/>
      <c r="M16" s="341"/>
      <c r="N16" s="341"/>
      <c r="O16" s="341"/>
      <c r="P16" s="168"/>
      <c r="Q16" s="19"/>
      <c r="R16" s="221"/>
      <c r="S16" s="17"/>
    </row>
    <row r="17" spans="1:19" ht="100.05" customHeight="1" thickTop="1" thickBot="1">
      <c r="A17" s="1"/>
      <c r="B17" s="140" t="s">
        <v>567</v>
      </c>
      <c r="C17" s="150"/>
      <c r="D17" s="321" t="s">
        <v>392</v>
      </c>
      <c r="E17" s="322"/>
      <c r="F17" s="323"/>
      <c r="G17" s="264">
        <f>0.15</f>
        <v>0.15</v>
      </c>
      <c r="H17" s="329">
        <v>2</v>
      </c>
      <c r="I17" s="331"/>
      <c r="J17" s="329" t="s">
        <v>393</v>
      </c>
      <c r="K17" s="330"/>
      <c r="L17" s="331"/>
      <c r="M17" s="327"/>
      <c r="N17" s="328"/>
      <c r="O17" s="328"/>
      <c r="P17" s="169"/>
      <c r="Q17" s="19"/>
      <c r="R17" s="221"/>
      <c r="S17" s="17"/>
    </row>
    <row r="18" spans="1:19" ht="100.05" customHeight="1" thickTop="1" thickBot="1">
      <c r="A18" s="1"/>
      <c r="B18" s="140" t="s">
        <v>394</v>
      </c>
      <c r="C18" s="150"/>
      <c r="D18" s="320" t="s">
        <v>486</v>
      </c>
      <c r="E18" s="320"/>
      <c r="F18" s="320"/>
      <c r="G18" s="264">
        <f>0.2*1.5</f>
        <v>0.30000000000000004</v>
      </c>
      <c r="H18" s="329">
        <v>4</v>
      </c>
      <c r="I18" s="331"/>
      <c r="J18" s="329" t="s">
        <v>396</v>
      </c>
      <c r="K18" s="330"/>
      <c r="L18" s="331"/>
      <c r="M18" s="327" t="s">
        <v>358</v>
      </c>
      <c r="N18" s="328"/>
      <c r="O18" s="328"/>
      <c r="P18" s="169"/>
      <c r="Q18" s="19"/>
      <c r="R18" s="221"/>
      <c r="S18" s="17"/>
    </row>
    <row r="19" spans="1:19" ht="100.05" customHeight="1" thickTop="1" thickBot="1">
      <c r="A19" s="1"/>
      <c r="B19" s="155" t="s">
        <v>406</v>
      </c>
      <c r="C19" s="150"/>
      <c r="D19" s="320" t="s">
        <v>491</v>
      </c>
      <c r="E19" s="320"/>
      <c r="F19" s="320"/>
      <c r="G19" s="264">
        <f>0.05*1.5</f>
        <v>7.5000000000000011E-2</v>
      </c>
      <c r="H19" s="329">
        <v>1</v>
      </c>
      <c r="I19" s="331"/>
      <c r="J19" s="329" t="s">
        <v>407</v>
      </c>
      <c r="K19" s="330"/>
      <c r="L19" s="331"/>
      <c r="M19" s="327"/>
      <c r="N19" s="328"/>
      <c r="O19" s="328"/>
      <c r="P19" s="169"/>
      <c r="Q19" s="19"/>
      <c r="R19" s="221"/>
      <c r="S19" s="17"/>
    </row>
    <row r="20" spans="1:19" ht="21" customHeight="1" thickTop="1">
      <c r="A20" s="1"/>
      <c r="B20" s="14"/>
      <c r="C20" s="19"/>
      <c r="D20" s="19"/>
      <c r="E20" s="19"/>
      <c r="F20" s="19"/>
      <c r="G20" s="19"/>
      <c r="H20" s="19"/>
      <c r="I20" s="181"/>
      <c r="J20" s="19"/>
      <c r="K20" s="19"/>
      <c r="L20" s="19"/>
      <c r="M20" s="145"/>
      <c r="N20" s="19"/>
      <c r="O20" s="19"/>
      <c r="P20" s="165"/>
      <c r="Q20" s="19"/>
      <c r="R20" s="221"/>
      <c r="S20" s="17"/>
    </row>
    <row r="21" spans="1:19" ht="21" customHeight="1">
      <c r="A21" s="1"/>
      <c r="B21" s="14"/>
      <c r="C21" s="19"/>
      <c r="D21" s="19"/>
      <c r="E21" s="19"/>
      <c r="F21" s="19"/>
      <c r="G21" s="19"/>
      <c r="H21" s="19"/>
      <c r="I21" s="181"/>
      <c r="J21" s="19"/>
      <c r="K21" s="19"/>
      <c r="L21" s="19"/>
      <c r="M21" s="145"/>
      <c r="N21" s="19"/>
      <c r="O21" s="19"/>
      <c r="P21" s="165"/>
      <c r="Q21" s="19"/>
      <c r="R21" s="221"/>
      <c r="S21" s="17"/>
    </row>
    <row r="22" spans="1:19" ht="21" customHeight="1">
      <c r="A22" s="1"/>
      <c r="B22" s="14"/>
      <c r="C22" s="19"/>
      <c r="D22" s="19"/>
      <c r="E22" s="19"/>
      <c r="F22" s="19"/>
      <c r="G22" s="19"/>
      <c r="H22" s="19"/>
      <c r="I22" s="181"/>
      <c r="J22" s="19"/>
      <c r="K22" s="19"/>
      <c r="L22" s="19"/>
      <c r="M22" s="145"/>
      <c r="N22" s="19"/>
      <c r="O22" s="19"/>
      <c r="P22" s="165"/>
      <c r="Q22" s="19"/>
      <c r="R22" s="221"/>
      <c r="S22" s="17"/>
    </row>
    <row r="23" spans="1:19" ht="21" customHeight="1">
      <c r="A23" s="1"/>
      <c r="B23" s="14"/>
      <c r="C23" s="19"/>
      <c r="D23" s="19"/>
      <c r="E23" s="19"/>
      <c r="F23" s="19"/>
      <c r="G23" s="19"/>
      <c r="H23" s="19"/>
      <c r="I23" s="181"/>
      <c r="J23" s="19"/>
      <c r="K23" s="19"/>
      <c r="L23" s="19"/>
      <c r="M23" s="145"/>
      <c r="N23" s="19"/>
      <c r="O23" s="19"/>
      <c r="P23" s="165"/>
      <c r="Q23" s="19"/>
      <c r="R23" s="221"/>
      <c r="S23" s="17"/>
    </row>
    <row r="24" spans="1:19" ht="21" customHeight="1">
      <c r="A24" s="1"/>
      <c r="B24" s="14"/>
      <c r="C24" s="19"/>
      <c r="D24" s="19"/>
      <c r="E24" s="19"/>
      <c r="F24" s="19"/>
      <c r="G24" s="19"/>
      <c r="H24" s="19"/>
      <c r="I24" s="181"/>
      <c r="J24" s="19"/>
      <c r="K24" s="19"/>
      <c r="L24" s="19"/>
      <c r="M24" s="145"/>
      <c r="N24" s="19"/>
      <c r="O24" s="19"/>
      <c r="P24" s="165"/>
      <c r="Q24" s="19"/>
      <c r="R24" s="221"/>
      <c r="S24" s="17"/>
    </row>
    <row r="25" spans="1:19" ht="21" customHeight="1">
      <c r="A25" s="1"/>
      <c r="B25" s="14"/>
      <c r="C25" s="19"/>
      <c r="D25" s="19"/>
      <c r="E25" s="19"/>
      <c r="F25" s="19"/>
      <c r="G25" s="19"/>
      <c r="H25" s="19"/>
      <c r="I25" s="181"/>
      <c r="J25" s="19"/>
      <c r="K25" s="19"/>
      <c r="L25" s="19"/>
      <c r="M25" s="145"/>
      <c r="N25" s="19"/>
      <c r="O25" s="19"/>
      <c r="P25" s="165"/>
      <c r="Q25" s="19"/>
      <c r="R25" s="221"/>
      <c r="S25" s="17"/>
    </row>
    <row r="26" spans="1:19" ht="21" customHeight="1">
      <c r="A26" s="1"/>
      <c r="B26" s="14"/>
      <c r="C26" s="19"/>
      <c r="D26" s="19"/>
      <c r="E26" s="19"/>
      <c r="F26" s="19"/>
      <c r="G26" s="19"/>
      <c r="H26" s="19"/>
      <c r="I26" s="181"/>
      <c r="J26" s="19"/>
      <c r="K26" s="19"/>
      <c r="L26" s="19"/>
      <c r="M26" s="145"/>
      <c r="N26" s="19"/>
      <c r="O26" s="19"/>
      <c r="P26" s="165"/>
      <c r="Q26" s="19"/>
      <c r="R26" s="221"/>
      <c r="S26" s="17"/>
    </row>
    <row r="27" spans="1:19" s="3" customFormat="1" ht="21" customHeight="1">
      <c r="B27" s="14"/>
      <c r="C27" s="19"/>
      <c r="D27" s="19"/>
      <c r="E27" s="19"/>
      <c r="F27" s="19"/>
      <c r="G27" s="19"/>
      <c r="H27" s="19"/>
      <c r="I27" s="181"/>
      <c r="J27" s="19"/>
      <c r="K27" s="19"/>
      <c r="L27" s="19"/>
      <c r="M27" s="145"/>
      <c r="N27" s="19"/>
      <c r="O27" s="19"/>
      <c r="P27" s="165"/>
      <c r="Q27" s="19"/>
      <c r="R27" s="221"/>
      <c r="S27" s="17"/>
    </row>
    <row r="28" spans="1:19" ht="21" customHeight="1">
      <c r="A28" s="1"/>
      <c r="B28" s="14"/>
      <c r="C28" s="20"/>
      <c r="D28" s="20"/>
      <c r="E28" s="20"/>
      <c r="F28" s="20"/>
      <c r="G28" s="20"/>
      <c r="H28" s="20"/>
      <c r="I28" s="183"/>
      <c r="J28" s="20"/>
      <c r="K28" s="20"/>
      <c r="L28" s="20"/>
      <c r="M28" s="145"/>
      <c r="N28" s="20"/>
      <c r="O28" s="20"/>
      <c r="P28" s="170"/>
      <c r="Q28" s="20"/>
      <c r="R28" s="222"/>
      <c r="S28" s="16"/>
    </row>
  </sheetData>
  <mergeCells count="21">
    <mergeCell ref="D16:F16"/>
    <mergeCell ref="J16:L16"/>
    <mergeCell ref="M16:O16"/>
    <mergeCell ref="H15:I15"/>
    <mergeCell ref="H16:I16"/>
    <mergeCell ref="H14:I14"/>
    <mergeCell ref="D19:F19"/>
    <mergeCell ref="J19:L19"/>
    <mergeCell ref="M19:O19"/>
    <mergeCell ref="D17:F17"/>
    <mergeCell ref="J17:L17"/>
    <mergeCell ref="M17:O17"/>
    <mergeCell ref="D18:F18"/>
    <mergeCell ref="J18:L18"/>
    <mergeCell ref="M18:O18"/>
    <mergeCell ref="H17:I17"/>
    <mergeCell ref="H18:I18"/>
    <mergeCell ref="H19:I19"/>
    <mergeCell ref="D15:F15"/>
    <mergeCell ref="J15:L15"/>
    <mergeCell ref="M15:O15"/>
  </mergeCells>
  <phoneticPr fontId="6" type="noConversion"/>
  <hyperlinks>
    <hyperlink ref="M3" location="편의부지모양" display="부지 모양" xr:uid="{00000000-0004-0000-0600-000000000000}"/>
    <hyperlink ref="H14" location="음료부지모양" display="부지 모양" xr:uid="{F481D0C9-D2F2-43BD-995C-50D2AE312126}"/>
    <hyperlink ref="H14:I14" location="편의_애드온_부지" display="부지 모양" xr:uid="{4E6B4A3A-5134-4D2B-9311-197FA46F10AA}"/>
  </hyperlinks>
  <printOptions horizontalCentered="1"/>
  <pageMargins left="0.25" right="0.25" top="0.75" bottom="0.75" header="0.3" footer="0.3"/>
  <pageSetup scale="65" fitToHeight="0" orientation="landscape" r:id="rId1"/>
  <headerFooter differentFirst="1">
    <oddFooter>Page &amp;P of &amp;N</oddFooter>
  </headerFooter>
  <drawing r:id="rId2"/>
  <tableParts count="1">
    <tablePart r:id="rId3"/>
  </tableParts>
  <extLst>
    <ext xmlns:x14="http://schemas.microsoft.com/office/spreadsheetml/2009/9/main" uri="{05C60535-1F16-4fd2-B633-F4F36F0B64E0}">
      <x14:sparklineGroups xmlns:xm="http://schemas.microsoft.com/office/excel/2006/main">
        <x14:sparklineGroup manualMax="0" manualMin="0" type="column" displayEmptyCellsAs="gap" high="1" low="1" xr2:uid="{00000000-0003-0000-0600-00000A000000}">
          <x14:colorSeries theme="5"/>
          <x14:colorNegative rgb="FFFFB620"/>
          <x14:colorAxis rgb="FF000000"/>
          <x14:colorMarkers rgb="FFD70077"/>
          <x14:colorFirst rgb="FF777777"/>
          <x14:colorLast rgb="FF359CEB"/>
          <x14:colorHigh rgb="FFFF0000"/>
          <x14:colorLow rgb="FF92D050"/>
          <x14:sparklines>
            <x14:sparkline>
              <xm:f>편의!C28:O28</xm:f>
              <xm:sqref>S28</xm:sqref>
            </x14:sparkline>
          </x14:sparklines>
        </x14:sparklineGroup>
      </x14:sparklineGroup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8">
    <tabColor rgb="FFD1F3E8"/>
    <pageSetUpPr autoPageBreaks="0" fitToPage="1"/>
  </sheetPr>
  <dimension ref="A1:W28"/>
  <sheetViews>
    <sheetView showGridLines="0" topLeftCell="A9" zoomScale="85" zoomScaleNormal="85" workbookViewId="0">
      <selection activeCell="H14" sqref="H14:I14"/>
    </sheetView>
  </sheetViews>
  <sheetFormatPr defaultColWidth="9.109375" defaultRowHeight="21" customHeight="1"/>
  <cols>
    <col min="1" max="1" width="1.44140625" style="2" customWidth="1"/>
    <col min="2" max="2" width="23.33203125" style="2" customWidth="1"/>
    <col min="3" max="3" width="18.5546875" style="2" customWidth="1"/>
    <col min="4" max="6" width="12.6640625" style="2" customWidth="1"/>
    <col min="7" max="7" width="29.77734375" style="2" customWidth="1"/>
    <col min="8" max="8" width="13.6640625" style="2" customWidth="1"/>
    <col min="9" max="9" width="13.6640625" style="174" customWidth="1"/>
    <col min="10" max="10" width="12.6640625" style="2" customWidth="1"/>
    <col min="11" max="11" width="20.77734375" style="2" customWidth="1"/>
    <col min="12" max="12" width="12.6640625" style="2" customWidth="1"/>
    <col min="13" max="13" width="12.6640625" style="143" customWidth="1"/>
    <col min="14" max="14" width="12.6640625" style="2" customWidth="1"/>
    <col min="15" max="15" width="10.6640625" style="254" customWidth="1"/>
    <col min="16" max="16" width="10.6640625" style="166" customWidth="1"/>
    <col min="17" max="17" width="15.33203125" style="2" customWidth="1"/>
    <col min="18" max="18" width="10.6640625" style="217" customWidth="1"/>
    <col min="19" max="19" width="10.6640625" style="2" customWidth="1"/>
    <col min="20" max="20" width="11.77734375" style="2" customWidth="1"/>
    <col min="21" max="21" width="25.77734375" style="2" customWidth="1"/>
    <col min="22" max="22" width="46.77734375" style="2" customWidth="1"/>
    <col min="23" max="23" width="30.77734375" style="2" customWidth="1"/>
    <col min="24" max="16384" width="9.109375" style="2"/>
  </cols>
  <sheetData>
    <row r="1" spans="1:23" ht="64.2" customHeight="1">
      <c r="A1" s="1"/>
      <c r="C1" s="26" t="s">
        <v>285</v>
      </c>
      <c r="D1" s="21"/>
      <c r="J1" s="1"/>
      <c r="K1" s="1"/>
      <c r="N1" s="1"/>
      <c r="O1" s="249"/>
      <c r="P1" s="159"/>
      <c r="Q1" s="3"/>
      <c r="R1" s="216"/>
      <c r="S1" s="3"/>
    </row>
    <row r="2" spans="1:23" ht="21" customHeight="1">
      <c r="A2" s="1"/>
      <c r="B2" s="4"/>
      <c r="C2" s="29"/>
      <c r="D2" s="27"/>
      <c r="E2" s="23"/>
      <c r="F2" s="25"/>
      <c r="G2" s="25"/>
      <c r="H2" s="25"/>
      <c r="I2" s="175"/>
      <c r="J2" s="1"/>
      <c r="K2" s="1"/>
      <c r="L2" s="1"/>
      <c r="M2" s="144"/>
      <c r="N2" s="1"/>
      <c r="O2" s="249"/>
      <c r="P2" s="159"/>
      <c r="R2" s="235" t="s">
        <v>470</v>
      </c>
    </row>
    <row r="3" spans="1:23" ht="21" customHeight="1" thickBot="1">
      <c r="A3" s="1"/>
      <c r="B3" s="1"/>
      <c r="C3" s="1"/>
      <c r="D3" s="1"/>
      <c r="E3" s="1"/>
      <c r="F3" s="1"/>
      <c r="G3" s="1"/>
      <c r="H3" s="1"/>
      <c r="I3" s="175"/>
      <c r="J3" s="1"/>
      <c r="K3" s="1"/>
      <c r="L3" s="1"/>
      <c r="M3" s="148" t="s">
        <v>355</v>
      </c>
      <c r="N3" s="1"/>
      <c r="O3" s="250"/>
      <c r="P3" s="160"/>
      <c r="Q3" s="1"/>
      <c r="R3" s="237">
        <f>(VLOOKUP(C1,'캐릭터 욕구 생성 표'!A1:N12,6,FALSE)+ VLOOKUP(C1,'캐릭터 욕구 생성 표'!A1:N12,12,FALSE))*'스테이지 관련 수치'!B11/2</f>
        <v>30</v>
      </c>
      <c r="S3" s="1"/>
    </row>
    <row r="4" spans="1:23" s="245" customFormat="1" ht="42" customHeight="1" thickTop="1" thickBot="1">
      <c r="A4" s="239"/>
      <c r="B4" s="240" t="s">
        <v>0</v>
      </c>
      <c r="C4" s="241" t="s">
        <v>2</v>
      </c>
      <c r="D4" s="240" t="s">
        <v>1</v>
      </c>
      <c r="E4" s="240" t="s">
        <v>23</v>
      </c>
      <c r="F4" s="240" t="s">
        <v>3</v>
      </c>
      <c r="G4" s="240" t="s">
        <v>4</v>
      </c>
      <c r="H4" s="243" t="s">
        <v>440</v>
      </c>
      <c r="I4" s="242" t="s">
        <v>439</v>
      </c>
      <c r="J4" s="243" t="s">
        <v>5</v>
      </c>
      <c r="K4" s="243" t="s">
        <v>6</v>
      </c>
      <c r="L4" s="244" t="s">
        <v>7</v>
      </c>
      <c r="M4" s="244" t="s">
        <v>8</v>
      </c>
      <c r="N4" s="224" t="s">
        <v>11</v>
      </c>
      <c r="O4" s="251" t="s">
        <v>438</v>
      </c>
      <c r="P4" s="225" t="s">
        <v>437</v>
      </c>
      <c r="Q4" s="224" t="s">
        <v>21</v>
      </c>
      <c r="R4" s="226" t="s">
        <v>447</v>
      </c>
      <c r="S4" s="224" t="s">
        <v>79</v>
      </c>
      <c r="T4" s="224" t="s">
        <v>70</v>
      </c>
      <c r="U4" s="240" t="s">
        <v>409</v>
      </c>
      <c r="V4" s="240" t="s">
        <v>9</v>
      </c>
      <c r="W4" s="240" t="s">
        <v>100</v>
      </c>
    </row>
    <row r="5" spans="1:23" s="11" customFormat="1" ht="99.6" customHeight="1">
      <c r="A5" s="5"/>
      <c r="B5" s="24" t="s">
        <v>192</v>
      </c>
      <c r="C5" s="48"/>
      <c r="D5" s="49">
        <v>8</v>
      </c>
      <c r="E5" s="50">
        <v>8</v>
      </c>
      <c r="F5" s="51">
        <v>16</v>
      </c>
      <c r="G5" s="52"/>
      <c r="H5" s="52" t="s">
        <v>285</v>
      </c>
      <c r="I5" s="177">
        <v>65</v>
      </c>
      <c r="J5" s="52" t="s">
        <v>286</v>
      </c>
      <c r="K5" s="137"/>
      <c r="L5" s="51">
        <f>ROUND(IF(ISBLANK(tblIncome85691011[[#This Row],[보너스]]),INDEX('건설 부지에 따른 수치표'!$A$1:$D$13, MATCH(tblIncome85691011[[#This Row],[건설 부지]], '건설 부지에 따른 수치표'!A:A, 0), MATCH(tblIncome856[[#Headers],[건설 비용 회수 시간]], '건설 부지에 따른 수치표'!$1:$1, 0))*tblIncome85691011[[#This Row],[수익률]],INDEX('건설 부지에 따른 수치표'!$A$1:$D$13, MATCH(tblIncome85691011[[#This Row],[건설 부지]], '건설 부지에 따른 수치표'!A:A, 0), MATCH(tblIncome856[[#Headers],[건설 비용 회수 시간]], '건설 부지에 따른 수치표'!$1:$1, 0))*tblIncome85691011[[#This Row],[수익률]]*1.2), -1)</f>
        <v>1120</v>
      </c>
      <c r="M5" s="141">
        <v>3</v>
      </c>
      <c r="N5" s="53">
        <f>tblIncome85691011[[#This Row],[수용량]]*tblIncome85691011[[#This Row],[요금]]/tblIncome85691011[[#This Row],[이용시간]]</f>
        <v>16</v>
      </c>
      <c r="O5" s="54">
        <f>tblIncome85691011[[#This Row],[수익률]]/tblIncome85691011[[#This Row],[건설 비용]]</f>
        <v>1.4285714285714285E-2</v>
      </c>
      <c r="P5" s="161">
        <f>tblIncome85691011[[#This Row],[건설 비용]]/tblIncome85691011[[#This Row],[수익률]]</f>
        <v>70</v>
      </c>
      <c r="Q5" s="55">
        <f>tblIncome85691011[[#This Row],[수익률]]/tblIncome85691011[[#This Row],[건설 부지]]</f>
        <v>5.333333333333333</v>
      </c>
      <c r="R5" s="218">
        <f>tblIncome85691011[[#This Row],[수용량]]*tblIncome85691011[[#This Row],[욕구 해소량]]/tblIncome85691011[[#This Row],[이용시간]]</f>
        <v>65</v>
      </c>
      <c r="S5" s="90">
        <f>tblIncome85691011[[#This Row],[요금]]/tblIncome85691011[[#This Row],[욕구 해소량]]</f>
        <v>0.24615384615384617</v>
      </c>
      <c r="T5" s="84">
        <f>tblIncome85691011[[#This Row],[수용량]]/tblIncome85691011[[#This Row],[이용시간]]</f>
        <v>1</v>
      </c>
      <c r="U5" s="156" t="s">
        <v>411</v>
      </c>
      <c r="V5" s="56" t="s">
        <v>292</v>
      </c>
      <c r="W5" s="56"/>
    </row>
    <row r="6" spans="1:23" ht="100.05" customHeight="1">
      <c r="A6" s="1"/>
      <c r="B6" s="24" t="s">
        <v>193</v>
      </c>
      <c r="C6" s="57"/>
      <c r="D6" s="58">
        <v>14</v>
      </c>
      <c r="E6" s="59">
        <v>12</v>
      </c>
      <c r="F6" s="60">
        <v>20</v>
      </c>
      <c r="G6" s="61"/>
      <c r="H6" s="52" t="s">
        <v>285</v>
      </c>
      <c r="I6" s="177">
        <v>55</v>
      </c>
      <c r="J6" s="61" t="s">
        <v>287</v>
      </c>
      <c r="K6" s="136" t="s">
        <v>284</v>
      </c>
      <c r="L6" s="51">
        <f>ROUND(IF(ISBLANK(tblIncome85691011[[#This Row],[보너스]]),INDEX('건설 부지에 따른 수치표'!$A$1:$D$13, MATCH(tblIncome85691011[[#This Row],[건설 부지]], '건설 부지에 따른 수치표'!A:A, 0), MATCH(tblIncome856[[#Headers],[건설 비용 회수 시간]], '건설 부지에 따른 수치표'!$1:$1, 0))*tblIncome85691011[[#This Row],[수익률]],INDEX('건설 부지에 따른 수치표'!$A$1:$D$13, MATCH(tblIncome85691011[[#This Row],[건설 부지]], '건설 부지에 따른 수치표'!A:A, 0), MATCH(tblIncome856[[#Headers],[건설 비용 회수 시간]], '건설 부지에 따른 수치표'!$1:$1, 0))*tblIncome85691011[[#This Row],[수익률]]*1.2), -1)</f>
        <v>2660</v>
      </c>
      <c r="M6" s="142">
        <v>4</v>
      </c>
      <c r="N6" s="62">
        <f>tblIncome85691011[[#This Row],[수용량]]*tblIncome85691011[[#This Row],[요금]]/tblIncome85691011[[#This Row],[이용시간]]</f>
        <v>23.333333333333332</v>
      </c>
      <c r="O6" s="63">
        <f>tblIncome85691011[[#This Row],[수익률]]/tblIncome85691011[[#This Row],[건설 비용]]</f>
        <v>8.771929824561403E-3</v>
      </c>
      <c r="P6" s="162">
        <f>tblIncome85691011[[#This Row],[건설 비용]]/tblIncome85691011[[#This Row],[수익률]]</f>
        <v>114</v>
      </c>
      <c r="Q6" s="64">
        <f>tblIncome85691011[[#This Row],[수익률]]/tblIncome85691011[[#This Row],[건설 부지]]</f>
        <v>5.833333333333333</v>
      </c>
      <c r="R6" s="218">
        <f>tblIncome85691011[[#This Row],[수용량]]*tblIncome85691011[[#This Row],[욕구 해소량]]/tblIncome85691011[[#This Row],[이용시간]]</f>
        <v>64.166666666666671</v>
      </c>
      <c r="S6" s="90">
        <f>tblIncome85691011[[#This Row],[요금]]/tblIncome85691011[[#This Row],[욕구 해소량]]</f>
        <v>0.36363636363636365</v>
      </c>
      <c r="T6" s="84">
        <f>tblIncome85691011[[#This Row],[수용량]]/tblIncome85691011[[#This Row],[이용시간]]</f>
        <v>1.1666666666666667</v>
      </c>
      <c r="U6" s="156" t="s">
        <v>411</v>
      </c>
      <c r="V6" s="65" t="s">
        <v>293</v>
      </c>
      <c r="W6" s="65"/>
    </row>
    <row r="7" spans="1:23" ht="100.05" customHeight="1">
      <c r="A7" s="1"/>
      <c r="B7" s="24" t="s">
        <v>194</v>
      </c>
      <c r="C7" s="57"/>
      <c r="D7" s="58">
        <v>16</v>
      </c>
      <c r="E7" s="59">
        <v>18</v>
      </c>
      <c r="F7" s="60">
        <v>41</v>
      </c>
      <c r="G7" s="61"/>
      <c r="H7" s="52" t="s">
        <v>285</v>
      </c>
      <c r="I7" s="177">
        <v>80</v>
      </c>
      <c r="J7" s="61" t="s">
        <v>286</v>
      </c>
      <c r="K7" s="136"/>
      <c r="L7" s="51">
        <f>ROUND(IF(ISBLANK(tblIncome85691011[[#This Row],[보너스]]),INDEX('건설 부지에 따른 수치표'!$A$1:$D$13, MATCH(tblIncome85691011[[#This Row],[건설 부지]], '건설 부지에 따른 수치표'!A:A, 0), MATCH(tblIncome856[[#Headers],[건설 비용 회수 시간]], '건설 부지에 따른 수치표'!$1:$1, 0))*tblIncome85691011[[#This Row],[수익률]],INDEX('건설 부지에 따른 수치표'!$A$1:$D$13, MATCH(tblIncome85691011[[#This Row],[건설 부지]], '건설 부지에 따른 수치표'!A:A, 0), MATCH(tblIncome856[[#Headers],[건설 비용 회수 시간]], '건설 부지에 따른 수치표'!$1:$1, 0))*tblIncome85691011[[#This Row],[수익률]]*1.2), -1)</f>
        <v>4370</v>
      </c>
      <c r="M7" s="142">
        <v>5</v>
      </c>
      <c r="N7" s="62">
        <f>tblIncome85691011[[#This Row],[수용량]]*tblIncome85691011[[#This Row],[요금]]/tblIncome85691011[[#This Row],[이용시간]]</f>
        <v>36.444444444444443</v>
      </c>
      <c r="O7" s="63">
        <f>tblIncome85691011[[#This Row],[수익률]]/tblIncome85691011[[#This Row],[건설 비용]]</f>
        <v>8.3396898042206961E-3</v>
      </c>
      <c r="P7" s="162">
        <f>tblIncome85691011[[#This Row],[건설 비용]]/tblIncome85691011[[#This Row],[수익률]]</f>
        <v>119.90853658536587</v>
      </c>
      <c r="Q7" s="64">
        <f>tblIncome85691011[[#This Row],[수익률]]/tblIncome85691011[[#This Row],[건설 부지]]</f>
        <v>7.2888888888888888</v>
      </c>
      <c r="R7" s="218">
        <f>tblIncome85691011[[#This Row],[수용량]]*tblIncome85691011[[#This Row],[욕구 해소량]]/tblIncome85691011[[#This Row],[이용시간]]</f>
        <v>71.111111111111114</v>
      </c>
      <c r="S7" s="90">
        <f>tblIncome85691011[[#This Row],[요금]]/tblIncome85691011[[#This Row],[욕구 해소량]]</f>
        <v>0.51249999999999996</v>
      </c>
      <c r="T7" s="84">
        <f>tblIncome85691011[[#This Row],[수용량]]/tblIncome85691011[[#This Row],[이용시간]]</f>
        <v>0.88888888888888884</v>
      </c>
      <c r="U7" s="156" t="s">
        <v>410</v>
      </c>
      <c r="V7" s="65" t="s">
        <v>303</v>
      </c>
      <c r="W7" s="65"/>
    </row>
    <row r="8" spans="1:23" s="15" customFormat="1" ht="100.05" customHeight="1">
      <c r="A8" s="13"/>
      <c r="B8" s="24" t="s">
        <v>195</v>
      </c>
      <c r="C8" s="57"/>
      <c r="D8" s="58">
        <v>20</v>
      </c>
      <c r="E8" s="59">
        <v>20</v>
      </c>
      <c r="F8" s="60">
        <v>50</v>
      </c>
      <c r="G8" s="61"/>
      <c r="H8" s="52" t="s">
        <v>285</v>
      </c>
      <c r="I8" s="177">
        <v>70</v>
      </c>
      <c r="J8" s="61" t="s">
        <v>287</v>
      </c>
      <c r="K8" s="136"/>
      <c r="L8" s="51">
        <f>ROUND(IF(ISBLANK(tblIncome85691011[[#This Row],[보너스]]),INDEX('건설 부지에 따른 수치표'!$A$1:$D$13, MATCH(tblIncome85691011[[#This Row],[건설 부지]], '건설 부지에 따른 수치표'!A:A, 0), MATCH(tblIncome856[[#Headers],[건설 비용 회수 시간]], '건설 부지에 따른 수치표'!$1:$1, 0))*tblIncome85691011[[#This Row],[수익률]],INDEX('건설 부지에 따른 수치표'!$A$1:$D$13, MATCH(tblIncome85691011[[#This Row],[건설 부지]], '건설 부지에 따른 수치표'!A:A, 0), MATCH(tblIncome856[[#Headers],[건설 비용 회수 시간]], '건설 부지에 따른 수치표'!$1:$1, 0))*tblIncome85691011[[#This Row],[수익률]]*1.2), -1)</f>
        <v>7500</v>
      </c>
      <c r="M8" s="142">
        <v>6</v>
      </c>
      <c r="N8" s="62">
        <f>tblIncome85691011[[#This Row],[수용량]]*tblIncome85691011[[#This Row],[요금]]/tblIncome85691011[[#This Row],[이용시간]]</f>
        <v>50</v>
      </c>
      <c r="O8" s="63">
        <f>tblIncome85691011[[#This Row],[수익률]]/tblIncome85691011[[#This Row],[건설 비용]]</f>
        <v>6.6666666666666671E-3</v>
      </c>
      <c r="P8" s="162">
        <f>tblIncome85691011[[#This Row],[건설 비용]]/tblIncome85691011[[#This Row],[수익률]]</f>
        <v>150</v>
      </c>
      <c r="Q8" s="64">
        <f>tblIncome85691011[[#This Row],[수익률]]/tblIncome85691011[[#This Row],[건설 부지]]</f>
        <v>8.3333333333333339</v>
      </c>
      <c r="R8" s="218">
        <f>tblIncome85691011[[#This Row],[수용량]]*tblIncome85691011[[#This Row],[욕구 해소량]]/tblIncome85691011[[#This Row],[이용시간]]</f>
        <v>70</v>
      </c>
      <c r="S8" s="90">
        <f>tblIncome85691011[[#This Row],[요금]]/tblIncome85691011[[#This Row],[욕구 해소량]]</f>
        <v>0.7142857142857143</v>
      </c>
      <c r="T8" s="84">
        <f>tblIncome85691011[[#This Row],[수용량]]/tblIncome85691011[[#This Row],[이용시간]]</f>
        <v>1</v>
      </c>
      <c r="U8" s="156" t="s">
        <v>410</v>
      </c>
      <c r="V8" s="65" t="s">
        <v>304</v>
      </c>
      <c r="W8" s="65"/>
    </row>
    <row r="9" spans="1:23" s="9" customFormat="1" ht="100.05" customHeight="1">
      <c r="B9" s="24" t="s">
        <v>283</v>
      </c>
      <c r="C9" s="57"/>
      <c r="D9" s="58">
        <v>24</v>
      </c>
      <c r="E9" s="59">
        <v>22</v>
      </c>
      <c r="F9" s="60">
        <v>56</v>
      </c>
      <c r="G9" s="61"/>
      <c r="H9" s="52" t="s">
        <v>285</v>
      </c>
      <c r="I9" s="177">
        <v>60</v>
      </c>
      <c r="J9" s="61" t="s">
        <v>286</v>
      </c>
      <c r="K9" s="136" t="s">
        <v>291</v>
      </c>
      <c r="L9" s="51">
        <f>ROUND(IF(ISBLANK(tblIncome85691011[[#This Row],[보너스]]),INDEX('건설 부지에 따른 수치표'!$A$1:$D$13, MATCH(tblIncome85691011[[#This Row],[건설 부지]], '건설 부지에 따른 수치표'!A:A, 0), MATCH(tblIncome856[[#Headers],[건설 비용 회수 시간]], '건설 부지에 따른 수치표'!$1:$1, 0))*tblIncome85691011[[#This Row],[수익률]],INDEX('건설 부지에 따른 수치표'!$A$1:$D$13, MATCH(tblIncome85691011[[#This Row],[건설 부지]], '건설 부지에 따른 수치표'!A:A, 0), MATCH(tblIncome856[[#Headers],[건설 비용 회수 시간]], '건설 부지에 따른 수치표'!$1:$1, 0))*tblIncome85691011[[#This Row],[수익률]]*1.2), -1)</f>
        <v>13930</v>
      </c>
      <c r="M9" s="142">
        <v>7</v>
      </c>
      <c r="N9" s="62">
        <f>tblIncome85691011[[#This Row],[수용량]]*tblIncome85691011[[#This Row],[요금]]/tblIncome85691011[[#This Row],[이용시간]]</f>
        <v>61.090909090909093</v>
      </c>
      <c r="O9" s="63">
        <f>tblIncome85691011[[#This Row],[수익률]]/tblIncome85691011[[#This Row],[건설 비용]]</f>
        <v>4.3855641845591594E-3</v>
      </c>
      <c r="P9" s="162">
        <f>tblIncome85691011[[#This Row],[건설 비용]]/tblIncome85691011[[#This Row],[수익률]]</f>
        <v>228.02083333333331</v>
      </c>
      <c r="Q9" s="64">
        <f>tblIncome85691011[[#This Row],[수익률]]/tblIncome85691011[[#This Row],[건설 부지]]</f>
        <v>8.7272727272727284</v>
      </c>
      <c r="R9" s="218">
        <f>tblIncome85691011[[#This Row],[수용량]]*tblIncome85691011[[#This Row],[욕구 해소량]]/tblIncome85691011[[#This Row],[이용시간]]</f>
        <v>65.454545454545453</v>
      </c>
      <c r="S9" s="90">
        <f>tblIncome85691011[[#This Row],[요금]]/tblIncome85691011[[#This Row],[욕구 해소량]]</f>
        <v>0.93333333333333335</v>
      </c>
      <c r="T9" s="84">
        <f>tblIncome85691011[[#This Row],[수용량]]/tblIncome85691011[[#This Row],[이용시간]]</f>
        <v>1.0909090909090908</v>
      </c>
      <c r="U9" s="156" t="s">
        <v>412</v>
      </c>
      <c r="V9" s="65" t="s">
        <v>305</v>
      </c>
      <c r="W9" s="65"/>
    </row>
    <row r="10" spans="1:23" s="15" customFormat="1" ht="100.05" customHeight="1">
      <c r="A10" s="13"/>
      <c r="B10" s="47" t="s">
        <v>196</v>
      </c>
      <c r="C10" s="57"/>
      <c r="D10" s="58">
        <v>30</v>
      </c>
      <c r="E10" s="59">
        <v>25</v>
      </c>
      <c r="F10" s="60">
        <v>82</v>
      </c>
      <c r="G10" s="61"/>
      <c r="H10" s="52" t="s">
        <v>285</v>
      </c>
      <c r="I10" s="177">
        <v>60</v>
      </c>
      <c r="J10" s="61" t="s">
        <v>287</v>
      </c>
      <c r="K10" s="136"/>
      <c r="L10" s="51">
        <f>ROUND(IF(ISBLANK(tblIncome85691011[[#This Row],[보너스]]),INDEX('건설 부지에 따른 수치표'!$A$1:$D$13, MATCH(tblIncome85691011[[#This Row],[건설 부지]], '건설 부지에 따른 수치표'!A:A, 0), MATCH(tblIncome856[[#Headers],[건설 비용 회수 시간]], '건설 부지에 따른 수치표'!$1:$1, 0))*tblIncome85691011[[#This Row],[수익률]],INDEX('건설 부지에 따른 수치표'!$A$1:$D$13, MATCH(tblIncome85691011[[#This Row],[건설 부지]], '건설 부지에 따른 수치표'!A:A, 0), MATCH(tblIncome856[[#Headers],[건설 비용 회수 시간]], '건설 부지에 따른 수치표'!$1:$1, 0))*tblIncome85691011[[#This Row],[수익률]]*1.2), -1)</f>
        <v>29520</v>
      </c>
      <c r="M10" s="142">
        <v>9</v>
      </c>
      <c r="N10" s="62">
        <f>tblIncome85691011[[#This Row],[수용량]]*tblIncome85691011[[#This Row],[요금]]/tblIncome85691011[[#This Row],[이용시간]]</f>
        <v>98.4</v>
      </c>
      <c r="O10" s="63">
        <f>tblIncome85691011[[#This Row],[수익률]]/tblIncome85691011[[#This Row],[건설 비용]]</f>
        <v>3.3333333333333335E-3</v>
      </c>
      <c r="P10" s="162">
        <f>tblIncome85691011[[#This Row],[건설 비용]]/tblIncome85691011[[#This Row],[수익률]]</f>
        <v>300</v>
      </c>
      <c r="Q10" s="64">
        <f>tblIncome85691011[[#This Row],[수익률]]/tblIncome85691011[[#This Row],[건설 부지]]</f>
        <v>10.933333333333334</v>
      </c>
      <c r="R10" s="218">
        <f>tblIncome85691011[[#This Row],[수용량]]*tblIncome85691011[[#This Row],[욕구 해소량]]/tblIncome85691011[[#This Row],[이용시간]]</f>
        <v>72</v>
      </c>
      <c r="S10" s="90">
        <f>tblIncome85691011[[#This Row],[요금]]/tblIncome85691011[[#This Row],[욕구 해소량]]</f>
        <v>1.3666666666666667</v>
      </c>
      <c r="T10" s="84">
        <f>tblIncome85691011[[#This Row],[수용량]]/tblIncome85691011[[#This Row],[이용시간]]</f>
        <v>1.2</v>
      </c>
      <c r="U10" s="156" t="s">
        <v>410</v>
      </c>
      <c r="V10" s="65" t="s">
        <v>306</v>
      </c>
      <c r="W10" s="65"/>
    </row>
    <row r="11" spans="1:23" ht="100.05" customHeight="1">
      <c r="A11" s="1"/>
      <c r="B11" s="24" t="s">
        <v>282</v>
      </c>
      <c r="C11" s="57"/>
      <c r="D11" s="58">
        <v>24</v>
      </c>
      <c r="E11" s="59">
        <v>22</v>
      </c>
      <c r="F11" s="60">
        <v>100</v>
      </c>
      <c r="G11" s="61"/>
      <c r="H11" s="52" t="s">
        <v>285</v>
      </c>
      <c r="I11" s="177">
        <v>70</v>
      </c>
      <c r="J11" s="61" t="s">
        <v>287</v>
      </c>
      <c r="K11" s="136" t="s">
        <v>279</v>
      </c>
      <c r="L11" s="51">
        <f>ROUND(IF(ISBLANK(tblIncome85691011[[#This Row],[보너스]]),INDEX('건설 부지에 따른 수치표'!$A$1:$D$13, MATCH(tblIncome85691011[[#This Row],[건설 부지]], '건설 부지에 따른 수치표'!A:A, 0), MATCH(tblIncome856[[#Headers],[건설 비용 회수 시간]], '건설 부지에 따른 수치표'!$1:$1, 0))*tblIncome85691011[[#This Row],[수익률]],INDEX('건설 부지에 따른 수치표'!$A$1:$D$13, MATCH(tblIncome85691011[[#This Row],[건설 부지]], '건설 부지에 따른 수치표'!A:A, 0), MATCH(tblIncome856[[#Headers],[건설 비용 회수 시간]], '건설 부지에 따른 수치표'!$1:$1, 0))*tblIncome85691011[[#This Row],[수익률]]*1.2), -1)</f>
        <v>41890</v>
      </c>
      <c r="M11" s="142">
        <v>11</v>
      </c>
      <c r="N11" s="62">
        <f>tblIncome85691011[[#This Row],[수용량]]*tblIncome85691011[[#This Row],[요금]]/tblIncome85691011[[#This Row],[이용시간]]</f>
        <v>109.09090909090909</v>
      </c>
      <c r="O11" s="63">
        <f>tblIncome85691011[[#This Row],[수익률]]/tblIncome85691011[[#This Row],[건설 비용]]</f>
        <v>2.6042231819266913E-3</v>
      </c>
      <c r="P11" s="162">
        <f>tblIncome85691011[[#This Row],[건설 비용]]/tblIncome85691011[[#This Row],[수익률]]</f>
        <v>383.99166666666667</v>
      </c>
      <c r="Q11" s="64">
        <f>tblIncome85691011[[#This Row],[수익률]]/tblIncome85691011[[#This Row],[건설 부지]]</f>
        <v>9.9173553719008272</v>
      </c>
      <c r="R11" s="218">
        <f>tblIncome85691011[[#This Row],[수용량]]*tblIncome85691011[[#This Row],[욕구 해소량]]/tblIncome85691011[[#This Row],[이용시간]]</f>
        <v>76.36363636363636</v>
      </c>
      <c r="S11" s="90">
        <f>tblIncome85691011[[#This Row],[요금]]/tblIncome85691011[[#This Row],[욕구 해소량]]</f>
        <v>1.4285714285714286</v>
      </c>
      <c r="T11" s="84">
        <f>tblIncome85691011[[#This Row],[수용량]]/tblIncome85691011[[#This Row],[이용시간]]</f>
        <v>1.0909090909090908</v>
      </c>
      <c r="U11" s="156" t="s">
        <v>410</v>
      </c>
      <c r="V11" s="65" t="s">
        <v>307</v>
      </c>
      <c r="W11" s="65"/>
    </row>
    <row r="12" spans="1:23" ht="21" customHeight="1">
      <c r="A12" s="1"/>
      <c r="B12" s="98"/>
      <c r="C12" s="98"/>
      <c r="D12" s="98"/>
      <c r="E12" s="98"/>
      <c r="F12" s="98"/>
      <c r="G12" s="98"/>
      <c r="H12" s="158"/>
      <c r="I12" s="179"/>
      <c r="J12" s="98"/>
      <c r="K12" s="98"/>
      <c r="L12" s="98"/>
      <c r="M12" s="139"/>
      <c r="N12" s="98"/>
      <c r="O12" s="252"/>
      <c r="P12" s="163"/>
      <c r="Q12" s="98"/>
      <c r="R12" s="219"/>
      <c r="S12" s="98"/>
    </row>
    <row r="13" spans="1:23" ht="21" customHeight="1">
      <c r="A13" s="1"/>
      <c r="B13" s="12"/>
      <c r="C13" s="7"/>
      <c r="D13" s="7"/>
      <c r="E13" s="7"/>
      <c r="F13" s="7"/>
      <c r="G13" s="7"/>
      <c r="H13" s="7"/>
      <c r="I13" s="180"/>
      <c r="J13" s="7"/>
      <c r="K13" s="7"/>
      <c r="L13" s="7"/>
      <c r="M13" s="146"/>
      <c r="N13" s="7"/>
      <c r="O13" s="253"/>
      <c r="P13" s="164"/>
      <c r="Q13" s="7"/>
      <c r="R13" s="220"/>
      <c r="S13" s="7"/>
    </row>
    <row r="14" spans="1:23" ht="60" customHeight="1" thickBot="1">
      <c r="A14" s="1"/>
      <c r="B14" s="46"/>
      <c r="C14" s="152" t="s">
        <v>348</v>
      </c>
      <c r="D14" s="263" t="s">
        <v>490</v>
      </c>
      <c r="F14" s="19"/>
      <c r="G14" s="19"/>
      <c r="H14" s="319" t="s">
        <v>355</v>
      </c>
      <c r="I14" s="319"/>
      <c r="M14" s="2"/>
      <c r="Q14" s="19"/>
      <c r="R14" s="221"/>
      <c r="S14" s="17"/>
    </row>
    <row r="15" spans="1:23" ht="21" customHeight="1" thickTop="1" thickBot="1">
      <c r="A15" s="1"/>
      <c r="B15" s="138" t="s">
        <v>0</v>
      </c>
      <c r="C15" s="151" t="s">
        <v>2</v>
      </c>
      <c r="D15" s="324" t="s">
        <v>6</v>
      </c>
      <c r="E15" s="325"/>
      <c r="F15" s="326"/>
      <c r="G15" s="149" t="s">
        <v>7</v>
      </c>
      <c r="H15" s="342" t="s">
        <v>8</v>
      </c>
      <c r="I15" s="343"/>
      <c r="J15" s="324" t="s">
        <v>9</v>
      </c>
      <c r="K15" s="325"/>
      <c r="L15" s="326"/>
      <c r="M15" s="324" t="s">
        <v>100</v>
      </c>
      <c r="N15" s="325"/>
      <c r="O15" s="325"/>
      <c r="P15" s="167"/>
      <c r="Q15" s="19"/>
      <c r="R15" s="221"/>
      <c r="S15" s="17"/>
    </row>
    <row r="16" spans="1:23" ht="100.05" customHeight="1" thickTop="1" thickBot="1">
      <c r="A16" s="1"/>
      <c r="B16" s="140" t="s">
        <v>384</v>
      </c>
      <c r="C16" s="153"/>
      <c r="D16" s="320" t="s">
        <v>491</v>
      </c>
      <c r="E16" s="320"/>
      <c r="F16" s="320"/>
      <c r="G16" s="264">
        <f>0.05*1.5</f>
        <v>7.5000000000000011E-2</v>
      </c>
      <c r="H16" s="344">
        <v>1</v>
      </c>
      <c r="I16" s="345"/>
      <c r="J16" s="341" t="s">
        <v>388</v>
      </c>
      <c r="K16" s="341"/>
      <c r="L16" s="341"/>
      <c r="M16" s="341"/>
      <c r="N16" s="341"/>
      <c r="O16" s="341"/>
      <c r="P16" s="168"/>
      <c r="Q16" s="19"/>
      <c r="R16" s="221"/>
      <c r="S16" s="17"/>
    </row>
    <row r="17" spans="1:19" ht="100.05" customHeight="1" thickTop="1" thickBot="1">
      <c r="A17" s="1"/>
      <c r="B17" s="155" t="s">
        <v>387</v>
      </c>
      <c r="C17" s="150"/>
      <c r="D17" s="321" t="s">
        <v>360</v>
      </c>
      <c r="E17" s="322"/>
      <c r="F17" s="323"/>
      <c r="G17" s="264">
        <f>0.1*1.5</f>
        <v>0.15000000000000002</v>
      </c>
      <c r="H17" s="329">
        <v>1</v>
      </c>
      <c r="I17" s="331"/>
      <c r="J17" s="329" t="s">
        <v>389</v>
      </c>
      <c r="K17" s="330"/>
      <c r="L17" s="331"/>
      <c r="M17" s="327"/>
      <c r="N17" s="328"/>
      <c r="O17" s="328"/>
      <c r="P17" s="169"/>
      <c r="Q17" s="19"/>
      <c r="R17" s="221"/>
      <c r="S17" s="17"/>
    </row>
    <row r="18" spans="1:19" ht="100.05" customHeight="1" thickTop="1" thickBot="1">
      <c r="A18" s="1"/>
      <c r="B18" s="140" t="s">
        <v>385</v>
      </c>
      <c r="C18" s="150"/>
      <c r="D18" s="320" t="s">
        <v>493</v>
      </c>
      <c r="E18" s="320"/>
      <c r="F18" s="320"/>
      <c r="G18" s="264">
        <f>0.3</f>
        <v>0.3</v>
      </c>
      <c r="H18" s="329">
        <v>3</v>
      </c>
      <c r="I18" s="331"/>
      <c r="J18" s="329" t="s">
        <v>386</v>
      </c>
      <c r="K18" s="330"/>
      <c r="L18" s="331"/>
      <c r="M18" s="327"/>
      <c r="N18" s="328"/>
      <c r="O18" s="328"/>
      <c r="P18" s="169"/>
      <c r="Q18" s="19"/>
      <c r="R18" s="221"/>
      <c r="S18" s="17"/>
    </row>
    <row r="19" spans="1:19" ht="100.05" customHeight="1" thickTop="1">
      <c r="A19" s="1"/>
      <c r="B19" s="14"/>
      <c r="C19" s="19"/>
      <c r="D19" s="19"/>
      <c r="E19" s="19"/>
      <c r="F19" s="19"/>
      <c r="G19" s="19"/>
      <c r="H19" s="19"/>
      <c r="I19" s="181"/>
      <c r="J19" s="19"/>
      <c r="K19" s="19"/>
      <c r="L19" s="19"/>
      <c r="M19" s="145"/>
      <c r="N19" s="19"/>
      <c r="O19" s="255"/>
      <c r="P19" s="165"/>
      <c r="Q19" s="19"/>
      <c r="R19" s="221"/>
      <c r="S19" s="17"/>
    </row>
    <row r="20" spans="1:19" ht="100.05" customHeight="1">
      <c r="A20" s="1"/>
      <c r="B20" s="14"/>
      <c r="C20" s="19"/>
      <c r="D20" s="19"/>
      <c r="E20" s="19"/>
      <c r="F20" s="19"/>
      <c r="G20" s="19"/>
      <c r="H20" s="19"/>
      <c r="I20" s="181"/>
      <c r="J20" s="19"/>
      <c r="K20" s="19"/>
      <c r="L20" s="19"/>
      <c r="M20" s="145"/>
      <c r="N20" s="19"/>
      <c r="O20" s="255"/>
      <c r="P20" s="165"/>
      <c r="Q20" s="19"/>
      <c r="R20" s="221"/>
      <c r="S20" s="17"/>
    </row>
    <row r="21" spans="1:19" ht="21" customHeight="1">
      <c r="A21" s="1"/>
      <c r="B21" s="14"/>
      <c r="C21" s="19"/>
      <c r="D21" s="19"/>
      <c r="E21" s="19"/>
      <c r="F21" s="19"/>
      <c r="G21" s="19"/>
      <c r="H21" s="19"/>
      <c r="I21" s="181"/>
      <c r="J21" s="19"/>
      <c r="K21" s="19"/>
      <c r="L21" s="19"/>
      <c r="M21" s="145"/>
      <c r="N21" s="19"/>
      <c r="O21" s="255"/>
      <c r="P21" s="165"/>
      <c r="Q21" s="19"/>
      <c r="R21" s="221"/>
      <c r="S21" s="17"/>
    </row>
    <row r="22" spans="1:19" ht="21" customHeight="1">
      <c r="A22" s="1"/>
      <c r="B22" s="14"/>
      <c r="C22" s="19"/>
      <c r="D22" s="19"/>
      <c r="E22" s="19"/>
      <c r="F22" s="19"/>
      <c r="G22" s="19"/>
      <c r="H22" s="19"/>
      <c r="I22" s="181"/>
      <c r="J22" s="19"/>
      <c r="K22" s="19"/>
      <c r="L22" s="19"/>
      <c r="M22" s="145"/>
      <c r="N22" s="19"/>
      <c r="O22" s="255"/>
      <c r="P22" s="165"/>
      <c r="Q22" s="19"/>
      <c r="R22" s="221"/>
      <c r="S22" s="17"/>
    </row>
    <row r="23" spans="1:19" ht="21" customHeight="1">
      <c r="A23" s="1"/>
      <c r="B23" s="14"/>
      <c r="C23" s="19"/>
      <c r="D23" s="19"/>
      <c r="E23" s="19"/>
      <c r="F23" s="19"/>
      <c r="G23" s="19"/>
      <c r="H23" s="19"/>
      <c r="I23" s="181"/>
      <c r="J23" s="19"/>
      <c r="K23" s="19"/>
      <c r="L23" s="19"/>
      <c r="M23" s="145"/>
      <c r="N23" s="19"/>
      <c r="O23" s="255"/>
      <c r="P23" s="165"/>
      <c r="Q23" s="19"/>
      <c r="R23" s="221"/>
      <c r="S23" s="17"/>
    </row>
    <row r="24" spans="1:19" ht="21" customHeight="1">
      <c r="A24" s="1"/>
      <c r="B24" s="14"/>
      <c r="C24" s="19"/>
      <c r="D24" s="19"/>
      <c r="E24" s="19"/>
      <c r="F24" s="19"/>
      <c r="G24" s="19"/>
      <c r="H24" s="19"/>
      <c r="I24" s="181"/>
      <c r="J24" s="19"/>
      <c r="K24" s="19"/>
      <c r="L24" s="19"/>
      <c r="M24" s="145"/>
      <c r="N24" s="19"/>
      <c r="O24" s="255"/>
      <c r="P24" s="165"/>
      <c r="Q24" s="19"/>
      <c r="R24" s="221"/>
      <c r="S24" s="17"/>
    </row>
    <row r="25" spans="1:19" ht="21" customHeight="1">
      <c r="A25" s="1"/>
      <c r="B25" s="14"/>
      <c r="C25" s="19"/>
      <c r="D25" s="19"/>
      <c r="E25" s="19"/>
      <c r="F25" s="19"/>
      <c r="G25" s="19"/>
      <c r="H25" s="19"/>
      <c r="I25" s="181"/>
      <c r="J25" s="19"/>
      <c r="K25" s="19"/>
      <c r="L25" s="19"/>
      <c r="M25" s="145"/>
      <c r="N25" s="19"/>
      <c r="O25" s="255"/>
      <c r="P25" s="165"/>
      <c r="Q25" s="19"/>
      <c r="R25" s="221"/>
      <c r="S25" s="17"/>
    </row>
    <row r="26" spans="1:19" ht="21" customHeight="1">
      <c r="A26" s="1"/>
      <c r="B26" s="14"/>
      <c r="C26" s="19"/>
      <c r="D26" s="19"/>
      <c r="E26" s="19"/>
      <c r="F26" s="19"/>
      <c r="G26" s="19"/>
      <c r="H26" s="19"/>
      <c r="I26" s="181"/>
      <c r="J26" s="19"/>
      <c r="K26" s="19"/>
      <c r="L26" s="19"/>
      <c r="M26" s="145"/>
      <c r="N26" s="19"/>
      <c r="O26" s="255"/>
      <c r="P26" s="165"/>
      <c r="Q26" s="19"/>
      <c r="R26" s="221"/>
      <c r="S26" s="17"/>
    </row>
    <row r="27" spans="1:19" s="3" customFormat="1" ht="21" customHeight="1">
      <c r="B27" s="14"/>
      <c r="C27" s="19"/>
      <c r="D27" s="19"/>
      <c r="E27" s="19"/>
      <c r="F27" s="19"/>
      <c r="G27" s="19"/>
      <c r="H27" s="19"/>
      <c r="I27" s="181"/>
      <c r="J27" s="19"/>
      <c r="K27" s="19"/>
      <c r="L27" s="19"/>
      <c r="M27" s="145"/>
      <c r="N27" s="19"/>
      <c r="O27" s="255"/>
      <c r="P27" s="165"/>
      <c r="Q27" s="19"/>
      <c r="R27" s="221"/>
      <c r="S27" s="17"/>
    </row>
    <row r="28" spans="1:19" ht="21" customHeight="1">
      <c r="A28" s="1"/>
      <c r="B28" s="14"/>
      <c r="C28" s="20"/>
      <c r="D28" s="20"/>
      <c r="E28" s="20"/>
      <c r="F28" s="20"/>
      <c r="G28" s="20"/>
      <c r="H28" s="20"/>
      <c r="I28" s="183"/>
      <c r="J28" s="20"/>
      <c r="K28" s="20"/>
      <c r="L28" s="20"/>
      <c r="M28" s="145"/>
      <c r="N28" s="20"/>
      <c r="O28" s="256"/>
      <c r="P28" s="170"/>
      <c r="Q28" s="20"/>
      <c r="R28" s="222"/>
      <c r="S28" s="16"/>
    </row>
  </sheetData>
  <mergeCells count="17">
    <mergeCell ref="D17:F17"/>
    <mergeCell ref="J17:L17"/>
    <mergeCell ref="M17:O17"/>
    <mergeCell ref="D18:F18"/>
    <mergeCell ref="J18:L18"/>
    <mergeCell ref="M18:O18"/>
    <mergeCell ref="H17:I17"/>
    <mergeCell ref="H18:I18"/>
    <mergeCell ref="H14:I14"/>
    <mergeCell ref="D15:F15"/>
    <mergeCell ref="J15:L15"/>
    <mergeCell ref="M15:O15"/>
    <mergeCell ref="D16:F16"/>
    <mergeCell ref="J16:L16"/>
    <mergeCell ref="M16:O16"/>
    <mergeCell ref="H15:I15"/>
    <mergeCell ref="H16:I16"/>
  </mergeCells>
  <phoneticPr fontId="6" type="noConversion"/>
  <hyperlinks>
    <hyperlink ref="M3" location="관광부지모양" display="부지 모양" xr:uid="{00000000-0004-0000-0500-000000000000}"/>
    <hyperlink ref="H14" location="음료부지모양" display="부지 모양" xr:uid="{486221A9-561E-4F3C-A812-4440E8985E73}"/>
    <hyperlink ref="H14:I14" location="관광_애드온_부지" display="부지 모양" xr:uid="{1DE62622-8785-4BCA-A961-F06C45C7A916}"/>
  </hyperlinks>
  <printOptions horizontalCentered="1"/>
  <pageMargins left="0.25" right="0.25" top="0.75" bottom="0.75" header="0.3" footer="0.3"/>
  <pageSetup scale="65" fitToHeight="0" orientation="landscape" r:id="rId1"/>
  <headerFooter differentFirst="1">
    <oddFooter>Page &amp;P of &amp;N</oddFooter>
  </headerFooter>
  <drawing r:id="rId2"/>
  <tableParts count="1">
    <tablePart r:id="rId3"/>
  </tableParts>
  <extLst>
    <ext xmlns:x14="http://schemas.microsoft.com/office/spreadsheetml/2009/9/main" uri="{05C60535-1F16-4fd2-B633-F4F36F0B64E0}">
      <x14:sparklineGroups xmlns:xm="http://schemas.microsoft.com/office/excel/2006/main">
        <x14:sparklineGroup manualMax="0" manualMin="0" type="column" displayEmptyCellsAs="gap" high="1" low="1" xr2:uid="{00000000-0003-0000-0500-000009000000}">
          <x14:colorSeries theme="5"/>
          <x14:colorNegative rgb="FFFFB620"/>
          <x14:colorAxis rgb="FF000000"/>
          <x14:colorMarkers rgb="FFD70077"/>
          <x14:colorFirst rgb="FF777777"/>
          <x14:colorLast rgb="FF359CEB"/>
          <x14:colorHigh rgb="FFFF0000"/>
          <x14:colorLow rgb="FF92D050"/>
          <x14:sparklines>
            <x14:sparkline>
              <xm:f>관광!C28:O28</xm:f>
              <xm:sqref>S28</xm:sqref>
            </x14:sparkline>
          </x14:sparklines>
        </x14:sparklineGroup>
      </x14:sparklineGroup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6">
    <tabColor rgb="FFD1F3E8"/>
    <pageSetUpPr autoPageBreaks="0" fitToPage="1"/>
  </sheetPr>
  <dimension ref="A1:W30"/>
  <sheetViews>
    <sheetView showGridLines="0" topLeftCell="A13" zoomScale="85" zoomScaleNormal="85" workbookViewId="0">
      <selection activeCell="H17" sqref="H17:I17"/>
    </sheetView>
  </sheetViews>
  <sheetFormatPr defaultColWidth="9.109375" defaultRowHeight="21" customHeight="1"/>
  <cols>
    <col min="1" max="1" width="1.44140625" style="2" customWidth="1"/>
    <col min="2" max="2" width="23.33203125" style="2" customWidth="1"/>
    <col min="3" max="3" width="18.5546875" style="2" customWidth="1"/>
    <col min="4" max="6" width="12.6640625" style="2" customWidth="1"/>
    <col min="7" max="7" width="29.77734375" style="2" customWidth="1"/>
    <col min="8" max="8" width="13.6640625" style="2" customWidth="1"/>
    <col min="9" max="9" width="13.6640625" style="174" customWidth="1"/>
    <col min="10" max="10" width="12.6640625" style="2" customWidth="1"/>
    <col min="11" max="11" width="18" style="2" customWidth="1"/>
    <col min="12" max="12" width="12.6640625" style="2" customWidth="1"/>
    <col min="13" max="13" width="12.6640625" style="143" customWidth="1"/>
    <col min="14" max="14" width="12.6640625" style="2" customWidth="1"/>
    <col min="15" max="15" width="10.6640625" style="2" customWidth="1"/>
    <col min="16" max="16" width="10.6640625" style="166" customWidth="1"/>
    <col min="17" max="17" width="15.33203125" style="2" customWidth="1"/>
    <col min="18" max="18" width="10.6640625" style="217" customWidth="1"/>
    <col min="19" max="19" width="10.6640625" style="2" customWidth="1"/>
    <col min="20" max="20" width="11.77734375" style="2" customWidth="1"/>
    <col min="21" max="21" width="25.77734375" style="2" customWidth="1"/>
    <col min="22" max="22" width="46.77734375" style="2" customWidth="1"/>
    <col min="23" max="23" width="30.77734375" style="2" customWidth="1"/>
    <col min="24" max="16384" width="9.109375" style="2"/>
  </cols>
  <sheetData>
    <row r="1" spans="1:23" ht="64.2" customHeight="1">
      <c r="A1" s="1"/>
      <c r="C1" s="26" t="s">
        <v>105</v>
      </c>
      <c r="D1" s="21"/>
      <c r="J1" s="1"/>
      <c r="K1" s="1"/>
      <c r="N1" s="1"/>
      <c r="O1" s="3"/>
      <c r="P1" s="159"/>
      <c r="Q1" s="3"/>
      <c r="R1" s="216"/>
      <c r="S1" s="3"/>
    </row>
    <row r="2" spans="1:23" ht="21" customHeight="1">
      <c r="A2" s="1"/>
      <c r="B2" s="4"/>
      <c r="C2" s="29"/>
      <c r="D2" s="27"/>
      <c r="E2" s="23"/>
      <c r="F2" s="25"/>
      <c r="G2" s="25"/>
      <c r="H2" s="25"/>
      <c r="I2" s="175"/>
      <c r="J2" s="1"/>
      <c r="K2" s="1"/>
      <c r="L2" s="1"/>
      <c r="M2" s="144"/>
      <c r="N2" s="1"/>
      <c r="O2" s="3"/>
      <c r="P2" s="159"/>
      <c r="R2" s="235" t="s">
        <v>470</v>
      </c>
    </row>
    <row r="3" spans="1:23" ht="21" customHeight="1" thickBot="1">
      <c r="A3" s="1"/>
      <c r="B3" s="1"/>
      <c r="C3" s="1"/>
      <c r="D3" s="1"/>
      <c r="E3" s="1"/>
      <c r="F3" s="1"/>
      <c r="G3" s="1"/>
      <c r="H3" s="1"/>
      <c r="I3" s="175"/>
      <c r="J3" s="1"/>
      <c r="K3" s="1"/>
      <c r="L3" s="1"/>
      <c r="M3" s="148" t="s">
        <v>356</v>
      </c>
      <c r="N3" s="1"/>
      <c r="O3" s="1"/>
      <c r="P3" s="160"/>
      <c r="Q3" s="1"/>
      <c r="R3" s="237">
        <f>(VLOOKUP(C1,'캐릭터 욕구 생성 표'!A1:N12,6,FALSE)+ VLOOKUP(C1,'캐릭터 욕구 생성 표'!A1:N12,12,FALSE))*'스테이지 관련 수치'!B11/2</f>
        <v>30</v>
      </c>
      <c r="S3" s="1"/>
    </row>
    <row r="4" spans="1:23" s="245" customFormat="1" ht="42" customHeight="1" thickTop="1" thickBot="1">
      <c r="A4" s="239"/>
      <c r="B4" s="240" t="s">
        <v>0</v>
      </c>
      <c r="C4" s="241" t="s">
        <v>2</v>
      </c>
      <c r="D4" s="240" t="s">
        <v>1</v>
      </c>
      <c r="E4" s="240" t="s">
        <v>23</v>
      </c>
      <c r="F4" s="240" t="s">
        <v>3</v>
      </c>
      <c r="G4" s="240" t="s">
        <v>4</v>
      </c>
      <c r="H4" s="243" t="s">
        <v>440</v>
      </c>
      <c r="I4" s="242" t="s">
        <v>439</v>
      </c>
      <c r="J4" s="243" t="s">
        <v>5</v>
      </c>
      <c r="K4" s="243" t="s">
        <v>6</v>
      </c>
      <c r="L4" s="244" t="s">
        <v>7</v>
      </c>
      <c r="M4" s="244" t="s">
        <v>8</v>
      </c>
      <c r="N4" s="224" t="s">
        <v>11</v>
      </c>
      <c r="O4" s="224" t="s">
        <v>438</v>
      </c>
      <c r="P4" s="225" t="s">
        <v>437</v>
      </c>
      <c r="Q4" s="224" t="s">
        <v>21</v>
      </c>
      <c r="R4" s="226" t="s">
        <v>447</v>
      </c>
      <c r="S4" s="224" t="s">
        <v>79</v>
      </c>
      <c r="T4" s="224" t="s">
        <v>70</v>
      </c>
      <c r="U4" s="240" t="s">
        <v>401</v>
      </c>
      <c r="V4" s="240" t="s">
        <v>9</v>
      </c>
      <c r="W4" s="240" t="s">
        <v>100</v>
      </c>
    </row>
    <row r="5" spans="1:23" s="11" customFormat="1" ht="99.6" customHeight="1">
      <c r="A5" s="5"/>
      <c r="B5" s="24" t="s">
        <v>108</v>
      </c>
      <c r="C5" s="48"/>
      <c r="D5" s="49">
        <v>12</v>
      </c>
      <c r="E5" s="50">
        <v>16</v>
      </c>
      <c r="F5" s="51">
        <v>20</v>
      </c>
      <c r="G5" s="52"/>
      <c r="H5" s="52" t="s">
        <v>105</v>
      </c>
      <c r="I5" s="177">
        <v>75</v>
      </c>
      <c r="J5" s="52" t="s">
        <v>104</v>
      </c>
      <c r="K5" s="67"/>
      <c r="L5" s="51">
        <f>ROUND(IF(ISBLANK(tblIncome8569[[#This Row],[보너스]]),INDEX('건설 부지에 따른 수치표'!$A$1:$D$13, MATCH(tblIncome8569[[#This Row],[건설 부지]], '건설 부지에 따른 수치표'!A:A, 0), MATCH(tblIncome856[[#Headers],[건설 비용 회수 시간]], '건설 부지에 따른 수치표'!$1:$1, 0))*tblIncome8569[[#This Row],[수익률]],INDEX('건설 부지에 따른 수치표'!$A$1:$D$13, MATCH(tblIncome8569[[#This Row],[건설 부지]], '건설 부지에 따른 수치표'!A:A, 0), MATCH(tblIncome856[[#Headers],[건설 비용 회수 시간]], '건설 부지에 따른 수치표'!$1:$1, 0))*tblIncome8569[[#This Row],[수익률]]*1.2), -1)</f>
        <v>1050</v>
      </c>
      <c r="M5" s="141">
        <v>3</v>
      </c>
      <c r="N5" s="53">
        <f>tblIncome8569[[#This Row],[수용량]]*tblIncome8569[[#This Row],[요금]]/tblIncome8569[[#This Row],[이용시간]]</f>
        <v>15</v>
      </c>
      <c r="O5" s="54">
        <f>tblIncome8569[[#This Row],[수익률]]/tblIncome8569[[#This Row],[건설 비용]]</f>
        <v>1.4285714285714285E-2</v>
      </c>
      <c r="P5" s="161">
        <f>tblIncome8569[[#This Row],[건설 비용]]/tblIncome8569[[#This Row],[수익률]]</f>
        <v>70</v>
      </c>
      <c r="Q5" s="55">
        <f>tblIncome8569[[#This Row],[수익률]]/tblIncome8569[[#This Row],[건설 부지]]</f>
        <v>5</v>
      </c>
      <c r="R5" s="218">
        <f>tblIncome8569[[#This Row],[수용량]]*tblIncome8569[[#This Row],[욕구 해소량]]/tblIncome8569[[#This Row],[이용시간]]</f>
        <v>56.25</v>
      </c>
      <c r="S5" s="90">
        <f>tblIncome8569[[#This Row],[요금]]/tblIncome8569[[#This Row],[욕구 해소량]]</f>
        <v>0.26666666666666666</v>
      </c>
      <c r="T5" s="84">
        <f>tblIncome8569[[#This Row],[수용량]]/tblIncome8569[[#This Row],[이용시간]]</f>
        <v>0.75</v>
      </c>
      <c r="U5" s="84" t="s">
        <v>402</v>
      </c>
      <c r="V5" s="56" t="s">
        <v>109</v>
      </c>
      <c r="W5" s="56"/>
    </row>
    <row r="6" spans="1:23" ht="100.05" customHeight="1">
      <c r="A6" s="1"/>
      <c r="B6" s="24" t="s">
        <v>115</v>
      </c>
      <c r="C6" s="57"/>
      <c r="D6" s="58">
        <v>12</v>
      </c>
      <c r="E6" s="59">
        <v>10</v>
      </c>
      <c r="F6" s="60">
        <v>20</v>
      </c>
      <c r="G6" s="61"/>
      <c r="H6" s="52" t="s">
        <v>105</v>
      </c>
      <c r="I6" s="177">
        <v>55</v>
      </c>
      <c r="J6" s="61" t="s">
        <v>110</v>
      </c>
      <c r="K6" s="68"/>
      <c r="L6" s="51">
        <f>ROUND(IF(ISBLANK(tblIncome8569[[#This Row],[보너스]]),INDEX('건설 부지에 따른 수치표'!$A$1:$D$13, MATCH(tblIncome8569[[#This Row],[건설 부지]], '건설 부지에 따른 수치표'!A:A, 0), MATCH(tblIncome856[[#Headers],[건설 비용 회수 시간]], '건설 부지에 따른 수치표'!$1:$1, 0))*tblIncome8569[[#This Row],[수익률]],INDEX('건설 부지에 따른 수치표'!$A$1:$D$13, MATCH(tblIncome8569[[#This Row],[건설 부지]], '건설 부지에 따른 수치표'!A:A, 0), MATCH(tblIncome856[[#Headers],[건설 비용 회수 시간]], '건설 부지에 따른 수치표'!$1:$1, 0))*tblIncome8569[[#This Row],[수익률]]*1.2), -1)</f>
        <v>2280</v>
      </c>
      <c r="M6" s="142">
        <v>4</v>
      </c>
      <c r="N6" s="62">
        <f>tblIncome8569[[#This Row],[수용량]]*tblIncome8569[[#This Row],[요금]]/tblIncome8569[[#This Row],[이용시간]]</f>
        <v>24</v>
      </c>
      <c r="O6" s="63">
        <f>tblIncome8569[[#This Row],[수익률]]/tblIncome8569[[#This Row],[건설 비용]]</f>
        <v>1.0526315789473684E-2</v>
      </c>
      <c r="P6" s="162">
        <f>tblIncome8569[[#This Row],[건설 비용]]/tblIncome8569[[#This Row],[수익률]]</f>
        <v>95</v>
      </c>
      <c r="Q6" s="64">
        <f>tblIncome8569[[#This Row],[수익률]]/tblIncome8569[[#This Row],[건설 부지]]</f>
        <v>6</v>
      </c>
      <c r="R6" s="218">
        <f>tblIncome8569[[#This Row],[수용량]]*tblIncome8569[[#This Row],[욕구 해소량]]/tblIncome8569[[#This Row],[이용시간]]</f>
        <v>66</v>
      </c>
      <c r="S6" s="90">
        <f>tblIncome8569[[#This Row],[요금]]/tblIncome8569[[#This Row],[욕구 해소량]]</f>
        <v>0.36363636363636365</v>
      </c>
      <c r="T6" s="84">
        <f>tblIncome8569[[#This Row],[수용량]]/tblIncome8569[[#This Row],[이용시간]]</f>
        <v>1.2</v>
      </c>
      <c r="U6" s="84" t="s">
        <v>402</v>
      </c>
      <c r="V6" s="65" t="s">
        <v>116</v>
      </c>
      <c r="W6" s="65"/>
    </row>
    <row r="7" spans="1:23" ht="100.05" customHeight="1">
      <c r="A7" s="1"/>
      <c r="B7" s="24" t="s">
        <v>106</v>
      </c>
      <c r="C7" s="57"/>
      <c r="D7" s="58">
        <v>10</v>
      </c>
      <c r="E7" s="59">
        <v>8</v>
      </c>
      <c r="F7" s="60">
        <v>29</v>
      </c>
      <c r="G7" s="61"/>
      <c r="H7" s="52" t="s">
        <v>105</v>
      </c>
      <c r="I7" s="177">
        <v>55</v>
      </c>
      <c r="J7" s="61" t="s">
        <v>107</v>
      </c>
      <c r="K7" s="68"/>
      <c r="L7" s="51">
        <f>ROUND(IF(ISBLANK(tblIncome8569[[#This Row],[보너스]]),INDEX('건설 부지에 따른 수치표'!$A$1:$D$13, MATCH(tblIncome8569[[#This Row],[건설 부지]], '건설 부지에 따른 수치표'!A:A, 0), MATCH(tblIncome856[[#Headers],[건설 비용 회수 시간]], '건설 부지에 따른 수치표'!$1:$1, 0))*tblIncome8569[[#This Row],[수익률]],INDEX('건설 부지에 따른 수치표'!$A$1:$D$13, MATCH(tblIncome8569[[#This Row],[건설 부지]], '건설 부지에 따른 수치표'!A:A, 0), MATCH(tblIncome856[[#Headers],[건설 비용 회수 시간]], '건설 부지에 따른 수치표'!$1:$1, 0))*tblIncome8569[[#This Row],[수익률]]*1.2), -1)</f>
        <v>4350</v>
      </c>
      <c r="M7" s="142">
        <v>5</v>
      </c>
      <c r="N7" s="62">
        <f>tblIncome8569[[#This Row],[수용량]]*tblIncome8569[[#This Row],[요금]]/tblIncome8569[[#This Row],[이용시간]]</f>
        <v>36.25</v>
      </c>
      <c r="O7" s="63">
        <f>tblIncome8569[[#This Row],[수익률]]/tblIncome8569[[#This Row],[건설 비용]]</f>
        <v>8.3333333333333332E-3</v>
      </c>
      <c r="P7" s="162">
        <f>tblIncome8569[[#This Row],[건설 비용]]/tblIncome8569[[#This Row],[수익률]]</f>
        <v>120</v>
      </c>
      <c r="Q7" s="64">
        <f>tblIncome8569[[#This Row],[수익률]]/tblIncome8569[[#This Row],[건설 부지]]</f>
        <v>7.25</v>
      </c>
      <c r="R7" s="218">
        <f>tblIncome8569[[#This Row],[수용량]]*tblIncome8569[[#This Row],[욕구 해소량]]/tblIncome8569[[#This Row],[이용시간]]</f>
        <v>68.75</v>
      </c>
      <c r="S7" s="90">
        <f>tblIncome8569[[#This Row],[요금]]/tblIncome8569[[#This Row],[욕구 해소량]]</f>
        <v>0.52727272727272723</v>
      </c>
      <c r="T7" s="84">
        <f>tblIncome8569[[#This Row],[수용량]]/tblIncome8569[[#This Row],[이용시간]]</f>
        <v>1.25</v>
      </c>
      <c r="U7" s="84" t="s">
        <v>402</v>
      </c>
      <c r="V7" s="65" t="s">
        <v>113</v>
      </c>
      <c r="W7" s="65"/>
    </row>
    <row r="8" spans="1:23" s="15" customFormat="1" ht="100.05" customHeight="1">
      <c r="A8" s="13"/>
      <c r="B8" s="24" t="s">
        <v>114</v>
      </c>
      <c r="C8" s="57"/>
      <c r="D8" s="58">
        <v>25</v>
      </c>
      <c r="E8" s="59">
        <v>24</v>
      </c>
      <c r="F8" s="60">
        <v>48</v>
      </c>
      <c r="G8" s="61"/>
      <c r="H8" s="52" t="s">
        <v>105</v>
      </c>
      <c r="I8" s="177">
        <v>65</v>
      </c>
      <c r="J8" s="61" t="s">
        <v>110</v>
      </c>
      <c r="K8" s="68" t="s">
        <v>276</v>
      </c>
      <c r="L8" s="51">
        <f>ROUND(IF(ISBLANK(tblIncome8569[[#This Row],[보너스]]),INDEX('건설 부지에 따른 수치표'!$A$1:$D$13, MATCH(tblIncome8569[[#This Row],[건설 부지]], '건설 부지에 따른 수치표'!A:A, 0), MATCH(tblIncome856[[#Headers],[건설 비용 회수 시간]], '건설 부지에 따른 수치표'!$1:$1, 0))*tblIncome8569[[#This Row],[수익률]],INDEX('건설 부지에 따른 수치표'!$A$1:$D$13, MATCH(tblIncome8569[[#This Row],[건설 부지]], '건설 부지에 따른 수치표'!A:A, 0), MATCH(tblIncome856[[#Headers],[건설 비용 회수 시간]], '건설 부지에 따른 수치표'!$1:$1, 0))*tblIncome8569[[#This Row],[수익률]]*1.2), -1)</f>
        <v>9000</v>
      </c>
      <c r="M8" s="142">
        <v>6</v>
      </c>
      <c r="N8" s="62">
        <f>tblIncome8569[[#This Row],[수용량]]*tblIncome8569[[#This Row],[요금]]/tblIncome8569[[#This Row],[이용시간]]</f>
        <v>50</v>
      </c>
      <c r="O8" s="63">
        <f>tblIncome8569[[#This Row],[수익률]]/tblIncome8569[[#This Row],[건설 비용]]</f>
        <v>5.5555555555555558E-3</v>
      </c>
      <c r="P8" s="162">
        <f>tblIncome8569[[#This Row],[건설 비용]]/tblIncome8569[[#This Row],[수익률]]</f>
        <v>180</v>
      </c>
      <c r="Q8" s="64">
        <f>tblIncome8569[[#This Row],[수익률]]/tblIncome8569[[#This Row],[건설 부지]]</f>
        <v>8.3333333333333339</v>
      </c>
      <c r="R8" s="218">
        <f>tblIncome8569[[#This Row],[수용량]]*tblIncome8569[[#This Row],[욕구 해소량]]/tblIncome8569[[#This Row],[이용시간]]</f>
        <v>67.708333333333329</v>
      </c>
      <c r="S8" s="90">
        <f>tblIncome8569[[#This Row],[요금]]/tblIncome8569[[#This Row],[욕구 해소량]]</f>
        <v>0.7384615384615385</v>
      </c>
      <c r="T8" s="84">
        <f>tblIncome8569[[#This Row],[수용량]]/tblIncome8569[[#This Row],[이용시간]]</f>
        <v>1.0416666666666667</v>
      </c>
      <c r="U8" s="84" t="s">
        <v>403</v>
      </c>
      <c r="V8" s="65" t="s">
        <v>117</v>
      </c>
      <c r="W8" s="65"/>
    </row>
    <row r="9" spans="1:23" s="9" customFormat="1" ht="100.05" customHeight="1">
      <c r="B9" s="24" t="s">
        <v>119</v>
      </c>
      <c r="C9" s="57"/>
      <c r="D9" s="58">
        <v>20</v>
      </c>
      <c r="E9" s="59">
        <v>16</v>
      </c>
      <c r="F9" s="60">
        <v>54</v>
      </c>
      <c r="G9" s="61"/>
      <c r="H9" s="52" t="s">
        <v>105</v>
      </c>
      <c r="I9" s="177">
        <v>60</v>
      </c>
      <c r="J9" s="61" t="s">
        <v>107</v>
      </c>
      <c r="K9" s="68"/>
      <c r="L9" s="51">
        <f>ROUND(IF(ISBLANK(tblIncome8569[[#This Row],[보너스]]),INDEX('건설 부지에 따른 수치표'!$A$1:$D$13, MATCH(tblIncome8569[[#This Row],[건설 부지]], '건설 부지에 따른 수치표'!A:A, 0), MATCH(tblIncome856[[#Headers],[건설 비용 회수 시간]], '건설 부지에 따른 수치표'!$1:$1, 0))*tblIncome8569[[#This Row],[수익률]],INDEX('건설 부지에 따른 수치표'!$A$1:$D$13, MATCH(tblIncome8569[[#This Row],[건설 부지]], '건설 부지에 따른 수치표'!A:A, 0), MATCH(tblIncome856[[#Headers],[건설 비용 회수 시간]], '건설 부지에 따른 수치표'!$1:$1, 0))*tblIncome8569[[#This Row],[수익률]]*1.2), -1)</f>
        <v>12830</v>
      </c>
      <c r="M9" s="142">
        <v>7</v>
      </c>
      <c r="N9" s="62">
        <f>tblIncome8569[[#This Row],[수용량]]*tblIncome8569[[#This Row],[요금]]/tblIncome8569[[#This Row],[이용시간]]</f>
        <v>67.5</v>
      </c>
      <c r="O9" s="63">
        <f>tblIncome8569[[#This Row],[수익률]]/tblIncome8569[[#This Row],[건설 비용]]</f>
        <v>5.2611067809820731E-3</v>
      </c>
      <c r="P9" s="162">
        <f>tblIncome8569[[#This Row],[건설 비용]]/tblIncome8569[[#This Row],[수익률]]</f>
        <v>190.07407407407408</v>
      </c>
      <c r="Q9" s="64">
        <f>tblIncome8569[[#This Row],[수익률]]/tblIncome8569[[#This Row],[건설 부지]]</f>
        <v>9.6428571428571423</v>
      </c>
      <c r="R9" s="218">
        <f>tblIncome8569[[#This Row],[수용량]]*tblIncome8569[[#This Row],[욕구 해소량]]/tblIncome8569[[#This Row],[이용시간]]</f>
        <v>75</v>
      </c>
      <c r="S9" s="90">
        <f>tblIncome8569[[#This Row],[요금]]/tblIncome8569[[#This Row],[욕구 해소량]]</f>
        <v>0.9</v>
      </c>
      <c r="T9" s="84">
        <f>tblIncome8569[[#This Row],[수용량]]/tblIncome8569[[#This Row],[이용시간]]</f>
        <v>1.25</v>
      </c>
      <c r="U9" s="84" t="s">
        <v>402</v>
      </c>
      <c r="V9" s="65" t="s">
        <v>120</v>
      </c>
      <c r="W9" s="65"/>
    </row>
    <row r="10" spans="1:23" s="15" customFormat="1" ht="100.05" customHeight="1">
      <c r="A10" s="13"/>
      <c r="B10" s="47" t="s">
        <v>122</v>
      </c>
      <c r="C10" s="57"/>
      <c r="D10" s="58">
        <v>30</v>
      </c>
      <c r="E10" s="59">
        <v>20</v>
      </c>
      <c r="F10" s="60">
        <v>54</v>
      </c>
      <c r="G10" s="61"/>
      <c r="H10" s="52" t="s">
        <v>105</v>
      </c>
      <c r="I10" s="177">
        <v>50</v>
      </c>
      <c r="J10" s="61" t="s">
        <v>110</v>
      </c>
      <c r="K10" s="68"/>
      <c r="L10" s="51">
        <f>ROUND(IF(ISBLANK(tblIncome8569[[#This Row],[보너스]]),INDEX('건설 부지에 따른 수치표'!$A$1:$D$13, MATCH(tblIncome8569[[#This Row],[건설 부지]], '건설 부지에 따른 수치표'!A:A, 0), MATCH(tblIncome856[[#Headers],[건설 비용 회수 시간]], '건설 부지에 따른 수치표'!$1:$1, 0))*tblIncome8569[[#This Row],[수익률]],INDEX('건설 부지에 따른 수치표'!$A$1:$D$13, MATCH(tblIncome8569[[#This Row],[건설 부지]], '건설 부지에 따른 수치표'!A:A, 0), MATCH(tblIncome856[[#Headers],[건설 비용 회수 시간]], '건설 부지에 따른 수치표'!$1:$1, 0))*tblIncome8569[[#This Row],[수익률]]*1.2), -1)</f>
        <v>19040</v>
      </c>
      <c r="M10" s="142">
        <v>8</v>
      </c>
      <c r="N10" s="62">
        <f>tblIncome8569[[#This Row],[수용량]]*tblIncome8569[[#This Row],[요금]]/tblIncome8569[[#This Row],[이용시간]]</f>
        <v>81</v>
      </c>
      <c r="O10" s="63">
        <f>tblIncome8569[[#This Row],[수익률]]/tblIncome8569[[#This Row],[건설 비용]]</f>
        <v>4.2542016806722685E-3</v>
      </c>
      <c r="P10" s="162">
        <f>tblIncome8569[[#This Row],[건설 비용]]/tblIncome8569[[#This Row],[수익률]]</f>
        <v>235.06172839506172</v>
      </c>
      <c r="Q10" s="64">
        <f>tblIncome8569[[#This Row],[수익률]]/tblIncome8569[[#This Row],[건설 부지]]</f>
        <v>10.125</v>
      </c>
      <c r="R10" s="218">
        <f>tblIncome8569[[#This Row],[수용량]]*tblIncome8569[[#This Row],[욕구 해소량]]/tblIncome8569[[#This Row],[이용시간]]</f>
        <v>75</v>
      </c>
      <c r="S10" s="90">
        <f>tblIncome8569[[#This Row],[요금]]/tblIncome8569[[#This Row],[욕구 해소량]]</f>
        <v>1.08</v>
      </c>
      <c r="T10" s="84">
        <f>tblIncome8569[[#This Row],[수용량]]/tblIncome8569[[#This Row],[이용시간]]</f>
        <v>1.5</v>
      </c>
      <c r="U10" s="84" t="s">
        <v>403</v>
      </c>
      <c r="V10" s="65" t="s">
        <v>124</v>
      </c>
      <c r="W10" s="65"/>
    </row>
    <row r="11" spans="1:23" ht="100.05" customHeight="1">
      <c r="A11" s="1"/>
      <c r="B11" s="47" t="s">
        <v>277</v>
      </c>
      <c r="C11" s="57"/>
      <c r="D11" s="58">
        <v>24</v>
      </c>
      <c r="E11" s="59">
        <v>18</v>
      </c>
      <c r="F11" s="60">
        <v>100</v>
      </c>
      <c r="G11" s="61"/>
      <c r="H11" s="52" t="s">
        <v>105</v>
      </c>
      <c r="I11" s="177">
        <v>65</v>
      </c>
      <c r="J11" s="61" t="s">
        <v>278</v>
      </c>
      <c r="K11" s="68" t="s">
        <v>488</v>
      </c>
      <c r="L11" s="51">
        <f>ROUND(IF(ISBLANK(tblIncome8569[[#This Row],[보너스]]),INDEX('건설 부지에 따른 수치표'!$A$1:$D$13, MATCH(tblIncome8569[[#This Row],[건설 부지]], '건설 부지에 따른 수치표'!A:A, 0), MATCH(tblIncome856[[#Headers],[건설 비용 회수 시간]], '건설 부지에 따른 수치표'!$1:$1, 0))*tblIncome8569[[#This Row],[수익률]],INDEX('건설 부지에 따른 수치표'!$A$1:$D$13, MATCH(tblIncome8569[[#This Row],[건설 부지]], '건설 부지에 따른 수치표'!A:A, 0), MATCH(tblIncome856[[#Headers],[건설 비용 회수 시간]], '건설 부지에 따른 수치표'!$1:$1, 0))*tblIncome8569[[#This Row],[수익률]]*1.2), -1)</f>
        <v>52800</v>
      </c>
      <c r="M11" s="142">
        <v>12</v>
      </c>
      <c r="N11" s="62">
        <f>tblIncome8569[[#This Row],[수용량]]*tblIncome8569[[#This Row],[요금]]/tblIncome8569[[#This Row],[이용시간]]</f>
        <v>133.33333333333334</v>
      </c>
      <c r="O11" s="63">
        <f>tblIncome8569[[#This Row],[수익률]]/tblIncome8569[[#This Row],[건설 비용]]</f>
        <v>2.5252525252525255E-3</v>
      </c>
      <c r="P11" s="162">
        <f>tblIncome8569[[#This Row],[건설 비용]]/tblIncome8569[[#This Row],[수익률]]</f>
        <v>396</v>
      </c>
      <c r="Q11" s="64">
        <f>tblIncome8569[[#This Row],[수익률]]/tblIncome8569[[#This Row],[건설 부지]]</f>
        <v>11.111111111111112</v>
      </c>
      <c r="R11" s="218">
        <f>tblIncome8569[[#This Row],[수용량]]*tblIncome8569[[#This Row],[욕구 해소량]]/tblIncome8569[[#This Row],[이용시간]]</f>
        <v>86.666666666666671</v>
      </c>
      <c r="S11" s="90">
        <f>tblIncome8569[[#This Row],[요금]]/tblIncome8569[[#This Row],[욕구 해소량]]</f>
        <v>1.5384615384615385</v>
      </c>
      <c r="T11" s="84">
        <f>tblIncome8569[[#This Row],[수용량]]/tblIncome8569[[#This Row],[이용시간]]</f>
        <v>1.3333333333333333</v>
      </c>
      <c r="U11" s="84" t="s">
        <v>403</v>
      </c>
      <c r="V11" s="65" t="s">
        <v>280</v>
      </c>
      <c r="W11" s="65" t="s">
        <v>281</v>
      </c>
    </row>
    <row r="12" spans="1:23" ht="100.05" customHeight="1">
      <c r="A12" s="1"/>
      <c r="B12" s="47" t="s">
        <v>186</v>
      </c>
      <c r="C12" s="57"/>
      <c r="D12" s="58">
        <v>40</v>
      </c>
      <c r="E12" s="59">
        <v>36</v>
      </c>
      <c r="F12" s="60">
        <v>112</v>
      </c>
      <c r="G12" s="61"/>
      <c r="H12" s="52" t="s">
        <v>105</v>
      </c>
      <c r="I12" s="177">
        <v>80</v>
      </c>
      <c r="J12" s="61" t="s">
        <v>110</v>
      </c>
      <c r="K12" s="68"/>
      <c r="L12" s="51">
        <f>ROUND(IF(ISBLANK(tblIncome8569[[#This Row],[보너스]]),INDEX('건설 부지에 따른 수치표'!$A$1:$D$13, MATCH(tblIncome8569[[#This Row],[건설 부지]], '건설 부지에 따른 수치표'!A:A, 0), MATCH(tblIncome856[[#Headers],[건설 비용 회수 시간]], '건설 부지에 따른 수치표'!$1:$1, 0))*tblIncome8569[[#This Row],[수익률]],INDEX('건설 부지에 따른 수치표'!$A$1:$D$13, MATCH(tblIncome8569[[#This Row],[건설 부지]], '건설 부지에 따른 수치표'!A:A, 0), MATCH(tblIncome856[[#Headers],[건설 비용 회수 시간]], '건설 부지에 따른 수치표'!$1:$1, 0))*tblIncome8569[[#This Row],[수익률]]*1.2), -1)</f>
        <v>38580</v>
      </c>
      <c r="M12" s="142">
        <v>10</v>
      </c>
      <c r="N12" s="62">
        <f>tblIncome8569[[#This Row],[수용량]]*tblIncome8569[[#This Row],[요금]]/tblIncome8569[[#This Row],[이용시간]]</f>
        <v>124.44444444444444</v>
      </c>
      <c r="O12" s="63">
        <f>tblIncome8569[[#This Row],[수익률]]/tblIncome8569[[#This Row],[건설 비용]]</f>
        <v>3.2256206439721215E-3</v>
      </c>
      <c r="P12" s="162">
        <f>tblIncome8569[[#This Row],[건설 비용]]/tblIncome8569[[#This Row],[수익률]]</f>
        <v>310.01785714285717</v>
      </c>
      <c r="Q12" s="64">
        <f>tblIncome8569[[#This Row],[수익률]]/tblIncome8569[[#This Row],[건설 부지]]</f>
        <v>12.444444444444445</v>
      </c>
      <c r="R12" s="218">
        <f>tblIncome8569[[#This Row],[수용량]]*tblIncome8569[[#This Row],[욕구 해소량]]/tblIncome8569[[#This Row],[이용시간]]</f>
        <v>88.888888888888886</v>
      </c>
      <c r="S12" s="90">
        <f>tblIncome8569[[#This Row],[요금]]/tblIncome8569[[#This Row],[욕구 해소량]]</f>
        <v>1.4</v>
      </c>
      <c r="T12" s="84">
        <f>tblIncome8569[[#This Row],[수용량]]/tblIncome8569[[#This Row],[이용시간]]</f>
        <v>1.1111111111111112</v>
      </c>
      <c r="U12" s="84" t="s">
        <v>403</v>
      </c>
      <c r="V12" s="65" t="s">
        <v>187</v>
      </c>
      <c r="W12" s="65"/>
    </row>
    <row r="13" spans="1:23" s="215" customFormat="1" ht="100.05" customHeight="1">
      <c r="A13" s="214"/>
      <c r="B13" s="197"/>
      <c r="C13" s="198"/>
      <c r="D13" s="199"/>
      <c r="E13" s="200"/>
      <c r="F13" s="201"/>
      <c r="G13" s="202"/>
      <c r="H13" s="203"/>
      <c r="I13" s="204"/>
      <c r="J13" s="202"/>
      <c r="K13" s="205"/>
      <c r="L13" s="201"/>
      <c r="M13" s="206"/>
      <c r="N13" s="207"/>
      <c r="O13" s="208"/>
      <c r="P13" s="209"/>
      <c r="Q13" s="210"/>
      <c r="R13" s="246"/>
      <c r="S13" s="211"/>
      <c r="T13" s="212"/>
      <c r="U13" s="212"/>
      <c r="V13" s="213"/>
      <c r="W13" s="213"/>
    </row>
    <row r="14" spans="1:23" ht="100.05" customHeight="1">
      <c r="A14" s="1"/>
      <c r="B14" s="197"/>
      <c r="C14" s="198"/>
      <c r="D14" s="199"/>
      <c r="E14" s="200"/>
      <c r="F14" s="201"/>
      <c r="G14" s="202"/>
      <c r="H14" s="203"/>
      <c r="I14" s="204"/>
      <c r="J14" s="202"/>
      <c r="K14" s="205"/>
      <c r="L14" s="201"/>
      <c r="M14" s="206"/>
      <c r="N14" s="207"/>
      <c r="O14" s="208"/>
      <c r="P14" s="209"/>
      <c r="Q14" s="210"/>
      <c r="R14" s="246"/>
      <c r="S14" s="211"/>
      <c r="T14" s="212"/>
      <c r="U14" s="212"/>
      <c r="V14" s="213"/>
      <c r="W14" s="213"/>
    </row>
    <row r="15" spans="1:23" ht="21" customHeight="1">
      <c r="A15" s="1"/>
      <c r="B15" s="12"/>
      <c r="C15" s="7"/>
      <c r="D15" s="7"/>
      <c r="E15" s="7"/>
      <c r="F15" s="7"/>
      <c r="G15" s="7"/>
      <c r="H15" s="7"/>
      <c r="I15" s="180"/>
      <c r="J15" s="7"/>
      <c r="K15" s="7"/>
      <c r="L15" s="7"/>
      <c r="M15" s="146"/>
      <c r="N15" s="7"/>
      <c r="O15" s="7"/>
      <c r="P15" s="164"/>
      <c r="Q15" s="7"/>
      <c r="R15" s="220"/>
      <c r="S15" s="7"/>
    </row>
    <row r="16" spans="1:23" ht="21" customHeight="1">
      <c r="A16" s="1"/>
      <c r="B16" s="46"/>
      <c r="C16" s="19"/>
      <c r="D16" s="19"/>
      <c r="E16" s="19"/>
      <c r="F16" s="19"/>
      <c r="G16" s="19"/>
      <c r="H16" s="19"/>
      <c r="I16" s="181"/>
      <c r="J16" s="19"/>
      <c r="K16" s="19"/>
      <c r="L16" s="19"/>
      <c r="M16" s="145"/>
      <c r="N16" s="19"/>
      <c r="O16" s="19"/>
      <c r="P16" s="165"/>
      <c r="Q16" s="19"/>
      <c r="R16" s="221"/>
      <c r="S16" s="17"/>
    </row>
    <row r="17" spans="1:23" ht="60" customHeight="1" thickBot="1">
      <c r="A17" s="1"/>
      <c r="B17" s="46"/>
      <c r="C17" s="152" t="s">
        <v>348</v>
      </c>
      <c r="D17" s="263" t="s">
        <v>490</v>
      </c>
      <c r="F17" s="19"/>
      <c r="G17" s="19"/>
      <c r="H17" s="319" t="s">
        <v>355</v>
      </c>
      <c r="I17" s="319"/>
      <c r="M17" s="2"/>
      <c r="Q17" s="19"/>
      <c r="R17" s="221"/>
      <c r="S17" s="17"/>
    </row>
    <row r="18" spans="1:23" ht="21" customHeight="1" thickTop="1" thickBot="1">
      <c r="A18" s="1"/>
      <c r="B18" s="138" t="s">
        <v>0</v>
      </c>
      <c r="C18" s="151" t="s">
        <v>2</v>
      </c>
      <c r="D18" s="324" t="s">
        <v>6</v>
      </c>
      <c r="E18" s="325"/>
      <c r="F18" s="326"/>
      <c r="G18" s="149" t="s">
        <v>295</v>
      </c>
      <c r="H18" s="342" t="s">
        <v>8</v>
      </c>
      <c r="I18" s="343"/>
      <c r="J18" s="324" t="s">
        <v>9</v>
      </c>
      <c r="K18" s="325"/>
      <c r="L18" s="326"/>
      <c r="M18" s="324" t="s">
        <v>100</v>
      </c>
      <c r="N18" s="325"/>
      <c r="O18" s="325"/>
      <c r="P18" s="167"/>
      <c r="Q18" s="19"/>
      <c r="R18" s="221"/>
      <c r="S18" s="17"/>
    </row>
    <row r="19" spans="1:23" ht="100.05" customHeight="1" thickTop="1" thickBot="1">
      <c r="A19" s="1"/>
      <c r="B19" s="140" t="s">
        <v>397</v>
      </c>
      <c r="C19" s="153"/>
      <c r="D19" s="320" t="s">
        <v>492</v>
      </c>
      <c r="E19" s="320"/>
      <c r="F19" s="320"/>
      <c r="G19" s="264">
        <f>0.05*1.5</f>
        <v>7.5000000000000011E-2</v>
      </c>
      <c r="H19" s="344">
        <v>1</v>
      </c>
      <c r="I19" s="345"/>
      <c r="J19" s="341" t="s">
        <v>391</v>
      </c>
      <c r="K19" s="341"/>
      <c r="L19" s="341"/>
      <c r="M19" s="341"/>
      <c r="N19" s="341"/>
      <c r="O19" s="341"/>
      <c r="P19" s="168"/>
      <c r="Q19" s="19"/>
      <c r="R19" s="221"/>
      <c r="S19" s="17"/>
    </row>
    <row r="20" spans="1:23" ht="100.05" customHeight="1" thickTop="1" thickBot="1">
      <c r="A20" s="1"/>
      <c r="B20" s="140" t="s">
        <v>373</v>
      </c>
      <c r="C20" s="150"/>
      <c r="D20" s="321" t="s">
        <v>360</v>
      </c>
      <c r="E20" s="322"/>
      <c r="F20" s="323"/>
      <c r="G20" s="264">
        <f>0.1*1.5</f>
        <v>0.15000000000000002</v>
      </c>
      <c r="H20" s="329">
        <v>2</v>
      </c>
      <c r="I20" s="331"/>
      <c r="J20" s="329" t="s">
        <v>400</v>
      </c>
      <c r="K20" s="330"/>
      <c r="L20" s="331"/>
      <c r="M20" s="327"/>
      <c r="N20" s="328"/>
      <c r="O20" s="328"/>
      <c r="P20" s="169"/>
      <c r="Q20" s="19"/>
      <c r="R20" s="221"/>
      <c r="S20" s="17"/>
    </row>
    <row r="21" spans="1:23" ht="100.05" customHeight="1" thickTop="1" thickBot="1">
      <c r="A21" s="1"/>
      <c r="B21" s="140" t="s">
        <v>398</v>
      </c>
      <c r="C21" s="150"/>
      <c r="D21" s="320" t="s">
        <v>347</v>
      </c>
      <c r="E21" s="320"/>
      <c r="F21" s="320"/>
      <c r="G21" s="264">
        <f>0.1</f>
        <v>0.1</v>
      </c>
      <c r="H21" s="329">
        <v>1</v>
      </c>
      <c r="I21" s="331"/>
      <c r="J21" s="329" t="s">
        <v>399</v>
      </c>
      <c r="K21" s="330"/>
      <c r="L21" s="331"/>
      <c r="M21" s="327" t="s">
        <v>358</v>
      </c>
      <c r="N21" s="328"/>
      <c r="O21" s="328"/>
      <c r="P21" s="169"/>
      <c r="Q21" s="19"/>
      <c r="R21" s="221"/>
      <c r="S21" s="17"/>
    </row>
    <row r="22" spans="1:23" ht="100.05" customHeight="1" thickTop="1" thickBot="1">
      <c r="A22" s="1"/>
      <c r="B22" s="155"/>
      <c r="C22" s="150"/>
      <c r="D22" s="320"/>
      <c r="E22" s="320"/>
      <c r="F22" s="320"/>
      <c r="G22" s="264"/>
      <c r="H22" s="154"/>
      <c r="I22" s="182"/>
      <c r="J22" s="329"/>
      <c r="K22" s="330"/>
      <c r="L22" s="331"/>
      <c r="M22" s="327"/>
      <c r="N22" s="328"/>
      <c r="O22" s="328"/>
      <c r="P22" s="169"/>
      <c r="Q22" s="19"/>
      <c r="R22" s="221"/>
      <c r="S22" s="17"/>
    </row>
    <row r="23" spans="1:23" ht="21" customHeight="1" thickTop="1">
      <c r="A23" s="1"/>
      <c r="B23" s="14"/>
      <c r="C23" s="19"/>
      <c r="D23" s="19"/>
      <c r="E23" s="19"/>
      <c r="F23" s="19"/>
      <c r="G23" s="19"/>
      <c r="H23" s="19"/>
      <c r="I23" s="181"/>
      <c r="J23" s="19"/>
      <c r="K23" s="19"/>
      <c r="L23" s="19"/>
      <c r="M23" s="145"/>
      <c r="N23" s="19"/>
      <c r="O23" s="19"/>
      <c r="P23" s="165"/>
      <c r="Q23" s="19"/>
      <c r="R23" s="221"/>
      <c r="S23" s="17"/>
    </row>
    <row r="24" spans="1:23" ht="21" customHeight="1">
      <c r="A24" s="1"/>
      <c r="B24" s="14"/>
      <c r="C24" s="19"/>
      <c r="D24" s="19"/>
      <c r="E24" s="19"/>
      <c r="F24" s="19"/>
      <c r="G24" s="19"/>
      <c r="H24" s="19"/>
      <c r="I24" s="181"/>
      <c r="J24" s="19"/>
      <c r="K24" s="19"/>
      <c r="L24" s="19"/>
      <c r="M24" s="145"/>
      <c r="N24" s="19"/>
      <c r="O24" s="19"/>
      <c r="P24" s="165"/>
      <c r="Q24" s="19"/>
      <c r="R24" s="221"/>
      <c r="S24" s="17"/>
    </row>
    <row r="25" spans="1:23" ht="21" customHeight="1">
      <c r="A25" s="1"/>
      <c r="B25" s="14"/>
      <c r="C25" s="19"/>
      <c r="D25" s="19"/>
      <c r="E25" s="19"/>
      <c r="F25" s="19"/>
      <c r="G25" s="19"/>
      <c r="H25" s="19"/>
      <c r="I25" s="181"/>
      <c r="J25" s="19"/>
      <c r="K25" s="19"/>
      <c r="L25" s="19"/>
      <c r="M25" s="145"/>
      <c r="N25" s="19"/>
      <c r="O25" s="19"/>
      <c r="P25" s="165"/>
      <c r="Q25" s="19"/>
      <c r="R25" s="221"/>
      <c r="S25" s="17"/>
    </row>
    <row r="26" spans="1:23" ht="21" customHeight="1">
      <c r="A26" s="1"/>
      <c r="B26" s="14"/>
      <c r="C26" s="19"/>
      <c r="D26" s="19"/>
      <c r="E26" s="19"/>
      <c r="F26" s="19"/>
      <c r="G26" s="19"/>
      <c r="H26" s="19"/>
      <c r="I26" s="181"/>
      <c r="J26" s="19"/>
      <c r="K26" s="19"/>
      <c r="L26" s="19"/>
      <c r="M26" s="145"/>
      <c r="N26" s="19"/>
      <c r="O26" s="19"/>
      <c r="P26" s="165"/>
      <c r="Q26" s="19"/>
      <c r="R26" s="221"/>
      <c r="S26" s="17"/>
    </row>
    <row r="27" spans="1:23" s="3" customFormat="1" ht="21" customHeight="1">
      <c r="B27" s="14"/>
      <c r="C27" s="19"/>
      <c r="D27" s="19"/>
      <c r="E27" s="19"/>
      <c r="F27" s="19"/>
      <c r="G27" s="19"/>
      <c r="H27" s="19"/>
      <c r="I27" s="181"/>
      <c r="J27" s="19"/>
      <c r="K27" s="19"/>
      <c r="L27" s="19"/>
      <c r="M27" s="145"/>
      <c r="N27" s="19"/>
      <c r="O27" s="19"/>
      <c r="P27" s="165"/>
      <c r="Q27" s="19"/>
      <c r="R27" s="221"/>
      <c r="S27" s="17"/>
      <c r="T27" s="2"/>
      <c r="U27" s="2"/>
      <c r="V27" s="2"/>
      <c r="W27" s="2"/>
    </row>
    <row r="28" spans="1:23" ht="21" customHeight="1">
      <c r="A28" s="1"/>
      <c r="B28" s="14"/>
      <c r="C28" s="19"/>
      <c r="D28" s="19"/>
      <c r="E28" s="19"/>
      <c r="F28" s="19"/>
      <c r="G28" s="19"/>
      <c r="H28" s="19"/>
      <c r="I28" s="181"/>
      <c r="J28" s="19"/>
      <c r="K28" s="19"/>
      <c r="L28" s="19"/>
      <c r="M28" s="145"/>
      <c r="N28" s="19"/>
      <c r="O28" s="19"/>
      <c r="P28" s="165"/>
      <c r="Q28" s="19"/>
      <c r="R28" s="221"/>
      <c r="S28" s="17"/>
    </row>
    <row r="29" spans="1:23" ht="21" customHeight="1">
      <c r="B29" s="14"/>
      <c r="C29" s="19"/>
      <c r="D29" s="19"/>
      <c r="E29" s="19"/>
      <c r="F29" s="19"/>
      <c r="G29" s="19"/>
      <c r="H29" s="19"/>
      <c r="I29" s="181"/>
      <c r="J29" s="19"/>
      <c r="K29" s="19"/>
      <c r="L29" s="19"/>
      <c r="M29" s="145"/>
      <c r="N29" s="19"/>
      <c r="O29" s="19"/>
      <c r="P29" s="165"/>
      <c r="Q29" s="19"/>
      <c r="R29" s="221"/>
      <c r="S29" s="17"/>
      <c r="T29" s="3"/>
      <c r="U29" s="3"/>
      <c r="V29" s="3"/>
      <c r="W29" s="3"/>
    </row>
    <row r="30" spans="1:23" ht="21" customHeight="1">
      <c r="B30" s="14"/>
      <c r="C30" s="20"/>
      <c r="D30" s="20"/>
      <c r="E30" s="20"/>
      <c r="F30" s="20"/>
      <c r="G30" s="20"/>
      <c r="H30" s="20"/>
      <c r="I30" s="183"/>
      <c r="J30" s="20"/>
      <c r="K30" s="20"/>
      <c r="L30" s="20"/>
      <c r="M30" s="145"/>
      <c r="N30" s="20"/>
      <c r="O30" s="20"/>
      <c r="P30" s="170"/>
      <c r="Q30" s="20"/>
      <c r="R30" s="222"/>
      <c r="S30" s="16"/>
    </row>
  </sheetData>
  <mergeCells count="20">
    <mergeCell ref="J19:L19"/>
    <mergeCell ref="M19:O19"/>
    <mergeCell ref="H18:I18"/>
    <mergeCell ref="H19:I19"/>
    <mergeCell ref="H17:I17"/>
    <mergeCell ref="M21:O21"/>
    <mergeCell ref="D22:F22"/>
    <mergeCell ref="J22:L22"/>
    <mergeCell ref="M22:O22"/>
    <mergeCell ref="D20:F20"/>
    <mergeCell ref="J20:L20"/>
    <mergeCell ref="M20:O20"/>
    <mergeCell ref="D21:F21"/>
    <mergeCell ref="J21:L21"/>
    <mergeCell ref="H20:I20"/>
    <mergeCell ref="H21:I21"/>
    <mergeCell ref="D18:F18"/>
    <mergeCell ref="J18:L18"/>
    <mergeCell ref="M18:O18"/>
    <mergeCell ref="D19:F19"/>
  </mergeCells>
  <phoneticPr fontId="6" type="noConversion"/>
  <hyperlinks>
    <hyperlink ref="M3" location="오락부지모양" display="부지 모양" xr:uid="{00000000-0004-0000-0700-000000000000}"/>
    <hyperlink ref="H17" location="음료부지모양" display="부지 모양" xr:uid="{448CE72A-8105-4ECD-90BD-5C48539EF488}"/>
    <hyperlink ref="H17:I17" location="오락_애드온_부지" display="부지 모양" xr:uid="{9F83B28C-0AB1-4105-AF8E-96707C3C3A0A}"/>
  </hyperlinks>
  <printOptions horizontalCentered="1"/>
  <pageMargins left="0.25" right="0.25" top="0.75" bottom="0.75" header="0.3" footer="0.3"/>
  <pageSetup scale="65" fitToHeight="0" orientation="landscape" r:id="rId1"/>
  <headerFooter differentFirst="1">
    <oddFooter>Page &amp;P of &amp;N</oddFooter>
  </headerFooter>
  <drawing r:id="rId2"/>
  <tableParts count="1">
    <tablePart r:id="rId3"/>
  </tableParts>
  <extLst>
    <ext xmlns:x14="http://schemas.microsoft.com/office/spreadsheetml/2009/9/main" uri="{05C60535-1F16-4fd2-B633-F4F36F0B64E0}">
      <x14:sparklineGroups xmlns:xm="http://schemas.microsoft.com/office/excel/2006/main">
        <x14:sparklineGroup manualMax="0" manualMin="0" type="column" displayEmptyCellsAs="gap" high="1" low="1" xr2:uid="{00000000-0003-0000-0700-00000B000000}">
          <x14:colorSeries theme="5"/>
          <x14:colorNegative rgb="FFFFB620"/>
          <x14:colorAxis rgb="FF000000"/>
          <x14:colorMarkers rgb="FFD70077"/>
          <x14:colorFirst rgb="FF777777"/>
          <x14:colorLast rgb="FF359CEB"/>
          <x14:colorHigh rgb="FFFF0000"/>
          <x14:colorLow rgb="FF92D050"/>
          <x14:sparklines>
            <x14:sparkline>
              <xm:f>오락!C30:O30</xm:f>
              <xm:sqref>S30</xm:sqref>
            </x14:sparkline>
          </x14:sparklines>
        </x14:sparklineGroup>
      </x14:sparklineGroup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5">
    <tabColor rgb="FFCDE488"/>
    <pageSetUpPr autoPageBreaks="0" fitToPage="1"/>
  </sheetPr>
  <dimension ref="A1:T28"/>
  <sheetViews>
    <sheetView showGridLines="0" zoomScale="85" zoomScaleNormal="85" workbookViewId="0">
      <selection activeCell="O9" sqref="O9"/>
    </sheetView>
  </sheetViews>
  <sheetFormatPr defaultColWidth="9.109375" defaultRowHeight="21" customHeight="1"/>
  <cols>
    <col min="1" max="1" width="1.44140625" style="2" customWidth="1"/>
    <col min="2" max="2" width="23.33203125" style="2" customWidth="1"/>
    <col min="3" max="3" width="18.5546875" style="2" customWidth="1"/>
    <col min="4" max="6" width="12.6640625" style="2" customWidth="1"/>
    <col min="7" max="7" width="25.77734375" style="2" customWidth="1"/>
    <col min="8" max="9" width="13.6640625" style="2" customWidth="1"/>
    <col min="10" max="10" width="12.6640625" style="2" customWidth="1"/>
    <col min="11" max="11" width="18" style="2" customWidth="1"/>
    <col min="12" max="12" width="12.6640625" style="2" customWidth="1"/>
    <col min="13" max="13" width="12.6640625" style="143" customWidth="1"/>
    <col min="14" max="14" width="12.6640625" style="2" customWidth="1"/>
    <col min="15" max="15" width="10.6640625" style="2" customWidth="1"/>
    <col min="16" max="16" width="10.6640625" style="166" customWidth="1"/>
    <col min="17" max="17" width="15.33203125" style="2" customWidth="1"/>
    <col min="18" max="18" width="11.77734375" style="2" customWidth="1"/>
    <col min="19" max="19" width="55.109375" style="2" customWidth="1"/>
    <col min="20" max="20" width="23" style="2" customWidth="1"/>
    <col min="21" max="16384" width="9.109375" style="2"/>
  </cols>
  <sheetData>
    <row r="1" spans="1:20" ht="64.2" customHeight="1">
      <c r="A1" s="1"/>
      <c r="C1" s="26" t="s">
        <v>61</v>
      </c>
      <c r="D1" s="21"/>
      <c r="J1" s="1"/>
      <c r="K1" s="1"/>
      <c r="N1" s="1"/>
      <c r="O1" s="3"/>
      <c r="P1" s="159"/>
      <c r="Q1" s="3"/>
      <c r="R1" s="3"/>
    </row>
    <row r="2" spans="1:20" ht="21" customHeight="1">
      <c r="A2" s="1"/>
      <c r="B2" s="4"/>
      <c r="C2" s="29" t="s">
        <v>477</v>
      </c>
      <c r="D2" s="27"/>
      <c r="E2" s="23"/>
      <c r="F2" s="25"/>
      <c r="G2" s="25"/>
      <c r="H2" s="25"/>
      <c r="I2" s="1"/>
      <c r="J2" s="1"/>
      <c r="K2" s="1"/>
      <c r="L2" s="1"/>
      <c r="M2" s="144"/>
      <c r="N2" s="1"/>
      <c r="O2" s="3"/>
      <c r="P2" s="159"/>
    </row>
    <row r="3" spans="1:20" ht="21" customHeight="1" thickBo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48" t="s">
        <v>356</v>
      </c>
      <c r="N3" s="1"/>
      <c r="O3" s="1"/>
      <c r="P3" s="160"/>
      <c r="Q3" s="1"/>
      <c r="R3" s="1"/>
    </row>
    <row r="4" spans="1:20" s="245" customFormat="1" ht="42" customHeight="1" thickTop="1" thickBot="1">
      <c r="A4" s="239"/>
      <c r="B4" s="240" t="s">
        <v>0</v>
      </c>
      <c r="C4" s="241" t="s">
        <v>2</v>
      </c>
      <c r="D4" s="240" t="s">
        <v>1</v>
      </c>
      <c r="E4" s="240" t="s">
        <v>23</v>
      </c>
      <c r="F4" s="240" t="s">
        <v>3</v>
      </c>
      <c r="G4" s="240" t="s">
        <v>4</v>
      </c>
      <c r="H4" s="243" t="s">
        <v>440</v>
      </c>
      <c r="I4" s="243" t="s">
        <v>439</v>
      </c>
      <c r="J4" s="243" t="s">
        <v>5</v>
      </c>
      <c r="K4" s="243" t="s">
        <v>6</v>
      </c>
      <c r="L4" s="244" t="s">
        <v>7</v>
      </c>
      <c r="M4" s="244" t="s">
        <v>8</v>
      </c>
      <c r="N4" s="224" t="s">
        <v>11</v>
      </c>
      <c r="O4" s="224" t="s">
        <v>438</v>
      </c>
      <c r="P4" s="225" t="s">
        <v>437</v>
      </c>
      <c r="Q4" s="224" t="s">
        <v>21</v>
      </c>
      <c r="R4" s="224" t="s">
        <v>70</v>
      </c>
      <c r="S4" s="240" t="s">
        <v>9</v>
      </c>
      <c r="T4" s="240" t="s">
        <v>72</v>
      </c>
    </row>
    <row r="5" spans="1:20" s="11" customFormat="1" ht="99.6" customHeight="1">
      <c r="A5" s="5"/>
      <c r="B5" s="24" t="s">
        <v>62</v>
      </c>
      <c r="C5" s="48"/>
      <c r="D5" s="49">
        <v>2</v>
      </c>
      <c r="E5" s="50">
        <v>7</v>
      </c>
      <c r="F5" s="51">
        <v>18</v>
      </c>
      <c r="G5" s="52"/>
      <c r="H5" s="52" t="s">
        <v>63</v>
      </c>
      <c r="I5" s="67">
        <v>100</v>
      </c>
      <c r="J5" s="52" t="s">
        <v>63</v>
      </c>
      <c r="K5" s="67"/>
      <c r="L5" s="51">
        <f>ROUND(IF(ISBLANK(tblIncome8567[[#This Row],[보너스]]),INDEX('건설 부지에 따른 수치표'!$A$1:$D$13, MATCH(tblIncome8567[[#This Row],[건설 부지]], '건설 부지에 따른 수치표'!A:A, 0), MATCH(tblIncome856[[#Headers],[건설 비용 회수 시간]], '건설 부지에 따른 수치표'!$1:$1, 0))*tblIncome8567[[#This Row],[수익률]],INDEX('건설 부지에 따른 수치표'!$A$1:$D$13, MATCH(tblIncome8567[[#This Row],[건설 부지]], '건설 부지에 따른 수치표'!A:A, 0), MATCH(tblIncome856[[#Headers],[건설 비용 회수 시간]], '건설 부지에 따른 수치표'!$1:$1, 0))*tblIncome8567[[#This Row],[수익률]]*1.2)*1.8, -1)</f>
        <v>560</v>
      </c>
      <c r="M5" s="141">
        <v>2</v>
      </c>
      <c r="N5" s="53">
        <f>tblIncome8567[[#This Row],[수용량]]*tblIncome8567[[#This Row],[요금]]/tblIncome8567[[#This Row],[이용시간]]</f>
        <v>5.1428571428571432</v>
      </c>
      <c r="O5" s="54">
        <f>tblIncome8567[[#This Row],[수익률]]/tblIncome8567[[#This Row],[건설 비용]]</f>
        <v>9.1836734693877559E-3</v>
      </c>
      <c r="P5" s="161">
        <f>tblIncome8567[[#This Row],[건설 비용]]/tblIncome8567[[#This Row],[수익률]]</f>
        <v>108.88888888888889</v>
      </c>
      <c r="Q5" s="55">
        <f>tblIncome8567[[#This Row],[수익률]]/tblIncome8567[[#This Row],[건설 부지]]</f>
        <v>2.5714285714285716</v>
      </c>
      <c r="R5" s="84">
        <f>tblIncome8567[[#This Row],[수용량]]/tblIncome8567[[#This Row],[이용시간]]</f>
        <v>0.2857142857142857</v>
      </c>
      <c r="S5" s="56" t="s">
        <v>66</v>
      </c>
      <c r="T5" s="86"/>
    </row>
    <row r="6" spans="1:20" ht="100.05" customHeight="1">
      <c r="A6" s="1"/>
      <c r="B6" s="24" t="s">
        <v>68</v>
      </c>
      <c r="C6" s="57"/>
      <c r="D6" s="58">
        <v>6</v>
      </c>
      <c r="E6" s="59">
        <v>9</v>
      </c>
      <c r="F6" s="60">
        <v>20</v>
      </c>
      <c r="G6" s="61"/>
      <c r="H6" s="52" t="s">
        <v>63</v>
      </c>
      <c r="I6" s="67">
        <v>100</v>
      </c>
      <c r="J6" s="61" t="s">
        <v>63</v>
      </c>
      <c r="K6" s="68"/>
      <c r="L6" s="51">
        <f>ROUND(IF(ISBLANK(tblIncome8567[[#This Row],[보너스]]),INDEX('건설 부지에 따른 수치표'!$A$1:$D$13, MATCH(tblIncome8567[[#This Row],[건설 부지]], '건설 부지에 따른 수치표'!A:A, 0), MATCH(tblIncome856[[#Headers],[건설 비용 회수 시간]], '건설 부지에 따른 수치표'!$1:$1, 0))*tblIncome8567[[#This Row],[수익률]],INDEX('건설 부지에 따른 수치표'!$A$1:$D$13, MATCH(tblIncome8567[[#This Row],[건설 부지]], '건설 부지에 따른 수치표'!A:A, 0), MATCH(tblIncome856[[#Headers],[건설 비용 회수 시간]], '건설 부지에 따른 수치표'!$1:$1, 0))*tblIncome8567[[#This Row],[수익률]]*1.2)*1.8, -1)</f>
        <v>2280</v>
      </c>
      <c r="M6" s="142">
        <v>4</v>
      </c>
      <c r="N6" s="62">
        <f>tblIncome8567[[#This Row],[수용량]]*tblIncome8567[[#This Row],[요금]]/tblIncome8567[[#This Row],[이용시간]]</f>
        <v>13.333333333333334</v>
      </c>
      <c r="O6" s="63">
        <f>tblIncome8567[[#This Row],[수익률]]/tblIncome8567[[#This Row],[건설 비용]]</f>
        <v>5.8479532163742695E-3</v>
      </c>
      <c r="P6" s="162">
        <f>tblIncome8567[[#This Row],[건설 비용]]/tblIncome8567[[#This Row],[수익률]]</f>
        <v>171</v>
      </c>
      <c r="Q6" s="64">
        <f>tblIncome8567[[#This Row],[수익률]]/tblIncome8567[[#This Row],[건설 부지]]</f>
        <v>3.3333333333333335</v>
      </c>
      <c r="R6" s="84">
        <f>tblIncome8567[[#This Row],[수용량]]/tblIncome8567[[#This Row],[이용시간]]</f>
        <v>0.66666666666666663</v>
      </c>
      <c r="S6" s="65" t="s">
        <v>67</v>
      </c>
      <c r="T6" s="87" t="s">
        <v>81</v>
      </c>
    </row>
    <row r="7" spans="1:20" ht="100.05" customHeight="1">
      <c r="A7" s="1"/>
      <c r="B7" s="24" t="s">
        <v>69</v>
      </c>
      <c r="C7" s="57"/>
      <c r="D7" s="58">
        <v>10</v>
      </c>
      <c r="E7" s="59">
        <v>10</v>
      </c>
      <c r="F7" s="60">
        <v>20</v>
      </c>
      <c r="G7" s="61"/>
      <c r="H7" s="52" t="s">
        <v>63</v>
      </c>
      <c r="I7" s="67">
        <v>100</v>
      </c>
      <c r="J7" s="61" t="s">
        <v>63</v>
      </c>
      <c r="K7" s="68"/>
      <c r="L7" s="51">
        <f>ROUND(IF(ISBLANK(tblIncome8567[[#This Row],[보너스]]),INDEX('건설 부지에 따른 수치표'!$A$1:$D$13, MATCH(tblIncome8567[[#This Row],[건설 부지]], '건설 부지에 따른 수치표'!A:A, 0), MATCH(tblIncome856[[#Headers],[건설 비용 회수 시간]], '건설 부지에 따른 수치표'!$1:$1, 0))*tblIncome8567[[#This Row],[수익률]],INDEX('건설 부지에 따른 수치표'!$A$1:$D$13, MATCH(tblIncome8567[[#This Row],[건설 부지]], '건설 부지에 따른 수치표'!A:A, 0), MATCH(tblIncome856[[#Headers],[건설 비용 회수 시간]], '건설 부지에 따른 수치표'!$1:$1, 0))*tblIncome8567[[#This Row],[수익률]]*1.2)*1.8, -1)</f>
        <v>5400</v>
      </c>
      <c r="M7" s="142">
        <v>6</v>
      </c>
      <c r="N7" s="62">
        <f>tblIncome8567[[#This Row],[수용량]]*tblIncome8567[[#This Row],[요금]]/tblIncome8567[[#This Row],[이용시간]]</f>
        <v>20</v>
      </c>
      <c r="O7" s="63">
        <f>tblIncome8567[[#This Row],[수익률]]/tblIncome8567[[#This Row],[건설 비용]]</f>
        <v>3.7037037037037038E-3</v>
      </c>
      <c r="P7" s="162">
        <f>tblIncome8567[[#This Row],[건설 비용]]/tblIncome8567[[#This Row],[수익률]]</f>
        <v>270</v>
      </c>
      <c r="Q7" s="64">
        <f>tblIncome8567[[#This Row],[수익률]]/tblIncome8567[[#This Row],[건설 부지]]</f>
        <v>3.3333333333333335</v>
      </c>
      <c r="R7" s="84">
        <f>tblIncome8567[[#This Row],[수용량]]/tblIncome8567[[#This Row],[이용시간]]</f>
        <v>1</v>
      </c>
      <c r="S7" s="65" t="s">
        <v>71</v>
      </c>
      <c r="T7" s="86"/>
    </row>
    <row r="8" spans="1:20" s="15" customFormat="1" ht="100.05" customHeight="1">
      <c r="A8" s="13"/>
      <c r="B8" s="24" t="s">
        <v>73</v>
      </c>
      <c r="C8" s="57"/>
      <c r="D8" s="58">
        <v>16</v>
      </c>
      <c r="E8" s="59">
        <v>12</v>
      </c>
      <c r="F8" s="60">
        <v>28</v>
      </c>
      <c r="G8" s="61"/>
      <c r="H8" s="52" t="s">
        <v>63</v>
      </c>
      <c r="I8" s="67">
        <v>100</v>
      </c>
      <c r="J8" s="61" t="s">
        <v>63</v>
      </c>
      <c r="K8" s="68"/>
      <c r="L8" s="51">
        <f>ROUND(IF(ISBLANK(tblIncome8567[[#This Row],[보너스]]),INDEX('건설 부지에 따른 수치표'!$A$1:$D$13, MATCH(tblIncome8567[[#This Row],[건설 부지]], '건설 부지에 따른 수치표'!A:A, 0), MATCH(tblIncome856[[#Headers],[건설 비용 회수 시간]], '건설 부지에 따른 수치표'!$1:$1, 0))*tblIncome8567[[#This Row],[수익률]],INDEX('건설 부지에 따른 수치표'!$A$1:$D$13, MATCH(tblIncome8567[[#This Row],[건설 부지]], '건설 부지에 따른 수치표'!A:A, 0), MATCH(tblIncome856[[#Headers],[건설 비용 회수 시간]], '건설 부지에 따른 수치표'!$1:$1, 0))*tblIncome8567[[#This Row],[수익률]]*1.2)*1.8, -1)</f>
        <v>15790</v>
      </c>
      <c r="M8" s="142">
        <v>8</v>
      </c>
      <c r="N8" s="62">
        <f>tblIncome8567[[#This Row],[수용량]]*tblIncome8567[[#This Row],[요금]]/tblIncome8567[[#This Row],[이용시간]]</f>
        <v>37.333333333333336</v>
      </c>
      <c r="O8" s="63">
        <f>tblIncome8567[[#This Row],[수익률]]/tblIncome8567[[#This Row],[건설 비용]]</f>
        <v>2.3643656322567025E-3</v>
      </c>
      <c r="P8" s="162">
        <f>tblIncome8567[[#This Row],[건설 비용]]/tblIncome8567[[#This Row],[수익률]]</f>
        <v>422.94642857142856</v>
      </c>
      <c r="Q8" s="64">
        <f>tblIncome8567[[#This Row],[수익률]]/tblIncome8567[[#This Row],[건설 부지]]</f>
        <v>4.666666666666667</v>
      </c>
      <c r="R8" s="84">
        <f>tblIncome8567[[#This Row],[수용량]]/tblIncome8567[[#This Row],[이용시간]]</f>
        <v>1.3333333333333333</v>
      </c>
      <c r="S8" s="65" t="s">
        <v>84</v>
      </c>
      <c r="T8" s="86"/>
    </row>
    <row r="9" spans="1:20" s="9" customFormat="1" ht="100.05" customHeight="1">
      <c r="B9" s="24" t="s">
        <v>86</v>
      </c>
      <c r="C9" s="57"/>
      <c r="D9" s="58">
        <v>30</v>
      </c>
      <c r="E9" s="59">
        <v>14</v>
      </c>
      <c r="F9" s="60">
        <v>30</v>
      </c>
      <c r="G9" s="61"/>
      <c r="H9" s="52" t="s">
        <v>63</v>
      </c>
      <c r="I9" s="67">
        <v>100</v>
      </c>
      <c r="J9" s="61" t="s">
        <v>63</v>
      </c>
      <c r="K9" s="68"/>
      <c r="L9" s="51">
        <f>ROUND(IF(ISBLANK(tblIncome8567[[#This Row],[보너스]]),INDEX('건설 부지에 따른 수치표'!$A$1:$D$13, MATCH(tblIncome8567[[#This Row],[건설 부지]], '건설 부지에 따른 수치표'!A:A, 0), MATCH(tblIncome856[[#Headers],[건설 비용 회수 시간]], '건설 부지에 따른 수치표'!$1:$1, 0))*tblIncome8567[[#This Row],[수익률]],INDEX('건설 부지에 따른 수치표'!$A$1:$D$13, MATCH(tblIncome8567[[#This Row],[건설 부지]], '건설 부지에 따른 수치표'!A:A, 0), MATCH(tblIncome856[[#Headers],[건설 비용 회수 시간]], '건설 부지에 따른 수치표'!$1:$1, 0))*tblIncome8567[[#This Row],[수익률]]*1.2)*1.8, -1)</f>
        <v>38190</v>
      </c>
      <c r="M9" s="142">
        <v>12</v>
      </c>
      <c r="N9" s="62">
        <f>tblIncome8567[[#This Row],[수용량]]*tblIncome8567[[#This Row],[요금]]/tblIncome8567[[#This Row],[이용시간]]</f>
        <v>64.285714285714292</v>
      </c>
      <c r="O9" s="63">
        <f>tblIncome8567[[#This Row],[수익률]]/tblIncome8567[[#This Row],[건설 비용]]</f>
        <v>1.6833127595107173E-3</v>
      </c>
      <c r="P9" s="162">
        <f>tblIncome8567[[#This Row],[건설 비용]]/tblIncome8567[[#This Row],[수익률]]</f>
        <v>594.06666666666661</v>
      </c>
      <c r="Q9" s="64">
        <f>tblIncome8567[[#This Row],[수익률]]/tblIncome8567[[#This Row],[건설 부지]]</f>
        <v>5.3571428571428577</v>
      </c>
      <c r="R9" s="84">
        <f>tblIncome8567[[#This Row],[수용량]]/tblIncome8567[[#This Row],[이용시간]]</f>
        <v>2.1428571428571428</v>
      </c>
      <c r="S9" s="65" t="s">
        <v>85</v>
      </c>
      <c r="T9" s="86"/>
    </row>
    <row r="10" spans="1:20" s="15" customFormat="1" ht="100.05" customHeight="1">
      <c r="A10" s="13"/>
      <c r="B10"/>
      <c r="C10"/>
      <c r="D10"/>
      <c r="E10"/>
      <c r="F10"/>
      <c r="G10"/>
      <c r="H10"/>
      <c r="I10"/>
      <c r="J10"/>
      <c r="K10"/>
      <c r="L10"/>
      <c r="M10" s="147"/>
      <c r="N10"/>
      <c r="O10"/>
      <c r="P10" s="172"/>
      <c r="Q10"/>
      <c r="R10"/>
      <c r="S10"/>
      <c r="T10"/>
    </row>
    <row r="11" spans="1:20" ht="21" customHeight="1">
      <c r="A11" s="1"/>
      <c r="B11" s="45"/>
      <c r="C11" s="45"/>
      <c r="D11" s="45"/>
      <c r="E11" s="45"/>
      <c r="F11" s="45"/>
      <c r="G11" s="45"/>
      <c r="H11" s="45"/>
      <c r="I11" s="45"/>
      <c r="J11" s="45"/>
      <c r="K11" s="45"/>
      <c r="L11" s="45"/>
      <c r="M11" s="147"/>
      <c r="N11" s="45"/>
      <c r="O11" s="45"/>
      <c r="P11" s="173"/>
      <c r="Q11" s="45"/>
      <c r="R11" s="11"/>
    </row>
    <row r="12" spans="1:20" ht="21" customHeight="1">
      <c r="A12" s="1"/>
      <c r="B12" s="69"/>
      <c r="C12" s="69"/>
      <c r="D12" s="69"/>
      <c r="E12" s="69"/>
      <c r="F12" s="69"/>
      <c r="G12" s="69"/>
      <c r="H12" s="171"/>
      <c r="I12" s="69"/>
      <c r="J12" s="69"/>
      <c r="K12" s="69"/>
      <c r="L12" s="69"/>
      <c r="M12" s="139"/>
      <c r="N12" s="69"/>
      <c r="O12" s="69"/>
      <c r="P12" s="163"/>
      <c r="Q12" s="69"/>
      <c r="R12" s="69"/>
    </row>
    <row r="13" spans="1:20" ht="21" customHeight="1">
      <c r="A13" s="1"/>
      <c r="B13" s="12"/>
      <c r="C13" s="7"/>
      <c r="D13" s="7"/>
      <c r="E13" s="7"/>
      <c r="F13" s="7"/>
      <c r="G13" s="7"/>
      <c r="H13" s="7"/>
      <c r="I13" s="7"/>
      <c r="J13" s="7"/>
      <c r="K13" s="7"/>
      <c r="L13" s="7"/>
      <c r="M13" s="146"/>
      <c r="N13" s="7"/>
      <c r="O13" s="7"/>
      <c r="P13" s="164"/>
      <c r="Q13" s="7"/>
      <c r="R13" s="7"/>
    </row>
    <row r="14" spans="1:20" ht="21" customHeight="1">
      <c r="A14" s="1"/>
      <c r="B14" s="46"/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45"/>
      <c r="N14" s="19"/>
      <c r="O14" s="19"/>
      <c r="P14" s="165"/>
      <c r="Q14" s="19"/>
      <c r="R14" s="17"/>
    </row>
    <row r="15" spans="1:20" ht="21" customHeight="1">
      <c r="A15" s="1"/>
      <c r="B15" s="46"/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45"/>
      <c r="N15" s="19"/>
      <c r="O15" s="19"/>
      <c r="P15" s="165"/>
      <c r="Q15" s="19"/>
      <c r="R15" s="17"/>
    </row>
    <row r="16" spans="1:20" ht="21" customHeight="1">
      <c r="A16" s="1"/>
      <c r="B16" s="46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45"/>
      <c r="N16" s="19"/>
      <c r="O16" s="19"/>
      <c r="P16" s="165"/>
      <c r="Q16" s="19"/>
      <c r="R16" s="17"/>
    </row>
    <row r="17" spans="1:18" ht="21" customHeight="1">
      <c r="A17" s="1"/>
      <c r="B17" s="14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45"/>
      <c r="N17" s="19"/>
      <c r="O17" s="19"/>
      <c r="P17" s="165"/>
      <c r="Q17" s="19"/>
      <c r="R17" s="17"/>
    </row>
    <row r="18" spans="1:18" ht="21" customHeight="1">
      <c r="A18" s="1"/>
      <c r="B18" s="14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45"/>
      <c r="N18" s="19"/>
      <c r="O18" s="19"/>
      <c r="P18" s="165"/>
      <c r="Q18" s="19"/>
      <c r="R18" s="17"/>
    </row>
    <row r="19" spans="1:18" ht="21" customHeight="1">
      <c r="A19" s="1"/>
      <c r="B19" s="14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45"/>
      <c r="N19" s="19"/>
      <c r="O19" s="19"/>
      <c r="P19" s="165"/>
      <c r="Q19" s="19"/>
      <c r="R19" s="17"/>
    </row>
    <row r="20" spans="1:18" ht="21" customHeight="1">
      <c r="A20" s="1"/>
      <c r="B20" s="14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45"/>
      <c r="N20" s="19"/>
      <c r="O20" s="19"/>
      <c r="P20" s="165"/>
      <c r="Q20" s="19"/>
      <c r="R20" s="17"/>
    </row>
    <row r="21" spans="1:18" ht="21" customHeight="1">
      <c r="A21" s="1"/>
      <c r="B21" s="14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45"/>
      <c r="N21" s="19"/>
      <c r="O21" s="19"/>
      <c r="P21" s="165"/>
      <c r="Q21" s="19"/>
      <c r="R21" s="17"/>
    </row>
    <row r="22" spans="1:18" ht="21" customHeight="1">
      <c r="A22" s="1"/>
      <c r="B22" s="14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45"/>
      <c r="N22" s="19"/>
      <c r="O22" s="19"/>
      <c r="P22" s="165"/>
      <c r="Q22" s="19"/>
      <c r="R22" s="17"/>
    </row>
    <row r="23" spans="1:18" ht="21" customHeight="1">
      <c r="A23" s="1"/>
      <c r="B23" s="14"/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45"/>
      <c r="N23" s="19"/>
      <c r="O23" s="19"/>
      <c r="P23" s="165"/>
      <c r="Q23" s="19"/>
      <c r="R23" s="17"/>
    </row>
    <row r="24" spans="1:18" ht="21" customHeight="1">
      <c r="A24" s="1"/>
      <c r="B24" s="14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45"/>
      <c r="N24" s="19"/>
      <c r="O24" s="19"/>
      <c r="P24" s="165"/>
      <c r="Q24" s="19"/>
      <c r="R24" s="17"/>
    </row>
    <row r="25" spans="1:18" ht="21" customHeight="1">
      <c r="A25" s="1"/>
      <c r="B25" s="14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45"/>
      <c r="N25" s="19"/>
      <c r="O25" s="19"/>
      <c r="P25" s="165"/>
      <c r="Q25" s="19"/>
      <c r="R25" s="17"/>
    </row>
    <row r="26" spans="1:18" ht="21" customHeight="1">
      <c r="A26" s="1"/>
      <c r="B26" s="14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45"/>
      <c r="N26" s="19"/>
      <c r="O26" s="19"/>
      <c r="P26" s="165"/>
      <c r="Q26" s="19"/>
      <c r="R26" s="17"/>
    </row>
    <row r="27" spans="1:18" s="3" customFormat="1" ht="21" customHeight="1">
      <c r="B27" s="14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45"/>
      <c r="N27" s="19"/>
      <c r="O27" s="19"/>
      <c r="P27" s="165"/>
      <c r="Q27" s="19"/>
      <c r="R27" s="17"/>
    </row>
    <row r="28" spans="1:18" ht="21" customHeight="1">
      <c r="A28" s="1"/>
      <c r="B28" s="14"/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145"/>
      <c r="N28" s="20"/>
      <c r="O28" s="20"/>
      <c r="P28" s="170"/>
      <c r="Q28" s="20"/>
      <c r="R28" s="16"/>
    </row>
  </sheetData>
  <phoneticPr fontId="6" type="noConversion"/>
  <hyperlinks>
    <hyperlink ref="M3" location="성소부지모양" display="부지 모양" xr:uid="{00000000-0004-0000-0800-000000000000}"/>
  </hyperlinks>
  <printOptions horizontalCentered="1"/>
  <pageMargins left="0.25" right="0.25" top="0.75" bottom="0.75" header="0.3" footer="0.3"/>
  <pageSetup scale="65" fitToHeight="0" orientation="landscape" r:id="rId1"/>
  <headerFooter differentFirst="1">
    <oddFooter>Page &amp;P of &amp;N</oddFooter>
  </headerFooter>
  <drawing r:id="rId2"/>
  <tableParts count="1">
    <tablePart r:id="rId3"/>
  </tableParts>
  <extLst>
    <ext xmlns:x14="http://schemas.microsoft.com/office/spreadsheetml/2009/9/main" uri="{05C60535-1F16-4fd2-B633-F4F36F0B64E0}">
      <x14:sparklineGroups xmlns:xm="http://schemas.microsoft.com/office/excel/2006/main">
        <x14:sparklineGroup manualMax="0" manualMin="0" type="column" displayEmptyCellsAs="gap" high="1" low="1" xr2:uid="{00000000-0003-0000-0800-00000D000000}">
          <x14:colorSeries theme="5"/>
          <x14:colorNegative rgb="FFFFB620"/>
          <x14:colorAxis rgb="FF000000"/>
          <x14:colorMarkers rgb="FFD70077"/>
          <x14:colorFirst rgb="FF777777"/>
          <x14:colorLast rgb="FF359CEB"/>
          <x14:colorHigh rgb="FFFF0000"/>
          <x14:colorLow rgb="FF92D050"/>
          <x14:sparklines>
            <x14:sparkline>
              <xm:f>성소!C28:O28</xm:f>
              <xm:sqref>R28</xm:sqref>
            </x14:sparkline>
          </x14:sparklines>
        </x14:sparklineGroup>
        <x14:sparklineGroup manualMax="0" manualMin="0" displayEmptyCellsAs="span" markers="1" high="1" low="1" displayHidden="1" xr2:uid="{00000000-0003-0000-0800-00000C000000}">
          <x14:colorSeries theme="5" tint="0.39997558519241921"/>
          <x14:colorNegative theme="0" tint="-0.499984740745262"/>
          <x14:colorAxis rgb="FF000000"/>
          <x14:colorMarkers theme="5"/>
          <x14:colorFirst theme="6" tint="-0.249977111117893"/>
          <x14:colorLast theme="6" tint="-0.249977111117893"/>
          <x14:colorHigh theme="5"/>
          <x14:colorLow rgb="FFFF0000"/>
          <x14:sparklines>
            <x14:sparkline>
              <xm:f>성소!C14:O14</xm:f>
              <xm:sqref>R14</xm:sqref>
            </x14:sparkline>
            <x14:sparkline>
              <xm:f>성소!C15:O15</xm:f>
              <xm:sqref>R15</xm:sqref>
            </x14:sparkline>
            <x14:sparkline>
              <xm:f>성소!C16:O16</xm:f>
              <xm:sqref>R16</xm:sqref>
            </x14:sparkline>
            <x14:sparkline>
              <xm:f>성소!C17:O17</xm:f>
              <xm:sqref>R17</xm:sqref>
            </x14:sparkline>
            <x14:sparkline>
              <xm:f>성소!C18:O18</xm:f>
              <xm:sqref>R18</xm:sqref>
            </x14:sparkline>
            <x14:sparkline>
              <xm:f>성소!C19:O19</xm:f>
              <xm:sqref>R19</xm:sqref>
            </x14:sparkline>
            <x14:sparkline>
              <xm:f>성소!C20:O20</xm:f>
              <xm:sqref>R20</xm:sqref>
            </x14:sparkline>
            <x14:sparkline>
              <xm:f>성소!C21:O21</xm:f>
              <xm:sqref>R21</xm:sqref>
            </x14:sparkline>
            <x14:sparkline>
              <xm:f>성소!C22:O22</xm:f>
              <xm:sqref>R22</xm:sqref>
            </x14:sparkline>
            <x14:sparkline>
              <xm:f>성소!C23:O23</xm:f>
              <xm:sqref>R23</xm:sqref>
            </x14:sparkline>
            <x14:sparkline>
              <xm:f>성소!C24:O24</xm:f>
              <xm:sqref>R24</xm:sqref>
            </x14:sparkline>
            <x14:sparkline>
              <xm:f>성소!C25:O25</xm:f>
              <xm:sqref>R25</xm:sqref>
            </x14:sparkline>
            <x14:sparkline>
              <xm:f>성소!C26:O26</xm:f>
              <xm:sqref>R26</xm:sqref>
            </x14:sparkline>
            <x14:sparkline>
              <xm:f>성소!C27:O27</xm:f>
              <xm:sqref>R27</xm:sqref>
            </x14:sparkline>
          </x14:sparklines>
        </x14:sparklineGroup>
      </x14:sparklineGroup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C8F8AB-3537-4F4B-832B-9E49BA50363D}">
  <dimension ref="A1:G13"/>
  <sheetViews>
    <sheetView zoomScaleNormal="100" workbookViewId="0">
      <selection activeCell="J48" sqref="J48"/>
    </sheetView>
  </sheetViews>
  <sheetFormatPr defaultColWidth="8.77734375" defaultRowHeight="19.2"/>
  <cols>
    <col min="1" max="1" width="10.77734375" style="247" customWidth="1"/>
    <col min="2" max="2" width="11.44140625" style="247" customWidth="1"/>
    <col min="3" max="3" width="12.88671875" style="247" customWidth="1"/>
    <col min="4" max="4" width="8.77734375" style="247"/>
    <col min="5" max="5" width="13" style="247" customWidth="1"/>
    <col min="6" max="16384" width="8.77734375" style="247"/>
  </cols>
  <sheetData>
    <row r="1" spans="1:7" s="248" customFormat="1" ht="35.4" customHeight="1">
      <c r="A1" s="248" t="s">
        <v>8</v>
      </c>
      <c r="B1" s="248" t="s">
        <v>79</v>
      </c>
      <c r="C1" s="248" t="s">
        <v>437</v>
      </c>
      <c r="D1" s="248" t="s">
        <v>483</v>
      </c>
    </row>
    <row r="2" spans="1:7">
      <c r="A2" s="247">
        <v>1</v>
      </c>
    </row>
    <row r="3" spans="1:7">
      <c r="A3" s="247">
        <v>2</v>
      </c>
      <c r="B3" s="247">
        <v>0.2</v>
      </c>
      <c r="C3" s="247">
        <v>60</v>
      </c>
      <c r="D3" s="247">
        <v>50</v>
      </c>
      <c r="G3" s="247" t="s">
        <v>499</v>
      </c>
    </row>
    <row r="4" spans="1:7">
      <c r="A4" s="247">
        <v>3</v>
      </c>
      <c r="B4" s="247">
        <v>0.25</v>
      </c>
      <c r="C4" s="247">
        <v>70</v>
      </c>
      <c r="D4" s="247">
        <v>60</v>
      </c>
      <c r="G4" s="247" t="s">
        <v>500</v>
      </c>
    </row>
    <row r="5" spans="1:7">
      <c r="A5" s="247">
        <v>4</v>
      </c>
      <c r="B5" s="247">
        <v>0.35</v>
      </c>
      <c r="C5" s="247">
        <v>95</v>
      </c>
      <c r="D5" s="247">
        <v>80</v>
      </c>
      <c r="G5" s="247" t="s">
        <v>554</v>
      </c>
    </row>
    <row r="6" spans="1:7">
      <c r="A6" s="247">
        <v>5</v>
      </c>
      <c r="B6" s="247">
        <v>0.5</v>
      </c>
      <c r="C6" s="247">
        <v>120</v>
      </c>
      <c r="D6" s="247">
        <v>100</v>
      </c>
      <c r="G6" s="247" t="s">
        <v>484</v>
      </c>
    </row>
    <row r="7" spans="1:7">
      <c r="A7" s="247">
        <v>6</v>
      </c>
      <c r="B7" s="247">
        <v>0.7</v>
      </c>
      <c r="C7" s="247">
        <v>150</v>
      </c>
      <c r="D7" s="247">
        <v>130</v>
      </c>
    </row>
    <row r="8" spans="1:7">
      <c r="A8" s="247">
        <v>7</v>
      </c>
      <c r="B8" s="247">
        <v>0.9</v>
      </c>
      <c r="C8" s="247">
        <v>190</v>
      </c>
      <c r="D8" s="247">
        <v>170</v>
      </c>
    </row>
    <row r="9" spans="1:7">
      <c r="A9" s="247">
        <v>8</v>
      </c>
      <c r="B9" s="247">
        <v>1.1000000000000001</v>
      </c>
      <c r="C9" s="247">
        <v>235</v>
      </c>
      <c r="D9" s="247">
        <v>210</v>
      </c>
    </row>
    <row r="10" spans="1:7">
      <c r="A10" s="247">
        <v>9</v>
      </c>
      <c r="B10" s="247">
        <v>1.35</v>
      </c>
      <c r="C10" s="247">
        <v>300</v>
      </c>
      <c r="D10" s="247">
        <v>270</v>
      </c>
    </row>
    <row r="11" spans="1:7">
      <c r="A11" s="247">
        <v>10</v>
      </c>
      <c r="B11" s="247">
        <v>1.4</v>
      </c>
      <c r="C11" s="247">
        <v>310</v>
      </c>
      <c r="D11" s="247">
        <v>280</v>
      </c>
    </row>
    <row r="12" spans="1:7">
      <c r="A12" s="247">
        <v>11</v>
      </c>
      <c r="B12" s="247">
        <v>1.45</v>
      </c>
      <c r="C12" s="247">
        <v>320</v>
      </c>
      <c r="D12" s="247">
        <v>290</v>
      </c>
    </row>
    <row r="13" spans="1:7">
      <c r="A13" s="247">
        <v>12</v>
      </c>
      <c r="B13" s="247">
        <v>1.5</v>
      </c>
      <c r="C13" s="247">
        <v>330</v>
      </c>
      <c r="D13" s="247">
        <v>300</v>
      </c>
    </row>
  </sheetData>
  <phoneticPr fontId="6" type="noConversion"/>
  <pageMargins left="0.7" right="0.7" top="0.75" bottom="0.75" header="0.3" footer="0.3"/>
  <pageSetup paperSize="9"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80C618-FA69-429D-ABD4-2077555699DA}">
  <dimension ref="A1:N20"/>
  <sheetViews>
    <sheetView zoomScale="98" zoomScaleNormal="98" workbookViewId="0">
      <selection activeCell="I8" sqref="I8"/>
    </sheetView>
  </sheetViews>
  <sheetFormatPr defaultRowHeight="15.6"/>
  <cols>
    <col min="14" max="14" width="24.109375" customWidth="1"/>
  </cols>
  <sheetData>
    <row r="1" spans="1:14" ht="25.95" customHeight="1" thickBot="1">
      <c r="A1" s="223" t="s">
        <v>449</v>
      </c>
      <c r="B1" s="346" t="s">
        <v>450</v>
      </c>
      <c r="C1" s="346"/>
      <c r="D1" s="346"/>
      <c r="E1" s="346"/>
      <c r="F1" s="346"/>
      <c r="G1" s="346"/>
      <c r="H1" s="346" t="s">
        <v>451</v>
      </c>
      <c r="I1" s="346"/>
      <c r="J1" s="346"/>
      <c r="K1" s="346"/>
      <c r="L1" s="346"/>
      <c r="M1" s="346"/>
      <c r="N1" s="346" t="s">
        <v>452</v>
      </c>
    </row>
    <row r="2" spans="1:14" ht="16.2" thickBot="1">
      <c r="A2" s="346" t="s">
        <v>460</v>
      </c>
      <c r="B2" s="346" t="s">
        <v>453</v>
      </c>
      <c r="C2" s="346"/>
      <c r="D2" s="346"/>
      <c r="E2" s="346" t="s">
        <v>454</v>
      </c>
      <c r="F2" s="346"/>
      <c r="G2" s="346"/>
      <c r="H2" s="346" t="s">
        <v>453</v>
      </c>
      <c r="I2" s="346"/>
      <c r="J2" s="346"/>
      <c r="K2" s="346" t="s">
        <v>454</v>
      </c>
      <c r="L2" s="346"/>
      <c r="M2" s="346"/>
      <c r="N2" s="346"/>
    </row>
    <row r="3" spans="1:14" ht="16.2" thickBot="1">
      <c r="A3" s="346"/>
      <c r="B3" s="223" t="s">
        <v>458</v>
      </c>
      <c r="C3" s="223" t="s">
        <v>154</v>
      </c>
      <c r="D3" s="223" t="s">
        <v>459</v>
      </c>
      <c r="E3" s="223" t="s">
        <v>458</v>
      </c>
      <c r="F3" s="223" t="s">
        <v>154</v>
      </c>
      <c r="G3" s="223" t="s">
        <v>459</v>
      </c>
      <c r="H3" s="223" t="s">
        <v>458</v>
      </c>
      <c r="I3" s="223" t="s">
        <v>154</v>
      </c>
      <c r="J3" s="223" t="s">
        <v>459</v>
      </c>
      <c r="K3" s="223" t="s">
        <v>458</v>
      </c>
      <c r="L3" s="223" t="s">
        <v>154</v>
      </c>
      <c r="M3" s="223" t="s">
        <v>459</v>
      </c>
      <c r="N3" s="346"/>
    </row>
    <row r="4" spans="1:14" ht="40.049999999999997" customHeight="1" thickBot="1">
      <c r="A4" s="223" t="s">
        <v>46</v>
      </c>
      <c r="B4" s="233">
        <v>0</v>
      </c>
      <c r="C4" s="233">
        <f t="shared" ref="C4:C10" si="0">(모험가_욕구_최소_초기치+모험가_욕구_최대_초기치)/2</f>
        <v>20</v>
      </c>
      <c r="D4" s="233">
        <v>40</v>
      </c>
      <c r="E4" s="233">
        <v>0.5</v>
      </c>
      <c r="F4" s="233">
        <f t="shared" ref="F4:F12" si="1">(모험가_욕구_최소_생성량+모험가_욕구_최대_생성량)/2</f>
        <v>0.8</v>
      </c>
      <c r="G4" s="233">
        <v>1.1000000000000001</v>
      </c>
      <c r="H4" s="233">
        <v>10</v>
      </c>
      <c r="I4" s="233">
        <f t="shared" ref="I4:I10" si="2">(관광객_욕구_최소_초기치+관광객_욕구_최대_초기치)/2</f>
        <v>25</v>
      </c>
      <c r="J4" s="233">
        <v>40</v>
      </c>
      <c r="K4" s="233">
        <v>0.5</v>
      </c>
      <c r="L4" s="233">
        <f t="shared" ref="L4:L10" si="3">(관광객_욕구_최소_생성량+관광객_욕구_최대_생성량)/2</f>
        <v>0.8</v>
      </c>
      <c r="M4" s="233">
        <v>1.1000000000000001</v>
      </c>
      <c r="N4" s="347" t="s">
        <v>455</v>
      </c>
    </row>
    <row r="5" spans="1:14" ht="40.049999999999997" customHeight="1" thickBot="1">
      <c r="A5" s="223" t="s">
        <v>44</v>
      </c>
      <c r="B5" s="233">
        <v>0</v>
      </c>
      <c r="C5" s="233">
        <f t="shared" si="0"/>
        <v>20</v>
      </c>
      <c r="D5" s="233">
        <v>40</v>
      </c>
      <c r="E5" s="233">
        <v>0.5</v>
      </c>
      <c r="F5" s="233">
        <f t="shared" si="1"/>
        <v>0.8</v>
      </c>
      <c r="G5" s="233">
        <v>1.1000000000000001</v>
      </c>
      <c r="H5" s="233">
        <v>10</v>
      </c>
      <c r="I5" s="233">
        <f t="shared" si="2"/>
        <v>25</v>
      </c>
      <c r="J5" s="233">
        <v>40</v>
      </c>
      <c r="K5" s="233">
        <v>0.5</v>
      </c>
      <c r="L5" s="233">
        <f t="shared" si="3"/>
        <v>0.8</v>
      </c>
      <c r="M5" s="233">
        <v>1.1000000000000001</v>
      </c>
      <c r="N5" s="347"/>
    </row>
    <row r="6" spans="1:14" ht="40.049999999999997" customHeight="1" thickBot="1">
      <c r="A6" s="223" t="s">
        <v>74</v>
      </c>
      <c r="B6" s="233">
        <v>0</v>
      </c>
      <c r="C6" s="233">
        <f t="shared" si="0"/>
        <v>10</v>
      </c>
      <c r="D6" s="233">
        <v>20</v>
      </c>
      <c r="E6" s="233">
        <v>0.3</v>
      </c>
      <c r="F6" s="233">
        <f t="shared" si="1"/>
        <v>0.6</v>
      </c>
      <c r="G6" s="233">
        <v>0.9</v>
      </c>
      <c r="H6" s="233">
        <v>15</v>
      </c>
      <c r="I6" s="233">
        <f t="shared" si="2"/>
        <v>22.5</v>
      </c>
      <c r="J6" s="233">
        <v>30</v>
      </c>
      <c r="K6" s="233">
        <v>0.3</v>
      </c>
      <c r="L6" s="233">
        <f t="shared" si="3"/>
        <v>0.6</v>
      </c>
      <c r="M6" s="233">
        <v>0.9</v>
      </c>
      <c r="N6" s="347"/>
    </row>
    <row r="7" spans="1:14" ht="40.049999999999997" customHeight="1" thickBot="1">
      <c r="A7" s="223" t="s">
        <v>285</v>
      </c>
      <c r="B7" s="233">
        <v>0</v>
      </c>
      <c r="C7" s="233">
        <f t="shared" si="0"/>
        <v>5</v>
      </c>
      <c r="D7" s="233">
        <v>10</v>
      </c>
      <c r="E7" s="233">
        <v>0.1</v>
      </c>
      <c r="F7" s="233">
        <f t="shared" si="1"/>
        <v>0.2</v>
      </c>
      <c r="G7" s="233">
        <v>0.3</v>
      </c>
      <c r="H7" s="233">
        <v>50</v>
      </c>
      <c r="I7" s="233">
        <f t="shared" si="2"/>
        <v>60</v>
      </c>
      <c r="J7" s="233">
        <v>70</v>
      </c>
      <c r="K7" s="233">
        <v>0.7</v>
      </c>
      <c r="L7" s="233">
        <f t="shared" si="3"/>
        <v>1</v>
      </c>
      <c r="M7" s="233">
        <v>1.3</v>
      </c>
      <c r="N7" s="347"/>
    </row>
    <row r="8" spans="1:14" ht="40.049999999999997" customHeight="1" thickBot="1">
      <c r="A8" s="223" t="s">
        <v>190</v>
      </c>
      <c r="B8" s="233">
        <v>0</v>
      </c>
      <c r="C8" s="233">
        <f t="shared" si="0"/>
        <v>10</v>
      </c>
      <c r="D8" s="233">
        <v>20</v>
      </c>
      <c r="E8" s="233">
        <v>0.3</v>
      </c>
      <c r="F8" s="233">
        <f t="shared" si="1"/>
        <v>0.6</v>
      </c>
      <c r="G8" s="233">
        <v>0.9</v>
      </c>
      <c r="H8" s="233">
        <v>0</v>
      </c>
      <c r="I8" s="233">
        <f t="shared" si="2"/>
        <v>15</v>
      </c>
      <c r="J8" s="233">
        <v>30</v>
      </c>
      <c r="K8" s="233">
        <v>0.3</v>
      </c>
      <c r="L8" s="233">
        <f t="shared" si="3"/>
        <v>0.6</v>
      </c>
      <c r="M8" s="233">
        <v>0.9</v>
      </c>
      <c r="N8" s="347"/>
    </row>
    <row r="9" spans="1:14" ht="40.049999999999997" customHeight="1" thickBot="1">
      <c r="A9" s="223" t="s">
        <v>105</v>
      </c>
      <c r="B9" s="233">
        <v>0</v>
      </c>
      <c r="C9" s="233">
        <f t="shared" si="0"/>
        <v>10</v>
      </c>
      <c r="D9" s="233">
        <v>20</v>
      </c>
      <c r="E9" s="233">
        <v>0.3</v>
      </c>
      <c r="F9" s="233">
        <f t="shared" si="1"/>
        <v>0.6</v>
      </c>
      <c r="G9" s="233">
        <v>0.9</v>
      </c>
      <c r="H9" s="233">
        <v>20</v>
      </c>
      <c r="I9" s="233">
        <f t="shared" si="2"/>
        <v>30</v>
      </c>
      <c r="J9" s="233">
        <v>40</v>
      </c>
      <c r="K9" s="233">
        <v>0.3</v>
      </c>
      <c r="L9" s="233">
        <f t="shared" si="3"/>
        <v>0.6</v>
      </c>
      <c r="M9" s="233">
        <v>0.9</v>
      </c>
      <c r="N9" s="347"/>
    </row>
    <row r="10" spans="1:14" ht="40.049999999999997" customHeight="1" thickBot="1">
      <c r="A10" s="346" t="s">
        <v>127</v>
      </c>
      <c r="B10" s="233">
        <v>0</v>
      </c>
      <c r="C10" s="233">
        <f t="shared" si="0"/>
        <v>15</v>
      </c>
      <c r="D10" s="233">
        <v>30</v>
      </c>
      <c r="E10" s="233">
        <v>15</v>
      </c>
      <c r="F10" s="233">
        <f t="shared" si="1"/>
        <v>15</v>
      </c>
      <c r="G10" s="233">
        <v>15</v>
      </c>
      <c r="H10" s="233">
        <v>0</v>
      </c>
      <c r="I10" s="233">
        <f t="shared" si="2"/>
        <v>0</v>
      </c>
      <c r="J10" s="233">
        <v>0</v>
      </c>
      <c r="K10" s="233">
        <v>0</v>
      </c>
      <c r="L10" s="233">
        <f t="shared" si="3"/>
        <v>0</v>
      </c>
      <c r="M10" s="233">
        <v>0</v>
      </c>
      <c r="N10" s="232" t="s">
        <v>456</v>
      </c>
    </row>
    <row r="11" spans="1:14" ht="40.049999999999997" customHeight="1" thickBot="1">
      <c r="A11" s="346"/>
      <c r="B11" s="233"/>
      <c r="C11" s="233"/>
      <c r="D11" s="233"/>
      <c r="E11" s="233">
        <v>20</v>
      </c>
      <c r="F11" s="233">
        <f t="shared" si="1"/>
        <v>20</v>
      </c>
      <c r="G11" s="233">
        <v>20</v>
      </c>
      <c r="H11" s="233"/>
      <c r="I11" s="233"/>
      <c r="J11" s="233"/>
      <c r="K11" s="233"/>
      <c r="L11" s="233"/>
      <c r="M11" s="233"/>
      <c r="N11" s="238" t="s">
        <v>457</v>
      </c>
    </row>
    <row r="12" spans="1:14" ht="40.049999999999997" customHeight="1" thickBot="1">
      <c r="A12" s="223" t="s">
        <v>63</v>
      </c>
      <c r="B12" s="233">
        <v>0</v>
      </c>
      <c r="C12" s="233">
        <f>(모험가_욕구_최소_초기치+모험가_욕구_최대_초기치)/2</f>
        <v>0</v>
      </c>
      <c r="D12" s="233">
        <v>0</v>
      </c>
      <c r="E12" s="233">
        <v>100</v>
      </c>
      <c r="F12" s="233">
        <f t="shared" si="1"/>
        <v>100</v>
      </c>
      <c r="G12" s="233">
        <v>100</v>
      </c>
      <c r="H12" s="233">
        <v>0</v>
      </c>
      <c r="I12" s="233">
        <f>(관광객_욕구_최소_초기치+관광객_욕구_최대_초기치)/2</f>
        <v>0</v>
      </c>
      <c r="J12" s="233">
        <v>0</v>
      </c>
      <c r="K12" s="233">
        <v>0</v>
      </c>
      <c r="L12" s="233">
        <f>(관광객_욕구_최소_생성량+관광객_욕구_최대_생성량)/2</f>
        <v>0</v>
      </c>
      <c r="M12" s="233">
        <v>0</v>
      </c>
      <c r="N12" s="232" t="s">
        <v>461</v>
      </c>
    </row>
    <row r="13" spans="1:14">
      <c r="A13" s="227"/>
      <c r="B13" s="230"/>
      <c r="C13" s="230"/>
      <c r="D13" s="228"/>
      <c r="E13" s="230"/>
      <c r="F13" s="230"/>
      <c r="G13" s="228"/>
      <c r="H13" s="230"/>
      <c r="I13" s="230"/>
      <c r="J13" s="228"/>
      <c r="K13" s="230"/>
      <c r="L13" s="230"/>
      <c r="M13" s="228"/>
      <c r="N13" s="229"/>
    </row>
    <row r="14" spans="1:14">
      <c r="A14" s="227"/>
      <c r="B14" s="230"/>
      <c r="C14" s="230"/>
      <c r="D14" s="228"/>
      <c r="E14" s="230"/>
      <c r="F14" s="230"/>
      <c r="G14" s="228"/>
      <c r="H14" s="230"/>
      <c r="I14" s="230"/>
      <c r="J14" s="228"/>
      <c r="K14" s="230"/>
      <c r="L14" s="230"/>
      <c r="M14" s="228"/>
      <c r="N14" s="230"/>
    </row>
    <row r="15" spans="1:14">
      <c r="A15" s="227"/>
      <c r="B15" s="230"/>
      <c r="C15" s="230"/>
      <c r="D15" s="228"/>
      <c r="E15" s="230"/>
      <c r="F15" s="230"/>
      <c r="G15" s="228"/>
      <c r="H15" s="230"/>
      <c r="I15" s="230"/>
      <c r="J15" s="228"/>
      <c r="K15" s="230"/>
      <c r="L15" s="230"/>
      <c r="M15" s="228"/>
      <c r="N15" s="230"/>
    </row>
    <row r="16" spans="1:14">
      <c r="A16" s="227"/>
      <c r="B16" s="230"/>
      <c r="C16" s="230"/>
      <c r="D16" s="228"/>
      <c r="E16" s="230"/>
      <c r="F16" s="230"/>
      <c r="G16" s="228"/>
      <c r="H16" s="230"/>
      <c r="I16" s="230"/>
      <c r="J16" s="228"/>
      <c r="K16" s="230"/>
      <c r="L16" s="230"/>
      <c r="M16" s="228"/>
      <c r="N16" s="230"/>
    </row>
    <row r="17" spans="1:14">
      <c r="A17" s="227"/>
      <c r="B17" s="228"/>
      <c r="C17" s="228"/>
      <c r="D17" s="228"/>
      <c r="E17" s="228"/>
      <c r="F17" s="228"/>
      <c r="G17" s="228"/>
      <c r="H17" s="228"/>
      <c r="I17" s="228"/>
      <c r="J17" s="228"/>
      <c r="K17" s="228"/>
      <c r="L17" s="228"/>
      <c r="M17" s="228"/>
      <c r="N17" s="231"/>
    </row>
    <row r="18" spans="1:14">
      <c r="A18" s="227"/>
      <c r="B18" s="228"/>
      <c r="C18" s="228"/>
      <c r="D18" s="228"/>
      <c r="E18" s="228"/>
      <c r="F18" s="228"/>
      <c r="G18" s="228"/>
      <c r="H18" s="228"/>
      <c r="I18" s="228"/>
      <c r="J18" s="228"/>
      <c r="K18" s="228"/>
      <c r="L18" s="228"/>
      <c r="M18" s="228"/>
      <c r="N18" s="231"/>
    </row>
    <row r="19" spans="1:14" ht="16.05" customHeight="1">
      <c r="A19" s="227"/>
      <c r="B19" s="230"/>
      <c r="C19" s="230"/>
      <c r="D19" s="228"/>
      <c r="E19" s="230"/>
      <c r="F19" s="230"/>
      <c r="G19" s="228"/>
      <c r="H19" s="230"/>
      <c r="I19" s="230"/>
      <c r="J19" s="228"/>
      <c r="K19" s="230"/>
      <c r="L19" s="230"/>
      <c r="M19" s="228"/>
      <c r="N19" s="348"/>
    </row>
    <row r="20" spans="1:14">
      <c r="A20" s="227"/>
      <c r="B20" s="230"/>
      <c r="C20" s="230"/>
      <c r="D20" s="228"/>
      <c r="E20" s="230"/>
      <c r="F20" s="230"/>
      <c r="G20" s="228"/>
      <c r="H20" s="230"/>
      <c r="I20" s="230"/>
      <c r="J20" s="228"/>
      <c r="K20" s="230"/>
      <c r="L20" s="230"/>
      <c r="M20" s="228"/>
      <c r="N20" s="348"/>
    </row>
  </sheetData>
  <mergeCells count="11">
    <mergeCell ref="A2:A3"/>
    <mergeCell ref="N4:N9"/>
    <mergeCell ref="A10:A11"/>
    <mergeCell ref="N19:N20"/>
    <mergeCell ref="B1:G1"/>
    <mergeCell ref="H1:M1"/>
    <mergeCell ref="B2:D2"/>
    <mergeCell ref="E2:G2"/>
    <mergeCell ref="H2:J2"/>
    <mergeCell ref="K2:M2"/>
    <mergeCell ref="N1:N3"/>
  </mergeCells>
  <phoneticPr fontId="6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7A1BE-0FF8-414D-902E-5C9BF6A8015D}">
  <dimension ref="A1:B16"/>
  <sheetViews>
    <sheetView workbookViewId="0">
      <selection activeCell="B2" sqref="B2"/>
    </sheetView>
  </sheetViews>
  <sheetFormatPr defaultColWidth="8.77734375" defaultRowHeight="19.2"/>
  <cols>
    <col min="1" max="1" width="19.5546875" style="125" customWidth="1"/>
    <col min="2" max="2" width="12.77734375" style="125" customWidth="1"/>
    <col min="3" max="3" width="20" style="125" customWidth="1"/>
    <col min="4" max="4" width="33" style="125" customWidth="1"/>
    <col min="5" max="5" width="8.77734375" style="125" customWidth="1"/>
    <col min="6" max="16384" width="8.77734375" style="125"/>
  </cols>
  <sheetData>
    <row r="1" spans="1:2">
      <c r="A1" s="349" t="s">
        <v>467</v>
      </c>
      <c r="B1" s="350"/>
    </row>
    <row r="2" spans="1:2" ht="19.8" thickBot="1">
      <c r="A2" s="261" t="s">
        <v>462</v>
      </c>
      <c r="B2" s="262">
        <v>1600</v>
      </c>
    </row>
    <row r="6" spans="1:2" ht="19.8" thickBot="1"/>
    <row r="7" spans="1:2">
      <c r="A7" s="349" t="s">
        <v>468</v>
      </c>
      <c r="B7" s="350"/>
    </row>
    <row r="8" spans="1:2" ht="40.049999999999997" customHeight="1">
      <c r="A8" s="257" t="s">
        <v>463</v>
      </c>
      <c r="B8" s="258">
        <v>500</v>
      </c>
    </row>
    <row r="9" spans="1:2" ht="49.95" customHeight="1">
      <c r="A9" s="351" t="s">
        <v>469</v>
      </c>
      <c r="B9" s="352"/>
    </row>
    <row r="10" spans="1:2" ht="40.049999999999997" customHeight="1">
      <c r="A10" s="257" t="s">
        <v>464</v>
      </c>
      <c r="B10" s="258">
        <v>100</v>
      </c>
    </row>
    <row r="11" spans="1:2" ht="40.049999999999997" customHeight="1">
      <c r="A11" s="257" t="s">
        <v>465</v>
      </c>
      <c r="B11" s="258">
        <v>50</v>
      </c>
    </row>
    <row r="12" spans="1:2">
      <c r="A12" s="257" t="s">
        <v>466</v>
      </c>
      <c r="B12" s="258">
        <v>30</v>
      </c>
    </row>
    <row r="13" spans="1:2" ht="19.8" thickBot="1">
      <c r="A13" s="259" t="s">
        <v>471</v>
      </c>
      <c r="B13" s="260">
        <v>11</v>
      </c>
    </row>
    <row r="14" spans="1:2">
      <c r="A14" s="234"/>
    </row>
    <row r="15" spans="1:2">
      <c r="A15" s="234"/>
    </row>
    <row r="16" spans="1:2">
      <c r="A16" s="353"/>
      <c r="B16" s="353"/>
    </row>
  </sheetData>
  <mergeCells count="4">
    <mergeCell ref="A1:B1"/>
    <mergeCell ref="A7:B7"/>
    <mergeCell ref="A9:B9"/>
    <mergeCell ref="A16:B16"/>
  </mergeCells>
  <phoneticPr fontId="6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54C00C-E450-4928-BDA8-704CACF61385}">
  <dimension ref="A1:L25"/>
  <sheetViews>
    <sheetView tabSelected="1" topLeftCell="A4" workbookViewId="0">
      <selection activeCell="K20" sqref="K20"/>
    </sheetView>
  </sheetViews>
  <sheetFormatPr defaultColWidth="8.77734375" defaultRowHeight="19.2"/>
  <cols>
    <col min="1" max="1" width="12.6640625" style="125" customWidth="1"/>
    <col min="2" max="2" width="18.77734375" style="125" customWidth="1"/>
    <col min="3" max="3" width="18.33203125" style="125" customWidth="1"/>
    <col min="4" max="4" width="18.77734375" style="125" customWidth="1"/>
    <col min="5" max="5" width="10.33203125" style="125" customWidth="1"/>
    <col min="6" max="6" width="22.21875" style="125" customWidth="1"/>
    <col min="7" max="7" width="17.77734375" style="125" customWidth="1"/>
    <col min="8" max="8" width="21.77734375" style="125" customWidth="1"/>
    <col min="9" max="9" width="14.109375" style="125" customWidth="1"/>
    <col min="10" max="10" width="12.6640625" style="125" customWidth="1"/>
    <col min="11" max="11" width="17.6640625" style="189" customWidth="1"/>
    <col min="12" max="12" width="12.6640625" style="125" customWidth="1"/>
    <col min="13" max="13" width="22.44140625" style="125" customWidth="1"/>
    <col min="14" max="16384" width="8.77734375" style="125"/>
  </cols>
  <sheetData>
    <row r="1" spans="1:11">
      <c r="A1" s="275" t="s">
        <v>480</v>
      </c>
      <c r="B1" s="276" t="s">
        <v>473</v>
      </c>
      <c r="C1" s="276" t="s">
        <v>482</v>
      </c>
      <c r="D1" s="276" t="s">
        <v>476</v>
      </c>
      <c r="E1" s="276" t="s">
        <v>474</v>
      </c>
      <c r="F1" s="276" t="s">
        <v>11</v>
      </c>
      <c r="G1" s="276" t="s">
        <v>7</v>
      </c>
      <c r="H1" s="276" t="s">
        <v>475</v>
      </c>
      <c r="I1" s="276" t="s">
        <v>501</v>
      </c>
      <c r="J1" s="286" t="s">
        <v>498</v>
      </c>
      <c r="K1" s="287" t="s">
        <v>507</v>
      </c>
    </row>
    <row r="2" spans="1:11">
      <c r="A2" s="283" t="s">
        <v>46</v>
      </c>
      <c r="B2" s="271">
        <f>(VLOOKUP(A2,'캐릭터 욕구 생성 표'!A1:N12, 6, FALSE) + VLOOKUP(A2,'캐릭터 욕구 생성 표'!A1:N12, 12, FALSE))/2*최대_캐릭터_수</f>
        <v>400</v>
      </c>
      <c r="C2" s="271" cm="1">
        <f t="array" ref="C2">INDEX(ref!$A$1:$G$9,MATCH('밸런스 계산'!A2,ref!$A:$A,0), MATCH($C$1,ref!2:2, 0)+1)</f>
        <v>5</v>
      </c>
      <c r="D2" s="272" cm="1">
        <f t="array" ref="D2">INDEX(음료!A1:W12, C2, MATCH("초당 욕구 해소량", 음료!4:4, 0))</f>
        <v>45</v>
      </c>
      <c r="E2" s="272">
        <f t="shared" ref="E2:E8" si="0">ROUND(최대_욕구_생성량/가게당_초당_욕구_해소량, 0)</f>
        <v>9</v>
      </c>
      <c r="F2" s="271" cm="1">
        <f t="array" ref="F2">INDEX(음료!$A$1:$W$12, C2, MATCH("수익률", 음료!$4:$4, 0))</f>
        <v>9</v>
      </c>
      <c r="G2" s="271" cm="1">
        <f t="array" ref="G2">INDEX(음료!$A$1:$W$12, C2, MATCH("건설 비용", 음료!$4:$4, 0))</f>
        <v>650</v>
      </c>
      <c r="H2" s="272" cm="1">
        <f t="array" ref="H2">INDEX(음료!A1:W12, C2, MATCH("수익률", 음료!4:4, 0))*E2</f>
        <v>81</v>
      </c>
      <c r="I2" s="272" cm="1">
        <f t="array" ref="I2">INDEX(음료!A1:W12, C2, MATCH("건설 비용", 음료!4:4, 0))*E2</f>
        <v>5850</v>
      </c>
      <c r="J2" s="273">
        <f>건설_비용*SUMIF(ref!$A$18:$A$37, "&lt;"&amp;$E2, ref!B$18:B$37)</f>
        <v>196.2896825396825</v>
      </c>
      <c r="K2" s="288">
        <f>IF($C$1=ref!A13,(건설_비용*SUMIFS(ref!B18:B37,ref!A18:A37,"&lt;"&amp;E2,ref!A18:A37,"&gt;"&amp;I14)), "해당 없음")</f>
        <v>87.956349206349202</v>
      </c>
    </row>
    <row r="3" spans="1:11">
      <c r="A3" s="283" t="s">
        <v>44</v>
      </c>
      <c r="B3" s="271">
        <f>(VLOOKUP(A3,'캐릭터 욕구 생성 표'!A2:N13, 6, FALSE) + VLOOKUP(A3,'캐릭터 욕구 생성 표'!A2:N13, 12, FALSE))/2*최대_캐릭터_수</f>
        <v>400</v>
      </c>
      <c r="C3" s="271" cm="1">
        <f t="array" ref="C3">INDEX(ref!$A$1:$G$9,MATCH('밸런스 계산'!A3,ref!$A:$A,0), MATCH($C$1,ref!3:3, 0)+1)</f>
        <v>5</v>
      </c>
      <c r="D3" s="272" cm="1">
        <f t="array" ref="D3">INDEX(음식!A1:W12, C3, MATCH("초당 욕구 해소량", 음식!4:4, 0))</f>
        <v>40</v>
      </c>
      <c r="E3" s="272">
        <f t="shared" si="0"/>
        <v>10</v>
      </c>
      <c r="F3" s="271" cm="1">
        <f t="array" ref="F3">INDEX(음식!$A$1:$W$12, C3, MATCH("수익률", 음식!$4:$4, 0))</f>
        <v>8</v>
      </c>
      <c r="G3" s="271" cm="1">
        <f t="array" ref="G3">INDEX(음식!$A$1:$W$12, C3, MATCH("건설 비용", 음식!$4:$4, 0))</f>
        <v>580</v>
      </c>
      <c r="H3" s="272" cm="1">
        <f t="array" ref="H3">INDEX(음식!A1:W12, C3, MATCH("수익률", 음식!4:4, 0))*E3</f>
        <v>80</v>
      </c>
      <c r="I3" s="272" cm="1">
        <f t="array" ref="I3">INDEX(음식!A1:W12, C3, MATCH("건설 비용", 음식!4:4, 0))*E3</f>
        <v>5800</v>
      </c>
      <c r="J3" s="273">
        <f>건설_비용*SUMIF(ref!$A$18:$A$37, "&lt;="&amp;$E3, ref!$C$18:$C$37)</f>
        <v>51.627220865983318</v>
      </c>
      <c r="K3" s="289"/>
    </row>
    <row r="4" spans="1:11">
      <c r="A4" s="283" t="s">
        <v>74</v>
      </c>
      <c r="B4" s="271">
        <f>(VLOOKUP(A4,'캐릭터 욕구 생성 표'!A3:N14, 6, FALSE) + VLOOKUP(A4,'캐릭터 욕구 생성 표'!A3:N14, 12, FALSE))/2*최대_캐릭터_수</f>
        <v>300</v>
      </c>
      <c r="C4" s="271" cm="1">
        <f t="array" ref="C4">INDEX(ref!$A$1:$G$9,MATCH('밸런스 계산'!A4,ref!$A:$A,0), MATCH($C$1,ref!4:4, 0)+1)</f>
        <v>5</v>
      </c>
      <c r="D4" s="272">
        <f>INDEX(숙박!A1:W12, MATCH(MAX(숙박!S:S), 숙박!S:S, 0), MATCH("초당 욕구 해소량", 숙박!4:4, 0))</f>
        <v>57</v>
      </c>
      <c r="E4" s="272">
        <f t="shared" si="0"/>
        <v>5</v>
      </c>
      <c r="F4" s="271" cm="1">
        <f t="array" ref="F4">INDEX(숙박!$A$1:$W$12, C4, MATCH("수익률", 숙박!$4:$4, 0))</f>
        <v>20</v>
      </c>
      <c r="G4" s="271" cm="1">
        <f t="array" ref="G4">INDEX(숙박!$A$1:$W$12, C4, MATCH("건설 비용", 숙박!$4:$4, 0))</f>
        <v>2280</v>
      </c>
      <c r="H4" s="272" cm="1">
        <f t="array" ref="H4">INDEX(숙박!A1:W12, C4, MATCH("수익률", 숙박!4:4, 0))*E4</f>
        <v>100</v>
      </c>
      <c r="I4" s="272" cm="1">
        <f t="array" ref="I4">INDEX(숙박!A1:W12, C4, MATCH("건설 비용", 숙박!4:4, 0))*E4</f>
        <v>11400</v>
      </c>
      <c r="J4" s="273">
        <f>건설_비용*SUMIF(ref!$A$18:$A$37, "&lt;="&amp;$E4, ref!$D$18:$D$37)</f>
        <v>57.878782342503328</v>
      </c>
      <c r="K4" s="289"/>
    </row>
    <row r="5" spans="1:11">
      <c r="A5" s="283" t="s">
        <v>127</v>
      </c>
      <c r="B5" s="271">
        <f>(VLOOKUP(A5,'캐릭터 욕구 생성 표'!A4:N15, 6, FALSE) + VLOOKUP(A5,'캐릭터 욕구 생성 표'!A4:N15, 12, FALSE))/2*최대_캐릭터_수/11</f>
        <v>340.90909090909093</v>
      </c>
      <c r="C5" s="271" cm="1">
        <f t="array" ref="C5">INDEX(ref!$A$1:$G$9,MATCH('밸런스 계산'!A5,ref!$A:$A,0), MATCH($C$1,ref!5:5, 0)+1)</f>
        <v>5</v>
      </c>
      <c r="D5" s="272">
        <f>INDEX(장비!A1:W18, MATCH(MAX(장비!S:S), 장비!S:S, 0), MATCH("초당 욕구 해소량", 장비!4:4, 0))</f>
        <v>96.969696969696969</v>
      </c>
      <c r="E5" s="272">
        <f t="shared" si="0"/>
        <v>4</v>
      </c>
      <c r="F5" s="271" cm="1">
        <f t="array" ref="F5">INDEX(장비!$A$1:$W$18, C5, MATCH("수익률", 장비!$4:$4, 0))</f>
        <v>11</v>
      </c>
      <c r="G5" s="271" cm="1">
        <f t="array" ref="G5">INDEX(장비!$A$1:$W$18, C5, MATCH("건설 비용", 장비!$4:$4, 0))</f>
        <v>790</v>
      </c>
      <c r="H5" s="272" cm="1">
        <f t="array" ref="H5">INDEX(장비!A1:W18, C5, MATCH("수익률", 장비!4:4, 0))*E5</f>
        <v>44</v>
      </c>
      <c r="I5" s="272" cm="1">
        <f t="array" ref="I5">INDEX(장비!A1:W18, C5, MATCH("건설 비용", 장비!4:4, 0))*E5</f>
        <v>3160</v>
      </c>
      <c r="J5" s="273">
        <f>건설_비용*SUMIF(ref!$A$18:$A$37, "&lt;="&amp;$E5, ref!$E$18:$E$37)</f>
        <v>11.409825952638478</v>
      </c>
      <c r="K5" s="289"/>
    </row>
    <row r="6" spans="1:11">
      <c r="A6" s="283" t="s">
        <v>190</v>
      </c>
      <c r="B6" s="271">
        <f>(VLOOKUP(A6,'캐릭터 욕구 생성 표'!A5:N16, 6, FALSE) + VLOOKUP(A6,'캐릭터 욕구 생성 표'!A5:N16, 12, FALSE))/2*최대_캐릭터_수</f>
        <v>300</v>
      </c>
      <c r="C6" s="271" cm="1">
        <f t="array" ref="C6">INDEX(ref!$A$1:$G$9,MATCH('밸런스 계산'!A6,ref!$A:$A,0), MATCH($C$1,ref!6:6, 0)+1)</f>
        <v>5</v>
      </c>
      <c r="D6" s="272" cm="1">
        <f t="array" ref="D6">INDEX(편의!A1:W12, C6, MATCH("초당 욕구 해소량", 편의!4:4, 0))</f>
        <v>58.333333333333336</v>
      </c>
      <c r="E6" s="272">
        <f t="shared" si="0"/>
        <v>5</v>
      </c>
      <c r="F6" s="271" cm="1">
        <f t="array" ref="F6">INDEX(편의!$A$1:$W$12, C6, MATCH("수익률", 편의!$4:$4, 0))</f>
        <v>15</v>
      </c>
      <c r="G6" s="271" cm="1">
        <f t="array" ref="G6">INDEX(편의!$A$1:$W$12, C6, MATCH("건설 비용", 편의!$4:$4, 0))</f>
        <v>1260</v>
      </c>
      <c r="H6" s="272" cm="1">
        <f t="array" ref="H6">INDEX(편의!A1:W12, C6, MATCH("수익률", 편의!4:4, 0))*E6</f>
        <v>75</v>
      </c>
      <c r="I6" s="272" cm="1">
        <f t="array" ref="I6">INDEX(편의!A1:W12, C6, MATCH("건설 비용", 편의!4:4, 0))*E6</f>
        <v>6300</v>
      </c>
      <c r="J6" s="273">
        <f>건설_비용*SUMIF(ref!$A$18:$A$37, "&lt;="&amp;$E6, ref!$F$18:$F$37)</f>
        <v>18.881896365354898</v>
      </c>
      <c r="K6" s="289"/>
    </row>
    <row r="7" spans="1:11">
      <c r="A7" s="283" t="s">
        <v>285</v>
      </c>
      <c r="B7" s="271">
        <f>(VLOOKUP(A7,'캐릭터 욕구 생성 표'!A6:N17, 6, FALSE) + VLOOKUP(A7,'캐릭터 욕구 생성 표'!A6:N17, 12, FALSE))/2*최대_캐릭터_수</f>
        <v>300</v>
      </c>
      <c r="C7" s="271" cm="1">
        <f t="array" ref="C7">INDEX(ref!$A$1:$G$9,MATCH('밸런스 계산'!A7,ref!$A:$A,0), MATCH($C$1,ref!7:7, 0)+1)</f>
        <v>5</v>
      </c>
      <c r="D7" s="272" cm="1">
        <f t="array" ref="D7">INDEX(관광!A1:W12, C7, MATCH("초당 욕구 해소량", 관광!4:4, 0))</f>
        <v>65</v>
      </c>
      <c r="E7" s="272">
        <f t="shared" si="0"/>
        <v>5</v>
      </c>
      <c r="F7" s="271" cm="1">
        <f t="array" ref="F7">INDEX(관광!$A$1:$W$12, C7, MATCH("수익률", 관광!$4:$4, 0))</f>
        <v>16</v>
      </c>
      <c r="G7" s="271" cm="1">
        <f t="array" ref="G7">INDEX(관광!$A$1:$W$12, C7, MATCH("건설 비용", 관광!$4:$4, 0))</f>
        <v>1120</v>
      </c>
      <c r="H7" s="272" cm="1">
        <f t="array" ref="H7">INDEX(관광!A1:W12, C7, MATCH("수익률", 관광!4:4, 0))*E7</f>
        <v>80</v>
      </c>
      <c r="I7" s="272" cm="1">
        <f t="array" ref="I7">INDEX(관광!A1:W12, C7, MATCH("건설 비용", 관광!4:4, 0))*E7</f>
        <v>5600</v>
      </c>
      <c r="J7" s="273">
        <f>건설_비용*SUMIF(ref!$A$18:$A$37, "&lt;="&amp;$E7, ref!$G$18:$G$37)</f>
        <v>13.63344280370627</v>
      </c>
      <c r="K7" s="289"/>
    </row>
    <row r="8" spans="1:11">
      <c r="A8" s="283" t="s">
        <v>105</v>
      </c>
      <c r="B8" s="271">
        <f>(VLOOKUP(A8,'캐릭터 욕구 생성 표'!A7:N18, 6, FALSE) + VLOOKUP(A8,'캐릭터 욕구 생성 표'!A7:N18, 12, FALSE))/2*최대_캐릭터_수</f>
        <v>300</v>
      </c>
      <c r="C8" s="271" cm="1">
        <f t="array" ref="C8">INDEX(ref!$A$1:$G$9,MATCH('밸런스 계산'!A8,ref!$A:$A,0), MATCH($C$1,ref!8:8, 0)+1)</f>
        <v>5</v>
      </c>
      <c r="D8" s="272" cm="1">
        <f t="array" ref="D8">INDEX(오락!A1:W12, C8, MATCH("초당 욕구 해소량", 오락!4:4, 0))</f>
        <v>56.25</v>
      </c>
      <c r="E8" s="272">
        <f t="shared" si="0"/>
        <v>5</v>
      </c>
      <c r="F8" s="271" cm="1">
        <f t="array" ref="F8">INDEX(오락!$A$1:$W$12, C8, MATCH("수익률", 오락!$4:$4, 0))</f>
        <v>15</v>
      </c>
      <c r="G8" s="271" cm="1">
        <f t="array" ref="G8">INDEX(오락!$A$1:$W$12, C8, MATCH("건설 비용", 오락!$4:$4, 0))</f>
        <v>1050</v>
      </c>
      <c r="H8" s="272" cm="1">
        <f t="array" ref="H8">INDEX(오락!A1:W12, C8, MATCH("수익률", 오락!4:4, 0))*E8</f>
        <v>75</v>
      </c>
      <c r="I8" s="272" cm="1">
        <f t="array" ref="I8">INDEX(오락!A1:W12,C8, MATCH("건설 비용", 오락!4:4, 0))*E8</f>
        <v>5250</v>
      </c>
      <c r="J8" s="273">
        <f>건설_비용*SUMIF(ref!$A$18:$A$37, "&lt;="&amp;$E8, ref!$H$18:$H$37)</f>
        <v>10.734430844321638</v>
      </c>
      <c r="K8" s="289"/>
    </row>
    <row r="9" spans="1:11">
      <c r="A9" s="283" t="s">
        <v>472</v>
      </c>
      <c r="B9" s="271">
        <f>SUM(B2:B8)</f>
        <v>2340.909090909091</v>
      </c>
      <c r="C9" s="271">
        <f>MATCH(MAX(음료!S:S), 음료!S:S, 0)</f>
        <v>11</v>
      </c>
      <c r="D9" s="272"/>
      <c r="E9" s="272">
        <f>SUM(E2:E8)</f>
        <v>43</v>
      </c>
      <c r="F9" s="271"/>
      <c r="G9" s="271"/>
      <c r="H9" s="272">
        <f>SUM(H2:H8)</f>
        <v>535</v>
      </c>
      <c r="I9" s="272">
        <f>SUM(I2:I8)</f>
        <v>43360</v>
      </c>
      <c r="J9" s="273">
        <f>SUM(J2:J8)</f>
        <v>360.45528171419045</v>
      </c>
      <c r="K9" s="291">
        <f>IF(K2&lt;&gt;"해당 없음", (J9-(J2-K2)), "해당 없음")</f>
        <v>252.12194838085713</v>
      </c>
    </row>
    <row r="10" spans="1:11" ht="19.8" thickBot="1">
      <c r="A10" s="261"/>
      <c r="B10" s="279"/>
      <c r="C10" s="279"/>
      <c r="D10" s="279"/>
      <c r="E10" s="279"/>
      <c r="F10" s="279"/>
      <c r="G10" s="279"/>
      <c r="H10" s="279"/>
      <c r="I10" s="279"/>
      <c r="J10" s="285">
        <f>J9/60</f>
        <v>6.0075880285698409</v>
      </c>
      <c r="K10" s="292">
        <f>IF(K2&lt;&gt;"해당 없음", (J9-(J2-K2))/60, "해당 없음")</f>
        <v>4.2020324730142855</v>
      </c>
    </row>
    <row r="11" spans="1:11" ht="19.8" thickBot="1"/>
    <row r="12" spans="1:11">
      <c r="H12" s="275" t="s">
        <v>508</v>
      </c>
      <c r="I12" s="277">
        <v>35</v>
      </c>
      <c r="J12" s="276" t="s">
        <v>513</v>
      </c>
      <c r="K12" s="278">
        <f>I12*I13</f>
        <v>52.5</v>
      </c>
    </row>
    <row r="13" spans="1:11">
      <c r="C13" s="271"/>
      <c r="D13" s="271"/>
      <c r="E13" s="271"/>
      <c r="H13" s="283" t="s">
        <v>512</v>
      </c>
      <c r="I13" s="271">
        <f>(1+2)/2</f>
        <v>1.5</v>
      </c>
      <c r="J13" s="271" t="s">
        <v>511</v>
      </c>
      <c r="K13" s="281">
        <f>K12*(2/3)</f>
        <v>35</v>
      </c>
    </row>
    <row r="14" spans="1:11" ht="19.8" thickBot="1">
      <c r="C14" s="271"/>
      <c r="D14" s="271"/>
      <c r="E14" s="271"/>
      <c r="H14" s="261" t="s">
        <v>515</v>
      </c>
      <c r="I14" s="279" cm="1">
        <f t="array" ref="I14">ROUNDDOWN(시작_골드/INDEX(음료!$A$1:$W$12, ref!$E$2, MATCH("건설 비용", 음료!$4:$4, 0)), 0)</f>
        <v>2</v>
      </c>
      <c r="J14" s="279" t="s">
        <v>516</v>
      </c>
      <c r="K14" s="280">
        <f>SUM(J17:J19)/60</f>
        <v>35.869744537790218</v>
      </c>
    </row>
    <row r="15" spans="1:11" ht="19.8" thickBot="1"/>
    <row r="16" spans="1:11">
      <c r="H16" s="275"/>
      <c r="I16" s="276" t="s">
        <v>506</v>
      </c>
      <c r="J16" s="276" t="s">
        <v>498</v>
      </c>
      <c r="K16" s="282" t="s">
        <v>553</v>
      </c>
    </row>
    <row r="17" spans="7:12">
      <c r="H17" s="283" t="str">
        <f>ref!A13</f>
        <v>가장 낮은 가게</v>
      </c>
      <c r="I17" s="274">
        <v>535</v>
      </c>
      <c r="J17" s="273">
        <v>252.12194838085713</v>
      </c>
      <c r="K17" s="284" cm="1">
        <f t="array" ref="K17">시작_골드-I14*INDEX(음료!$A$1:$W$12, ref!E2, MATCH("건설 비용", 음료!$4:$4, 0))</f>
        <v>300</v>
      </c>
    </row>
    <row r="18" spans="7:12">
      <c r="H18" s="283" t="str">
        <f>ref!A14</f>
        <v>중간 가게</v>
      </c>
      <c r="I18" s="274">
        <v>1397</v>
      </c>
      <c r="J18" s="273">
        <v>538.87166560540743</v>
      </c>
      <c r="K18" s="314">
        <f>(J18*I17)*0.5</f>
        <v>144148.17054944648</v>
      </c>
      <c r="L18" s="314"/>
    </row>
    <row r="19" spans="7:12">
      <c r="H19" s="283" t="str">
        <f>ref!A12</f>
        <v>가장 높은 가게</v>
      </c>
      <c r="I19" s="274">
        <v>3408.3939393939395</v>
      </c>
      <c r="J19" s="273">
        <v>1361.1910582811486</v>
      </c>
      <c r="K19" s="314">
        <f>(J19*I18)*0.5</f>
        <v>950791.9542093823</v>
      </c>
      <c r="L19" s="314">
        <f>K19/K18</f>
        <v>6.5959349368449773</v>
      </c>
    </row>
    <row r="20" spans="7:12">
      <c r="H20" s="283" t="s">
        <v>517</v>
      </c>
      <c r="I20" s="274"/>
      <c r="J20" s="273">
        <f>K12*60-SUM(J17:J19)</f>
        <v>997.81532773258687</v>
      </c>
      <c r="K20" s="314">
        <f>(J20*I19)</f>
        <v>3400947.7156781266</v>
      </c>
      <c r="L20" s="314">
        <f>K20/K19</f>
        <v>3.5769630786433577</v>
      </c>
    </row>
    <row r="21" spans="7:12" ht="19.8" thickBot="1">
      <c r="H21" s="261" t="s">
        <v>514</v>
      </c>
      <c r="I21" s="293"/>
      <c r="J21" s="290">
        <f>SUM(J17:J20)</f>
        <v>3150</v>
      </c>
      <c r="K21" s="294">
        <f>SUM(K17:K20)</f>
        <v>4496187.8404369559</v>
      </c>
      <c r="L21" s="125">
        <f>K21/4</f>
        <v>1124046.960109239</v>
      </c>
    </row>
    <row r="22" spans="7:12">
      <c r="H22" s="271"/>
      <c r="I22" s="271"/>
      <c r="J22" s="271"/>
      <c r="K22" s="295"/>
    </row>
    <row r="23" spans="7:12">
      <c r="H23" s="271"/>
      <c r="I23" s="271"/>
      <c r="J23" s="271"/>
      <c r="K23" s="295"/>
    </row>
    <row r="24" spans="7:12">
      <c r="G24" s="271"/>
    </row>
    <row r="25" spans="7:12">
      <c r="G25" s="271"/>
    </row>
  </sheetData>
  <phoneticPr fontId="6" type="noConversion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8DBCE9E0-D56A-40C4-80A9-2A56CE2E6F7C}">
          <x14:formula1>
            <xm:f>ref!$A$12:$A$14</xm:f>
          </x14:formula1>
          <xm:sqref>C1</xm:sqref>
        </x14:dataValidation>
      </x14:dataValidations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16929E-10E8-4459-AD47-B3FF20288105}">
  <dimension ref="A1:L38"/>
  <sheetViews>
    <sheetView workbookViewId="0">
      <selection activeCell="L19" sqref="L19"/>
    </sheetView>
  </sheetViews>
  <sheetFormatPr defaultRowHeight="19.2"/>
  <cols>
    <col min="1" max="1" width="10.77734375" style="189" customWidth="1"/>
    <col min="2" max="2" width="16.77734375" customWidth="1"/>
    <col min="3" max="3" width="17.77734375" bestFit="1" customWidth="1"/>
    <col min="4" max="4" width="16.77734375" customWidth="1"/>
    <col min="5" max="5" width="17.77734375" bestFit="1" customWidth="1"/>
    <col min="6" max="6" width="20.21875" customWidth="1"/>
    <col min="7" max="8" width="17.77734375" bestFit="1" customWidth="1"/>
  </cols>
  <sheetData>
    <row r="1" spans="1:8">
      <c r="A1" s="309" t="s">
        <v>480</v>
      </c>
      <c r="B1" s="276" t="s">
        <v>79</v>
      </c>
      <c r="C1" s="310"/>
      <c r="D1" s="310"/>
      <c r="E1" s="310"/>
      <c r="F1" s="310"/>
      <c r="G1" s="311"/>
    </row>
    <row r="2" spans="1:8">
      <c r="A2" s="312" t="s">
        <v>46</v>
      </c>
      <c r="B2" s="271" t="str">
        <f>$A$12</f>
        <v>가장 높은 가게</v>
      </c>
      <c r="C2" s="271">
        <f>MATCH(MAX(음료!$S:$S), 음료!$S:$S, 0)</f>
        <v>11</v>
      </c>
      <c r="D2" s="271" t="str">
        <f>$A$13</f>
        <v>가장 낮은 가게</v>
      </c>
      <c r="E2" s="271">
        <f>MATCH(MIN(음료!$S:$S), 음료!$S:$S, 0)</f>
        <v>5</v>
      </c>
      <c r="F2" s="271" t="str">
        <f>$A$14</f>
        <v>중간 가게</v>
      </c>
      <c r="G2" s="258">
        <f>MATCH(MEDIAN(음료!$S:$S), 음료!$S:$S, 1)</f>
        <v>8</v>
      </c>
    </row>
    <row r="3" spans="1:8">
      <c r="A3" s="312" t="s">
        <v>44</v>
      </c>
      <c r="B3" s="271" t="str">
        <f t="shared" ref="B3:B8" si="0">$A$12</f>
        <v>가장 높은 가게</v>
      </c>
      <c r="C3" s="271">
        <f>MATCH(MAX(음식!$S:$S), 음식!$S:$S, 0)</f>
        <v>12</v>
      </c>
      <c r="D3" s="271" t="str">
        <f t="shared" ref="D3:D8" si="1">$A$13</f>
        <v>가장 낮은 가게</v>
      </c>
      <c r="E3" s="271">
        <f>MATCH(MIN(음식!$S:$S), 음식!$S:$S, 0)</f>
        <v>5</v>
      </c>
      <c r="F3" s="271" t="str">
        <f t="shared" ref="F3:F8" si="2">$A$14</f>
        <v>중간 가게</v>
      </c>
      <c r="G3" s="258">
        <f>MATCH(MEDIAN(음식!$S:$S), 음식!$S:$S, 1)</f>
        <v>8</v>
      </c>
    </row>
    <row r="4" spans="1:8">
      <c r="A4" s="312" t="s">
        <v>74</v>
      </c>
      <c r="B4" s="271" t="str">
        <f t="shared" si="0"/>
        <v>가장 높은 가게</v>
      </c>
      <c r="C4" s="271">
        <f>MATCH(MAX(숙박!$S:$S), 숙박!$S:$S, 0)</f>
        <v>10</v>
      </c>
      <c r="D4" s="271" t="str">
        <f t="shared" si="1"/>
        <v>가장 낮은 가게</v>
      </c>
      <c r="E4" s="271">
        <f>MATCH(MIN(숙박!$S:$S), 숙박!$S:$S, 0)</f>
        <v>5</v>
      </c>
      <c r="F4" s="271" t="str">
        <f t="shared" si="2"/>
        <v>중간 가게</v>
      </c>
      <c r="G4" s="258">
        <f>MATCH(MEDIAN(숙박!$S:$S), 숙박!$S:$S, 1)</f>
        <v>7</v>
      </c>
    </row>
    <row r="5" spans="1:8">
      <c r="A5" s="312" t="s">
        <v>127</v>
      </c>
      <c r="B5" s="271" t="str">
        <f t="shared" si="0"/>
        <v>가장 높은 가게</v>
      </c>
      <c r="C5" s="271">
        <f>MATCH(MAX(장비!$S:$S), 장비!$S:$S, 0)</f>
        <v>15</v>
      </c>
      <c r="D5" s="271" t="str">
        <f t="shared" si="1"/>
        <v>가장 낮은 가게</v>
      </c>
      <c r="E5" s="271">
        <f>MATCH(MIN(장비!$S:$S), 장비!$S:$S, 0)</f>
        <v>5</v>
      </c>
      <c r="F5" s="271" t="str">
        <f t="shared" si="2"/>
        <v>중간 가게</v>
      </c>
      <c r="G5" s="258">
        <f>MATCH(MEDIAN(장비!$S:$S), 장비!$S:$S, 1)</f>
        <v>10</v>
      </c>
    </row>
    <row r="6" spans="1:8">
      <c r="A6" s="312" t="s">
        <v>190</v>
      </c>
      <c r="B6" s="271" t="str">
        <f t="shared" si="0"/>
        <v>가장 높은 가게</v>
      </c>
      <c r="C6" s="271">
        <f>MATCH(MAX(편의!$S:$S), 편의!$S:$S, 0)</f>
        <v>11</v>
      </c>
      <c r="D6" s="271" t="str">
        <f t="shared" si="1"/>
        <v>가장 낮은 가게</v>
      </c>
      <c r="E6" s="271">
        <f>MATCH(MIN(편의!$S:$S), 편의!$S:$S, 0)</f>
        <v>5</v>
      </c>
      <c r="F6" s="271" t="str">
        <f t="shared" si="2"/>
        <v>중간 가게</v>
      </c>
      <c r="G6" s="258">
        <f>MATCH(MEDIAN(편의!$S:$S), 편의!$S:$S, 1)</f>
        <v>8</v>
      </c>
    </row>
    <row r="7" spans="1:8">
      <c r="A7" s="312" t="s">
        <v>285</v>
      </c>
      <c r="B7" s="271" t="str">
        <f t="shared" si="0"/>
        <v>가장 높은 가게</v>
      </c>
      <c r="C7" s="271">
        <f>MATCH(MAX(관광!$S:$S), 관광!$S:$S, 0)</f>
        <v>11</v>
      </c>
      <c r="D7" s="271" t="str">
        <f t="shared" si="1"/>
        <v>가장 낮은 가게</v>
      </c>
      <c r="E7" s="271">
        <f>MATCH(MIN(관광!$S:$S), 관광!$S:$S, 0)</f>
        <v>5</v>
      </c>
      <c r="F7" s="271" t="str">
        <f t="shared" si="2"/>
        <v>중간 가게</v>
      </c>
      <c r="G7" s="258">
        <f>MATCH(MEDIAN(관광!$S:$S), 관광!$S:$S, 1)</f>
        <v>8</v>
      </c>
    </row>
    <row r="8" spans="1:8" ht="19.8" thickBot="1">
      <c r="A8" s="313" t="s">
        <v>105</v>
      </c>
      <c r="B8" s="279" t="str">
        <f t="shared" si="0"/>
        <v>가장 높은 가게</v>
      </c>
      <c r="C8" s="279">
        <f>MATCH(MAX(오락!$S:$S), 오락!$S:$S, 0)</f>
        <v>11</v>
      </c>
      <c r="D8" s="279" t="str">
        <f t="shared" si="1"/>
        <v>가장 낮은 가게</v>
      </c>
      <c r="E8" s="279">
        <f>MATCH(MIN(오락!$S:$S), 오락!$S:$S, 0)</f>
        <v>5</v>
      </c>
      <c r="F8" s="279" t="str">
        <f t="shared" si="2"/>
        <v>중간 가게</v>
      </c>
      <c r="G8" s="262">
        <f>MATCH(MEDIAN(오락!$S:$S), 오락!$S:$S, 1)</f>
        <v>8</v>
      </c>
    </row>
    <row r="9" spans="1:8">
      <c r="B9" s="125"/>
      <c r="C9" s="125"/>
      <c r="D9" s="125"/>
      <c r="E9" s="125"/>
      <c r="F9" s="125"/>
      <c r="G9" s="125"/>
    </row>
    <row r="10" spans="1:8" ht="19.8" thickBot="1"/>
    <row r="11" spans="1:8">
      <c r="A11" s="268" t="s">
        <v>79</v>
      </c>
    </row>
    <row r="12" spans="1:8">
      <c r="A12" s="269" t="s">
        <v>478</v>
      </c>
    </row>
    <row r="13" spans="1:8">
      <c r="A13" s="269" t="s">
        <v>479</v>
      </c>
    </row>
    <row r="14" spans="1:8" ht="19.8" thickBot="1">
      <c r="A14" s="270" t="s">
        <v>481</v>
      </c>
      <c r="H14" s="189"/>
    </row>
    <row r="16" spans="1:8">
      <c r="A16" s="189" t="s">
        <v>502</v>
      </c>
      <c r="C16" s="266" t="s">
        <v>504</v>
      </c>
      <c r="E16" s="266" t="s">
        <v>505</v>
      </c>
    </row>
    <row r="17" spans="1:12">
      <c r="A17" s="189" t="s">
        <v>503</v>
      </c>
      <c r="B17" s="266" t="s">
        <v>46</v>
      </c>
      <c r="C17" s="266" t="s">
        <v>44</v>
      </c>
      <c r="D17" s="266" t="s">
        <v>74</v>
      </c>
      <c r="E17" s="266" t="s">
        <v>127</v>
      </c>
      <c r="F17" s="266" t="s">
        <v>190</v>
      </c>
      <c r="G17" s="266" t="s">
        <v>285</v>
      </c>
      <c r="H17" s="266" t="s">
        <v>105</v>
      </c>
      <c r="K17" s="266" t="s">
        <v>509</v>
      </c>
    </row>
    <row r="18" spans="1:12">
      <c r="A18" s="189">
        <v>1</v>
      </c>
      <c r="B18" s="267">
        <f>1/($A18*'밸런스 계산'!$F$2)</f>
        <v>0.1111111111111111</v>
      </c>
      <c r="C18" s="267">
        <f>1/('밸런스 계산'!$H$2+(ref!$A18-1)*'밸런스 계산'!$F$3)</f>
        <v>1.2345679012345678E-2</v>
      </c>
      <c r="D18" s="267">
        <f>1/(SUM('밸런스 계산'!$H$2:$H$3)+($A18-1)*'밸런스 계산'!$F$4)</f>
        <v>6.2111801242236021E-3</v>
      </c>
      <c r="E18" s="267">
        <f>1/(SUM('밸런스 계산'!$H$2:$H$4)+($A18-1)*'밸런스 계산'!$F$5)</f>
        <v>3.8314176245210726E-3</v>
      </c>
      <c r="F18" s="267">
        <f>1/(SUM('밸런스 계산'!$H$2:$H$5)+($A18-1)*'밸런스 계산'!$F$6)</f>
        <v>3.2786885245901639E-3</v>
      </c>
      <c r="G18" s="267">
        <f>1/(SUM('밸런스 계산'!$H$2:$H$6)+($A18-1)*'밸런스 계산'!$F$7)</f>
        <v>2.631578947368421E-3</v>
      </c>
      <c r="H18" s="267">
        <f>1/(SUM('밸런스 계산'!$H$2:$H$7)+($A18-1)*'밸런스 계산'!$F$8)</f>
        <v>2.1739130434782609E-3</v>
      </c>
      <c r="K18" s="266" t="s">
        <v>555</v>
      </c>
      <c r="L18" s="266" t="s">
        <v>564</v>
      </c>
    </row>
    <row r="19" spans="1:12">
      <c r="A19" s="189">
        <v>2</v>
      </c>
      <c r="B19" s="267">
        <f>1/($A19*'밸런스 계산'!$F$2)</f>
        <v>5.5555555555555552E-2</v>
      </c>
      <c r="C19" s="267">
        <f>1/('밸런스 계산'!$H$2+(ref!$A19-1)*'밸런스 계산'!$F$3)</f>
        <v>1.1235955056179775E-2</v>
      </c>
      <c r="D19" s="267">
        <f>1/(SUM('밸런스 계산'!$H$2:$H$3)+($A19-1)*'밸런스 계산'!$F$4)</f>
        <v>5.5248618784530384E-3</v>
      </c>
      <c r="E19" s="267">
        <f>1/(SUM('밸런스 계산'!$H$2:$H$4)+($A19-1)*'밸런스 계산'!$F$5)</f>
        <v>3.6764705882352941E-3</v>
      </c>
      <c r="F19" s="267">
        <f>1/(SUM('밸런스 계산'!$H$2:$H$5)+($A19-1)*'밸런스 계산'!$F$6)</f>
        <v>3.1250000000000002E-3</v>
      </c>
      <c r="G19" s="267">
        <f>1/(SUM('밸런스 계산'!$H$2:$H$6)+($A19-1)*'밸런스 계산'!$F$7)</f>
        <v>2.5252525252525255E-3</v>
      </c>
      <c r="H19" s="267">
        <f>1/(SUM('밸런스 계산'!$H$2:$H$7)+($A19-1)*'밸런스 계산'!$F$8)</f>
        <v>2.1052631578947368E-3</v>
      </c>
      <c r="K19" s="189" t="s">
        <v>557</v>
      </c>
      <c r="L19" s="189" t="s">
        <v>558</v>
      </c>
    </row>
    <row r="20" spans="1:12">
      <c r="A20" s="189">
        <v>3</v>
      </c>
      <c r="B20" s="267">
        <f>1/($A20*'밸런스 계산'!$F$2)</f>
        <v>3.7037037037037035E-2</v>
      </c>
      <c r="C20" s="267">
        <f>1/('밸런스 계산'!$H$2+(ref!$A20-1)*'밸런스 계산'!$F$3)</f>
        <v>1.0309278350515464E-2</v>
      </c>
      <c r="D20" s="267">
        <f>1/(SUM('밸런스 계산'!$H$2:$H$3)+($A20-1)*'밸런스 계산'!$F$4)</f>
        <v>4.9751243781094526E-3</v>
      </c>
      <c r="E20" s="267">
        <f>1/(SUM('밸런스 계산'!$H$2:$H$4)+($A20-1)*'밸런스 계산'!$F$5)</f>
        <v>3.5335689045936395E-3</v>
      </c>
      <c r="F20" s="267">
        <f>1/(SUM('밸런스 계산'!$H$2:$H$5)+($A20-1)*'밸런스 계산'!$F$6)</f>
        <v>2.9850746268656717E-3</v>
      </c>
      <c r="G20" s="267">
        <f>1/(SUM('밸런스 계산'!$H$2:$H$6)+($A20-1)*'밸런스 계산'!$F$7)</f>
        <v>2.4271844660194173E-3</v>
      </c>
      <c r="H20" s="267">
        <f>1/(SUM('밸런스 계산'!$H$2:$H$7)+($A20-1)*'밸런스 계산'!$F$8)</f>
        <v>2.0408163265306124E-3</v>
      </c>
      <c r="K20" s="189" t="s">
        <v>556</v>
      </c>
      <c r="L20" s="189" t="s">
        <v>561</v>
      </c>
    </row>
    <row r="21" spans="1:12">
      <c r="A21" s="189">
        <v>4</v>
      </c>
      <c r="B21" s="267">
        <f>1/($A21*'밸런스 계산'!$F$2)</f>
        <v>2.7777777777777776E-2</v>
      </c>
      <c r="C21" s="267">
        <f>1/('밸런스 계산'!$H$2+(ref!$A21-1)*'밸런스 계산'!$F$3)</f>
        <v>9.5238095238095247E-3</v>
      </c>
      <c r="D21" s="267">
        <f>1/(SUM('밸런스 계산'!$H$2:$H$3)+($A21-1)*'밸런스 계산'!$F$4)</f>
        <v>4.5248868778280547E-3</v>
      </c>
      <c r="E21" s="267">
        <f>1/(SUM('밸런스 계산'!$H$2:$H$4)+($A21-1)*'밸런스 계산'!$F$5)</f>
        <v>3.4013605442176869E-3</v>
      </c>
      <c r="F21" s="267">
        <f>1/(SUM('밸런스 계산'!$H$2:$H$5)+($A21-1)*'밸런스 계산'!$F$6)</f>
        <v>2.8571428571428571E-3</v>
      </c>
      <c r="G21" s="267">
        <f>1/(SUM('밸런스 계산'!$H$2:$H$6)+($A21-1)*'밸런스 계산'!$F$7)</f>
        <v>2.3364485981308409E-3</v>
      </c>
      <c r="H21" s="267">
        <f>1/(SUM('밸런스 계산'!$H$2:$H$7)+($A21-1)*'밸런스 계산'!$F$8)</f>
        <v>1.9801980198019802E-3</v>
      </c>
      <c r="K21" s="189" t="s">
        <v>560</v>
      </c>
      <c r="L21" s="189" t="s">
        <v>563</v>
      </c>
    </row>
    <row r="22" spans="1:12">
      <c r="A22" s="189">
        <v>5</v>
      </c>
      <c r="B22" s="267">
        <f>1/($A22*'밸런스 계산'!$F$2)</f>
        <v>2.2222222222222223E-2</v>
      </c>
      <c r="C22" s="267">
        <f>1/('밸런스 계산'!$H$2+(ref!$A22-1)*'밸런스 계산'!$F$3)</f>
        <v>8.8495575221238937E-3</v>
      </c>
      <c r="D22" s="267">
        <f>1/(SUM('밸런스 계산'!$H$2:$H$3)+($A22-1)*'밸런스 계산'!$F$4)</f>
        <v>4.1493775933609959E-3</v>
      </c>
      <c r="E22" s="267">
        <f>1/(SUM('밸런스 계산'!$H$2:$H$4)+($A22-1)*'밸런스 계산'!$F$5)</f>
        <v>3.2786885245901639E-3</v>
      </c>
      <c r="F22" s="267">
        <f>1/(SUM('밸런스 계산'!$H$2:$H$5)+($A22-1)*'밸런스 계산'!$F$6)</f>
        <v>2.7397260273972603E-3</v>
      </c>
      <c r="G22" s="267">
        <f>1/(SUM('밸런스 계산'!$H$2:$H$6)+($A22-1)*'밸런스 계산'!$F$7)</f>
        <v>2.2522522522522522E-3</v>
      </c>
      <c r="H22" s="267">
        <f>1/(SUM('밸런스 계산'!$H$2:$H$7)+($A22-1)*'밸런스 계산'!$F$8)</f>
        <v>1.9230769230769232E-3</v>
      </c>
      <c r="K22" s="189" t="s">
        <v>562</v>
      </c>
      <c r="L22" s="189" t="s">
        <v>559</v>
      </c>
    </row>
    <row r="23" spans="1:12">
      <c r="A23" s="189">
        <v>6</v>
      </c>
      <c r="B23" s="267">
        <f>1/($A23*'밸런스 계산'!$F$2)</f>
        <v>1.8518518518518517E-2</v>
      </c>
      <c r="C23" s="267">
        <f>1/('밸런스 계산'!$H$2+(ref!$A23-1)*'밸런스 계산'!$F$3)</f>
        <v>8.2644628099173556E-3</v>
      </c>
      <c r="D23" s="267">
        <f>1/(SUM('밸런스 계산'!$H$2:$H$3)+($A23-1)*'밸런스 계산'!$F$4)</f>
        <v>3.8314176245210726E-3</v>
      </c>
      <c r="E23" s="267">
        <f>1/(SUM('밸런스 계산'!$H$2:$H$4)+($A23-1)*'밸런스 계산'!$F$5)</f>
        <v>3.1645569620253164E-3</v>
      </c>
      <c r="F23" s="267">
        <f>1/(SUM('밸런스 계산'!$H$2:$H$5)+($A23-1)*'밸런스 계산'!$F$6)</f>
        <v>2.631578947368421E-3</v>
      </c>
      <c r="G23" s="267">
        <f>1/(SUM('밸런스 계산'!$H$2:$H$6)+($A23-1)*'밸런스 계산'!$F$7)</f>
        <v>2.1739130434782609E-3</v>
      </c>
      <c r="H23" s="267">
        <f>1/(SUM('밸런스 계산'!$H$2:$H$7)+($A23-1)*'밸런스 계산'!$F$8)</f>
        <v>1.869158878504673E-3</v>
      </c>
    </row>
    <row r="24" spans="1:12">
      <c r="A24" s="189">
        <v>7</v>
      </c>
      <c r="B24" s="267">
        <f>1/($A24*'밸런스 계산'!$F$2)</f>
        <v>1.5873015873015872E-2</v>
      </c>
      <c r="C24" s="267">
        <f>1/('밸런스 계산'!$H$2+(ref!$A24-1)*'밸런스 계산'!$F$3)</f>
        <v>7.7519379844961239E-3</v>
      </c>
      <c r="D24" s="267">
        <f>1/(SUM('밸런스 계산'!$H$2:$H$3)+($A24-1)*'밸런스 계산'!$F$4)</f>
        <v>3.5587188612099642E-3</v>
      </c>
      <c r="E24" s="267">
        <f>1/(SUM('밸런스 계산'!$H$2:$H$4)+($A24-1)*'밸런스 계산'!$F$5)</f>
        <v>3.0581039755351682E-3</v>
      </c>
      <c r="F24" s="267">
        <f>1/(SUM('밸런스 계산'!$H$2:$H$5)+($A24-1)*'밸런스 계산'!$F$6)</f>
        <v>2.5316455696202532E-3</v>
      </c>
      <c r="G24" s="267">
        <f>1/(SUM('밸런스 계산'!$H$2:$H$6)+($A24-1)*'밸런스 계산'!$F$7)</f>
        <v>2.1008403361344537E-3</v>
      </c>
      <c r="H24" s="267">
        <f>1/(SUM('밸런스 계산'!$H$2:$H$7)+($A24-1)*'밸런스 계산'!$F$8)</f>
        <v>1.8181818181818182E-3</v>
      </c>
    </row>
    <row r="25" spans="1:12">
      <c r="A25" s="189">
        <v>8</v>
      </c>
      <c r="B25" s="267">
        <f>1/($A25*'밸런스 계산'!$F$2)</f>
        <v>1.3888888888888888E-2</v>
      </c>
      <c r="C25" s="267">
        <f>1/('밸런스 계산'!$H$2+(ref!$A25-1)*'밸런스 계산'!$F$3)</f>
        <v>7.2992700729927005E-3</v>
      </c>
      <c r="D25" s="267">
        <f>1/(SUM('밸런스 계산'!$H$2:$H$3)+($A25-1)*'밸런스 계산'!$F$4)</f>
        <v>3.3222591362126247E-3</v>
      </c>
      <c r="E25" s="267">
        <f>1/(SUM('밸런스 계산'!$H$2:$H$4)+($A25-1)*'밸런스 계산'!$F$5)</f>
        <v>2.9585798816568047E-3</v>
      </c>
      <c r="F25" s="267">
        <f>1/(SUM('밸런스 계산'!$H$2:$H$5)+($A25-1)*'밸런스 계산'!$F$6)</f>
        <v>2.4390243902439024E-3</v>
      </c>
      <c r="G25" s="267">
        <f>1/(SUM('밸런스 계산'!$H$2:$H$6)+($A25-1)*'밸런스 계산'!$F$7)</f>
        <v>2.0325203252032522E-3</v>
      </c>
      <c r="H25" s="267">
        <f>1/(SUM('밸런스 계산'!$H$2:$H$7)+($A25-1)*'밸런스 계산'!$F$8)</f>
        <v>1.7699115044247787E-3</v>
      </c>
    </row>
    <row r="26" spans="1:12">
      <c r="A26" s="189">
        <v>9</v>
      </c>
      <c r="B26" s="267">
        <f>1/($A26*'밸런스 계산'!$F$2)</f>
        <v>1.2345679012345678E-2</v>
      </c>
      <c r="C26" s="267">
        <f>1/('밸런스 계산'!$H$2+(ref!$A26-1)*'밸런스 계산'!$F$3)</f>
        <v>6.8965517241379309E-3</v>
      </c>
      <c r="D26" s="267">
        <f>1/(SUM('밸런스 계산'!$H$2:$H$3)+($A26-1)*'밸런스 계산'!$F$4)</f>
        <v>3.1152647975077881E-3</v>
      </c>
      <c r="E26" s="267">
        <f>1/(SUM('밸런스 계산'!$H$2:$H$4)+($A26-1)*'밸런스 계산'!$F$5)</f>
        <v>2.8653295128939827E-3</v>
      </c>
      <c r="F26" s="267">
        <f>1/(SUM('밸런스 계산'!$H$2:$H$5)+($A26-1)*'밸런스 계산'!$F$6)</f>
        <v>2.352941176470588E-3</v>
      </c>
      <c r="G26" s="267">
        <f>1/(SUM('밸런스 계산'!$H$2:$H$6)+($A26-1)*'밸런스 계산'!$F$7)</f>
        <v>1.968503937007874E-3</v>
      </c>
      <c r="H26" s="267">
        <f>1/(SUM('밸런스 계산'!$H$2:$H$7)+($A26-1)*'밸런스 계산'!$F$8)</f>
        <v>1.7241379310344827E-3</v>
      </c>
    </row>
    <row r="27" spans="1:12">
      <c r="A27" s="189">
        <v>10</v>
      </c>
      <c r="B27" s="267">
        <f>1/($A27*'밸런스 계산'!$F$2)</f>
        <v>1.1111111111111112E-2</v>
      </c>
      <c r="C27" s="267">
        <f>1/('밸런스 계산'!$H$2+(ref!$A27-1)*'밸런스 계산'!$F$3)</f>
        <v>6.5359477124183009E-3</v>
      </c>
      <c r="D27" s="267">
        <f>1/(SUM('밸런스 계산'!$H$2:$H$3)+($A27-1)*'밸런스 계산'!$F$4)</f>
        <v>2.9325513196480938E-3</v>
      </c>
      <c r="E27" s="267">
        <f>1/(SUM('밸런스 계산'!$H$2:$H$4)+($A27-1)*'밸런스 계산'!$F$5)</f>
        <v>2.7777777777777779E-3</v>
      </c>
      <c r="F27" s="267">
        <f>1/(SUM('밸런스 계산'!$H$2:$H$5)+($A27-1)*'밸런스 계산'!$F$6)</f>
        <v>2.2727272727272726E-3</v>
      </c>
      <c r="G27" s="267">
        <f>1/(SUM('밸런스 계산'!$H$2:$H$6)+($A27-1)*'밸런스 계산'!$F$7)</f>
        <v>1.9083969465648854E-3</v>
      </c>
      <c r="H27" s="267">
        <f>1/(SUM('밸런스 계산'!$H$2:$H$7)+($A27-1)*'밸런스 계산'!$F$8)</f>
        <v>1.6806722689075631E-3</v>
      </c>
    </row>
    <row r="28" spans="1:12">
      <c r="A28" s="189">
        <v>11</v>
      </c>
      <c r="B28" s="267">
        <f>1/($A28*'밸런스 계산'!$F$2)</f>
        <v>1.0101010101010102E-2</v>
      </c>
      <c r="C28" s="267">
        <f>1/('밸런스 계산'!$H$2+(ref!$A28-1)*'밸런스 계산'!$F$3)</f>
        <v>6.2111801242236021E-3</v>
      </c>
      <c r="D28" s="267">
        <f>1/(SUM('밸런스 계산'!$H$2:$H$3)+($A28-1)*'밸런스 계산'!$F$4)</f>
        <v>2.7700831024930748E-3</v>
      </c>
      <c r="E28" s="267">
        <f>1/(SUM('밸런스 계산'!$H$2:$H$4)+($A28-1)*'밸런스 계산'!$F$5)</f>
        <v>2.6954177897574125E-3</v>
      </c>
      <c r="F28" s="267">
        <f>1/(SUM('밸런스 계산'!$H$2:$H$5)+($A28-1)*'밸런스 계산'!$F$6)</f>
        <v>2.1978021978021978E-3</v>
      </c>
      <c r="G28" s="267">
        <f>1/(SUM('밸런스 계산'!$H$2:$H$6)+($A28-1)*'밸런스 계산'!$F$7)</f>
        <v>1.8518518518518519E-3</v>
      </c>
      <c r="H28" s="267">
        <f>1/(SUM('밸런스 계산'!$H$2:$H$7)+($A28-1)*'밸런스 계산'!$F$8)</f>
        <v>1.639344262295082E-3</v>
      </c>
    </row>
    <row r="29" spans="1:12">
      <c r="A29" s="189">
        <v>12</v>
      </c>
      <c r="B29" s="267">
        <f>1/($A29*'밸런스 계산'!$F$2)</f>
        <v>9.2592592592592587E-3</v>
      </c>
      <c r="C29" s="267">
        <f>1/('밸런스 계산'!$H$2+(ref!$A29-1)*'밸런스 계산'!$F$3)</f>
        <v>5.9171597633136093E-3</v>
      </c>
      <c r="D29" s="267">
        <f>1/(SUM('밸런스 계산'!$H$2:$H$3)+($A29-1)*'밸런스 계산'!$F$4)</f>
        <v>2.6246719160104987E-3</v>
      </c>
      <c r="E29" s="267">
        <f>1/(SUM('밸런스 계산'!$H$2:$H$4)+($A29-1)*'밸런스 계산'!$F$5)</f>
        <v>2.617801047120419E-3</v>
      </c>
      <c r="F29" s="267">
        <f>1/(SUM('밸런스 계산'!$H$2:$H$5)+($A29-1)*'밸런스 계산'!$F$6)</f>
        <v>2.1276595744680851E-3</v>
      </c>
      <c r="G29" s="267">
        <f>1/(SUM('밸런스 계산'!$H$2:$H$6)+($A29-1)*'밸런스 계산'!$F$7)</f>
        <v>1.7985611510791368E-3</v>
      </c>
      <c r="H29" s="267">
        <f>1/(SUM('밸런스 계산'!$H$2:$H$7)+($A29-1)*'밸런스 계산'!$F$8)</f>
        <v>1.6000000000000001E-3</v>
      </c>
    </row>
    <row r="30" spans="1:12">
      <c r="A30" s="189">
        <v>13</v>
      </c>
      <c r="B30" s="267">
        <f>1/($A30*'밸런스 계산'!$F$2)</f>
        <v>8.5470085470085479E-3</v>
      </c>
      <c r="C30" s="267">
        <f>1/('밸런스 계산'!$H$2+(ref!$A30-1)*'밸런스 계산'!$F$3)</f>
        <v>5.6497175141242938E-3</v>
      </c>
      <c r="D30" s="267">
        <f>1/(SUM('밸런스 계산'!$H$2:$H$3)+($A30-1)*'밸런스 계산'!$F$4)</f>
        <v>2.4937655860349127E-3</v>
      </c>
      <c r="E30" s="267">
        <f>1/(SUM('밸런스 계산'!$H$2:$H$4)+($A30-1)*'밸런스 계산'!$F$5)</f>
        <v>2.5445292620865142E-3</v>
      </c>
      <c r="F30" s="267">
        <f>1/(SUM('밸런스 계산'!$H$2:$H$5)+($A30-1)*'밸런스 계산'!$F$6)</f>
        <v>2.0618556701030928E-3</v>
      </c>
      <c r="G30" s="267">
        <f>1/(SUM('밸런스 계산'!$H$2:$H$6)+($A30-1)*'밸런스 계산'!$F$7)</f>
        <v>1.7482517482517483E-3</v>
      </c>
      <c r="H30" s="267">
        <f>1/(SUM('밸런스 계산'!$H$2:$H$7)+($A30-1)*'밸런스 계산'!$F$8)</f>
        <v>1.5625000000000001E-3</v>
      </c>
    </row>
    <row r="31" spans="1:12">
      <c r="A31" s="189">
        <v>14</v>
      </c>
      <c r="B31" s="267">
        <f>1/($A31*'밸런스 계산'!$F$2)</f>
        <v>7.9365079365079361E-3</v>
      </c>
      <c r="C31" s="267">
        <f>1/('밸런스 계산'!$H$2+(ref!$A31-1)*'밸런스 계산'!$F$3)</f>
        <v>5.4054054054054057E-3</v>
      </c>
      <c r="D31" s="267">
        <f>1/(SUM('밸런스 계산'!$H$2:$H$3)+($A31-1)*'밸런스 계산'!$F$4)</f>
        <v>2.3752969121140144E-3</v>
      </c>
      <c r="E31" s="267">
        <f>1/(SUM('밸런스 계산'!$H$2:$H$4)+($A31-1)*'밸런스 계산'!$F$5)</f>
        <v>2.4752475247524753E-3</v>
      </c>
      <c r="F31" s="267">
        <f>1/(SUM('밸런스 계산'!$H$2:$H$5)+($A31-1)*'밸런스 계산'!$F$6)</f>
        <v>2E-3</v>
      </c>
      <c r="G31" s="267">
        <f>1/(SUM('밸런스 계산'!$H$2:$H$6)+($A31-1)*'밸런스 계산'!$F$7)</f>
        <v>1.7006802721088435E-3</v>
      </c>
      <c r="H31" s="267">
        <f>1/(SUM('밸런스 계산'!$H$2:$H$7)+($A31-1)*'밸런스 계산'!$F$8)</f>
        <v>1.5267175572519084E-3</v>
      </c>
    </row>
    <row r="32" spans="1:12">
      <c r="A32" s="189">
        <v>15</v>
      </c>
      <c r="B32" s="267">
        <f>1/($A32*'밸런스 계산'!$F$2)</f>
        <v>7.4074074074074077E-3</v>
      </c>
      <c r="C32" s="267">
        <f>1/('밸런스 계산'!$H$2+(ref!$A32-1)*'밸런스 계산'!$F$3)</f>
        <v>5.1813471502590676E-3</v>
      </c>
      <c r="D32" s="267">
        <f>1/(SUM('밸런스 계산'!$H$2:$H$3)+($A32-1)*'밸런스 계산'!$F$4)</f>
        <v>2.2675736961451248E-3</v>
      </c>
      <c r="E32" s="267">
        <f>1/(SUM('밸런스 계산'!$H$2:$H$4)+($A32-1)*'밸런스 계산'!$F$5)</f>
        <v>2.4096385542168677E-3</v>
      </c>
      <c r="F32" s="267">
        <f>1/(SUM('밸런스 계산'!$H$2:$H$5)+($A32-1)*'밸런스 계산'!$F$6)</f>
        <v>1.9417475728155339E-3</v>
      </c>
      <c r="G32" s="267">
        <f>1/(SUM('밸런스 계산'!$H$2:$H$6)+($A32-1)*'밸런스 계산'!$F$7)</f>
        <v>1.6556291390728477E-3</v>
      </c>
      <c r="H32" s="267">
        <f>1/(SUM('밸런스 계산'!$H$2:$H$7)+($A32-1)*'밸런스 계산'!$F$8)</f>
        <v>1.4925373134328358E-3</v>
      </c>
    </row>
    <row r="33" spans="1:8">
      <c r="A33" s="189">
        <v>16</v>
      </c>
      <c r="B33" s="267">
        <f>1/($A33*'밸런스 계산'!$F$2)</f>
        <v>6.9444444444444441E-3</v>
      </c>
      <c r="C33" s="267">
        <f>1/('밸런스 계산'!$H$2+(ref!$A33-1)*'밸런스 계산'!$F$3)</f>
        <v>4.9751243781094526E-3</v>
      </c>
      <c r="D33" s="267">
        <f>1/(SUM('밸런스 계산'!$H$2:$H$3)+($A33-1)*'밸런스 계산'!$F$4)</f>
        <v>2.1691973969631237E-3</v>
      </c>
      <c r="E33" s="267">
        <f>1/(SUM('밸런스 계산'!$H$2:$H$4)+($A33-1)*'밸런스 계산'!$F$5)</f>
        <v>2.3474178403755869E-3</v>
      </c>
      <c r="F33" s="267">
        <f>1/(SUM('밸런스 계산'!$H$2:$H$5)+($A33-1)*'밸런스 계산'!$F$6)</f>
        <v>1.8867924528301887E-3</v>
      </c>
      <c r="G33" s="267">
        <f>1/(SUM('밸런스 계산'!$H$2:$H$6)+($A33-1)*'밸런스 계산'!$F$7)</f>
        <v>1.6129032258064516E-3</v>
      </c>
      <c r="H33" s="267">
        <f>1/(SUM('밸런스 계산'!$H$2:$H$7)+($A33-1)*'밸런스 계산'!$F$8)</f>
        <v>1.4598540145985401E-3</v>
      </c>
    </row>
    <row r="34" spans="1:8">
      <c r="A34" s="189">
        <v>17</v>
      </c>
      <c r="B34" s="267">
        <f>1/($A34*'밸런스 계산'!$F$2)</f>
        <v>6.5359477124183009E-3</v>
      </c>
      <c r="C34" s="267">
        <f>1/('밸런스 계산'!$H$2+(ref!$A34-1)*'밸런스 계산'!$F$3)</f>
        <v>4.7846889952153108E-3</v>
      </c>
      <c r="D34" s="267">
        <f>1/(SUM('밸런스 계산'!$H$2:$H$3)+($A34-1)*'밸런스 계산'!$F$4)</f>
        <v>2.0790020790020791E-3</v>
      </c>
      <c r="E34" s="267">
        <f>1/(SUM('밸런스 계산'!$H$2:$H$4)+($A34-1)*'밸런스 계산'!$F$5)</f>
        <v>2.2883295194508009E-3</v>
      </c>
      <c r="F34" s="267">
        <f>1/(SUM('밸런스 계산'!$H$2:$H$5)+($A34-1)*'밸런스 계산'!$F$6)</f>
        <v>1.834862385321101E-3</v>
      </c>
      <c r="G34" s="267">
        <f>1/(SUM('밸런스 계산'!$H$2:$H$6)+($A34-1)*'밸런스 계산'!$F$7)</f>
        <v>1.5723270440251573E-3</v>
      </c>
      <c r="H34" s="267">
        <f>1/(SUM('밸런스 계산'!$H$2:$H$7)+($A34-1)*'밸런스 계산'!$F$8)</f>
        <v>1.4285714285714286E-3</v>
      </c>
    </row>
    <row r="35" spans="1:8">
      <c r="A35" s="189">
        <v>18</v>
      </c>
      <c r="B35" s="267">
        <f>1/($A35*'밸런스 계산'!$F$2)</f>
        <v>6.1728395061728392E-3</v>
      </c>
      <c r="C35" s="267">
        <f>1/('밸런스 계산'!$H$2+(ref!$A35-1)*'밸런스 계산'!$F$3)</f>
        <v>4.608294930875576E-3</v>
      </c>
      <c r="D35" s="267">
        <f>1/(SUM('밸런스 계산'!$H$2:$H$3)+($A35-1)*'밸런스 계산'!$F$4)</f>
        <v>1.996007984031936E-3</v>
      </c>
      <c r="E35" s="267">
        <f>1/(SUM('밸런스 계산'!$H$2:$H$4)+($A35-1)*'밸런스 계산'!$F$5)</f>
        <v>2.232142857142857E-3</v>
      </c>
      <c r="F35" s="267">
        <f>1/(SUM('밸런스 계산'!$H$2:$H$5)+($A35-1)*'밸런스 계산'!$F$6)</f>
        <v>1.7857142857142857E-3</v>
      </c>
      <c r="G35" s="267">
        <f>1/(SUM('밸런스 계산'!$H$2:$H$6)+($A35-1)*'밸런스 계산'!$F$7)</f>
        <v>1.5337423312883436E-3</v>
      </c>
      <c r="H35" s="267">
        <f>1/(SUM('밸런스 계산'!$H$2:$H$7)+($A35-1)*'밸런스 계산'!$F$8)</f>
        <v>1.3986013986013986E-3</v>
      </c>
    </row>
    <row r="36" spans="1:8">
      <c r="A36" s="189">
        <v>19</v>
      </c>
      <c r="B36" s="267">
        <f>1/($A36*'밸런스 계산'!$F$2)</f>
        <v>5.8479532163742687E-3</v>
      </c>
      <c r="C36" s="267">
        <f>1/('밸런스 계산'!$H$2+(ref!$A36-1)*'밸런스 계산'!$F$3)</f>
        <v>4.4444444444444444E-3</v>
      </c>
      <c r="D36" s="267">
        <f>1/(SUM('밸런스 계산'!$H$2:$H$3)+($A36-1)*'밸런스 계산'!$F$4)</f>
        <v>1.9193857965451055E-3</v>
      </c>
      <c r="E36" s="267">
        <f>1/(SUM('밸런스 계산'!$H$2:$H$4)+($A36-1)*'밸런스 계산'!$F$5)</f>
        <v>2.1786492374727671E-3</v>
      </c>
      <c r="F36" s="267">
        <f>1/(SUM('밸런스 계산'!$H$2:$H$5)+($A36-1)*'밸런스 계산'!$F$6)</f>
        <v>1.7391304347826088E-3</v>
      </c>
      <c r="G36" s="267">
        <f>1/(SUM('밸런스 계산'!$H$2:$H$6)+($A36-1)*'밸런스 계산'!$F$7)</f>
        <v>1.4970059880239522E-3</v>
      </c>
      <c r="H36" s="267">
        <f>1/(SUM('밸런스 계산'!$H$2:$H$7)+($A36-1)*'밸런스 계산'!$F$8)</f>
        <v>1.3698630136986301E-3</v>
      </c>
    </row>
    <row r="37" spans="1:8">
      <c r="A37" s="189">
        <v>20</v>
      </c>
      <c r="B37" s="267">
        <f>1/($A37*'밸런스 계산'!$F$2)</f>
        <v>5.5555555555555558E-3</v>
      </c>
      <c r="C37" s="267">
        <f>1/('밸런스 계산'!$H$2+(ref!$A37-1)*'밸런스 계산'!$F$3)</f>
        <v>4.2918454935622317E-3</v>
      </c>
      <c r="D37" s="267">
        <f>1/(SUM('밸런스 계산'!$H$2:$H$3)+($A37-1)*'밸런스 계산'!$F$4)</f>
        <v>1.8484288354898336E-3</v>
      </c>
      <c r="E37" s="267">
        <f>1/(SUM('밸런스 계산'!$H$2:$H$4)+($A37-1)*'밸런스 계산'!$F$5)</f>
        <v>2.1276595744680851E-3</v>
      </c>
      <c r="F37" s="267">
        <f>1/(SUM('밸런스 계산'!$H$2:$H$5)+($A37-1)*'밸런스 계산'!$F$6)</f>
        <v>1.6949152542372881E-3</v>
      </c>
      <c r="G37" s="267">
        <f>1/(SUM('밸런스 계산'!$H$2:$H$6)+($A37-1)*'밸런스 계산'!$F$7)</f>
        <v>1.4619883040935672E-3</v>
      </c>
      <c r="H37" s="267">
        <f>1/(SUM('밸런스 계산'!$H$2:$H$7)+($A37-1)*'밸런스 계산'!$F$8)</f>
        <v>1.3422818791946308E-3</v>
      </c>
    </row>
    <row r="38" spans="1:8">
      <c r="A38" s="265"/>
    </row>
  </sheetData>
  <phoneticPr fontId="6" type="noConversion"/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/>
  <dimension ref="A1:AI160"/>
  <sheetViews>
    <sheetView zoomScale="83" workbookViewId="0">
      <selection activeCell="M59" sqref="M59"/>
    </sheetView>
  </sheetViews>
  <sheetFormatPr defaultColWidth="8.88671875" defaultRowHeight="15.6"/>
  <cols>
    <col min="1" max="1" width="16.77734375" style="115" customWidth="1"/>
    <col min="2" max="17" width="10.77734375" style="116" customWidth="1"/>
    <col min="18" max="18" width="8.88671875" style="116"/>
    <col min="19" max="19" width="16.77734375" style="116" customWidth="1"/>
    <col min="20" max="35" width="10.77734375" style="116" customWidth="1"/>
    <col min="36" max="16384" width="8.88671875" style="116"/>
  </cols>
  <sheetData>
    <row r="1" spans="1:17" ht="39.6">
      <c r="B1" s="117" t="s">
        <v>260</v>
      </c>
    </row>
    <row r="2" spans="1:17" ht="30">
      <c r="B2" s="118" t="s">
        <v>151</v>
      </c>
    </row>
    <row r="4" spans="1:17">
      <c r="A4" s="115" t="s">
        <v>152</v>
      </c>
      <c r="C4" s="116" t="s">
        <v>42</v>
      </c>
      <c r="D4" s="116" t="s">
        <v>43</v>
      </c>
      <c r="E4" s="116" t="s">
        <v>36</v>
      </c>
      <c r="F4" s="116" t="s">
        <v>40</v>
      </c>
      <c r="G4" s="116" t="s">
        <v>41</v>
      </c>
      <c r="H4" s="116" t="s">
        <v>37</v>
      </c>
      <c r="I4" s="116" t="s">
        <v>38</v>
      </c>
      <c r="J4" s="116" t="s">
        <v>39</v>
      </c>
      <c r="K4" s="116" t="s">
        <v>148</v>
      </c>
      <c r="L4" s="116" t="s">
        <v>149</v>
      </c>
      <c r="M4" s="116" t="s">
        <v>150</v>
      </c>
      <c r="N4" s="116" t="s">
        <v>154</v>
      </c>
      <c r="O4" s="116" t="s">
        <v>256</v>
      </c>
      <c r="P4" s="116" t="s">
        <v>257</v>
      </c>
      <c r="Q4" s="116" t="s">
        <v>258</v>
      </c>
    </row>
    <row r="5" spans="1:17">
      <c r="B5" s="116" t="s">
        <v>35</v>
      </c>
      <c r="C5" s="116">
        <v>10</v>
      </c>
      <c r="D5" s="116">
        <v>40</v>
      </c>
      <c r="E5" s="116">
        <v>20</v>
      </c>
      <c r="F5" s="116">
        <v>25</v>
      </c>
      <c r="G5" s="116">
        <v>15</v>
      </c>
      <c r="H5" s="116">
        <v>40</v>
      </c>
      <c r="I5" s="116">
        <v>15</v>
      </c>
      <c r="J5" s="116">
        <v>25</v>
      </c>
      <c r="K5" s="116">
        <v>15</v>
      </c>
      <c r="L5" s="116">
        <v>30</v>
      </c>
      <c r="M5" s="116">
        <v>60</v>
      </c>
      <c r="N5" s="116">
        <f>AVERAGE(C5:M5)</f>
        <v>26.818181818181817</v>
      </c>
      <c r="O5" s="116">
        <f>AVERAGE(C5:D5)</f>
        <v>25</v>
      </c>
      <c r="P5" s="116">
        <f>AVERAGE(E5:J5)</f>
        <v>23.333333333333332</v>
      </c>
      <c r="Q5" s="116">
        <f>AVERAGE(K5:M5)</f>
        <v>35</v>
      </c>
    </row>
    <row r="6" spans="1:17">
      <c r="A6" s="115" t="s">
        <v>153</v>
      </c>
      <c r="C6" s="116" t="s">
        <v>42</v>
      </c>
      <c r="D6" s="116" t="s">
        <v>43</v>
      </c>
      <c r="E6" s="116" t="s">
        <v>36</v>
      </c>
      <c r="F6" s="116" t="s">
        <v>40</v>
      </c>
      <c r="G6" s="116" t="s">
        <v>41</v>
      </c>
      <c r="H6" s="116" t="s">
        <v>37</v>
      </c>
      <c r="I6" s="116" t="s">
        <v>38</v>
      </c>
      <c r="J6" s="116" t="s">
        <v>39</v>
      </c>
      <c r="K6" s="116" t="s">
        <v>148</v>
      </c>
      <c r="L6" s="116" t="s">
        <v>149</v>
      </c>
      <c r="M6" s="116" t="s">
        <v>150</v>
      </c>
      <c r="N6" s="116" t="s">
        <v>154</v>
      </c>
      <c r="O6" s="116" t="s">
        <v>256</v>
      </c>
      <c r="P6" s="116" t="s">
        <v>257</v>
      </c>
      <c r="Q6" s="116" t="s">
        <v>258</v>
      </c>
    </row>
    <row r="7" spans="1:17">
      <c r="B7" s="116" t="s">
        <v>35</v>
      </c>
      <c r="C7" s="116">
        <v>40</v>
      </c>
      <c r="D7" s="116">
        <v>35</v>
      </c>
      <c r="E7" s="116">
        <v>30</v>
      </c>
      <c r="F7" s="116">
        <v>50</v>
      </c>
      <c r="G7" s="116">
        <v>25</v>
      </c>
      <c r="H7" s="116">
        <v>15</v>
      </c>
      <c r="I7" s="116">
        <v>30</v>
      </c>
      <c r="J7" s="116">
        <v>25</v>
      </c>
      <c r="K7" s="116">
        <v>15</v>
      </c>
      <c r="L7" s="116">
        <v>40</v>
      </c>
      <c r="M7" s="116">
        <v>50</v>
      </c>
      <c r="N7" s="116">
        <f>AVERAGE(C7:M7)</f>
        <v>32.272727272727273</v>
      </c>
      <c r="O7" s="116">
        <f>AVERAGE(C7:D7)</f>
        <v>37.5</v>
      </c>
      <c r="P7" s="116">
        <f>AVERAGE(E7:J7)</f>
        <v>29.166666666666668</v>
      </c>
      <c r="Q7" s="116">
        <f>AVERAGE(K7:M7)</f>
        <v>35</v>
      </c>
    </row>
    <row r="8" spans="1:17">
      <c r="A8" s="115" t="s">
        <v>155</v>
      </c>
      <c r="C8" s="116" t="s">
        <v>42</v>
      </c>
      <c r="D8" s="116" t="s">
        <v>43</v>
      </c>
      <c r="E8" s="116" t="s">
        <v>36</v>
      </c>
      <c r="F8" s="116" t="s">
        <v>40</v>
      </c>
      <c r="G8" s="116" t="s">
        <v>41</v>
      </c>
      <c r="H8" s="116" t="s">
        <v>37</v>
      </c>
      <c r="I8" s="116" t="s">
        <v>38</v>
      </c>
      <c r="J8" s="116" t="s">
        <v>39</v>
      </c>
      <c r="K8" s="116" t="s">
        <v>148</v>
      </c>
      <c r="L8" s="116" t="s">
        <v>149</v>
      </c>
      <c r="M8" s="116" t="s">
        <v>150</v>
      </c>
      <c r="N8" s="116" t="s">
        <v>154</v>
      </c>
      <c r="O8" s="116" t="s">
        <v>256</v>
      </c>
      <c r="P8" s="116" t="s">
        <v>257</v>
      </c>
      <c r="Q8" s="116" t="s">
        <v>258</v>
      </c>
    </row>
    <row r="9" spans="1:17">
      <c r="B9" s="116" t="s">
        <v>35</v>
      </c>
      <c r="C9" s="116">
        <v>40</v>
      </c>
      <c r="D9" s="116">
        <v>40</v>
      </c>
      <c r="E9" s="116">
        <v>35</v>
      </c>
      <c r="F9" s="116">
        <v>40</v>
      </c>
      <c r="G9" s="116">
        <v>55</v>
      </c>
      <c r="H9" s="116">
        <v>10</v>
      </c>
      <c r="I9" s="116">
        <v>20</v>
      </c>
      <c r="J9" s="116">
        <v>30</v>
      </c>
      <c r="K9" s="116">
        <v>35</v>
      </c>
      <c r="L9" s="116">
        <v>55</v>
      </c>
      <c r="M9" s="116">
        <v>40</v>
      </c>
      <c r="N9" s="116">
        <f>AVERAGE(C9:M9)</f>
        <v>36.363636363636367</v>
      </c>
      <c r="O9" s="116">
        <f>AVERAGE(C9:D9)</f>
        <v>40</v>
      </c>
      <c r="P9" s="116">
        <f>AVERAGE(E9:J9)</f>
        <v>31.666666666666668</v>
      </c>
      <c r="Q9" s="116">
        <f>AVERAGE(K9:M9)</f>
        <v>43.333333333333336</v>
      </c>
    </row>
    <row r="10" spans="1:17">
      <c r="A10" s="115" t="s">
        <v>156</v>
      </c>
      <c r="C10" s="116" t="s">
        <v>42</v>
      </c>
      <c r="D10" s="116" t="s">
        <v>43</v>
      </c>
      <c r="E10" s="116" t="s">
        <v>36</v>
      </c>
      <c r="F10" s="116" t="s">
        <v>40</v>
      </c>
      <c r="G10" s="116" t="s">
        <v>41</v>
      </c>
      <c r="H10" s="116" t="s">
        <v>37</v>
      </c>
      <c r="I10" s="116" t="s">
        <v>38</v>
      </c>
      <c r="J10" s="116" t="s">
        <v>39</v>
      </c>
      <c r="K10" s="116" t="s">
        <v>148</v>
      </c>
      <c r="L10" s="116" t="s">
        <v>149</v>
      </c>
      <c r="M10" s="116" t="s">
        <v>150</v>
      </c>
      <c r="N10" s="116" t="s">
        <v>154</v>
      </c>
      <c r="O10" s="116" t="s">
        <v>256</v>
      </c>
      <c r="P10" s="116" t="s">
        <v>257</v>
      </c>
      <c r="Q10" s="116" t="s">
        <v>258</v>
      </c>
    </row>
    <row r="11" spans="1:17">
      <c r="B11" s="116" t="s">
        <v>35</v>
      </c>
      <c r="C11" s="116">
        <v>50</v>
      </c>
      <c r="D11" s="116">
        <v>40</v>
      </c>
      <c r="E11" s="116">
        <v>35</v>
      </c>
      <c r="F11" s="116">
        <v>40</v>
      </c>
      <c r="G11" s="116">
        <v>10</v>
      </c>
      <c r="H11" s="116">
        <v>50</v>
      </c>
      <c r="I11" s="116">
        <v>60</v>
      </c>
      <c r="J11" s="116">
        <v>50</v>
      </c>
      <c r="K11" s="116">
        <v>45</v>
      </c>
      <c r="L11" s="116">
        <v>60</v>
      </c>
      <c r="M11" s="116">
        <v>25</v>
      </c>
      <c r="N11" s="116">
        <f>AVERAGE(C11:M11)</f>
        <v>42.272727272727273</v>
      </c>
      <c r="O11" s="116">
        <f>AVERAGE(C11:D11)</f>
        <v>45</v>
      </c>
      <c r="P11" s="116">
        <f>AVERAGE(E11:J11)</f>
        <v>40.833333333333336</v>
      </c>
      <c r="Q11" s="116">
        <f>AVERAGE(K11:M11)</f>
        <v>43.333333333333336</v>
      </c>
    </row>
    <row r="12" spans="1:17">
      <c r="A12" s="115" t="s">
        <v>157</v>
      </c>
      <c r="C12" s="116" t="s">
        <v>42</v>
      </c>
      <c r="D12" s="116" t="s">
        <v>43</v>
      </c>
      <c r="E12" s="116" t="s">
        <v>36</v>
      </c>
      <c r="F12" s="116" t="s">
        <v>40</v>
      </c>
      <c r="G12" s="116" t="s">
        <v>41</v>
      </c>
      <c r="H12" s="116" t="s">
        <v>37</v>
      </c>
      <c r="I12" s="116" t="s">
        <v>38</v>
      </c>
      <c r="J12" s="116" t="s">
        <v>39</v>
      </c>
      <c r="K12" s="116" t="s">
        <v>148</v>
      </c>
      <c r="L12" s="116" t="s">
        <v>149</v>
      </c>
      <c r="M12" s="116" t="s">
        <v>150</v>
      </c>
      <c r="N12" s="116" t="s">
        <v>154</v>
      </c>
      <c r="O12" s="116" t="s">
        <v>256</v>
      </c>
      <c r="P12" s="116" t="s">
        <v>257</v>
      </c>
      <c r="Q12" s="116" t="s">
        <v>258</v>
      </c>
    </row>
    <row r="13" spans="1:17">
      <c r="B13" s="116" t="s">
        <v>35</v>
      </c>
      <c r="C13" s="116">
        <v>35</v>
      </c>
      <c r="D13" s="116">
        <v>90</v>
      </c>
      <c r="E13" s="116">
        <v>60</v>
      </c>
      <c r="F13" s="116">
        <v>5</v>
      </c>
      <c r="G13" s="116">
        <v>75</v>
      </c>
      <c r="H13" s="116">
        <v>40</v>
      </c>
      <c r="I13" s="116">
        <v>35</v>
      </c>
      <c r="J13" s="116">
        <v>10</v>
      </c>
      <c r="K13" s="116">
        <v>75</v>
      </c>
      <c r="L13" s="116">
        <v>30</v>
      </c>
      <c r="M13" s="116">
        <v>25</v>
      </c>
      <c r="N13" s="116">
        <f>AVERAGE(C13:M13)</f>
        <v>43.636363636363633</v>
      </c>
      <c r="O13" s="116">
        <f>AVERAGE(C13:D13)</f>
        <v>62.5</v>
      </c>
      <c r="P13" s="116">
        <f>AVERAGE(E13:J13)</f>
        <v>37.5</v>
      </c>
      <c r="Q13" s="116">
        <f>AVERAGE(K13:M13)</f>
        <v>43.333333333333336</v>
      </c>
    </row>
    <row r="14" spans="1:17">
      <c r="A14" s="115" t="s">
        <v>158</v>
      </c>
      <c r="C14" s="116" t="s">
        <v>42</v>
      </c>
      <c r="D14" s="116" t="s">
        <v>43</v>
      </c>
      <c r="E14" s="116" t="s">
        <v>36</v>
      </c>
      <c r="F14" s="116" t="s">
        <v>40</v>
      </c>
      <c r="G14" s="116" t="s">
        <v>41</v>
      </c>
      <c r="H14" s="116" t="s">
        <v>37</v>
      </c>
      <c r="I14" s="116" t="s">
        <v>38</v>
      </c>
      <c r="J14" s="116" t="s">
        <v>39</v>
      </c>
      <c r="K14" s="116" t="s">
        <v>148</v>
      </c>
      <c r="L14" s="116" t="s">
        <v>149</v>
      </c>
      <c r="M14" s="116" t="s">
        <v>150</v>
      </c>
      <c r="N14" s="116" t="s">
        <v>154</v>
      </c>
      <c r="O14" s="116" t="s">
        <v>256</v>
      </c>
      <c r="P14" s="116" t="s">
        <v>257</v>
      </c>
      <c r="Q14" s="116" t="s">
        <v>258</v>
      </c>
    </row>
    <row r="15" spans="1:17">
      <c r="B15" s="116" t="s">
        <v>35</v>
      </c>
      <c r="C15" s="116">
        <v>45</v>
      </c>
      <c r="D15" s="116">
        <v>70</v>
      </c>
      <c r="E15" s="116">
        <v>45</v>
      </c>
      <c r="F15" s="116">
        <v>60</v>
      </c>
      <c r="G15" s="116">
        <v>50</v>
      </c>
      <c r="H15" s="116">
        <v>15</v>
      </c>
      <c r="I15" s="116">
        <v>50</v>
      </c>
      <c r="J15" s="116">
        <v>35</v>
      </c>
      <c r="K15" s="116">
        <v>40</v>
      </c>
      <c r="L15" s="116">
        <v>60</v>
      </c>
      <c r="M15" s="116">
        <v>35</v>
      </c>
      <c r="N15" s="116">
        <f>AVERAGE(C15:M15)</f>
        <v>45.909090909090907</v>
      </c>
      <c r="O15" s="116">
        <f>AVERAGE(C15:D15)</f>
        <v>57.5</v>
      </c>
      <c r="P15" s="116">
        <f>AVERAGE(E15:J15)</f>
        <v>42.5</v>
      </c>
      <c r="Q15" s="116">
        <f>AVERAGE(K15:M15)</f>
        <v>45</v>
      </c>
    </row>
    <row r="16" spans="1:17">
      <c r="A16" s="115" t="s">
        <v>273</v>
      </c>
      <c r="C16" s="116" t="s">
        <v>42</v>
      </c>
      <c r="D16" s="116" t="s">
        <v>43</v>
      </c>
      <c r="E16" s="116" t="s">
        <v>36</v>
      </c>
      <c r="F16" s="116" t="s">
        <v>40</v>
      </c>
      <c r="G16" s="116" t="s">
        <v>41</v>
      </c>
      <c r="H16" s="116" t="s">
        <v>37</v>
      </c>
      <c r="I16" s="116" t="s">
        <v>38</v>
      </c>
      <c r="J16" s="116" t="s">
        <v>39</v>
      </c>
      <c r="K16" s="116" t="s">
        <v>148</v>
      </c>
      <c r="L16" s="116" t="s">
        <v>149</v>
      </c>
      <c r="M16" s="116" t="s">
        <v>150</v>
      </c>
      <c r="N16" s="116" t="s">
        <v>154</v>
      </c>
      <c r="O16" s="116" t="s">
        <v>256</v>
      </c>
      <c r="P16" s="116" t="s">
        <v>257</v>
      </c>
      <c r="Q16" s="116" t="s">
        <v>258</v>
      </c>
    </row>
    <row r="17" spans="1:17">
      <c r="B17" s="116" t="s">
        <v>4</v>
      </c>
      <c r="C17" s="116">
        <v>85</v>
      </c>
      <c r="D17" s="116">
        <v>20</v>
      </c>
      <c r="E17" s="116">
        <v>65</v>
      </c>
      <c r="F17" s="116">
        <v>45</v>
      </c>
      <c r="G17" s="116">
        <v>70</v>
      </c>
      <c r="H17" s="116">
        <v>75</v>
      </c>
      <c r="I17" s="116">
        <v>55</v>
      </c>
      <c r="J17" s="116">
        <v>40</v>
      </c>
      <c r="K17" s="116">
        <v>50</v>
      </c>
      <c r="L17" s="116">
        <v>50</v>
      </c>
      <c r="M17" s="116">
        <v>35</v>
      </c>
      <c r="N17" s="116">
        <f>AVERAGE(C17:M17)</f>
        <v>53.636363636363633</v>
      </c>
      <c r="O17" s="116">
        <f>AVERAGE(C17:D17)</f>
        <v>52.5</v>
      </c>
      <c r="P17" s="116">
        <f>AVERAGE(E17:J17)</f>
        <v>58.333333333333336</v>
      </c>
      <c r="Q17" s="116">
        <f>AVERAGE(K17:M17)</f>
        <v>45</v>
      </c>
    </row>
    <row r="18" spans="1:17">
      <c r="A18" s="115" t="s">
        <v>322</v>
      </c>
      <c r="C18" s="116" t="s">
        <v>42</v>
      </c>
      <c r="D18" s="116" t="s">
        <v>43</v>
      </c>
      <c r="E18" s="116" t="s">
        <v>36</v>
      </c>
      <c r="F18" s="116" t="s">
        <v>40</v>
      </c>
      <c r="G18" s="116" t="s">
        <v>41</v>
      </c>
      <c r="H18" s="116" t="s">
        <v>37</v>
      </c>
      <c r="I18" s="116" t="s">
        <v>38</v>
      </c>
      <c r="J18" s="116" t="s">
        <v>39</v>
      </c>
      <c r="K18" s="116" t="s">
        <v>148</v>
      </c>
      <c r="L18" s="116" t="s">
        <v>149</v>
      </c>
      <c r="M18" s="116" t="s">
        <v>150</v>
      </c>
      <c r="N18" s="116" t="s">
        <v>154</v>
      </c>
      <c r="O18" s="116" t="s">
        <v>256</v>
      </c>
      <c r="P18" s="116" t="s">
        <v>257</v>
      </c>
      <c r="Q18" s="116" t="s">
        <v>258</v>
      </c>
    </row>
    <row r="19" spans="1:17">
      <c r="B19" s="116" t="s">
        <v>4</v>
      </c>
      <c r="C19" s="116">
        <v>40</v>
      </c>
      <c r="D19" s="116">
        <v>70</v>
      </c>
      <c r="E19" s="116">
        <v>65</v>
      </c>
      <c r="F19" s="116">
        <v>80</v>
      </c>
      <c r="G19" s="116">
        <v>50</v>
      </c>
      <c r="H19" s="116">
        <v>50</v>
      </c>
      <c r="I19" s="116">
        <v>40</v>
      </c>
      <c r="J19" s="116">
        <v>70</v>
      </c>
      <c r="K19" s="116">
        <v>80</v>
      </c>
      <c r="L19" s="116">
        <v>30</v>
      </c>
      <c r="M19" s="116">
        <v>10</v>
      </c>
      <c r="N19" s="116">
        <f>AVERAGE(C19:M19)</f>
        <v>53.18181818181818</v>
      </c>
      <c r="O19" s="116">
        <f>AVERAGE(C19:D19)</f>
        <v>55</v>
      </c>
      <c r="P19" s="116">
        <f>AVERAGE(E19:J19)</f>
        <v>59.166666666666664</v>
      </c>
      <c r="Q19" s="116">
        <f>AVERAGE(K19:M19)</f>
        <v>40</v>
      </c>
    </row>
    <row r="26" spans="1:17" ht="30">
      <c r="B26" s="118" t="s">
        <v>44</v>
      </c>
    </row>
    <row r="28" spans="1:17">
      <c r="A28" s="115" t="s">
        <v>159</v>
      </c>
      <c r="C28" s="116" t="s">
        <v>42</v>
      </c>
      <c r="D28" s="116" t="s">
        <v>43</v>
      </c>
      <c r="E28" s="116" t="s">
        <v>36</v>
      </c>
      <c r="F28" s="116" t="s">
        <v>40</v>
      </c>
      <c r="G28" s="116" t="s">
        <v>41</v>
      </c>
      <c r="H28" s="116" t="s">
        <v>37</v>
      </c>
      <c r="I28" s="116" t="s">
        <v>38</v>
      </c>
      <c r="J28" s="116" t="s">
        <v>39</v>
      </c>
      <c r="K28" s="116" t="s">
        <v>148</v>
      </c>
      <c r="L28" s="116" t="s">
        <v>149</v>
      </c>
      <c r="M28" s="116" t="s">
        <v>150</v>
      </c>
      <c r="N28" s="116" t="s">
        <v>154</v>
      </c>
      <c r="O28" s="116" t="s">
        <v>256</v>
      </c>
      <c r="P28" s="116" t="s">
        <v>257</v>
      </c>
      <c r="Q28" s="116" t="s">
        <v>258</v>
      </c>
    </row>
    <row r="29" spans="1:17">
      <c r="B29" s="116" t="s">
        <v>35</v>
      </c>
      <c r="C29" s="116">
        <v>30</v>
      </c>
      <c r="D29" s="116">
        <v>20</v>
      </c>
      <c r="E29" s="116">
        <v>25</v>
      </c>
      <c r="F29" s="116">
        <v>5</v>
      </c>
      <c r="G29" s="116">
        <v>25</v>
      </c>
      <c r="H29" s="116">
        <v>30</v>
      </c>
      <c r="I29" s="116">
        <v>40</v>
      </c>
      <c r="J29" s="116">
        <v>15</v>
      </c>
      <c r="K29" s="116">
        <v>5</v>
      </c>
      <c r="L29" s="116">
        <v>30</v>
      </c>
      <c r="M29" s="116">
        <v>70</v>
      </c>
      <c r="N29" s="116">
        <f>AVERAGE(C29:M29)</f>
        <v>26.818181818181817</v>
      </c>
      <c r="O29" s="116">
        <f>AVERAGE(C29:D29)</f>
        <v>25</v>
      </c>
      <c r="P29" s="116">
        <f>AVERAGE(E29:J29)</f>
        <v>23.333333333333332</v>
      </c>
      <c r="Q29" s="116">
        <f>AVERAGE(K29:M29)</f>
        <v>35</v>
      </c>
    </row>
    <row r="30" spans="1:17">
      <c r="A30" s="115" t="s">
        <v>160</v>
      </c>
      <c r="C30" s="116" t="s">
        <v>42</v>
      </c>
      <c r="D30" s="116" t="s">
        <v>43</v>
      </c>
      <c r="E30" s="116" t="s">
        <v>36</v>
      </c>
      <c r="F30" s="116" t="s">
        <v>40</v>
      </c>
      <c r="G30" s="116" t="s">
        <v>41</v>
      </c>
      <c r="H30" s="116" t="s">
        <v>37</v>
      </c>
      <c r="I30" s="116" t="s">
        <v>38</v>
      </c>
      <c r="J30" s="116" t="s">
        <v>39</v>
      </c>
      <c r="K30" s="116" t="s">
        <v>148</v>
      </c>
      <c r="L30" s="116" t="s">
        <v>149</v>
      </c>
      <c r="M30" s="116" t="s">
        <v>150</v>
      </c>
      <c r="N30" s="116" t="s">
        <v>154</v>
      </c>
      <c r="O30" s="116" t="s">
        <v>256</v>
      </c>
      <c r="P30" s="116" t="s">
        <v>257</v>
      </c>
      <c r="Q30" s="116" t="s">
        <v>258</v>
      </c>
    </row>
    <row r="31" spans="1:17">
      <c r="B31" s="116" t="s">
        <v>35</v>
      </c>
      <c r="C31" s="116">
        <v>30</v>
      </c>
      <c r="D31" s="116">
        <v>30</v>
      </c>
      <c r="E31" s="116">
        <v>35</v>
      </c>
      <c r="F31" s="116">
        <v>25</v>
      </c>
      <c r="G31" s="116">
        <v>20</v>
      </c>
      <c r="H31" s="116">
        <v>35</v>
      </c>
      <c r="I31" s="116">
        <v>25</v>
      </c>
      <c r="J31" s="116">
        <v>20</v>
      </c>
      <c r="K31" s="116">
        <v>15</v>
      </c>
      <c r="L31" s="116">
        <v>35</v>
      </c>
      <c r="M31" s="116">
        <v>75</v>
      </c>
      <c r="N31" s="116">
        <f>AVERAGE(C31:M31)</f>
        <v>31.363636363636363</v>
      </c>
      <c r="O31" s="116">
        <f>AVERAGE(C31:D31)</f>
        <v>30</v>
      </c>
      <c r="P31" s="116">
        <f>AVERAGE(E31:J31)</f>
        <v>26.666666666666668</v>
      </c>
      <c r="Q31" s="116">
        <f>AVERAGE(K31:M31)</f>
        <v>41.666666666666664</v>
      </c>
    </row>
    <row r="32" spans="1:17">
      <c r="A32" s="115" t="s">
        <v>32</v>
      </c>
      <c r="C32" s="116" t="s">
        <v>42</v>
      </c>
      <c r="D32" s="116" t="s">
        <v>43</v>
      </c>
      <c r="E32" s="116" t="s">
        <v>36</v>
      </c>
      <c r="F32" s="116" t="s">
        <v>40</v>
      </c>
      <c r="G32" s="116" t="s">
        <v>41</v>
      </c>
      <c r="H32" s="116" t="s">
        <v>37</v>
      </c>
      <c r="I32" s="116" t="s">
        <v>38</v>
      </c>
      <c r="J32" s="116" t="s">
        <v>39</v>
      </c>
      <c r="K32" s="116" t="s">
        <v>148</v>
      </c>
      <c r="L32" s="116" t="s">
        <v>149</v>
      </c>
      <c r="M32" s="116" t="s">
        <v>150</v>
      </c>
      <c r="N32" s="116" t="s">
        <v>154</v>
      </c>
      <c r="O32" s="116" t="s">
        <v>256</v>
      </c>
      <c r="P32" s="116" t="s">
        <v>257</v>
      </c>
      <c r="Q32" s="116" t="s">
        <v>258</v>
      </c>
    </row>
    <row r="33" spans="1:17">
      <c r="B33" s="116" t="s">
        <v>35</v>
      </c>
      <c r="C33" s="116">
        <v>10</v>
      </c>
      <c r="D33" s="116">
        <v>70</v>
      </c>
      <c r="E33" s="116">
        <v>30</v>
      </c>
      <c r="F33" s="116">
        <v>60</v>
      </c>
      <c r="G33" s="116">
        <v>30</v>
      </c>
      <c r="H33" s="116">
        <v>15</v>
      </c>
      <c r="I33" s="116">
        <v>30</v>
      </c>
      <c r="J33" s="116">
        <v>30</v>
      </c>
      <c r="K33" s="116">
        <v>35</v>
      </c>
      <c r="L33" s="116">
        <v>60</v>
      </c>
      <c r="M33" s="116">
        <v>40</v>
      </c>
      <c r="N33" s="116">
        <f>AVERAGE(C33:M33)</f>
        <v>37.272727272727273</v>
      </c>
      <c r="O33" s="116">
        <f>AVERAGE(C33:D33)</f>
        <v>40</v>
      </c>
      <c r="P33" s="116">
        <f>AVERAGE(E33:J33)</f>
        <v>32.5</v>
      </c>
      <c r="Q33" s="116">
        <f>AVERAGE(K33:M33)</f>
        <v>45</v>
      </c>
    </row>
    <row r="34" spans="1:17">
      <c r="A34" s="115" t="s">
        <v>315</v>
      </c>
      <c r="C34" s="116" t="s">
        <v>42</v>
      </c>
      <c r="D34" s="116" t="s">
        <v>43</v>
      </c>
      <c r="E34" s="116" t="s">
        <v>36</v>
      </c>
      <c r="F34" s="116" t="s">
        <v>40</v>
      </c>
      <c r="G34" s="116" t="s">
        <v>41</v>
      </c>
      <c r="H34" s="116" t="s">
        <v>37</v>
      </c>
      <c r="I34" s="116" t="s">
        <v>38</v>
      </c>
      <c r="J34" s="116" t="s">
        <v>39</v>
      </c>
      <c r="K34" s="116" t="s">
        <v>148</v>
      </c>
      <c r="L34" s="116" t="s">
        <v>149</v>
      </c>
      <c r="M34" s="116" t="s">
        <v>150</v>
      </c>
      <c r="N34" s="116" t="s">
        <v>154</v>
      </c>
      <c r="O34" s="116" t="s">
        <v>256</v>
      </c>
      <c r="P34" s="116" t="s">
        <v>257</v>
      </c>
      <c r="Q34" s="116" t="s">
        <v>258</v>
      </c>
    </row>
    <row r="35" spans="1:17">
      <c r="B35" s="116" t="s">
        <v>35</v>
      </c>
      <c r="C35" s="116">
        <v>60</v>
      </c>
      <c r="D35" s="116">
        <v>20</v>
      </c>
      <c r="E35" s="116">
        <v>40</v>
      </c>
      <c r="F35" s="116">
        <v>20</v>
      </c>
      <c r="G35" s="116">
        <v>45</v>
      </c>
      <c r="H35" s="116">
        <v>60</v>
      </c>
      <c r="I35" s="116">
        <v>50</v>
      </c>
      <c r="J35" s="116">
        <v>60</v>
      </c>
      <c r="K35" s="116">
        <v>15</v>
      </c>
      <c r="L35" s="116">
        <v>60</v>
      </c>
      <c r="M35" s="116">
        <v>45</v>
      </c>
      <c r="N35" s="116">
        <f>AVERAGE(C35:M35)</f>
        <v>43.18181818181818</v>
      </c>
      <c r="O35" s="116">
        <f>AVERAGE(C35:D35)</f>
        <v>40</v>
      </c>
      <c r="P35" s="116">
        <f>AVERAGE(E35:J35)</f>
        <v>45.833333333333336</v>
      </c>
      <c r="Q35" s="116">
        <f>AVERAGE(K35:M35)</f>
        <v>40</v>
      </c>
    </row>
    <row r="36" spans="1:17">
      <c r="A36" s="115" t="s">
        <v>325</v>
      </c>
      <c r="C36" s="116" t="s">
        <v>42</v>
      </c>
      <c r="D36" s="116" t="s">
        <v>43</v>
      </c>
      <c r="E36" s="116" t="s">
        <v>36</v>
      </c>
      <c r="F36" s="116" t="s">
        <v>40</v>
      </c>
      <c r="G36" s="116" t="s">
        <v>41</v>
      </c>
      <c r="H36" s="116" t="s">
        <v>37</v>
      </c>
      <c r="I36" s="116" t="s">
        <v>38</v>
      </c>
      <c r="J36" s="116" t="s">
        <v>39</v>
      </c>
      <c r="K36" s="116" t="s">
        <v>148</v>
      </c>
      <c r="L36" s="116" t="s">
        <v>149</v>
      </c>
      <c r="M36" s="116" t="s">
        <v>150</v>
      </c>
      <c r="N36" s="116" t="s">
        <v>154</v>
      </c>
      <c r="O36" s="116" t="s">
        <v>256</v>
      </c>
      <c r="P36" s="116" t="s">
        <v>257</v>
      </c>
      <c r="Q36" s="116" t="s">
        <v>258</v>
      </c>
    </row>
    <row r="37" spans="1:17">
      <c r="B37" s="116" t="s">
        <v>35</v>
      </c>
      <c r="C37" s="116">
        <v>35</v>
      </c>
      <c r="D37" s="116">
        <v>65</v>
      </c>
      <c r="E37" s="116">
        <v>45</v>
      </c>
      <c r="F37" s="116">
        <v>50</v>
      </c>
      <c r="G37" s="116">
        <v>45</v>
      </c>
      <c r="H37" s="116">
        <v>30</v>
      </c>
      <c r="I37" s="116">
        <v>40</v>
      </c>
      <c r="J37" s="116">
        <v>25</v>
      </c>
      <c r="K37" s="116">
        <v>60</v>
      </c>
      <c r="L37" s="116">
        <v>50</v>
      </c>
      <c r="M37" s="116">
        <v>30</v>
      </c>
      <c r="N37" s="116">
        <f>AVERAGE(C37:M37)</f>
        <v>43.18181818181818</v>
      </c>
      <c r="O37" s="116">
        <f>AVERAGE(C37:D37)</f>
        <v>50</v>
      </c>
      <c r="P37" s="116">
        <f>AVERAGE(E37:J37)</f>
        <v>39.166666666666664</v>
      </c>
      <c r="Q37" s="116">
        <f>AVERAGE(K37:M37)</f>
        <v>46.666666666666664</v>
      </c>
    </row>
    <row r="38" spans="1:17">
      <c r="A38" s="115" t="s">
        <v>161</v>
      </c>
      <c r="C38" s="116" t="s">
        <v>42</v>
      </c>
      <c r="D38" s="116" t="s">
        <v>43</v>
      </c>
      <c r="E38" s="116" t="s">
        <v>36</v>
      </c>
      <c r="F38" s="116" t="s">
        <v>40</v>
      </c>
      <c r="G38" s="116" t="s">
        <v>41</v>
      </c>
      <c r="H38" s="116" t="s">
        <v>37</v>
      </c>
      <c r="I38" s="116" t="s">
        <v>38</v>
      </c>
      <c r="J38" s="116" t="s">
        <v>39</v>
      </c>
      <c r="K38" s="116" t="s">
        <v>148</v>
      </c>
      <c r="L38" s="116" t="s">
        <v>149</v>
      </c>
      <c r="M38" s="116" t="s">
        <v>150</v>
      </c>
      <c r="N38" s="116" t="s">
        <v>154</v>
      </c>
      <c r="O38" s="116" t="s">
        <v>256</v>
      </c>
      <c r="P38" s="116" t="s">
        <v>257</v>
      </c>
      <c r="Q38" s="116" t="s">
        <v>258</v>
      </c>
    </row>
    <row r="39" spans="1:17">
      <c r="B39" s="116" t="s">
        <v>35</v>
      </c>
      <c r="C39" s="116">
        <v>40</v>
      </c>
      <c r="D39" s="116">
        <v>60</v>
      </c>
      <c r="E39" s="116">
        <v>50</v>
      </c>
      <c r="F39" s="116">
        <v>20</v>
      </c>
      <c r="G39" s="116">
        <v>70</v>
      </c>
      <c r="H39" s="116">
        <v>60</v>
      </c>
      <c r="I39" s="116">
        <v>40</v>
      </c>
      <c r="J39" s="116">
        <v>55</v>
      </c>
      <c r="K39" s="116">
        <v>35</v>
      </c>
      <c r="L39" s="116">
        <v>65</v>
      </c>
      <c r="M39" s="116">
        <v>35</v>
      </c>
      <c r="N39" s="116">
        <f>AVERAGE(C39:M39)</f>
        <v>48.18181818181818</v>
      </c>
      <c r="O39" s="116">
        <f>AVERAGE(C39:D39)</f>
        <v>50</v>
      </c>
      <c r="P39" s="116">
        <f>AVERAGE(E39:J39)</f>
        <v>49.166666666666664</v>
      </c>
      <c r="Q39" s="116">
        <f>AVERAGE(K39:M39)</f>
        <v>45</v>
      </c>
    </row>
    <row r="40" spans="1:17">
      <c r="A40" s="115" t="s">
        <v>317</v>
      </c>
      <c r="C40" s="116" t="s">
        <v>42</v>
      </c>
      <c r="D40" s="116" t="s">
        <v>43</v>
      </c>
      <c r="E40" s="116" t="s">
        <v>36</v>
      </c>
      <c r="F40" s="116" t="s">
        <v>40</v>
      </c>
      <c r="G40" s="116" t="s">
        <v>41</v>
      </c>
      <c r="H40" s="116" t="s">
        <v>37</v>
      </c>
      <c r="I40" s="116" t="s">
        <v>38</v>
      </c>
      <c r="J40" s="116" t="s">
        <v>39</v>
      </c>
      <c r="K40" s="116" t="s">
        <v>148</v>
      </c>
      <c r="L40" s="116" t="s">
        <v>149</v>
      </c>
      <c r="M40" s="116" t="s">
        <v>150</v>
      </c>
      <c r="N40" s="116" t="s">
        <v>154</v>
      </c>
      <c r="O40" s="116" t="s">
        <v>256</v>
      </c>
      <c r="P40" s="116" t="s">
        <v>257</v>
      </c>
      <c r="Q40" s="116" t="s">
        <v>258</v>
      </c>
    </row>
    <row r="41" spans="1:17">
      <c r="B41" s="116" t="s">
        <v>35</v>
      </c>
      <c r="C41" s="116">
        <v>70</v>
      </c>
      <c r="D41" s="116">
        <v>45</v>
      </c>
      <c r="E41" s="116">
        <v>50</v>
      </c>
      <c r="F41" s="116">
        <v>40</v>
      </c>
      <c r="G41" s="116">
        <v>60</v>
      </c>
      <c r="H41" s="116">
        <v>70</v>
      </c>
      <c r="I41" s="116">
        <v>55</v>
      </c>
      <c r="J41" s="116">
        <v>55</v>
      </c>
      <c r="K41" s="116">
        <v>50</v>
      </c>
      <c r="L41" s="116">
        <v>55</v>
      </c>
      <c r="M41" s="116">
        <v>30</v>
      </c>
      <c r="N41" s="116">
        <f>AVERAGE(C41:M41)</f>
        <v>52.727272727272727</v>
      </c>
      <c r="O41" s="116">
        <f>AVERAGE(C41:D41)</f>
        <v>57.5</v>
      </c>
      <c r="P41" s="116">
        <f>AVERAGE(E41:J41)</f>
        <v>55</v>
      </c>
      <c r="Q41" s="116">
        <f>AVERAGE(K41:M41)</f>
        <v>45</v>
      </c>
    </row>
    <row r="42" spans="1:17">
      <c r="A42" s="115" t="s">
        <v>318</v>
      </c>
      <c r="C42" s="116" t="s">
        <v>42</v>
      </c>
      <c r="D42" s="116" t="s">
        <v>43</v>
      </c>
      <c r="E42" s="116" t="s">
        <v>36</v>
      </c>
      <c r="F42" s="116" t="s">
        <v>40</v>
      </c>
      <c r="G42" s="116" t="s">
        <v>41</v>
      </c>
      <c r="H42" s="116" t="s">
        <v>37</v>
      </c>
      <c r="I42" s="116" t="s">
        <v>38</v>
      </c>
      <c r="J42" s="116" t="s">
        <v>39</v>
      </c>
      <c r="K42" s="116" t="s">
        <v>148</v>
      </c>
      <c r="L42" s="116" t="s">
        <v>149</v>
      </c>
      <c r="M42" s="116" t="s">
        <v>150</v>
      </c>
      <c r="N42" s="116" t="s">
        <v>154</v>
      </c>
      <c r="O42" s="116" t="s">
        <v>256</v>
      </c>
      <c r="P42" s="116" t="s">
        <v>257</v>
      </c>
      <c r="Q42" s="116" t="s">
        <v>258</v>
      </c>
    </row>
    <row r="43" spans="1:17">
      <c r="B43" s="116" t="s">
        <v>35</v>
      </c>
      <c r="C43" s="116">
        <v>50</v>
      </c>
      <c r="D43" s="116">
        <v>60</v>
      </c>
      <c r="E43" s="116">
        <v>45</v>
      </c>
      <c r="F43" s="116">
        <v>80</v>
      </c>
      <c r="G43" s="116">
        <v>50</v>
      </c>
      <c r="H43" s="116">
        <v>30</v>
      </c>
      <c r="I43" s="116">
        <v>35</v>
      </c>
      <c r="J43" s="116">
        <v>60</v>
      </c>
      <c r="K43" s="116">
        <v>90</v>
      </c>
      <c r="L43" s="116">
        <v>25</v>
      </c>
      <c r="M43" s="116">
        <v>5</v>
      </c>
      <c r="N43" s="116">
        <f>AVERAGE(C43:M43)</f>
        <v>48.18181818181818</v>
      </c>
      <c r="O43" s="116">
        <f>AVERAGE(C43:D43)</f>
        <v>55</v>
      </c>
      <c r="P43" s="116">
        <f>AVERAGE(E43:J43)</f>
        <v>50</v>
      </c>
      <c r="Q43" s="116">
        <f>AVERAGE(K43:M43)</f>
        <v>40</v>
      </c>
    </row>
    <row r="50" spans="1:17" ht="30">
      <c r="B50" s="118" t="s">
        <v>74</v>
      </c>
    </row>
    <row r="52" spans="1:17">
      <c r="A52" s="115" t="s">
        <v>162</v>
      </c>
      <c r="C52" s="116" t="s">
        <v>42</v>
      </c>
      <c r="D52" s="116" t="s">
        <v>43</v>
      </c>
      <c r="E52" s="116" t="s">
        <v>36</v>
      </c>
      <c r="F52" s="116" t="s">
        <v>40</v>
      </c>
      <c r="G52" s="116" t="s">
        <v>41</v>
      </c>
      <c r="H52" s="116" t="s">
        <v>37</v>
      </c>
      <c r="I52" s="116" t="s">
        <v>38</v>
      </c>
      <c r="J52" s="116" t="s">
        <v>39</v>
      </c>
      <c r="K52" s="116" t="s">
        <v>148</v>
      </c>
      <c r="L52" s="116" t="s">
        <v>149</v>
      </c>
      <c r="M52" s="116" t="s">
        <v>150</v>
      </c>
      <c r="N52" s="116" t="s">
        <v>154</v>
      </c>
      <c r="O52" s="116" t="s">
        <v>256</v>
      </c>
      <c r="P52" s="116" t="s">
        <v>257</v>
      </c>
      <c r="Q52" s="116" t="s">
        <v>258</v>
      </c>
    </row>
    <row r="53" spans="1:17">
      <c r="B53" s="116" t="s">
        <v>35</v>
      </c>
      <c r="C53" s="116">
        <v>10</v>
      </c>
      <c r="D53" s="116">
        <v>45</v>
      </c>
      <c r="E53" s="116">
        <v>25</v>
      </c>
      <c r="F53" s="116">
        <v>35</v>
      </c>
      <c r="G53" s="116">
        <v>35</v>
      </c>
      <c r="H53" s="116">
        <v>20</v>
      </c>
      <c r="I53" s="116">
        <v>25</v>
      </c>
      <c r="J53" s="116">
        <v>20</v>
      </c>
      <c r="K53" s="116">
        <v>10</v>
      </c>
      <c r="L53" s="116">
        <v>15</v>
      </c>
      <c r="M53" s="116">
        <v>45</v>
      </c>
      <c r="N53" s="116">
        <f>AVERAGE(C53:M53)</f>
        <v>25.90909090909091</v>
      </c>
      <c r="O53" s="116">
        <f>AVERAGE(C53:D53)</f>
        <v>27.5</v>
      </c>
      <c r="P53" s="116">
        <f>AVERAGE(E53:J53)</f>
        <v>26.666666666666668</v>
      </c>
      <c r="Q53" s="116">
        <f>AVERAGE(K53:M53)</f>
        <v>23.333333333333332</v>
      </c>
    </row>
    <row r="54" spans="1:17">
      <c r="A54" s="115" t="s">
        <v>261</v>
      </c>
      <c r="C54" s="116" t="s">
        <v>42</v>
      </c>
      <c r="D54" s="116" t="s">
        <v>43</v>
      </c>
      <c r="E54" s="116" t="s">
        <v>36</v>
      </c>
      <c r="F54" s="116" t="s">
        <v>40</v>
      </c>
      <c r="G54" s="116" t="s">
        <v>41</v>
      </c>
      <c r="H54" s="116" t="s">
        <v>37</v>
      </c>
      <c r="I54" s="116" t="s">
        <v>38</v>
      </c>
      <c r="J54" s="116" t="s">
        <v>39</v>
      </c>
      <c r="K54" s="116" t="s">
        <v>148</v>
      </c>
      <c r="L54" s="116" t="s">
        <v>149</v>
      </c>
      <c r="M54" s="116" t="s">
        <v>150</v>
      </c>
      <c r="N54" s="116" t="s">
        <v>154</v>
      </c>
      <c r="O54" s="116" t="s">
        <v>256</v>
      </c>
      <c r="P54" s="116" t="s">
        <v>257</v>
      </c>
      <c r="Q54" s="116" t="s">
        <v>258</v>
      </c>
    </row>
    <row r="55" spans="1:17">
      <c r="B55" s="116" t="s">
        <v>35</v>
      </c>
      <c r="C55" s="116">
        <v>45</v>
      </c>
      <c r="D55" s="116">
        <v>25</v>
      </c>
      <c r="E55" s="116">
        <v>35</v>
      </c>
      <c r="F55" s="116">
        <v>25</v>
      </c>
      <c r="G55" s="116">
        <v>25</v>
      </c>
      <c r="H55" s="116">
        <v>45</v>
      </c>
      <c r="I55" s="116">
        <v>25</v>
      </c>
      <c r="J55" s="116">
        <v>25</v>
      </c>
      <c r="K55" s="116">
        <v>5</v>
      </c>
      <c r="L55" s="116">
        <v>30</v>
      </c>
      <c r="M55" s="116">
        <v>65</v>
      </c>
      <c r="N55" s="116">
        <f>AVERAGE(C55:M55)</f>
        <v>31.818181818181817</v>
      </c>
      <c r="O55" s="116">
        <f>AVERAGE(C55:D55)</f>
        <v>35</v>
      </c>
      <c r="P55" s="116">
        <f>AVERAGE(E55:J55)</f>
        <v>30</v>
      </c>
      <c r="Q55" s="116">
        <f>AVERAGE(K55:M55)</f>
        <v>33.333333333333336</v>
      </c>
    </row>
    <row r="56" spans="1:17">
      <c r="A56" s="115" t="s">
        <v>163</v>
      </c>
      <c r="C56" s="116" t="s">
        <v>42</v>
      </c>
      <c r="D56" s="116" t="s">
        <v>43</v>
      </c>
      <c r="E56" s="116" t="s">
        <v>36</v>
      </c>
      <c r="F56" s="116" t="s">
        <v>40</v>
      </c>
      <c r="G56" s="116" t="s">
        <v>41</v>
      </c>
      <c r="H56" s="116" t="s">
        <v>37</v>
      </c>
      <c r="I56" s="116" t="s">
        <v>38</v>
      </c>
      <c r="J56" s="116" t="s">
        <v>39</v>
      </c>
      <c r="K56" s="116" t="s">
        <v>148</v>
      </c>
      <c r="L56" s="116" t="s">
        <v>149</v>
      </c>
      <c r="M56" s="116" t="s">
        <v>150</v>
      </c>
      <c r="N56" s="116" t="s">
        <v>154</v>
      </c>
      <c r="O56" s="116" t="s">
        <v>256</v>
      </c>
      <c r="P56" s="116" t="s">
        <v>257</v>
      </c>
      <c r="Q56" s="116" t="s">
        <v>258</v>
      </c>
    </row>
    <row r="57" spans="1:17">
      <c r="B57" s="116" t="s">
        <v>35</v>
      </c>
      <c r="C57" s="116">
        <v>25</v>
      </c>
      <c r="D57" s="116">
        <v>50</v>
      </c>
      <c r="E57" s="116">
        <v>30</v>
      </c>
      <c r="F57" s="116">
        <v>5</v>
      </c>
      <c r="G57" s="116">
        <v>45</v>
      </c>
      <c r="H57" s="116">
        <v>35</v>
      </c>
      <c r="I57" s="116">
        <v>35</v>
      </c>
      <c r="J57" s="116">
        <v>20</v>
      </c>
      <c r="K57" s="116">
        <v>5</v>
      </c>
      <c r="L57" s="116">
        <v>20</v>
      </c>
      <c r="M57" s="116">
        <v>90</v>
      </c>
      <c r="N57" s="116">
        <f>AVERAGE(C57:M57)</f>
        <v>32.727272727272727</v>
      </c>
      <c r="O57" s="116">
        <f>AVERAGE(C57:D57)</f>
        <v>37.5</v>
      </c>
      <c r="P57" s="116">
        <f>AVERAGE(E57:J57)</f>
        <v>28.333333333333332</v>
      </c>
      <c r="Q57" s="116">
        <f>AVERAGE(K57:M57)</f>
        <v>38.333333333333336</v>
      </c>
    </row>
    <row r="58" spans="1:17">
      <c r="A58" s="115" t="s">
        <v>164</v>
      </c>
      <c r="C58" s="116" t="s">
        <v>42</v>
      </c>
      <c r="D58" s="116" t="s">
        <v>43</v>
      </c>
      <c r="E58" s="116" t="s">
        <v>36</v>
      </c>
      <c r="F58" s="116" t="s">
        <v>40</v>
      </c>
      <c r="G58" s="116" t="s">
        <v>41</v>
      </c>
      <c r="H58" s="116" t="s">
        <v>37</v>
      </c>
      <c r="I58" s="116" t="s">
        <v>38</v>
      </c>
      <c r="J58" s="116" t="s">
        <v>39</v>
      </c>
      <c r="K58" s="116" t="s">
        <v>148</v>
      </c>
      <c r="L58" s="116" t="s">
        <v>149</v>
      </c>
      <c r="M58" s="116" t="s">
        <v>150</v>
      </c>
      <c r="N58" s="116" t="s">
        <v>154</v>
      </c>
      <c r="O58" s="116" t="s">
        <v>256</v>
      </c>
      <c r="P58" s="116" t="s">
        <v>257</v>
      </c>
      <c r="Q58" s="116" t="s">
        <v>258</v>
      </c>
    </row>
    <row r="59" spans="1:17">
      <c r="B59" s="116" t="s">
        <v>35</v>
      </c>
      <c r="C59" s="116">
        <v>25</v>
      </c>
      <c r="D59" s="116">
        <v>60</v>
      </c>
      <c r="E59" s="116">
        <v>40</v>
      </c>
      <c r="F59" s="116">
        <v>55</v>
      </c>
      <c r="G59" s="116">
        <v>35</v>
      </c>
      <c r="H59" s="116">
        <v>25</v>
      </c>
      <c r="I59" s="116">
        <v>30</v>
      </c>
      <c r="J59" s="116">
        <v>45</v>
      </c>
      <c r="K59" s="116">
        <v>40</v>
      </c>
      <c r="L59" s="116">
        <v>70</v>
      </c>
      <c r="M59" s="116">
        <v>25</v>
      </c>
      <c r="N59" s="116">
        <f>AVERAGE(C59:M59)</f>
        <v>40.909090909090907</v>
      </c>
      <c r="O59" s="116">
        <f>AVERAGE(C59:D59)</f>
        <v>42.5</v>
      </c>
      <c r="P59" s="116">
        <f>AVERAGE(E59:J59)</f>
        <v>38.333333333333336</v>
      </c>
      <c r="Q59" s="116">
        <f>AVERAGE(K59:M59)</f>
        <v>45</v>
      </c>
    </row>
    <row r="60" spans="1:17">
      <c r="A60" s="115" t="s">
        <v>165</v>
      </c>
      <c r="C60" s="116" t="s">
        <v>42</v>
      </c>
      <c r="D60" s="116" t="s">
        <v>43</v>
      </c>
      <c r="E60" s="116" t="s">
        <v>36</v>
      </c>
      <c r="F60" s="116" t="s">
        <v>40</v>
      </c>
      <c r="G60" s="116" t="s">
        <v>41</v>
      </c>
      <c r="H60" s="116" t="s">
        <v>37</v>
      </c>
      <c r="I60" s="116" t="s">
        <v>38</v>
      </c>
      <c r="J60" s="116" t="s">
        <v>39</v>
      </c>
      <c r="K60" s="116" t="s">
        <v>148</v>
      </c>
      <c r="L60" s="116" t="s">
        <v>149</v>
      </c>
      <c r="M60" s="116" t="s">
        <v>150</v>
      </c>
      <c r="N60" s="116" t="s">
        <v>154</v>
      </c>
      <c r="O60" s="116" t="s">
        <v>256</v>
      </c>
      <c r="P60" s="116" t="s">
        <v>257</v>
      </c>
      <c r="Q60" s="116" t="s">
        <v>258</v>
      </c>
    </row>
    <row r="61" spans="1:17">
      <c r="B61" s="116" t="s">
        <v>4</v>
      </c>
      <c r="C61" s="116">
        <v>45</v>
      </c>
      <c r="D61" s="116">
        <v>60</v>
      </c>
      <c r="E61" s="116">
        <v>70</v>
      </c>
      <c r="F61" s="116">
        <v>25</v>
      </c>
      <c r="G61" s="116">
        <v>35</v>
      </c>
      <c r="H61" s="116">
        <v>65</v>
      </c>
      <c r="I61" s="116">
        <v>40</v>
      </c>
      <c r="J61" s="116">
        <v>40</v>
      </c>
      <c r="K61" s="116">
        <v>45</v>
      </c>
      <c r="L61" s="116">
        <v>55</v>
      </c>
      <c r="M61" s="116">
        <v>50</v>
      </c>
      <c r="N61" s="116">
        <f>AVERAGE(C61:M61)</f>
        <v>48.18181818181818</v>
      </c>
      <c r="O61" s="116">
        <f>AVERAGE(C61:D61)</f>
        <v>52.5</v>
      </c>
      <c r="P61" s="116">
        <f>AVERAGE(E61:J61)</f>
        <v>45.833333333333336</v>
      </c>
      <c r="Q61" s="116">
        <f>AVERAGE(K61:M61)</f>
        <v>50</v>
      </c>
    </row>
    <row r="62" spans="1:17">
      <c r="A62" s="115" t="s">
        <v>288</v>
      </c>
      <c r="C62" s="116" t="s">
        <v>42</v>
      </c>
      <c r="D62" s="116" t="s">
        <v>43</v>
      </c>
      <c r="E62" s="116" t="s">
        <v>36</v>
      </c>
      <c r="F62" s="116" t="s">
        <v>40</v>
      </c>
      <c r="G62" s="116" t="s">
        <v>41</v>
      </c>
      <c r="H62" s="116" t="s">
        <v>37</v>
      </c>
      <c r="I62" s="116" t="s">
        <v>38</v>
      </c>
      <c r="J62" s="116" t="s">
        <v>39</v>
      </c>
      <c r="K62" s="116" t="s">
        <v>148</v>
      </c>
      <c r="L62" s="116" t="s">
        <v>149</v>
      </c>
      <c r="M62" s="116" t="s">
        <v>150</v>
      </c>
      <c r="N62" s="116" t="s">
        <v>154</v>
      </c>
      <c r="O62" s="116" t="s">
        <v>256</v>
      </c>
      <c r="P62" s="116" t="s">
        <v>257</v>
      </c>
      <c r="Q62" s="116" t="s">
        <v>258</v>
      </c>
    </row>
    <row r="63" spans="1:17">
      <c r="B63" s="116" t="s">
        <v>4</v>
      </c>
      <c r="C63" s="116">
        <v>65</v>
      </c>
      <c r="D63" s="116">
        <v>75</v>
      </c>
      <c r="E63" s="116">
        <v>75</v>
      </c>
      <c r="F63" s="116">
        <v>90</v>
      </c>
      <c r="G63" s="116">
        <v>60</v>
      </c>
      <c r="H63" s="116">
        <v>30</v>
      </c>
      <c r="I63" s="116">
        <v>30</v>
      </c>
      <c r="J63" s="116">
        <v>50</v>
      </c>
      <c r="K63" s="116">
        <v>95</v>
      </c>
      <c r="L63" s="116">
        <v>55</v>
      </c>
      <c r="M63" s="116">
        <v>15</v>
      </c>
      <c r="N63" s="116">
        <f>AVERAGE(C63:M63)</f>
        <v>58.18181818181818</v>
      </c>
      <c r="O63" s="116">
        <f>AVERAGE(C63:D63)</f>
        <v>70</v>
      </c>
      <c r="P63" s="116">
        <f>AVERAGE(E63:J63)</f>
        <v>55.833333333333336</v>
      </c>
      <c r="Q63" s="116">
        <f>AVERAGE(K63:M63)</f>
        <v>55</v>
      </c>
    </row>
    <row r="64" spans="1:17">
      <c r="A64" s="115" t="s">
        <v>234</v>
      </c>
      <c r="C64" s="116" t="s">
        <v>42</v>
      </c>
      <c r="D64" s="116" t="s">
        <v>43</v>
      </c>
      <c r="E64" s="116" t="s">
        <v>36</v>
      </c>
      <c r="F64" s="116" t="s">
        <v>40</v>
      </c>
      <c r="G64" s="116" t="s">
        <v>41</v>
      </c>
      <c r="H64" s="116" t="s">
        <v>37</v>
      </c>
      <c r="I64" s="116" t="s">
        <v>38</v>
      </c>
      <c r="J64" s="116" t="s">
        <v>39</v>
      </c>
      <c r="K64" s="116" t="s">
        <v>148</v>
      </c>
      <c r="L64" s="116" t="s">
        <v>149</v>
      </c>
      <c r="M64" s="116" t="s">
        <v>150</v>
      </c>
      <c r="N64" s="116" t="s">
        <v>154</v>
      </c>
      <c r="O64" s="116" t="s">
        <v>256</v>
      </c>
      <c r="P64" s="116" t="s">
        <v>257</v>
      </c>
      <c r="Q64" s="116" t="s">
        <v>258</v>
      </c>
    </row>
    <row r="65" spans="1:35">
      <c r="B65" s="116" t="s">
        <v>4</v>
      </c>
      <c r="C65" s="116">
        <v>90</v>
      </c>
      <c r="D65" s="116">
        <v>40</v>
      </c>
      <c r="E65" s="116">
        <v>85</v>
      </c>
      <c r="F65" s="116">
        <v>55</v>
      </c>
      <c r="G65" s="116">
        <v>70</v>
      </c>
      <c r="H65" s="116">
        <v>45</v>
      </c>
      <c r="I65" s="116">
        <v>70</v>
      </c>
      <c r="J65" s="116">
        <v>50</v>
      </c>
      <c r="K65" s="116">
        <v>50</v>
      </c>
      <c r="L65" s="116">
        <v>60</v>
      </c>
      <c r="M65" s="116">
        <v>50</v>
      </c>
      <c r="N65" s="116">
        <f>AVERAGE(C65:M65)</f>
        <v>60.454545454545453</v>
      </c>
      <c r="O65" s="116">
        <f>AVERAGE(C65:D65)</f>
        <v>65</v>
      </c>
      <c r="P65" s="116">
        <f>AVERAGE(E65:J65)</f>
        <v>62.5</v>
      </c>
      <c r="Q65" s="116">
        <f>AVERAGE(K65:M65)</f>
        <v>53.333333333333336</v>
      </c>
    </row>
    <row r="66" spans="1:35">
      <c r="A66" s="115" t="s">
        <v>236</v>
      </c>
      <c r="C66" s="116" t="s">
        <v>42</v>
      </c>
      <c r="D66" s="116" t="s">
        <v>43</v>
      </c>
      <c r="E66" s="116" t="s">
        <v>36</v>
      </c>
      <c r="F66" s="116" t="s">
        <v>40</v>
      </c>
      <c r="G66" s="116" t="s">
        <v>41</v>
      </c>
      <c r="H66" s="116" t="s">
        <v>37</v>
      </c>
      <c r="I66" s="116" t="s">
        <v>38</v>
      </c>
      <c r="J66" s="116" t="s">
        <v>39</v>
      </c>
      <c r="K66" s="116" t="s">
        <v>148</v>
      </c>
      <c r="L66" s="116" t="s">
        <v>149</v>
      </c>
      <c r="M66" s="116" t="s">
        <v>150</v>
      </c>
      <c r="N66" s="116" t="s">
        <v>154</v>
      </c>
      <c r="O66" s="116" t="s">
        <v>256</v>
      </c>
      <c r="P66" s="116" t="s">
        <v>257</v>
      </c>
      <c r="Q66" s="116" t="s">
        <v>258</v>
      </c>
    </row>
    <row r="67" spans="1:35">
      <c r="B67" s="116" t="s">
        <v>4</v>
      </c>
      <c r="C67" s="116">
        <v>50</v>
      </c>
      <c r="D67" s="116">
        <v>50</v>
      </c>
      <c r="E67" s="116">
        <v>65</v>
      </c>
      <c r="F67" s="116">
        <v>75</v>
      </c>
      <c r="G67" s="116">
        <v>40</v>
      </c>
      <c r="H67" s="116">
        <v>45</v>
      </c>
      <c r="I67" s="116">
        <v>50</v>
      </c>
      <c r="J67" s="116">
        <v>50</v>
      </c>
      <c r="K67" s="116">
        <v>25</v>
      </c>
      <c r="L67" s="116">
        <v>60</v>
      </c>
      <c r="M67" s="116">
        <v>60</v>
      </c>
      <c r="N67" s="116">
        <f>AVERAGE(C67:M67)</f>
        <v>51.81818181818182</v>
      </c>
      <c r="O67" s="116">
        <f>AVERAGE(C67:D67)</f>
        <v>50</v>
      </c>
      <c r="P67" s="116">
        <f>AVERAGE(E67:J67)</f>
        <v>54.166666666666664</v>
      </c>
      <c r="Q67" s="116">
        <f>AVERAGE(K67:M67)</f>
        <v>48.333333333333336</v>
      </c>
    </row>
    <row r="74" spans="1:35" ht="30">
      <c r="B74" s="118" t="s">
        <v>166</v>
      </c>
    </row>
    <row r="75" spans="1:35">
      <c r="A75" s="115" t="s">
        <v>167</v>
      </c>
      <c r="C75" s="116" t="s">
        <v>42</v>
      </c>
      <c r="D75" s="116" t="s">
        <v>43</v>
      </c>
      <c r="E75" s="116" t="s">
        <v>36</v>
      </c>
      <c r="F75" s="116" t="s">
        <v>40</v>
      </c>
      <c r="G75" s="116" t="s">
        <v>41</v>
      </c>
      <c r="H75" s="116" t="s">
        <v>37</v>
      </c>
      <c r="I75" s="116" t="s">
        <v>38</v>
      </c>
      <c r="J75" s="116" t="s">
        <v>39</v>
      </c>
      <c r="K75" s="116" t="s">
        <v>148</v>
      </c>
      <c r="L75" s="116" t="s">
        <v>149</v>
      </c>
      <c r="M75" s="116" t="s">
        <v>150</v>
      </c>
      <c r="N75" s="116" t="s">
        <v>154</v>
      </c>
      <c r="O75" s="116" t="s">
        <v>256</v>
      </c>
      <c r="P75" s="116" t="s">
        <v>257</v>
      </c>
      <c r="Q75" s="116" t="s">
        <v>258</v>
      </c>
      <c r="S75" s="115" t="s">
        <v>207</v>
      </c>
      <c r="U75" s="116" t="s">
        <v>42</v>
      </c>
      <c r="V75" s="116" t="s">
        <v>43</v>
      </c>
      <c r="W75" s="116" t="s">
        <v>36</v>
      </c>
      <c r="X75" s="116" t="s">
        <v>40</v>
      </c>
      <c r="Y75" s="116" t="s">
        <v>41</v>
      </c>
      <c r="Z75" s="116" t="s">
        <v>37</v>
      </c>
      <c r="AA75" s="116" t="s">
        <v>38</v>
      </c>
      <c r="AB75" s="116" t="s">
        <v>39</v>
      </c>
      <c r="AC75" s="116" t="s">
        <v>148</v>
      </c>
      <c r="AD75" s="116" t="s">
        <v>149</v>
      </c>
      <c r="AE75" s="116" t="s">
        <v>150</v>
      </c>
      <c r="AF75" s="116" t="s">
        <v>154</v>
      </c>
      <c r="AG75" s="116" t="s">
        <v>256</v>
      </c>
      <c r="AH75" s="116" t="s">
        <v>257</v>
      </c>
      <c r="AI75" s="116" t="s">
        <v>258</v>
      </c>
    </row>
    <row r="76" spans="1:35">
      <c r="B76" s="116" t="s">
        <v>4</v>
      </c>
      <c r="C76" s="116">
        <v>100</v>
      </c>
      <c r="D76" s="116">
        <v>0</v>
      </c>
      <c r="E76" s="116">
        <v>50</v>
      </c>
      <c r="F76" s="116">
        <v>50</v>
      </c>
      <c r="G76" s="116">
        <v>50</v>
      </c>
      <c r="H76" s="116">
        <v>50</v>
      </c>
      <c r="I76" s="116">
        <v>50</v>
      </c>
      <c r="J76" s="116">
        <v>50</v>
      </c>
      <c r="K76" s="116">
        <v>0</v>
      </c>
      <c r="L76" s="116">
        <v>30</v>
      </c>
      <c r="M76" s="116">
        <v>100</v>
      </c>
      <c r="N76" s="116">
        <f>AVERAGE(C76:M76)</f>
        <v>48.18181818181818</v>
      </c>
      <c r="O76" s="116">
        <f>AVERAGE(C76:D76)</f>
        <v>50</v>
      </c>
      <c r="P76" s="116">
        <f>AVERAGE(E76:J76)</f>
        <v>50</v>
      </c>
      <c r="Q76" s="116">
        <f>AVERAGE(K76:M76)</f>
        <v>43.333333333333336</v>
      </c>
      <c r="S76" s="115"/>
      <c r="T76" s="116" t="s">
        <v>4</v>
      </c>
      <c r="U76" s="116">
        <v>100</v>
      </c>
      <c r="V76" s="116">
        <v>0</v>
      </c>
      <c r="W76" s="116">
        <v>50</v>
      </c>
      <c r="X76" s="116">
        <v>50</v>
      </c>
      <c r="Y76" s="116">
        <v>50</v>
      </c>
      <c r="Z76" s="116">
        <v>50</v>
      </c>
      <c r="AA76" s="116">
        <v>50</v>
      </c>
      <c r="AB76" s="116">
        <v>50</v>
      </c>
      <c r="AC76" s="116">
        <v>100</v>
      </c>
      <c r="AD76" s="116">
        <v>20</v>
      </c>
      <c r="AE76" s="116">
        <v>0</v>
      </c>
      <c r="AF76" s="116">
        <f t="shared" ref="AF76" si="0">AVERAGE(U76:AE76)</f>
        <v>47.272727272727273</v>
      </c>
      <c r="AG76" s="116">
        <f t="shared" ref="AG76" si="1">AVERAGE(U76:V76)</f>
        <v>50</v>
      </c>
      <c r="AH76" s="116">
        <f t="shared" ref="AH76" si="2">AVERAGE(W76:AB76)</f>
        <v>50</v>
      </c>
      <c r="AI76" s="116">
        <f t="shared" ref="AI76" si="3">AVERAGE(AC76:AE76)</f>
        <v>40</v>
      </c>
    </row>
    <row r="77" spans="1:35">
      <c r="A77" s="115" t="s">
        <v>336</v>
      </c>
      <c r="C77" s="116" t="s">
        <v>42</v>
      </c>
      <c r="D77" s="116" t="s">
        <v>43</v>
      </c>
      <c r="E77" s="116" t="s">
        <v>36</v>
      </c>
      <c r="F77" s="116" t="s">
        <v>40</v>
      </c>
      <c r="G77" s="116" t="s">
        <v>41</v>
      </c>
      <c r="H77" s="116" t="s">
        <v>37</v>
      </c>
      <c r="I77" s="116" t="s">
        <v>38</v>
      </c>
      <c r="J77" s="116" t="s">
        <v>39</v>
      </c>
      <c r="K77" s="116" t="s">
        <v>148</v>
      </c>
      <c r="L77" s="116" t="s">
        <v>149</v>
      </c>
      <c r="M77" s="116" t="s">
        <v>150</v>
      </c>
      <c r="N77" s="116" t="s">
        <v>154</v>
      </c>
      <c r="O77" s="116" t="s">
        <v>256</v>
      </c>
      <c r="P77" s="116" t="s">
        <v>257</v>
      </c>
      <c r="Q77" s="116" t="s">
        <v>258</v>
      </c>
      <c r="S77" s="115" t="s">
        <v>205</v>
      </c>
      <c r="U77" s="116" t="s">
        <v>42</v>
      </c>
      <c r="V77" s="116" t="s">
        <v>43</v>
      </c>
      <c r="W77" s="116" t="s">
        <v>36</v>
      </c>
      <c r="X77" s="116" t="s">
        <v>40</v>
      </c>
      <c r="Y77" s="116" t="s">
        <v>41</v>
      </c>
      <c r="Z77" s="116" t="s">
        <v>37</v>
      </c>
      <c r="AA77" s="116" t="s">
        <v>38</v>
      </c>
      <c r="AB77" s="116" t="s">
        <v>39</v>
      </c>
      <c r="AC77" s="116" t="s">
        <v>148</v>
      </c>
      <c r="AD77" s="116" t="s">
        <v>149</v>
      </c>
      <c r="AE77" s="116" t="s">
        <v>150</v>
      </c>
      <c r="AF77" s="116" t="s">
        <v>154</v>
      </c>
      <c r="AG77" s="116" t="s">
        <v>256</v>
      </c>
      <c r="AH77" s="116" t="s">
        <v>257</v>
      </c>
      <c r="AI77" s="116" t="s">
        <v>258</v>
      </c>
    </row>
    <row r="78" spans="1:35">
      <c r="B78" s="116" t="s">
        <v>4</v>
      </c>
      <c r="C78" s="116">
        <v>100</v>
      </c>
      <c r="D78" s="116">
        <v>0</v>
      </c>
      <c r="E78" s="116">
        <v>50</v>
      </c>
      <c r="F78" s="116">
        <v>50</v>
      </c>
      <c r="G78" s="116">
        <v>50</v>
      </c>
      <c r="H78" s="116">
        <v>50</v>
      </c>
      <c r="I78" s="116">
        <v>50</v>
      </c>
      <c r="J78" s="116">
        <v>50</v>
      </c>
      <c r="K78" s="116">
        <v>0</v>
      </c>
      <c r="L78" s="116">
        <v>30</v>
      </c>
      <c r="M78" s="116">
        <v>100</v>
      </c>
      <c r="N78" s="116">
        <f t="shared" ref="N78" si="4">AVERAGE(C78:M78)</f>
        <v>48.18181818181818</v>
      </c>
      <c r="O78" s="116">
        <f t="shared" ref="O78" si="5">AVERAGE(C78:D78)</f>
        <v>50</v>
      </c>
      <c r="P78" s="116">
        <f t="shared" ref="P78" si="6">AVERAGE(E78:J78)</f>
        <v>50</v>
      </c>
      <c r="Q78" s="116">
        <f t="shared" ref="Q78" si="7">AVERAGE(K78:M78)</f>
        <v>43.333333333333336</v>
      </c>
      <c r="S78" s="115"/>
      <c r="T78" s="116" t="s">
        <v>4</v>
      </c>
      <c r="U78" s="116">
        <v>100</v>
      </c>
      <c r="V78" s="116">
        <v>0</v>
      </c>
      <c r="W78" s="116">
        <v>50</v>
      </c>
      <c r="X78" s="116">
        <v>50</v>
      </c>
      <c r="Y78" s="116">
        <v>50</v>
      </c>
      <c r="Z78" s="116">
        <v>50</v>
      </c>
      <c r="AA78" s="116">
        <v>50</v>
      </c>
      <c r="AB78" s="116">
        <v>50</v>
      </c>
      <c r="AC78" s="116">
        <v>100</v>
      </c>
      <c r="AD78" s="116">
        <v>20</v>
      </c>
      <c r="AE78" s="116">
        <v>0</v>
      </c>
      <c r="AF78" s="116">
        <f t="shared" ref="AF78" si="8">AVERAGE(U78:AE78)</f>
        <v>47.272727272727273</v>
      </c>
      <c r="AG78" s="116">
        <f t="shared" ref="AG78" si="9">AVERAGE(U78:V78)</f>
        <v>50</v>
      </c>
      <c r="AH78" s="116">
        <f t="shared" ref="AH78" si="10">AVERAGE(W78:AB78)</f>
        <v>50</v>
      </c>
      <c r="AI78" s="116">
        <f t="shared" ref="AI78" si="11">AVERAGE(AC78:AE78)</f>
        <v>40</v>
      </c>
    </row>
    <row r="79" spans="1:35">
      <c r="A79" s="115" t="s">
        <v>337</v>
      </c>
      <c r="C79" s="116" t="s">
        <v>42</v>
      </c>
      <c r="D79" s="116" t="s">
        <v>43</v>
      </c>
      <c r="E79" s="116" t="s">
        <v>36</v>
      </c>
      <c r="F79" s="116" t="s">
        <v>40</v>
      </c>
      <c r="G79" s="116" t="s">
        <v>41</v>
      </c>
      <c r="H79" s="116" t="s">
        <v>37</v>
      </c>
      <c r="I79" s="116" t="s">
        <v>38</v>
      </c>
      <c r="J79" s="116" t="s">
        <v>39</v>
      </c>
      <c r="K79" s="116" t="s">
        <v>148</v>
      </c>
      <c r="L79" s="116" t="s">
        <v>149</v>
      </c>
      <c r="M79" s="116" t="s">
        <v>150</v>
      </c>
      <c r="N79" s="116" t="s">
        <v>154</v>
      </c>
      <c r="O79" s="116" t="s">
        <v>256</v>
      </c>
      <c r="P79" s="116" t="s">
        <v>257</v>
      </c>
      <c r="Q79" s="116" t="s">
        <v>258</v>
      </c>
      <c r="S79" s="115" t="s">
        <v>206</v>
      </c>
      <c r="U79" s="116" t="s">
        <v>42</v>
      </c>
      <c r="V79" s="116" t="s">
        <v>43</v>
      </c>
      <c r="W79" s="116" t="s">
        <v>36</v>
      </c>
      <c r="X79" s="116" t="s">
        <v>40</v>
      </c>
      <c r="Y79" s="116" t="s">
        <v>41</v>
      </c>
      <c r="Z79" s="116" t="s">
        <v>37</v>
      </c>
      <c r="AA79" s="116" t="s">
        <v>38</v>
      </c>
      <c r="AB79" s="116" t="s">
        <v>39</v>
      </c>
      <c r="AC79" s="116" t="s">
        <v>148</v>
      </c>
      <c r="AD79" s="116" t="s">
        <v>149</v>
      </c>
      <c r="AE79" s="116" t="s">
        <v>150</v>
      </c>
      <c r="AF79" s="116" t="s">
        <v>154</v>
      </c>
      <c r="AG79" s="116" t="s">
        <v>256</v>
      </c>
      <c r="AH79" s="116" t="s">
        <v>257</v>
      </c>
      <c r="AI79" s="116" t="s">
        <v>258</v>
      </c>
    </row>
    <row r="80" spans="1:35">
      <c r="B80" s="116" t="s">
        <v>4</v>
      </c>
      <c r="C80" s="116">
        <v>100</v>
      </c>
      <c r="D80" s="116">
        <v>0</v>
      </c>
      <c r="E80" s="116">
        <v>50</v>
      </c>
      <c r="F80" s="116">
        <v>50</v>
      </c>
      <c r="G80" s="116">
        <v>50</v>
      </c>
      <c r="H80" s="116">
        <v>50</v>
      </c>
      <c r="I80" s="116">
        <v>50</v>
      </c>
      <c r="J80" s="116">
        <v>50</v>
      </c>
      <c r="K80" s="116">
        <v>0</v>
      </c>
      <c r="L80" s="116">
        <v>30</v>
      </c>
      <c r="M80" s="116">
        <v>100</v>
      </c>
      <c r="N80" s="116">
        <f t="shared" ref="N80" si="12">AVERAGE(C80:M80)</f>
        <v>48.18181818181818</v>
      </c>
      <c r="O80" s="116">
        <f t="shared" ref="O80" si="13">AVERAGE(C80:D80)</f>
        <v>50</v>
      </c>
      <c r="P80" s="116">
        <f t="shared" ref="P80" si="14">AVERAGE(E80:J80)</f>
        <v>50</v>
      </c>
      <c r="Q80" s="116">
        <f t="shared" ref="Q80" si="15">AVERAGE(K80:M80)</f>
        <v>43.333333333333336</v>
      </c>
      <c r="S80" s="115"/>
      <c r="T80" s="116" t="s">
        <v>4</v>
      </c>
      <c r="U80" s="116">
        <v>100</v>
      </c>
      <c r="V80" s="116">
        <v>0</v>
      </c>
      <c r="W80" s="116">
        <v>50</v>
      </c>
      <c r="X80" s="116">
        <v>50</v>
      </c>
      <c r="Y80" s="116">
        <v>50</v>
      </c>
      <c r="Z80" s="116">
        <v>50</v>
      </c>
      <c r="AA80" s="116">
        <v>50</v>
      </c>
      <c r="AB80" s="116">
        <v>50</v>
      </c>
      <c r="AC80" s="116">
        <v>100</v>
      </c>
      <c r="AD80" s="116">
        <v>20</v>
      </c>
      <c r="AE80" s="116">
        <v>0</v>
      </c>
      <c r="AF80" s="116">
        <f t="shared" ref="AF80" si="16">AVERAGE(U80:AE80)</f>
        <v>47.272727272727273</v>
      </c>
      <c r="AG80" s="116">
        <f t="shared" ref="AG80" si="17">AVERAGE(U80:V80)</f>
        <v>50</v>
      </c>
      <c r="AH80" s="116">
        <f t="shared" ref="AH80" si="18">AVERAGE(W80:AB80)</f>
        <v>50</v>
      </c>
      <c r="AI80" s="116">
        <f t="shared" ref="AI80" si="19">AVERAGE(AC80:AE80)</f>
        <v>40</v>
      </c>
    </row>
    <row r="81" spans="1:35">
      <c r="A81" s="115" t="s">
        <v>334</v>
      </c>
      <c r="C81" s="116" t="s">
        <v>42</v>
      </c>
      <c r="D81" s="116" t="s">
        <v>43</v>
      </c>
      <c r="E81" s="116" t="s">
        <v>36</v>
      </c>
      <c r="F81" s="116" t="s">
        <v>40</v>
      </c>
      <c r="G81" s="116" t="s">
        <v>41</v>
      </c>
      <c r="H81" s="116" t="s">
        <v>37</v>
      </c>
      <c r="I81" s="116" t="s">
        <v>38</v>
      </c>
      <c r="J81" s="116" t="s">
        <v>39</v>
      </c>
      <c r="K81" s="116" t="s">
        <v>148</v>
      </c>
      <c r="L81" s="116" t="s">
        <v>149</v>
      </c>
      <c r="M81" s="116" t="s">
        <v>150</v>
      </c>
      <c r="N81" s="116" t="s">
        <v>154</v>
      </c>
      <c r="O81" s="116" t="s">
        <v>256</v>
      </c>
      <c r="P81" s="116" t="s">
        <v>257</v>
      </c>
      <c r="Q81" s="116" t="s">
        <v>258</v>
      </c>
      <c r="S81" s="115" t="s">
        <v>341</v>
      </c>
      <c r="U81" s="116" t="s">
        <v>42</v>
      </c>
      <c r="V81" s="116" t="s">
        <v>43</v>
      </c>
      <c r="W81" s="116" t="s">
        <v>36</v>
      </c>
      <c r="X81" s="116" t="s">
        <v>40</v>
      </c>
      <c r="Y81" s="116" t="s">
        <v>41</v>
      </c>
      <c r="Z81" s="116" t="s">
        <v>37</v>
      </c>
      <c r="AA81" s="116" t="s">
        <v>38</v>
      </c>
      <c r="AB81" s="116" t="s">
        <v>39</v>
      </c>
      <c r="AC81" s="116" t="s">
        <v>148</v>
      </c>
      <c r="AD81" s="116" t="s">
        <v>149</v>
      </c>
      <c r="AE81" s="116" t="s">
        <v>150</v>
      </c>
      <c r="AF81" s="116" t="s">
        <v>154</v>
      </c>
      <c r="AG81" s="116" t="s">
        <v>256</v>
      </c>
      <c r="AH81" s="116" t="s">
        <v>257</v>
      </c>
      <c r="AI81" s="116" t="s">
        <v>258</v>
      </c>
    </row>
    <row r="82" spans="1:35">
      <c r="B82" s="116" t="s">
        <v>4</v>
      </c>
      <c r="C82" s="116">
        <v>100</v>
      </c>
      <c r="D82" s="116">
        <v>0</v>
      </c>
      <c r="E82" s="116">
        <v>50</v>
      </c>
      <c r="F82" s="116">
        <v>50</v>
      </c>
      <c r="G82" s="116">
        <v>50</v>
      </c>
      <c r="H82" s="116">
        <v>50</v>
      </c>
      <c r="I82" s="116">
        <v>50</v>
      </c>
      <c r="J82" s="116">
        <v>50</v>
      </c>
      <c r="K82" s="116">
        <v>20</v>
      </c>
      <c r="L82" s="116">
        <v>60</v>
      </c>
      <c r="M82" s="116">
        <v>60</v>
      </c>
      <c r="N82" s="116">
        <f t="shared" ref="N82" si="20">AVERAGE(C82:M82)</f>
        <v>49.090909090909093</v>
      </c>
      <c r="O82" s="116">
        <f t="shared" ref="O82" si="21">AVERAGE(C82:D82)</f>
        <v>50</v>
      </c>
      <c r="P82" s="116">
        <f t="shared" ref="P82" si="22">AVERAGE(E82:J82)</f>
        <v>50</v>
      </c>
      <c r="Q82" s="116">
        <f t="shared" ref="Q82" si="23">AVERAGE(K82:M82)</f>
        <v>46.666666666666664</v>
      </c>
      <c r="S82" s="115"/>
      <c r="T82" s="116" t="s">
        <v>4</v>
      </c>
      <c r="U82" s="116">
        <v>100</v>
      </c>
      <c r="V82" s="116">
        <v>0</v>
      </c>
      <c r="W82" s="116">
        <v>50</v>
      </c>
      <c r="X82" s="116">
        <v>50</v>
      </c>
      <c r="Y82" s="116">
        <v>50</v>
      </c>
      <c r="Z82" s="116">
        <v>50</v>
      </c>
      <c r="AA82" s="116">
        <v>50</v>
      </c>
      <c r="AB82" s="116">
        <v>50</v>
      </c>
      <c r="AC82" s="116">
        <v>50</v>
      </c>
      <c r="AD82" s="116">
        <v>50</v>
      </c>
      <c r="AE82" s="116">
        <v>50</v>
      </c>
      <c r="AF82" s="116">
        <f t="shared" ref="AF82" si="24">AVERAGE(U82:AE82)</f>
        <v>50</v>
      </c>
      <c r="AG82" s="116">
        <f t="shared" ref="AG82" si="25">AVERAGE(U82:V82)</f>
        <v>50</v>
      </c>
      <c r="AH82" s="116">
        <f t="shared" ref="AH82" si="26">AVERAGE(W82:AB82)</f>
        <v>50</v>
      </c>
      <c r="AI82" s="116">
        <f t="shared" ref="AI82" si="27">AVERAGE(AC82:AE82)</f>
        <v>50</v>
      </c>
    </row>
    <row r="83" spans="1:35">
      <c r="A83" s="115" t="s">
        <v>335</v>
      </c>
      <c r="C83" s="116" t="s">
        <v>42</v>
      </c>
      <c r="D83" s="116" t="s">
        <v>43</v>
      </c>
      <c r="E83" s="116" t="s">
        <v>36</v>
      </c>
      <c r="F83" s="116" t="s">
        <v>40</v>
      </c>
      <c r="G83" s="116" t="s">
        <v>41</v>
      </c>
      <c r="H83" s="116" t="s">
        <v>37</v>
      </c>
      <c r="I83" s="116" t="s">
        <v>38</v>
      </c>
      <c r="J83" s="116" t="s">
        <v>39</v>
      </c>
      <c r="K83" s="116" t="s">
        <v>148</v>
      </c>
      <c r="L83" s="116" t="s">
        <v>149</v>
      </c>
      <c r="M83" s="116" t="s">
        <v>150</v>
      </c>
      <c r="N83" s="116" t="s">
        <v>154</v>
      </c>
      <c r="O83" s="116" t="s">
        <v>256</v>
      </c>
      <c r="P83" s="116" t="s">
        <v>257</v>
      </c>
      <c r="Q83" s="116" t="s">
        <v>258</v>
      </c>
      <c r="S83" s="115" t="s">
        <v>342</v>
      </c>
      <c r="U83" s="116" t="s">
        <v>42</v>
      </c>
      <c r="V83" s="116" t="s">
        <v>43</v>
      </c>
      <c r="W83" s="116" t="s">
        <v>36</v>
      </c>
      <c r="X83" s="116" t="s">
        <v>40</v>
      </c>
      <c r="Y83" s="116" t="s">
        <v>41</v>
      </c>
      <c r="Z83" s="116" t="s">
        <v>37</v>
      </c>
      <c r="AA83" s="116" t="s">
        <v>38</v>
      </c>
      <c r="AB83" s="116" t="s">
        <v>39</v>
      </c>
      <c r="AC83" s="116" t="s">
        <v>148</v>
      </c>
      <c r="AD83" s="116" t="s">
        <v>149</v>
      </c>
      <c r="AE83" s="116" t="s">
        <v>150</v>
      </c>
      <c r="AF83" s="116" t="s">
        <v>154</v>
      </c>
      <c r="AG83" s="116" t="s">
        <v>256</v>
      </c>
      <c r="AH83" s="116" t="s">
        <v>257</v>
      </c>
      <c r="AI83" s="116" t="s">
        <v>258</v>
      </c>
    </row>
    <row r="84" spans="1:35">
      <c r="B84" s="116" t="s">
        <v>4</v>
      </c>
      <c r="C84" s="116">
        <v>100</v>
      </c>
      <c r="D84" s="116">
        <v>0</v>
      </c>
      <c r="E84" s="116">
        <v>50</v>
      </c>
      <c r="F84" s="116">
        <v>50</v>
      </c>
      <c r="G84" s="116">
        <v>50</v>
      </c>
      <c r="H84" s="116">
        <v>50</v>
      </c>
      <c r="I84" s="116">
        <v>50</v>
      </c>
      <c r="J84" s="116">
        <v>50</v>
      </c>
      <c r="K84" s="116">
        <v>10</v>
      </c>
      <c r="L84" s="116">
        <v>60</v>
      </c>
      <c r="M84" s="116">
        <v>60</v>
      </c>
      <c r="N84" s="116">
        <f t="shared" ref="N84" si="28">AVERAGE(C84:M84)</f>
        <v>48.18181818181818</v>
      </c>
      <c r="O84" s="116">
        <f t="shared" ref="O84" si="29">AVERAGE(C84:D84)</f>
        <v>50</v>
      </c>
      <c r="P84" s="116">
        <f t="shared" ref="P84" si="30">AVERAGE(E84:J84)</f>
        <v>50</v>
      </c>
      <c r="Q84" s="116">
        <f t="shared" ref="Q84" si="31">AVERAGE(K84:M84)</f>
        <v>43.333333333333336</v>
      </c>
      <c r="S84" s="115"/>
      <c r="T84" s="116" t="s">
        <v>4</v>
      </c>
      <c r="U84" s="116">
        <v>100</v>
      </c>
      <c r="V84" s="116">
        <v>0</v>
      </c>
      <c r="W84" s="116">
        <v>50</v>
      </c>
      <c r="X84" s="116">
        <v>50</v>
      </c>
      <c r="Y84" s="116">
        <v>50</v>
      </c>
      <c r="Z84" s="116">
        <v>50</v>
      </c>
      <c r="AA84" s="116">
        <v>50</v>
      </c>
      <c r="AB84" s="116">
        <v>50</v>
      </c>
      <c r="AC84" s="116">
        <v>100</v>
      </c>
      <c r="AD84" s="116">
        <v>40</v>
      </c>
      <c r="AE84" s="116">
        <v>30</v>
      </c>
      <c r="AF84" s="116">
        <f t="shared" ref="AF84" si="32">AVERAGE(U84:AE84)</f>
        <v>51.81818181818182</v>
      </c>
      <c r="AG84" s="116">
        <f t="shared" ref="AG84" si="33">AVERAGE(U84:V84)</f>
        <v>50</v>
      </c>
      <c r="AH84" s="116">
        <f t="shared" ref="AH84" si="34">AVERAGE(W84:AB84)</f>
        <v>50</v>
      </c>
      <c r="AI84" s="116">
        <f t="shared" ref="AI84" si="35">AVERAGE(AC84:AE84)</f>
        <v>56.666666666666664</v>
      </c>
    </row>
    <row r="85" spans="1:35">
      <c r="A85" s="115" t="s">
        <v>338</v>
      </c>
      <c r="C85" s="116" t="s">
        <v>42</v>
      </c>
      <c r="D85" s="116" t="s">
        <v>43</v>
      </c>
      <c r="E85" s="116" t="s">
        <v>36</v>
      </c>
      <c r="F85" s="116" t="s">
        <v>40</v>
      </c>
      <c r="G85" s="116" t="s">
        <v>41</v>
      </c>
      <c r="H85" s="116" t="s">
        <v>37</v>
      </c>
      <c r="I85" s="116" t="s">
        <v>38</v>
      </c>
      <c r="J85" s="116" t="s">
        <v>39</v>
      </c>
      <c r="K85" s="116" t="s">
        <v>148</v>
      </c>
      <c r="L85" s="116" t="s">
        <v>149</v>
      </c>
      <c r="M85" s="116" t="s">
        <v>150</v>
      </c>
      <c r="N85" s="116" t="s">
        <v>154</v>
      </c>
      <c r="O85" s="116" t="s">
        <v>256</v>
      </c>
      <c r="P85" s="116" t="s">
        <v>257</v>
      </c>
      <c r="Q85" s="116" t="s">
        <v>258</v>
      </c>
    </row>
    <row r="86" spans="1:35">
      <c r="B86" s="116" t="s">
        <v>4</v>
      </c>
      <c r="C86" s="116">
        <v>100</v>
      </c>
      <c r="D86" s="116">
        <v>0</v>
      </c>
      <c r="E86" s="116">
        <v>50</v>
      </c>
      <c r="F86" s="116">
        <v>50</v>
      </c>
      <c r="G86" s="116">
        <v>50</v>
      </c>
      <c r="H86" s="116">
        <v>50</v>
      </c>
      <c r="I86" s="116">
        <v>50</v>
      </c>
      <c r="J86" s="116">
        <v>50</v>
      </c>
      <c r="K86" s="116">
        <v>10</v>
      </c>
      <c r="L86" s="116">
        <v>60</v>
      </c>
      <c r="M86" s="116">
        <v>60</v>
      </c>
      <c r="N86" s="116">
        <f t="shared" ref="N86" si="36">AVERAGE(C86:M86)</f>
        <v>48.18181818181818</v>
      </c>
      <c r="O86" s="116">
        <f t="shared" ref="O86" si="37">AVERAGE(C86:D86)</f>
        <v>50</v>
      </c>
      <c r="P86" s="116">
        <f t="shared" ref="P86" si="38">AVERAGE(E86:J86)</f>
        <v>50</v>
      </c>
      <c r="Q86" s="116">
        <f t="shared" ref="Q86" si="39">AVERAGE(K86:M86)</f>
        <v>43.333333333333336</v>
      </c>
    </row>
    <row r="87" spans="1:35">
      <c r="A87" s="115" t="s">
        <v>208</v>
      </c>
      <c r="C87" s="116" t="s">
        <v>42</v>
      </c>
      <c r="D87" s="116" t="s">
        <v>43</v>
      </c>
      <c r="E87" s="116" t="s">
        <v>36</v>
      </c>
      <c r="F87" s="116" t="s">
        <v>40</v>
      </c>
      <c r="G87" s="116" t="s">
        <v>41</v>
      </c>
      <c r="H87" s="116" t="s">
        <v>37</v>
      </c>
      <c r="I87" s="116" t="s">
        <v>38</v>
      </c>
      <c r="J87" s="116" t="s">
        <v>39</v>
      </c>
      <c r="K87" s="116" t="s">
        <v>148</v>
      </c>
      <c r="L87" s="116" t="s">
        <v>149</v>
      </c>
      <c r="M87" s="116" t="s">
        <v>150</v>
      </c>
      <c r="N87" s="116" t="s">
        <v>154</v>
      </c>
      <c r="O87" s="116" t="s">
        <v>256</v>
      </c>
      <c r="P87" s="116" t="s">
        <v>257</v>
      </c>
      <c r="Q87" s="116" t="s">
        <v>258</v>
      </c>
    </row>
    <row r="88" spans="1:35">
      <c r="B88" s="116" t="s">
        <v>4</v>
      </c>
      <c r="C88" s="116">
        <v>100</v>
      </c>
      <c r="D88" s="116">
        <v>0</v>
      </c>
      <c r="E88" s="116">
        <v>50</v>
      </c>
      <c r="F88" s="116">
        <v>50</v>
      </c>
      <c r="G88" s="116">
        <v>50</v>
      </c>
      <c r="H88" s="116">
        <v>50</v>
      </c>
      <c r="I88" s="116">
        <v>50</v>
      </c>
      <c r="J88" s="116">
        <v>50</v>
      </c>
      <c r="K88" s="116">
        <v>60</v>
      </c>
      <c r="L88" s="116">
        <v>40</v>
      </c>
      <c r="M88" s="116">
        <v>20</v>
      </c>
      <c r="N88" s="116">
        <f t="shared" ref="N88" si="40">AVERAGE(C88:M88)</f>
        <v>47.272727272727273</v>
      </c>
      <c r="O88" s="116">
        <f t="shared" ref="O88" si="41">AVERAGE(C88:D88)</f>
        <v>50</v>
      </c>
      <c r="P88" s="116">
        <f t="shared" ref="P88" si="42">AVERAGE(E88:J88)</f>
        <v>50</v>
      </c>
      <c r="Q88" s="116">
        <f t="shared" ref="Q88" si="43">AVERAGE(K88:M88)</f>
        <v>40</v>
      </c>
    </row>
    <row r="89" spans="1:35">
      <c r="A89" s="115" t="s">
        <v>339</v>
      </c>
      <c r="C89" s="116" t="s">
        <v>42</v>
      </c>
      <c r="D89" s="116" t="s">
        <v>43</v>
      </c>
      <c r="E89" s="116" t="s">
        <v>36</v>
      </c>
      <c r="F89" s="116" t="s">
        <v>40</v>
      </c>
      <c r="G89" s="116" t="s">
        <v>41</v>
      </c>
      <c r="H89" s="116" t="s">
        <v>37</v>
      </c>
      <c r="I89" s="116" t="s">
        <v>38</v>
      </c>
      <c r="J89" s="116" t="s">
        <v>39</v>
      </c>
      <c r="K89" s="116" t="s">
        <v>148</v>
      </c>
      <c r="L89" s="116" t="s">
        <v>149</v>
      </c>
      <c r="M89" s="116" t="s">
        <v>150</v>
      </c>
      <c r="N89" s="116" t="s">
        <v>154</v>
      </c>
      <c r="O89" s="116" t="s">
        <v>256</v>
      </c>
      <c r="P89" s="116" t="s">
        <v>257</v>
      </c>
      <c r="Q89" s="116" t="s">
        <v>258</v>
      </c>
    </row>
    <row r="90" spans="1:35">
      <c r="B90" s="116" t="s">
        <v>4</v>
      </c>
      <c r="C90" s="116">
        <v>100</v>
      </c>
      <c r="D90" s="116">
        <v>0</v>
      </c>
      <c r="E90" s="116">
        <v>50</v>
      </c>
      <c r="F90" s="116">
        <v>50</v>
      </c>
      <c r="G90" s="116">
        <v>50</v>
      </c>
      <c r="H90" s="116">
        <v>50</v>
      </c>
      <c r="I90" s="116">
        <v>50</v>
      </c>
      <c r="J90" s="116">
        <v>50</v>
      </c>
      <c r="K90" s="116">
        <v>60</v>
      </c>
      <c r="L90" s="116">
        <v>40</v>
      </c>
      <c r="M90" s="116">
        <v>20</v>
      </c>
      <c r="N90" s="116">
        <f t="shared" ref="N90" si="44">AVERAGE(C90:M90)</f>
        <v>47.272727272727273</v>
      </c>
      <c r="O90" s="116">
        <f t="shared" ref="O90" si="45">AVERAGE(C90:D90)</f>
        <v>50</v>
      </c>
      <c r="P90" s="116">
        <f t="shared" ref="P90" si="46">AVERAGE(E90:J90)</f>
        <v>50</v>
      </c>
      <c r="Q90" s="116">
        <f t="shared" ref="Q90" si="47">AVERAGE(K90:M90)</f>
        <v>40</v>
      </c>
    </row>
    <row r="91" spans="1:35">
      <c r="A91" s="115" t="s">
        <v>340</v>
      </c>
      <c r="C91" s="116" t="s">
        <v>42</v>
      </c>
      <c r="D91" s="116" t="s">
        <v>43</v>
      </c>
      <c r="E91" s="116" t="s">
        <v>36</v>
      </c>
      <c r="F91" s="116" t="s">
        <v>40</v>
      </c>
      <c r="G91" s="116" t="s">
        <v>41</v>
      </c>
      <c r="H91" s="116" t="s">
        <v>37</v>
      </c>
      <c r="I91" s="116" t="s">
        <v>38</v>
      </c>
      <c r="J91" s="116" t="s">
        <v>39</v>
      </c>
      <c r="K91" s="116" t="s">
        <v>148</v>
      </c>
      <c r="L91" s="116" t="s">
        <v>149</v>
      </c>
      <c r="M91" s="116" t="s">
        <v>150</v>
      </c>
      <c r="N91" s="116" t="s">
        <v>154</v>
      </c>
      <c r="O91" s="116" t="s">
        <v>256</v>
      </c>
      <c r="P91" s="116" t="s">
        <v>257</v>
      </c>
      <c r="Q91" s="116" t="s">
        <v>258</v>
      </c>
    </row>
    <row r="92" spans="1:35">
      <c r="B92" s="116" t="s">
        <v>4</v>
      </c>
      <c r="C92" s="116">
        <v>100</v>
      </c>
      <c r="D92" s="116">
        <v>0</v>
      </c>
      <c r="E92" s="116">
        <v>50</v>
      </c>
      <c r="F92" s="116">
        <v>50</v>
      </c>
      <c r="G92" s="116">
        <v>50</v>
      </c>
      <c r="H92" s="116">
        <v>50</v>
      </c>
      <c r="I92" s="116">
        <v>50</v>
      </c>
      <c r="J92" s="116">
        <v>50</v>
      </c>
      <c r="K92" s="116">
        <v>60</v>
      </c>
      <c r="L92" s="116">
        <v>40</v>
      </c>
      <c r="M92" s="116">
        <v>20</v>
      </c>
      <c r="N92" s="116">
        <f t="shared" ref="N92" si="48">AVERAGE(C92:M92)</f>
        <v>47.272727272727273</v>
      </c>
      <c r="O92" s="116">
        <f t="shared" ref="O92" si="49">AVERAGE(C92:D92)</f>
        <v>50</v>
      </c>
      <c r="P92" s="116">
        <f t="shared" ref="P92" si="50">AVERAGE(E92:J92)</f>
        <v>50</v>
      </c>
      <c r="Q92" s="116">
        <f t="shared" ref="Q92" si="51">AVERAGE(K92:M92)</f>
        <v>40</v>
      </c>
    </row>
    <row r="98" spans="1:17" ht="30">
      <c r="B98" s="118" t="s">
        <v>174</v>
      </c>
    </row>
    <row r="99" spans="1:17">
      <c r="A99" s="115" t="s">
        <v>168</v>
      </c>
      <c r="C99" s="116" t="s">
        <v>42</v>
      </c>
      <c r="D99" s="116" t="s">
        <v>43</v>
      </c>
      <c r="E99" s="116" t="s">
        <v>36</v>
      </c>
      <c r="F99" s="116" t="s">
        <v>40</v>
      </c>
      <c r="G99" s="116" t="s">
        <v>41</v>
      </c>
      <c r="H99" s="116" t="s">
        <v>37</v>
      </c>
      <c r="I99" s="116" t="s">
        <v>38</v>
      </c>
      <c r="J99" s="116" t="s">
        <v>39</v>
      </c>
      <c r="K99" s="116" t="s">
        <v>148</v>
      </c>
      <c r="L99" s="116" t="s">
        <v>149</v>
      </c>
      <c r="M99" s="116" t="s">
        <v>150</v>
      </c>
      <c r="N99" s="116" t="s">
        <v>154</v>
      </c>
      <c r="O99" s="116" t="s">
        <v>256</v>
      </c>
      <c r="P99" s="116" t="s">
        <v>257</v>
      </c>
      <c r="Q99" s="116" t="s">
        <v>258</v>
      </c>
    </row>
    <row r="100" spans="1:17">
      <c r="B100" s="116" t="s">
        <v>4</v>
      </c>
      <c r="C100" s="116">
        <v>35</v>
      </c>
      <c r="D100" s="116">
        <v>25</v>
      </c>
      <c r="E100" s="116">
        <v>35</v>
      </c>
      <c r="F100" s="116">
        <v>15</v>
      </c>
      <c r="G100" s="116">
        <v>25</v>
      </c>
      <c r="H100" s="116">
        <v>35</v>
      </c>
      <c r="I100" s="116">
        <v>20</v>
      </c>
      <c r="J100" s="116">
        <v>20</v>
      </c>
      <c r="K100" s="116">
        <v>35</v>
      </c>
      <c r="L100" s="116">
        <v>35</v>
      </c>
      <c r="M100" s="116">
        <v>55</v>
      </c>
      <c r="N100" s="116">
        <f>AVERAGE(C100:M100)</f>
        <v>30.454545454545453</v>
      </c>
      <c r="O100" s="116">
        <f>AVERAGE(C100:D100)</f>
        <v>30</v>
      </c>
      <c r="P100" s="116">
        <f>AVERAGE(E100:J100)</f>
        <v>25</v>
      </c>
      <c r="Q100" s="116">
        <f>AVERAGE(K100:M100)</f>
        <v>41.666666666666664</v>
      </c>
    </row>
    <row r="101" spans="1:17">
      <c r="A101" s="115" t="s">
        <v>169</v>
      </c>
      <c r="C101" s="116" t="s">
        <v>42</v>
      </c>
      <c r="D101" s="116" t="s">
        <v>43</v>
      </c>
      <c r="E101" s="116" t="s">
        <v>36</v>
      </c>
      <c r="F101" s="116" t="s">
        <v>40</v>
      </c>
      <c r="G101" s="116" t="s">
        <v>41</v>
      </c>
      <c r="H101" s="116" t="s">
        <v>37</v>
      </c>
      <c r="I101" s="116" t="s">
        <v>38</v>
      </c>
      <c r="J101" s="116" t="s">
        <v>39</v>
      </c>
      <c r="K101" s="116" t="s">
        <v>148</v>
      </c>
      <c r="L101" s="116" t="s">
        <v>149</v>
      </c>
      <c r="M101" s="116" t="s">
        <v>150</v>
      </c>
      <c r="N101" s="116" t="s">
        <v>154</v>
      </c>
      <c r="O101" s="116" t="s">
        <v>256</v>
      </c>
      <c r="P101" s="116" t="s">
        <v>257</v>
      </c>
      <c r="Q101" s="116" t="s">
        <v>258</v>
      </c>
    </row>
    <row r="102" spans="1:17">
      <c r="B102" s="116" t="s">
        <v>4</v>
      </c>
      <c r="C102" s="116">
        <v>35</v>
      </c>
      <c r="D102" s="116">
        <v>30</v>
      </c>
      <c r="E102" s="116">
        <v>25</v>
      </c>
      <c r="F102" s="116">
        <v>30</v>
      </c>
      <c r="G102" s="116">
        <v>25</v>
      </c>
      <c r="H102" s="116">
        <v>35</v>
      </c>
      <c r="I102" s="116">
        <v>45</v>
      </c>
      <c r="J102" s="116">
        <v>40</v>
      </c>
      <c r="K102" s="116">
        <v>5</v>
      </c>
      <c r="L102" s="116">
        <v>35</v>
      </c>
      <c r="M102" s="116">
        <v>75</v>
      </c>
      <c r="N102" s="116">
        <f>AVERAGE(C102:M102)</f>
        <v>34.545454545454547</v>
      </c>
      <c r="O102" s="116">
        <f>AVERAGE(C102:D102)</f>
        <v>32.5</v>
      </c>
      <c r="P102" s="116">
        <f>AVERAGE(E102:J102)</f>
        <v>33.333333333333336</v>
      </c>
      <c r="Q102" s="116">
        <f>AVERAGE(K102:M102)</f>
        <v>38.333333333333336</v>
      </c>
    </row>
    <row r="103" spans="1:17">
      <c r="A103" s="115" t="s">
        <v>170</v>
      </c>
      <c r="C103" s="116" t="s">
        <v>42</v>
      </c>
      <c r="D103" s="116" t="s">
        <v>43</v>
      </c>
      <c r="E103" s="116" t="s">
        <v>36</v>
      </c>
      <c r="F103" s="116" t="s">
        <v>40</v>
      </c>
      <c r="G103" s="116" t="s">
        <v>41</v>
      </c>
      <c r="H103" s="116" t="s">
        <v>37</v>
      </c>
      <c r="I103" s="116" t="s">
        <v>38</v>
      </c>
      <c r="J103" s="116" t="s">
        <v>39</v>
      </c>
      <c r="K103" s="116" t="s">
        <v>148</v>
      </c>
      <c r="L103" s="116" t="s">
        <v>149</v>
      </c>
      <c r="M103" s="116" t="s">
        <v>150</v>
      </c>
      <c r="N103" s="116" t="s">
        <v>154</v>
      </c>
      <c r="O103" s="116" t="s">
        <v>256</v>
      </c>
      <c r="P103" s="116" t="s">
        <v>257</v>
      </c>
      <c r="Q103" s="116" t="s">
        <v>258</v>
      </c>
    </row>
    <row r="104" spans="1:17">
      <c r="B104" s="116" t="s">
        <v>4</v>
      </c>
      <c r="C104" s="116">
        <v>25</v>
      </c>
      <c r="D104" s="116">
        <v>55</v>
      </c>
      <c r="E104" s="116">
        <v>50</v>
      </c>
      <c r="F104" s="116">
        <v>25</v>
      </c>
      <c r="G104" s="116">
        <v>40</v>
      </c>
      <c r="H104" s="116">
        <v>40</v>
      </c>
      <c r="I104" s="116">
        <v>35</v>
      </c>
      <c r="J104" s="116">
        <v>30</v>
      </c>
      <c r="K104" s="116">
        <v>25</v>
      </c>
      <c r="L104" s="116">
        <v>55</v>
      </c>
      <c r="M104" s="116">
        <v>55</v>
      </c>
      <c r="N104" s="116">
        <f>AVERAGE(C104:M104)</f>
        <v>39.545454545454547</v>
      </c>
      <c r="O104" s="116">
        <f>AVERAGE(C104:D104)</f>
        <v>40</v>
      </c>
      <c r="P104" s="116">
        <f>AVERAGE(E104:J104)</f>
        <v>36.666666666666664</v>
      </c>
      <c r="Q104" s="116">
        <f>AVERAGE(K104:M104)</f>
        <v>45</v>
      </c>
    </row>
    <row r="105" spans="1:17">
      <c r="A105" s="115" t="s">
        <v>171</v>
      </c>
      <c r="C105" s="116" t="s">
        <v>42</v>
      </c>
      <c r="D105" s="116" t="s">
        <v>43</v>
      </c>
      <c r="E105" s="116" t="s">
        <v>36</v>
      </c>
      <c r="F105" s="116" t="s">
        <v>40</v>
      </c>
      <c r="G105" s="116" t="s">
        <v>41</v>
      </c>
      <c r="H105" s="116" t="s">
        <v>37</v>
      </c>
      <c r="I105" s="116" t="s">
        <v>38</v>
      </c>
      <c r="J105" s="116" t="s">
        <v>39</v>
      </c>
      <c r="K105" s="116" t="s">
        <v>148</v>
      </c>
      <c r="L105" s="116" t="s">
        <v>149</v>
      </c>
      <c r="M105" s="116" t="s">
        <v>150</v>
      </c>
      <c r="N105" s="116" t="s">
        <v>154</v>
      </c>
      <c r="O105" s="116" t="s">
        <v>256</v>
      </c>
      <c r="P105" s="116" t="s">
        <v>257</v>
      </c>
      <c r="Q105" s="116" t="s">
        <v>258</v>
      </c>
    </row>
    <row r="106" spans="1:17">
      <c r="B106" s="116" t="s">
        <v>4</v>
      </c>
      <c r="C106" s="116">
        <v>40</v>
      </c>
      <c r="D106" s="116">
        <v>40</v>
      </c>
      <c r="E106" s="116">
        <v>40</v>
      </c>
      <c r="F106" s="116">
        <v>60</v>
      </c>
      <c r="G106" s="116">
        <v>35</v>
      </c>
      <c r="H106" s="116">
        <v>25</v>
      </c>
      <c r="I106" s="116">
        <v>20</v>
      </c>
      <c r="J106" s="116">
        <v>50</v>
      </c>
      <c r="K106" s="116">
        <v>50</v>
      </c>
      <c r="L106" s="116">
        <v>70</v>
      </c>
      <c r="M106" s="116">
        <v>40</v>
      </c>
      <c r="N106" s="116">
        <f>AVERAGE(C106:M106)</f>
        <v>42.727272727272727</v>
      </c>
      <c r="O106" s="116">
        <f>AVERAGE(C106:D106)</f>
        <v>40</v>
      </c>
      <c r="P106" s="116">
        <f>AVERAGE(E106:J106)</f>
        <v>38.333333333333336</v>
      </c>
      <c r="Q106" s="116">
        <f>AVERAGE(K106:M106)</f>
        <v>53.333333333333336</v>
      </c>
    </row>
    <row r="107" spans="1:17">
      <c r="A107" s="115" t="s">
        <v>172</v>
      </c>
      <c r="C107" s="116" t="s">
        <v>42</v>
      </c>
      <c r="D107" s="116" t="s">
        <v>43</v>
      </c>
      <c r="E107" s="116" t="s">
        <v>36</v>
      </c>
      <c r="F107" s="116" t="s">
        <v>40</v>
      </c>
      <c r="G107" s="116" t="s">
        <v>41</v>
      </c>
      <c r="H107" s="116" t="s">
        <v>37</v>
      </c>
      <c r="I107" s="116" t="s">
        <v>38</v>
      </c>
      <c r="J107" s="116" t="s">
        <v>39</v>
      </c>
      <c r="K107" s="116" t="s">
        <v>148</v>
      </c>
      <c r="L107" s="116" t="s">
        <v>149</v>
      </c>
      <c r="M107" s="116" t="s">
        <v>150</v>
      </c>
      <c r="N107" s="116" t="s">
        <v>154</v>
      </c>
      <c r="O107" s="116" t="s">
        <v>256</v>
      </c>
      <c r="P107" s="116" t="s">
        <v>257</v>
      </c>
      <c r="Q107" s="116" t="s">
        <v>258</v>
      </c>
    </row>
    <row r="108" spans="1:17">
      <c r="B108" s="116" t="s">
        <v>4</v>
      </c>
      <c r="C108" s="116">
        <v>25</v>
      </c>
      <c r="D108" s="116">
        <v>60</v>
      </c>
      <c r="E108" s="116">
        <v>25</v>
      </c>
      <c r="F108" s="116">
        <v>30</v>
      </c>
      <c r="G108" s="116">
        <v>25</v>
      </c>
      <c r="H108" s="116">
        <v>35</v>
      </c>
      <c r="I108" s="116">
        <v>45</v>
      </c>
      <c r="J108" s="116">
        <v>40</v>
      </c>
      <c r="K108" s="116">
        <v>45</v>
      </c>
      <c r="L108" s="116">
        <v>45</v>
      </c>
      <c r="M108" s="116">
        <v>45</v>
      </c>
      <c r="N108" s="116">
        <f>AVERAGE(C108:M108)</f>
        <v>38.18181818181818</v>
      </c>
      <c r="O108" s="116">
        <f>AVERAGE(C108:D108)</f>
        <v>42.5</v>
      </c>
      <c r="P108" s="116">
        <f>AVERAGE(E108:J108)</f>
        <v>33.333333333333336</v>
      </c>
      <c r="Q108" s="116">
        <f>AVERAGE(K108:M108)</f>
        <v>45</v>
      </c>
    </row>
    <row r="109" spans="1:17">
      <c r="A109" s="115" t="s">
        <v>173</v>
      </c>
      <c r="C109" s="116" t="s">
        <v>42</v>
      </c>
      <c r="D109" s="116" t="s">
        <v>43</v>
      </c>
      <c r="E109" s="116" t="s">
        <v>36</v>
      </c>
      <c r="F109" s="116" t="s">
        <v>40</v>
      </c>
      <c r="G109" s="116" t="s">
        <v>41</v>
      </c>
      <c r="H109" s="116" t="s">
        <v>37</v>
      </c>
      <c r="I109" s="116" t="s">
        <v>38</v>
      </c>
      <c r="J109" s="116" t="s">
        <v>39</v>
      </c>
      <c r="K109" s="116" t="s">
        <v>148</v>
      </c>
      <c r="L109" s="116" t="s">
        <v>149</v>
      </c>
      <c r="M109" s="116" t="s">
        <v>150</v>
      </c>
      <c r="N109" s="116" t="s">
        <v>154</v>
      </c>
      <c r="O109" s="116" t="s">
        <v>256</v>
      </c>
      <c r="P109" s="116" t="s">
        <v>257</v>
      </c>
      <c r="Q109" s="116" t="s">
        <v>258</v>
      </c>
    </row>
    <row r="110" spans="1:17">
      <c r="B110" s="116" t="s">
        <v>4</v>
      </c>
      <c r="C110" s="116">
        <v>15</v>
      </c>
      <c r="D110" s="116">
        <v>45</v>
      </c>
      <c r="E110" s="116">
        <v>50</v>
      </c>
      <c r="F110" s="116">
        <v>25</v>
      </c>
      <c r="G110" s="116">
        <v>35</v>
      </c>
      <c r="H110" s="116">
        <v>40</v>
      </c>
      <c r="I110" s="116">
        <v>30</v>
      </c>
      <c r="J110" s="116">
        <v>35</v>
      </c>
      <c r="K110" s="116">
        <v>20</v>
      </c>
      <c r="L110" s="116">
        <v>45</v>
      </c>
      <c r="M110" s="116">
        <v>75</v>
      </c>
      <c r="N110" s="116">
        <f>AVERAGE(C110:M110)</f>
        <v>37.727272727272727</v>
      </c>
      <c r="O110" s="116">
        <f>AVERAGE(C110:D110)</f>
        <v>30</v>
      </c>
      <c r="P110" s="116">
        <f>AVERAGE(E110:J110)</f>
        <v>35.833333333333336</v>
      </c>
      <c r="Q110" s="116">
        <f>AVERAGE(K110:M110)</f>
        <v>46.666666666666664</v>
      </c>
    </row>
    <row r="111" spans="1:17">
      <c r="A111" s="115" t="s">
        <v>277</v>
      </c>
      <c r="C111" s="116" t="s">
        <v>42</v>
      </c>
      <c r="D111" s="116" t="s">
        <v>43</v>
      </c>
      <c r="E111" s="116" t="s">
        <v>36</v>
      </c>
      <c r="F111" s="116" t="s">
        <v>40</v>
      </c>
      <c r="G111" s="116" t="s">
        <v>41</v>
      </c>
      <c r="H111" s="116" t="s">
        <v>37</v>
      </c>
      <c r="I111" s="116" t="s">
        <v>38</v>
      </c>
      <c r="J111" s="116" t="s">
        <v>39</v>
      </c>
      <c r="K111" s="116" t="s">
        <v>148</v>
      </c>
      <c r="L111" s="116" t="s">
        <v>149</v>
      </c>
      <c r="M111" s="116" t="s">
        <v>150</v>
      </c>
      <c r="N111" s="116" t="s">
        <v>154</v>
      </c>
      <c r="O111" s="116" t="s">
        <v>256</v>
      </c>
      <c r="P111" s="116" t="s">
        <v>257</v>
      </c>
      <c r="Q111" s="116" t="s">
        <v>258</v>
      </c>
    </row>
    <row r="112" spans="1:17">
      <c r="B112" s="116" t="s">
        <v>4</v>
      </c>
      <c r="C112" s="116">
        <v>50</v>
      </c>
      <c r="D112" s="116">
        <v>90</v>
      </c>
      <c r="E112" s="116">
        <v>75</v>
      </c>
      <c r="F112" s="116">
        <v>50</v>
      </c>
      <c r="G112" s="116">
        <v>65</v>
      </c>
      <c r="H112" s="116">
        <v>50</v>
      </c>
      <c r="I112" s="116">
        <v>40</v>
      </c>
      <c r="J112" s="116">
        <v>50</v>
      </c>
      <c r="K112" s="116">
        <v>70</v>
      </c>
      <c r="L112" s="116">
        <v>60</v>
      </c>
      <c r="M112" s="116">
        <v>50</v>
      </c>
      <c r="N112" s="116">
        <f>AVERAGE(C112:M112)</f>
        <v>59.090909090909093</v>
      </c>
      <c r="O112" s="116">
        <f>AVERAGE(C112:D112)</f>
        <v>70</v>
      </c>
      <c r="P112" s="116">
        <f>AVERAGE(E112:J112)</f>
        <v>55</v>
      </c>
      <c r="Q112" s="116">
        <f>AVERAGE(K112:M112)</f>
        <v>60</v>
      </c>
    </row>
    <row r="113" spans="1:17">
      <c r="A113" s="115" t="s">
        <v>259</v>
      </c>
      <c r="C113" s="116" t="s">
        <v>42</v>
      </c>
      <c r="D113" s="116" t="s">
        <v>43</v>
      </c>
      <c r="E113" s="116" t="s">
        <v>36</v>
      </c>
      <c r="F113" s="116" t="s">
        <v>40</v>
      </c>
      <c r="G113" s="116" t="s">
        <v>41</v>
      </c>
      <c r="H113" s="116" t="s">
        <v>37</v>
      </c>
      <c r="I113" s="116" t="s">
        <v>38</v>
      </c>
      <c r="J113" s="116" t="s">
        <v>39</v>
      </c>
      <c r="K113" s="116" t="s">
        <v>148</v>
      </c>
      <c r="L113" s="116" t="s">
        <v>149</v>
      </c>
      <c r="M113" s="116" t="s">
        <v>150</v>
      </c>
      <c r="N113" s="116" t="s">
        <v>154</v>
      </c>
      <c r="O113" s="116" t="s">
        <v>256</v>
      </c>
      <c r="P113" s="116" t="s">
        <v>257</v>
      </c>
      <c r="Q113" s="116" t="s">
        <v>258</v>
      </c>
    </row>
    <row r="114" spans="1:17">
      <c r="B114" s="116" t="s">
        <v>4</v>
      </c>
      <c r="C114" s="116">
        <v>45</v>
      </c>
      <c r="D114" s="116">
        <v>75</v>
      </c>
      <c r="E114" s="116">
        <v>55</v>
      </c>
      <c r="F114" s="116">
        <v>80</v>
      </c>
      <c r="G114" s="116">
        <v>55</v>
      </c>
      <c r="H114" s="116">
        <v>40</v>
      </c>
      <c r="I114" s="116">
        <v>45</v>
      </c>
      <c r="J114" s="116">
        <v>75</v>
      </c>
      <c r="K114" s="116">
        <v>90</v>
      </c>
      <c r="L114" s="116">
        <v>50</v>
      </c>
      <c r="M114" s="116">
        <v>15</v>
      </c>
      <c r="N114" s="116">
        <f>AVERAGE(C114:M114)</f>
        <v>56.81818181818182</v>
      </c>
      <c r="O114" s="116">
        <f>AVERAGE(C114:D114)</f>
        <v>60</v>
      </c>
      <c r="P114" s="116">
        <f>AVERAGE(E114:J114)</f>
        <v>58.333333333333336</v>
      </c>
      <c r="Q114" s="116">
        <f>AVERAGE(K114:M114)</f>
        <v>51.666666666666664</v>
      </c>
    </row>
    <row r="122" spans="1:17" ht="30">
      <c r="B122" s="118" t="s">
        <v>190</v>
      </c>
    </row>
    <row r="123" spans="1:17">
      <c r="A123" s="115" t="s">
        <v>262</v>
      </c>
      <c r="C123" s="116" t="s">
        <v>395</v>
      </c>
      <c r="D123" s="116" t="s">
        <v>43</v>
      </c>
      <c r="E123" s="116" t="s">
        <v>36</v>
      </c>
      <c r="F123" s="116" t="s">
        <v>40</v>
      </c>
      <c r="G123" s="116" t="s">
        <v>41</v>
      </c>
      <c r="H123" s="116" t="s">
        <v>37</v>
      </c>
      <c r="I123" s="116" t="s">
        <v>38</v>
      </c>
      <c r="J123" s="116" t="s">
        <v>39</v>
      </c>
      <c r="K123" s="116" t="s">
        <v>148</v>
      </c>
      <c r="L123" s="116" t="s">
        <v>149</v>
      </c>
      <c r="M123" s="116" t="s">
        <v>150</v>
      </c>
      <c r="N123" s="116" t="s">
        <v>154</v>
      </c>
      <c r="O123" s="116" t="s">
        <v>256</v>
      </c>
      <c r="P123" s="116" t="s">
        <v>257</v>
      </c>
      <c r="Q123" s="116" t="s">
        <v>258</v>
      </c>
    </row>
    <row r="124" spans="1:17">
      <c r="B124" s="116" t="s">
        <v>4</v>
      </c>
      <c r="C124" s="116">
        <v>30</v>
      </c>
      <c r="D124" s="116">
        <v>30</v>
      </c>
      <c r="E124" s="116">
        <v>35</v>
      </c>
      <c r="F124" s="116">
        <v>15</v>
      </c>
      <c r="G124" s="116">
        <v>20</v>
      </c>
      <c r="H124" s="116">
        <v>50</v>
      </c>
      <c r="I124" s="116">
        <v>30</v>
      </c>
      <c r="J124" s="116">
        <v>20</v>
      </c>
      <c r="K124" s="116">
        <v>15</v>
      </c>
      <c r="L124" s="116">
        <v>25</v>
      </c>
      <c r="M124" s="116">
        <v>85</v>
      </c>
      <c r="N124" s="116">
        <f>AVERAGE(C124:M124)</f>
        <v>32.272727272727273</v>
      </c>
      <c r="O124" s="116">
        <f>AVERAGE(C124:D124)</f>
        <v>30</v>
      </c>
      <c r="P124" s="116">
        <f>AVERAGE(E124:J124)</f>
        <v>28.333333333333332</v>
      </c>
      <c r="Q124" s="116">
        <f>AVERAGE(K124:M124)</f>
        <v>41.666666666666664</v>
      </c>
    </row>
    <row r="125" spans="1:17">
      <c r="A125" s="115" t="s">
        <v>245</v>
      </c>
      <c r="C125" s="116" t="s">
        <v>42</v>
      </c>
      <c r="D125" s="116" t="s">
        <v>43</v>
      </c>
      <c r="E125" s="116" t="s">
        <v>36</v>
      </c>
      <c r="F125" s="116" t="s">
        <v>40</v>
      </c>
      <c r="G125" s="116" t="s">
        <v>41</v>
      </c>
      <c r="H125" s="116" t="s">
        <v>37</v>
      </c>
      <c r="I125" s="116" t="s">
        <v>38</v>
      </c>
      <c r="J125" s="116" t="s">
        <v>39</v>
      </c>
      <c r="K125" s="116" t="s">
        <v>148</v>
      </c>
      <c r="L125" s="116" t="s">
        <v>149</v>
      </c>
      <c r="M125" s="116" t="s">
        <v>150</v>
      </c>
      <c r="N125" s="116" t="s">
        <v>154</v>
      </c>
      <c r="O125" s="116" t="s">
        <v>256</v>
      </c>
      <c r="P125" s="116" t="s">
        <v>257</v>
      </c>
      <c r="Q125" s="116" t="s">
        <v>258</v>
      </c>
    </row>
    <row r="126" spans="1:17">
      <c r="B126" s="116" t="s">
        <v>4</v>
      </c>
      <c r="C126" s="116">
        <v>50</v>
      </c>
      <c r="D126" s="116">
        <v>20</v>
      </c>
      <c r="E126" s="116">
        <v>35</v>
      </c>
      <c r="F126" s="116">
        <v>45</v>
      </c>
      <c r="G126" s="116">
        <v>35</v>
      </c>
      <c r="H126" s="116">
        <v>30</v>
      </c>
      <c r="I126" s="116">
        <v>25</v>
      </c>
      <c r="J126" s="116">
        <v>40</v>
      </c>
      <c r="K126" s="116">
        <v>40</v>
      </c>
      <c r="L126" s="116">
        <v>45</v>
      </c>
      <c r="M126" s="116">
        <v>40</v>
      </c>
      <c r="N126" s="116">
        <f>AVERAGE(C126:M126)</f>
        <v>36.81818181818182</v>
      </c>
      <c r="O126" s="116">
        <f>AVERAGE(C126:D126)</f>
        <v>35</v>
      </c>
      <c r="P126" s="116">
        <f>AVERAGE(E126:J126)</f>
        <v>35</v>
      </c>
      <c r="Q126" s="116">
        <f>AVERAGE(K126:M126)</f>
        <v>41.666666666666664</v>
      </c>
    </row>
    <row r="127" spans="1:17">
      <c r="A127" s="115" t="s">
        <v>185</v>
      </c>
      <c r="C127" s="116" t="s">
        <v>42</v>
      </c>
      <c r="D127" s="116" t="s">
        <v>43</v>
      </c>
      <c r="E127" s="116" t="s">
        <v>36</v>
      </c>
      <c r="F127" s="116" t="s">
        <v>40</v>
      </c>
      <c r="G127" s="116" t="s">
        <v>41</v>
      </c>
      <c r="H127" s="116" t="s">
        <v>37</v>
      </c>
      <c r="I127" s="116" t="s">
        <v>38</v>
      </c>
      <c r="J127" s="116" t="s">
        <v>39</v>
      </c>
      <c r="K127" s="116" t="s">
        <v>148</v>
      </c>
      <c r="L127" s="116" t="s">
        <v>149</v>
      </c>
      <c r="M127" s="116" t="s">
        <v>150</v>
      </c>
      <c r="N127" s="116" t="s">
        <v>154</v>
      </c>
      <c r="O127" s="116" t="s">
        <v>256</v>
      </c>
      <c r="P127" s="116" t="s">
        <v>257</v>
      </c>
      <c r="Q127" s="116" t="s">
        <v>258</v>
      </c>
    </row>
    <row r="128" spans="1:17">
      <c r="B128" s="116" t="s">
        <v>4</v>
      </c>
      <c r="C128" s="116">
        <v>45</v>
      </c>
      <c r="D128" s="116">
        <v>40</v>
      </c>
      <c r="E128" s="116">
        <v>45</v>
      </c>
      <c r="F128" s="116">
        <v>35</v>
      </c>
      <c r="G128" s="116">
        <v>45</v>
      </c>
      <c r="H128" s="116">
        <v>40</v>
      </c>
      <c r="I128" s="116">
        <v>30</v>
      </c>
      <c r="J128" s="116">
        <v>30</v>
      </c>
      <c r="K128" s="116">
        <v>35</v>
      </c>
      <c r="L128" s="116">
        <v>45</v>
      </c>
      <c r="M128" s="116">
        <v>60</v>
      </c>
      <c r="N128" s="116">
        <f>AVERAGE(C128:M128)</f>
        <v>40.909090909090907</v>
      </c>
      <c r="O128" s="116">
        <f>AVERAGE(C128:D128)</f>
        <v>42.5</v>
      </c>
      <c r="P128" s="116">
        <f>AVERAGE(E128:J128)</f>
        <v>37.5</v>
      </c>
      <c r="Q128" s="116">
        <f>AVERAGE(K128:M128)</f>
        <v>46.666666666666664</v>
      </c>
    </row>
    <row r="129" spans="1:17">
      <c r="A129" s="115" t="s">
        <v>263</v>
      </c>
      <c r="C129" s="116" t="s">
        <v>42</v>
      </c>
      <c r="D129" s="116" t="s">
        <v>43</v>
      </c>
      <c r="E129" s="116" t="s">
        <v>36</v>
      </c>
      <c r="F129" s="116" t="s">
        <v>40</v>
      </c>
      <c r="G129" s="116" t="s">
        <v>41</v>
      </c>
      <c r="H129" s="116" t="s">
        <v>37</v>
      </c>
      <c r="I129" s="116" t="s">
        <v>38</v>
      </c>
      <c r="J129" s="116" t="s">
        <v>39</v>
      </c>
      <c r="K129" s="116" t="s">
        <v>148</v>
      </c>
      <c r="L129" s="116" t="s">
        <v>149</v>
      </c>
      <c r="M129" s="116" t="s">
        <v>150</v>
      </c>
      <c r="N129" s="116" t="s">
        <v>154</v>
      </c>
      <c r="O129" s="116" t="s">
        <v>256</v>
      </c>
      <c r="P129" s="116" t="s">
        <v>257</v>
      </c>
      <c r="Q129" s="116" t="s">
        <v>258</v>
      </c>
    </row>
    <row r="130" spans="1:17">
      <c r="B130" s="116" t="s">
        <v>4</v>
      </c>
      <c r="C130" s="116">
        <v>70</v>
      </c>
      <c r="D130" s="116">
        <v>35</v>
      </c>
      <c r="E130" s="116">
        <v>50</v>
      </c>
      <c r="F130" s="116">
        <v>80</v>
      </c>
      <c r="G130" s="116">
        <v>45</v>
      </c>
      <c r="H130" s="116">
        <v>25</v>
      </c>
      <c r="I130" s="116">
        <v>55</v>
      </c>
      <c r="J130" s="116">
        <v>60</v>
      </c>
      <c r="K130" s="116">
        <v>70</v>
      </c>
      <c r="L130" s="116">
        <v>55</v>
      </c>
      <c r="M130" s="116">
        <v>5</v>
      </c>
      <c r="N130" s="116">
        <f>AVERAGE(C130:M130)</f>
        <v>50</v>
      </c>
      <c r="O130" s="116">
        <f>AVERAGE(C130:D130)</f>
        <v>52.5</v>
      </c>
      <c r="P130" s="116">
        <f>AVERAGE(E130:J130)</f>
        <v>52.5</v>
      </c>
      <c r="Q130" s="116">
        <f>AVERAGE(K130:M130)</f>
        <v>43.333333333333336</v>
      </c>
    </row>
    <row r="131" spans="1:17">
      <c r="A131" s="115" t="s">
        <v>264</v>
      </c>
      <c r="C131" s="116" t="s">
        <v>42</v>
      </c>
      <c r="D131" s="116" t="s">
        <v>43</v>
      </c>
      <c r="E131" s="116" t="s">
        <v>36</v>
      </c>
      <c r="F131" s="116" t="s">
        <v>40</v>
      </c>
      <c r="G131" s="116" t="s">
        <v>41</v>
      </c>
      <c r="H131" s="116" t="s">
        <v>37</v>
      </c>
      <c r="I131" s="116" t="s">
        <v>38</v>
      </c>
      <c r="J131" s="116" t="s">
        <v>39</v>
      </c>
      <c r="K131" s="116" t="s">
        <v>148</v>
      </c>
      <c r="L131" s="116" t="s">
        <v>149</v>
      </c>
      <c r="M131" s="116" t="s">
        <v>150</v>
      </c>
      <c r="N131" s="116" t="s">
        <v>154</v>
      </c>
      <c r="O131" s="116" t="s">
        <v>256</v>
      </c>
      <c r="P131" s="116" t="s">
        <v>257</v>
      </c>
      <c r="Q131" s="116" t="s">
        <v>258</v>
      </c>
    </row>
    <row r="132" spans="1:17">
      <c r="B132" s="116" t="s">
        <v>4</v>
      </c>
      <c r="C132" s="116">
        <v>20</v>
      </c>
      <c r="D132" s="116">
        <v>80</v>
      </c>
      <c r="E132" s="116">
        <v>65</v>
      </c>
      <c r="F132" s="116">
        <v>70</v>
      </c>
      <c r="G132" s="116">
        <v>80</v>
      </c>
      <c r="H132" s="116">
        <v>40</v>
      </c>
      <c r="I132" s="116">
        <v>45</v>
      </c>
      <c r="J132" s="116">
        <v>65</v>
      </c>
      <c r="K132" s="116">
        <v>70</v>
      </c>
      <c r="L132" s="116">
        <v>35</v>
      </c>
      <c r="M132" s="116">
        <v>15</v>
      </c>
      <c r="N132" s="116">
        <f>AVERAGE(C132:M132)</f>
        <v>53.18181818181818</v>
      </c>
      <c r="O132" s="116">
        <f>AVERAGE(C132:D132)</f>
        <v>50</v>
      </c>
      <c r="P132" s="116">
        <f>AVERAGE(E132:J132)</f>
        <v>60.833333333333336</v>
      </c>
      <c r="Q132" s="116">
        <f>AVERAGE(K132:M132)</f>
        <v>40</v>
      </c>
    </row>
    <row r="133" spans="1:17">
      <c r="A133" s="115" t="s">
        <v>265</v>
      </c>
      <c r="C133" s="116" t="s">
        <v>42</v>
      </c>
      <c r="D133" s="116" t="s">
        <v>43</v>
      </c>
      <c r="E133" s="116" t="s">
        <v>36</v>
      </c>
      <c r="F133" s="116" t="s">
        <v>40</v>
      </c>
      <c r="G133" s="116" t="s">
        <v>41</v>
      </c>
      <c r="H133" s="116" t="s">
        <v>37</v>
      </c>
      <c r="I133" s="116" t="s">
        <v>38</v>
      </c>
      <c r="J133" s="116" t="s">
        <v>39</v>
      </c>
      <c r="K133" s="116" t="s">
        <v>148</v>
      </c>
      <c r="L133" s="116" t="s">
        <v>149</v>
      </c>
      <c r="M133" s="116" t="s">
        <v>150</v>
      </c>
      <c r="N133" s="116" t="s">
        <v>154</v>
      </c>
      <c r="O133" s="116" t="s">
        <v>256</v>
      </c>
      <c r="P133" s="116" t="s">
        <v>257</v>
      </c>
      <c r="Q133" s="116" t="s">
        <v>258</v>
      </c>
    </row>
    <row r="134" spans="1:17">
      <c r="B134" s="116" t="s">
        <v>4</v>
      </c>
      <c r="C134" s="116">
        <v>70</v>
      </c>
      <c r="D134" s="116">
        <v>30</v>
      </c>
      <c r="E134" s="116">
        <v>65</v>
      </c>
      <c r="F134" s="116">
        <v>70</v>
      </c>
      <c r="G134" s="116">
        <v>60</v>
      </c>
      <c r="H134" s="116">
        <v>40</v>
      </c>
      <c r="I134" s="116">
        <v>55</v>
      </c>
      <c r="J134" s="116">
        <v>55</v>
      </c>
      <c r="K134" s="116">
        <v>35</v>
      </c>
      <c r="L134" s="116">
        <v>65</v>
      </c>
      <c r="M134" s="116">
        <v>60</v>
      </c>
      <c r="N134" s="116">
        <f>AVERAGE(C134:M134)</f>
        <v>55</v>
      </c>
      <c r="O134" s="116">
        <f>AVERAGE(C134:D134)</f>
        <v>50</v>
      </c>
      <c r="P134" s="116">
        <f>AVERAGE(E134:J134)</f>
        <v>57.5</v>
      </c>
      <c r="Q134" s="116">
        <f>AVERAGE(K134:M134)</f>
        <v>53.333333333333336</v>
      </c>
    </row>
    <row r="135" spans="1:17">
      <c r="A135" s="115" t="s">
        <v>266</v>
      </c>
      <c r="C135" s="116" t="s">
        <v>42</v>
      </c>
      <c r="D135" s="116" t="s">
        <v>43</v>
      </c>
      <c r="E135" s="116" t="s">
        <v>36</v>
      </c>
      <c r="F135" s="116" t="s">
        <v>40</v>
      </c>
      <c r="G135" s="116" t="s">
        <v>41</v>
      </c>
      <c r="H135" s="116" t="s">
        <v>37</v>
      </c>
      <c r="I135" s="116" t="s">
        <v>38</v>
      </c>
      <c r="J135" s="116" t="s">
        <v>39</v>
      </c>
      <c r="K135" s="116" t="s">
        <v>148</v>
      </c>
      <c r="L135" s="116" t="s">
        <v>149</v>
      </c>
      <c r="M135" s="116" t="s">
        <v>150</v>
      </c>
      <c r="N135" s="116" t="s">
        <v>154</v>
      </c>
      <c r="O135" s="116" t="s">
        <v>256</v>
      </c>
      <c r="P135" s="116" t="s">
        <v>257</v>
      </c>
      <c r="Q135" s="116" t="s">
        <v>258</v>
      </c>
    </row>
    <row r="136" spans="1:17">
      <c r="B136" s="116" t="s">
        <v>4</v>
      </c>
      <c r="C136" s="116">
        <v>20</v>
      </c>
      <c r="D136" s="116">
        <v>80</v>
      </c>
      <c r="E136" s="116">
        <v>65</v>
      </c>
      <c r="F136" s="116">
        <v>55</v>
      </c>
      <c r="G136" s="116">
        <v>85</v>
      </c>
      <c r="H136" s="116">
        <v>90</v>
      </c>
      <c r="I136" s="116">
        <v>65</v>
      </c>
      <c r="J136" s="116">
        <v>35</v>
      </c>
      <c r="K136" s="116">
        <v>70</v>
      </c>
      <c r="L136" s="116">
        <v>35</v>
      </c>
      <c r="M136" s="116">
        <v>15</v>
      </c>
      <c r="N136" s="116">
        <f>AVERAGE(C136:M136)</f>
        <v>55.909090909090907</v>
      </c>
      <c r="O136" s="116">
        <f>AVERAGE(C136:D136)</f>
        <v>50</v>
      </c>
      <c r="P136" s="116">
        <f>AVERAGE(E136:J136)</f>
        <v>65.833333333333329</v>
      </c>
      <c r="Q136" s="116">
        <f>AVERAGE(K136:M136)</f>
        <v>40</v>
      </c>
    </row>
    <row r="146" spans="1:17" ht="30">
      <c r="B146" s="118" t="s">
        <v>285</v>
      </c>
    </row>
    <row r="147" spans="1:17">
      <c r="A147" s="115" t="s">
        <v>192</v>
      </c>
      <c r="C147" s="116" t="s">
        <v>42</v>
      </c>
      <c r="D147" s="116" t="s">
        <v>43</v>
      </c>
      <c r="E147" s="116" t="s">
        <v>36</v>
      </c>
      <c r="F147" s="116" t="s">
        <v>40</v>
      </c>
      <c r="G147" s="116" t="s">
        <v>41</v>
      </c>
      <c r="H147" s="116" t="s">
        <v>37</v>
      </c>
      <c r="I147" s="116" t="s">
        <v>38</v>
      </c>
      <c r="J147" s="116" t="s">
        <v>39</v>
      </c>
      <c r="K147" s="116" t="s">
        <v>148</v>
      </c>
      <c r="L147" s="116" t="s">
        <v>149</v>
      </c>
      <c r="M147" s="116" t="s">
        <v>150</v>
      </c>
      <c r="N147" s="116" t="s">
        <v>154</v>
      </c>
      <c r="O147" s="116" t="s">
        <v>256</v>
      </c>
      <c r="P147" s="116" t="s">
        <v>257</v>
      </c>
      <c r="Q147" s="116" t="s">
        <v>258</v>
      </c>
    </row>
    <row r="148" spans="1:17">
      <c r="B148" s="116" t="s">
        <v>4</v>
      </c>
      <c r="C148" s="116">
        <v>10</v>
      </c>
      <c r="D148" s="116">
        <v>65</v>
      </c>
      <c r="E148" s="116">
        <v>45</v>
      </c>
      <c r="F148" s="116">
        <v>30</v>
      </c>
      <c r="G148" s="116">
        <v>20</v>
      </c>
      <c r="H148" s="116">
        <v>10</v>
      </c>
      <c r="I148" s="116">
        <v>40</v>
      </c>
      <c r="J148" s="116">
        <v>25</v>
      </c>
      <c r="K148" s="116">
        <v>15</v>
      </c>
      <c r="L148" s="116">
        <v>30</v>
      </c>
      <c r="M148" s="116">
        <v>80</v>
      </c>
      <c r="N148" s="116">
        <f>AVERAGE(C148:M148)</f>
        <v>33.636363636363633</v>
      </c>
      <c r="O148" s="116">
        <f>AVERAGE(C148:D148)</f>
        <v>37.5</v>
      </c>
      <c r="P148" s="116">
        <f>AVERAGE(E148:J148)</f>
        <v>28.333333333333332</v>
      </c>
      <c r="Q148" s="116">
        <f>AVERAGE(K148:M148)</f>
        <v>41.666666666666664</v>
      </c>
    </row>
    <row r="149" spans="1:17">
      <c r="A149" s="115" t="s">
        <v>193</v>
      </c>
      <c r="C149" s="116" t="s">
        <v>42</v>
      </c>
      <c r="D149" s="116" t="s">
        <v>43</v>
      </c>
      <c r="E149" s="116" t="s">
        <v>36</v>
      </c>
      <c r="F149" s="116" t="s">
        <v>40</v>
      </c>
      <c r="G149" s="116" t="s">
        <v>41</v>
      </c>
      <c r="H149" s="116" t="s">
        <v>37</v>
      </c>
      <c r="I149" s="116" t="s">
        <v>38</v>
      </c>
      <c r="J149" s="116" t="s">
        <v>39</v>
      </c>
      <c r="K149" s="116" t="s">
        <v>148</v>
      </c>
      <c r="L149" s="116" t="s">
        <v>149</v>
      </c>
      <c r="M149" s="116" t="s">
        <v>150</v>
      </c>
      <c r="N149" s="116" t="s">
        <v>154</v>
      </c>
      <c r="O149" s="116" t="s">
        <v>256</v>
      </c>
      <c r="P149" s="116" t="s">
        <v>257</v>
      </c>
      <c r="Q149" s="116" t="s">
        <v>258</v>
      </c>
    </row>
    <row r="150" spans="1:17">
      <c r="B150" s="116" t="s">
        <v>4</v>
      </c>
      <c r="C150" s="116">
        <v>10</v>
      </c>
      <c r="D150" s="116">
        <v>65</v>
      </c>
      <c r="E150" s="116">
        <v>40</v>
      </c>
      <c r="F150" s="116">
        <v>40</v>
      </c>
      <c r="G150" s="116">
        <v>15</v>
      </c>
      <c r="H150" s="116">
        <v>65</v>
      </c>
      <c r="I150" s="116">
        <v>20</v>
      </c>
      <c r="J150" s="116">
        <v>30</v>
      </c>
      <c r="K150" s="116">
        <v>30</v>
      </c>
      <c r="L150" s="116">
        <v>40</v>
      </c>
      <c r="M150" s="116">
        <v>50</v>
      </c>
      <c r="N150" s="116">
        <f>AVERAGE(C150:M150)</f>
        <v>36.81818181818182</v>
      </c>
      <c r="O150" s="116">
        <f>AVERAGE(C150:D150)</f>
        <v>37.5</v>
      </c>
      <c r="P150" s="116">
        <f>AVERAGE(E150:J150)</f>
        <v>35</v>
      </c>
      <c r="Q150" s="116">
        <f>AVERAGE(K150:M150)</f>
        <v>40</v>
      </c>
    </row>
    <row r="151" spans="1:17">
      <c r="A151" s="115" t="s">
        <v>194</v>
      </c>
      <c r="C151" s="116" t="s">
        <v>42</v>
      </c>
      <c r="D151" s="116" t="s">
        <v>43</v>
      </c>
      <c r="E151" s="116" t="s">
        <v>36</v>
      </c>
      <c r="F151" s="116" t="s">
        <v>40</v>
      </c>
      <c r="G151" s="116" t="s">
        <v>41</v>
      </c>
      <c r="H151" s="116" t="s">
        <v>37</v>
      </c>
      <c r="I151" s="116" t="s">
        <v>38</v>
      </c>
      <c r="J151" s="116" t="s">
        <v>39</v>
      </c>
      <c r="K151" s="116" t="s">
        <v>148</v>
      </c>
      <c r="L151" s="116" t="s">
        <v>149</v>
      </c>
      <c r="M151" s="116" t="s">
        <v>150</v>
      </c>
      <c r="N151" s="116" t="s">
        <v>154</v>
      </c>
      <c r="O151" s="116" t="s">
        <v>256</v>
      </c>
      <c r="P151" s="116" t="s">
        <v>257</v>
      </c>
      <c r="Q151" s="116" t="s">
        <v>258</v>
      </c>
    </row>
    <row r="152" spans="1:17">
      <c r="B152" s="116" t="s">
        <v>4</v>
      </c>
      <c r="C152" s="116">
        <v>0</v>
      </c>
      <c r="D152" s="116">
        <v>65</v>
      </c>
      <c r="E152" s="116">
        <v>50</v>
      </c>
      <c r="F152" s="116">
        <v>40</v>
      </c>
      <c r="G152" s="116">
        <v>35</v>
      </c>
      <c r="H152" s="116">
        <v>40</v>
      </c>
      <c r="I152" s="116">
        <v>40</v>
      </c>
      <c r="J152" s="116">
        <v>40</v>
      </c>
      <c r="K152" s="116">
        <v>40</v>
      </c>
      <c r="L152" s="116">
        <v>65</v>
      </c>
      <c r="M152" s="116">
        <v>40</v>
      </c>
      <c r="N152" s="116">
        <f>AVERAGE(C152:M152)</f>
        <v>41.363636363636367</v>
      </c>
      <c r="O152" s="116">
        <f>AVERAGE(C152:D152)</f>
        <v>32.5</v>
      </c>
      <c r="P152" s="116">
        <f>AVERAGE(E152:J152)</f>
        <v>40.833333333333336</v>
      </c>
      <c r="Q152" s="116">
        <f>AVERAGE(K152:M152)</f>
        <v>48.333333333333336</v>
      </c>
    </row>
    <row r="153" spans="1:17">
      <c r="A153" s="115" t="s">
        <v>195</v>
      </c>
      <c r="C153" s="116" t="s">
        <v>42</v>
      </c>
      <c r="D153" s="116" t="s">
        <v>43</v>
      </c>
      <c r="E153" s="116" t="s">
        <v>36</v>
      </c>
      <c r="F153" s="116" t="s">
        <v>40</v>
      </c>
      <c r="G153" s="116" t="s">
        <v>41</v>
      </c>
      <c r="H153" s="116" t="s">
        <v>37</v>
      </c>
      <c r="I153" s="116" t="s">
        <v>38</v>
      </c>
      <c r="J153" s="116" t="s">
        <v>39</v>
      </c>
      <c r="K153" s="116" t="s">
        <v>148</v>
      </c>
      <c r="L153" s="116" t="s">
        <v>149</v>
      </c>
      <c r="M153" s="116" t="s">
        <v>150</v>
      </c>
      <c r="N153" s="116" t="s">
        <v>154</v>
      </c>
      <c r="O153" s="116" t="s">
        <v>256</v>
      </c>
      <c r="P153" s="116" t="s">
        <v>257</v>
      </c>
      <c r="Q153" s="116" t="s">
        <v>258</v>
      </c>
    </row>
    <row r="154" spans="1:17">
      <c r="B154" s="116" t="s">
        <v>4</v>
      </c>
      <c r="C154" s="116">
        <v>15</v>
      </c>
      <c r="D154" s="116">
        <v>65</v>
      </c>
      <c r="E154" s="116">
        <v>50</v>
      </c>
      <c r="F154" s="116">
        <v>55</v>
      </c>
      <c r="G154" s="116">
        <v>85</v>
      </c>
      <c r="H154" s="116">
        <v>40</v>
      </c>
      <c r="I154" s="116">
        <v>15</v>
      </c>
      <c r="J154" s="116">
        <v>40</v>
      </c>
      <c r="K154" s="116">
        <v>80</v>
      </c>
      <c r="L154" s="116">
        <v>50</v>
      </c>
      <c r="M154" s="116">
        <v>30</v>
      </c>
      <c r="N154" s="116">
        <f>AVERAGE(C154:M154)</f>
        <v>47.727272727272727</v>
      </c>
      <c r="O154" s="116">
        <f>AVERAGE(C154:D154)</f>
        <v>40</v>
      </c>
      <c r="P154" s="116">
        <f>AVERAGE(E154:J154)</f>
        <v>47.5</v>
      </c>
      <c r="Q154" s="116">
        <f>AVERAGE(K154:M154)</f>
        <v>53.333333333333336</v>
      </c>
    </row>
    <row r="155" spans="1:17">
      <c r="A155" s="115" t="s">
        <v>310</v>
      </c>
      <c r="C155" s="116" t="s">
        <v>42</v>
      </c>
      <c r="D155" s="116" t="s">
        <v>43</v>
      </c>
      <c r="E155" s="116" t="s">
        <v>36</v>
      </c>
      <c r="F155" s="116" t="s">
        <v>40</v>
      </c>
      <c r="G155" s="116" t="s">
        <v>41</v>
      </c>
      <c r="H155" s="116" t="s">
        <v>37</v>
      </c>
      <c r="I155" s="116" t="s">
        <v>38</v>
      </c>
      <c r="J155" s="116" t="s">
        <v>39</v>
      </c>
      <c r="K155" s="116" t="s">
        <v>148</v>
      </c>
      <c r="L155" s="116" t="s">
        <v>149</v>
      </c>
      <c r="M155" s="116" t="s">
        <v>150</v>
      </c>
      <c r="N155" s="116" t="s">
        <v>154</v>
      </c>
      <c r="O155" s="116" t="s">
        <v>256</v>
      </c>
      <c r="P155" s="116" t="s">
        <v>257</v>
      </c>
      <c r="Q155" s="116" t="s">
        <v>258</v>
      </c>
    </row>
    <row r="156" spans="1:17">
      <c r="B156" s="116" t="s">
        <v>4</v>
      </c>
      <c r="C156" s="116">
        <v>5</v>
      </c>
      <c r="D156" s="116">
        <v>65</v>
      </c>
      <c r="E156" s="116">
        <v>60</v>
      </c>
      <c r="F156" s="116">
        <v>35</v>
      </c>
      <c r="G156" s="116">
        <v>55</v>
      </c>
      <c r="H156" s="116">
        <v>60</v>
      </c>
      <c r="I156" s="116">
        <v>75</v>
      </c>
      <c r="J156" s="116">
        <v>40</v>
      </c>
      <c r="K156" s="116">
        <v>50</v>
      </c>
      <c r="L156" s="116">
        <v>65</v>
      </c>
      <c r="M156" s="116">
        <v>35</v>
      </c>
      <c r="N156" s="116">
        <f>AVERAGE(C156:M156)</f>
        <v>49.545454545454547</v>
      </c>
      <c r="O156" s="116">
        <f>AVERAGE(C156:D156)</f>
        <v>35</v>
      </c>
      <c r="P156" s="116">
        <f>AVERAGE(E156:J156)</f>
        <v>54.166666666666664</v>
      </c>
      <c r="Q156" s="116">
        <f>AVERAGE(K156:M156)</f>
        <v>50</v>
      </c>
    </row>
    <row r="157" spans="1:17">
      <c r="A157" s="115" t="s">
        <v>196</v>
      </c>
      <c r="C157" s="116" t="s">
        <v>42</v>
      </c>
      <c r="D157" s="116" t="s">
        <v>43</v>
      </c>
      <c r="E157" s="116" t="s">
        <v>36</v>
      </c>
      <c r="F157" s="116" t="s">
        <v>40</v>
      </c>
      <c r="G157" s="116" t="s">
        <v>41</v>
      </c>
      <c r="H157" s="116" t="s">
        <v>37</v>
      </c>
      <c r="I157" s="116" t="s">
        <v>38</v>
      </c>
      <c r="J157" s="116" t="s">
        <v>39</v>
      </c>
      <c r="K157" s="116" t="s">
        <v>148</v>
      </c>
      <c r="L157" s="116" t="s">
        <v>149</v>
      </c>
      <c r="M157" s="116" t="s">
        <v>150</v>
      </c>
      <c r="N157" s="116" t="s">
        <v>154</v>
      </c>
      <c r="O157" s="116" t="s">
        <v>256</v>
      </c>
      <c r="P157" s="116" t="s">
        <v>257</v>
      </c>
      <c r="Q157" s="116" t="s">
        <v>258</v>
      </c>
    </row>
    <row r="158" spans="1:17">
      <c r="B158" s="116" t="s">
        <v>4</v>
      </c>
      <c r="C158" s="116">
        <v>20</v>
      </c>
      <c r="D158" s="116">
        <v>65</v>
      </c>
      <c r="E158" s="116">
        <v>75</v>
      </c>
      <c r="F158" s="116">
        <v>75</v>
      </c>
      <c r="G158" s="116">
        <v>45</v>
      </c>
      <c r="H158" s="116">
        <v>50</v>
      </c>
      <c r="I158" s="116">
        <v>20</v>
      </c>
      <c r="J158" s="116">
        <v>10</v>
      </c>
      <c r="K158" s="116">
        <v>65</v>
      </c>
      <c r="L158" s="116">
        <v>70</v>
      </c>
      <c r="M158" s="116">
        <v>45</v>
      </c>
      <c r="N158" s="116">
        <f>AVERAGE(C158:M158)</f>
        <v>49.090909090909093</v>
      </c>
      <c r="O158" s="116">
        <f>AVERAGE(C158:D158)</f>
        <v>42.5</v>
      </c>
      <c r="P158" s="116">
        <f>AVERAGE(E158:J158)</f>
        <v>45.833333333333336</v>
      </c>
      <c r="Q158" s="116">
        <f>AVERAGE(K158:M158)</f>
        <v>60</v>
      </c>
    </row>
    <row r="159" spans="1:17">
      <c r="A159" s="115" t="s">
        <v>282</v>
      </c>
      <c r="C159" s="116" t="s">
        <v>42</v>
      </c>
      <c r="D159" s="116" t="s">
        <v>43</v>
      </c>
      <c r="E159" s="116" t="s">
        <v>36</v>
      </c>
      <c r="F159" s="116" t="s">
        <v>40</v>
      </c>
      <c r="G159" s="116" t="s">
        <v>41</v>
      </c>
      <c r="H159" s="116" t="s">
        <v>37</v>
      </c>
      <c r="I159" s="116" t="s">
        <v>38</v>
      </c>
      <c r="J159" s="116" t="s">
        <v>39</v>
      </c>
      <c r="K159" s="116" t="s">
        <v>148</v>
      </c>
      <c r="L159" s="116" t="s">
        <v>149</v>
      </c>
      <c r="M159" s="116" t="s">
        <v>150</v>
      </c>
      <c r="N159" s="116" t="s">
        <v>154</v>
      </c>
      <c r="O159" s="116" t="s">
        <v>256</v>
      </c>
      <c r="P159" s="116" t="s">
        <v>257</v>
      </c>
      <c r="Q159" s="116" t="s">
        <v>258</v>
      </c>
    </row>
    <row r="160" spans="1:17">
      <c r="B160" s="116" t="s">
        <v>4</v>
      </c>
      <c r="C160" s="116">
        <v>10</v>
      </c>
      <c r="D160" s="116">
        <v>65</v>
      </c>
      <c r="E160" s="116">
        <v>65</v>
      </c>
      <c r="F160" s="116">
        <v>65</v>
      </c>
      <c r="G160" s="116">
        <v>70</v>
      </c>
      <c r="H160" s="116">
        <v>80</v>
      </c>
      <c r="I160" s="116">
        <v>60</v>
      </c>
      <c r="J160" s="116">
        <v>60</v>
      </c>
      <c r="K160" s="116">
        <v>75</v>
      </c>
      <c r="L160" s="116">
        <v>50</v>
      </c>
      <c r="M160" s="116">
        <v>35</v>
      </c>
      <c r="N160" s="116">
        <f>AVERAGE(C160:M160)</f>
        <v>57.727272727272727</v>
      </c>
      <c r="O160" s="116">
        <f>AVERAGE(C160:D160)</f>
        <v>37.5</v>
      </c>
      <c r="P160" s="116">
        <f>AVERAGE(E160:J160)</f>
        <v>66.666666666666671</v>
      </c>
      <c r="Q160" s="116">
        <f>AVERAGE(K160:M160)</f>
        <v>53.333333333333336</v>
      </c>
    </row>
  </sheetData>
  <phoneticPr fontId="6" type="noConversion"/>
  <dataValidations count="1">
    <dataValidation type="whole" allowBlank="1" showInputMessage="1" showErrorMessage="1" sqref="C5:J5 C7:J7 C9:J9 C11:J11 C13:J13 C15:J15 C29:J29 C31:J31 C33:J33 C35:J35 C37:J37 C39:J39 C53:J53 C55:J55 C57:J57 C59:J59 C61:J61 C63:J63 C65:J65 C100:J100 C76:J76 C102:J102 C104:J104 C106:J106 C108:J108 C110:J110 C112:J112 C114:J114 C67:J67 C124:J124 C126:J126 C128:J128 C130:J130 C132:J132 C134:J134 C136:J136 C148:J148 C150:J150 C152:J152 C154:J154 C156:J156 C158:J158 C160:J160 C41:J41 C43:J43 C17:J17 C19:J19 C78:J78 C80:J80 C82:J82 C84:J84 C86:J86 C88:J88 C90:J90 C92:J92 U76:AB76 U78:AB78 U80:AB80 U82:AB82 U84:AB84" xr:uid="{00000000-0002-0000-0A00-000000000000}">
      <formula1>0</formula1>
      <formula2>100</formula2>
    </dataValidation>
  </dataValidations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/>
  <dimension ref="A1:BL86"/>
  <sheetViews>
    <sheetView topLeftCell="A69" workbookViewId="0">
      <selection activeCell="AT11" sqref="AT11"/>
    </sheetView>
  </sheetViews>
  <sheetFormatPr defaultColWidth="3.77734375" defaultRowHeight="19.95" customHeight="1"/>
  <cols>
    <col min="1" max="16384" width="3.77734375" style="70"/>
  </cols>
  <sheetData>
    <row r="1" spans="1:59" ht="19.95" customHeight="1">
      <c r="D1" s="71" t="s">
        <v>29</v>
      </c>
      <c r="G1" s="71" t="s">
        <v>27</v>
      </c>
      <c r="J1" s="71" t="s">
        <v>32</v>
      </c>
      <c r="O1" s="73" t="s">
        <v>327</v>
      </c>
      <c r="S1" s="71" t="s">
        <v>328</v>
      </c>
      <c r="X1" s="73" t="s">
        <v>329</v>
      </c>
      <c r="AB1" s="71" t="s">
        <v>330</v>
      </c>
      <c r="AF1" s="73" t="s">
        <v>331</v>
      </c>
      <c r="AW1" s="71" t="s">
        <v>350</v>
      </c>
      <c r="AZ1" s="71" t="s">
        <v>349</v>
      </c>
      <c r="BB1" s="71" t="s">
        <v>352</v>
      </c>
    </row>
    <row r="2" spans="1:59" ht="19.95" customHeight="1" thickBot="1">
      <c r="A2" s="71" t="s">
        <v>44</v>
      </c>
      <c r="D2" s="74"/>
      <c r="E2" s="74"/>
      <c r="F2" s="80"/>
      <c r="G2" s="80"/>
      <c r="H2" s="77"/>
      <c r="J2" s="74"/>
      <c r="K2" s="74"/>
      <c r="L2" s="77"/>
      <c r="M2" s="77"/>
      <c r="O2" s="77"/>
      <c r="P2" s="77"/>
      <c r="Q2" s="77"/>
      <c r="S2" s="77"/>
      <c r="T2" s="77"/>
      <c r="U2" s="77"/>
      <c r="V2" s="77"/>
      <c r="X2" s="77"/>
      <c r="Y2" s="77"/>
      <c r="AB2" s="77"/>
      <c r="AC2" s="77"/>
      <c r="AD2" s="79"/>
      <c r="AE2" s="81"/>
      <c r="AF2" s="77"/>
      <c r="AG2" s="77"/>
      <c r="AH2" s="77"/>
      <c r="AI2" s="77"/>
      <c r="AT2" s="71" t="s">
        <v>348</v>
      </c>
      <c r="AW2" s="77"/>
      <c r="AX2" s="77"/>
      <c r="AZ2" s="77"/>
      <c r="BB2" s="77"/>
      <c r="BC2" s="77"/>
    </row>
    <row r="3" spans="1:59" ht="19.95" customHeight="1" thickTop="1" thickBot="1">
      <c r="D3" s="80"/>
      <c r="E3" s="80"/>
      <c r="G3" s="74"/>
      <c r="H3" s="74"/>
      <c r="J3" s="80"/>
      <c r="K3" s="80"/>
      <c r="O3" s="74"/>
      <c r="P3" s="74"/>
      <c r="T3" s="74"/>
      <c r="U3" s="74"/>
      <c r="X3" s="77"/>
      <c r="Y3" s="77"/>
      <c r="AB3" s="77"/>
      <c r="AC3" s="77"/>
      <c r="AD3" s="79"/>
      <c r="AE3" s="81"/>
      <c r="AF3" s="77"/>
      <c r="AG3" s="77"/>
      <c r="AH3" s="77"/>
      <c r="AI3" s="77"/>
      <c r="BB3" s="77"/>
      <c r="BC3" s="77"/>
    </row>
    <row r="4" spans="1:59" ht="19.95" customHeight="1" thickTop="1" thickBot="1">
      <c r="D4" s="80"/>
      <c r="E4" s="80"/>
      <c r="G4" s="80"/>
      <c r="H4" s="80"/>
      <c r="O4" s="80"/>
      <c r="P4" s="80"/>
      <c r="T4" s="80"/>
      <c r="U4" s="80"/>
      <c r="X4" s="74"/>
      <c r="Y4" s="74"/>
      <c r="Z4" s="77"/>
      <c r="AB4" s="74"/>
      <c r="AC4" s="74"/>
      <c r="AG4" s="74"/>
      <c r="AH4" s="74"/>
    </row>
    <row r="5" spans="1:59" ht="19.95" customHeight="1" thickTop="1">
      <c r="X5" s="80"/>
      <c r="Y5" s="80"/>
      <c r="AB5" s="80"/>
      <c r="AC5" s="80"/>
      <c r="AG5" s="80"/>
      <c r="AH5" s="80"/>
    </row>
    <row r="7" spans="1:59" ht="19.95" customHeight="1">
      <c r="B7" s="71" t="s">
        <v>354</v>
      </c>
    </row>
    <row r="11" spans="1:59" ht="19.95" customHeight="1" thickBot="1">
      <c r="D11" s="71" t="s">
        <v>53</v>
      </c>
      <c r="G11" s="73" t="s">
        <v>58</v>
      </c>
      <c r="K11" s="73" t="s">
        <v>59</v>
      </c>
      <c r="O11" s="71" t="s">
        <v>57</v>
      </c>
      <c r="Q11" s="72"/>
      <c r="T11" s="73" t="s">
        <v>332</v>
      </c>
      <c r="X11" s="71" t="s">
        <v>321</v>
      </c>
      <c r="AC11" s="73" t="s">
        <v>333</v>
      </c>
      <c r="AD11" s="72"/>
      <c r="AW11" s="71" t="s">
        <v>367</v>
      </c>
      <c r="AZ11" s="71" t="s">
        <v>366</v>
      </c>
      <c r="BC11" s="71" t="s">
        <v>351</v>
      </c>
      <c r="BF11" s="71" t="s">
        <v>359</v>
      </c>
    </row>
    <row r="12" spans="1:59" ht="19.95" customHeight="1" thickTop="1" thickBot="1">
      <c r="A12" s="71" t="s">
        <v>46</v>
      </c>
      <c r="C12" s="75"/>
      <c r="D12" s="76"/>
      <c r="E12" s="77"/>
      <c r="G12" s="77"/>
      <c r="H12" s="74"/>
      <c r="I12" s="77"/>
      <c r="K12" s="77"/>
      <c r="L12" s="77"/>
      <c r="Q12" s="78"/>
      <c r="T12" s="77"/>
      <c r="U12" s="77"/>
      <c r="V12" s="79"/>
      <c r="W12" s="81"/>
      <c r="AA12" s="77"/>
      <c r="AC12" s="77"/>
      <c r="AD12" s="78"/>
      <c r="AE12" s="77"/>
      <c r="AT12" s="71" t="s">
        <v>348</v>
      </c>
      <c r="AW12" s="77"/>
      <c r="AX12" s="77"/>
      <c r="AZ12" s="77"/>
      <c r="BA12" s="77"/>
      <c r="BC12" s="77"/>
      <c r="BD12" s="77"/>
      <c r="BF12" s="77"/>
      <c r="BG12" s="77"/>
    </row>
    <row r="13" spans="1:59" ht="19.95" customHeight="1" thickTop="1" thickBot="1">
      <c r="H13" s="80"/>
      <c r="L13" s="74"/>
      <c r="M13" s="77"/>
      <c r="O13" s="77"/>
      <c r="P13" s="77"/>
      <c r="Q13" s="77"/>
      <c r="R13" s="79"/>
      <c r="S13" s="81"/>
      <c r="T13" s="77"/>
      <c r="U13" s="77"/>
      <c r="V13" s="79"/>
      <c r="W13" s="81"/>
      <c r="Y13" s="77"/>
      <c r="Z13" s="77"/>
      <c r="AA13" s="77"/>
      <c r="AB13" s="75"/>
      <c r="AC13" s="76"/>
      <c r="AD13" s="77"/>
      <c r="AE13" s="79"/>
      <c r="AF13" s="81"/>
      <c r="BC13" s="77"/>
      <c r="BD13" s="77"/>
    </row>
    <row r="14" spans="1:59" ht="19.95" customHeight="1" thickTop="1" thickBot="1">
      <c r="L14" s="80"/>
      <c r="X14" s="77"/>
      <c r="Y14" s="77"/>
      <c r="Z14" s="74"/>
      <c r="AA14" s="74"/>
      <c r="AC14" s="77"/>
      <c r="AD14" s="74"/>
      <c r="AE14" s="77"/>
    </row>
    <row r="15" spans="1:59" ht="19.95" customHeight="1" thickTop="1">
      <c r="Z15" s="80"/>
      <c r="AA15" s="80"/>
      <c r="AD15" s="80"/>
    </row>
    <row r="21" spans="1:59" ht="19.95" customHeight="1" thickBot="1">
      <c r="D21" s="73" t="s">
        <v>77</v>
      </c>
      <c r="G21" s="73" t="s">
        <v>92</v>
      </c>
      <c r="K21" s="71" t="s">
        <v>94</v>
      </c>
      <c r="O21" s="71" t="s">
        <v>97</v>
      </c>
      <c r="R21" s="72"/>
      <c r="T21" s="71" t="s">
        <v>99</v>
      </c>
      <c r="X21" s="71" t="s">
        <v>237</v>
      </c>
      <c r="AB21" s="73" t="s">
        <v>238</v>
      </c>
      <c r="AH21" s="71" t="s">
        <v>239</v>
      </c>
      <c r="AW21" s="71" t="s">
        <v>373</v>
      </c>
      <c r="AY21" s="71" t="s">
        <v>372</v>
      </c>
      <c r="BB21" s="71" t="s">
        <v>374</v>
      </c>
      <c r="BF21" s="71" t="s">
        <v>375</v>
      </c>
    </row>
    <row r="22" spans="1:59" ht="19.95" customHeight="1" thickTop="1" thickBot="1">
      <c r="A22" s="71" t="s">
        <v>74</v>
      </c>
      <c r="C22" s="75"/>
      <c r="D22" s="76"/>
      <c r="E22" s="79"/>
      <c r="G22" s="77"/>
      <c r="H22" s="72"/>
      <c r="J22" s="75"/>
      <c r="K22" s="76"/>
      <c r="L22" s="77"/>
      <c r="M22" s="77"/>
      <c r="O22" s="77"/>
      <c r="P22" s="77"/>
      <c r="Q22" s="77"/>
      <c r="R22" s="94"/>
      <c r="S22" s="95"/>
      <c r="T22" s="76"/>
      <c r="U22" s="77"/>
      <c r="V22" s="77"/>
      <c r="X22" s="77"/>
      <c r="Y22" s="77"/>
      <c r="Z22" s="77"/>
      <c r="AB22" s="77"/>
      <c r="AC22" s="77"/>
      <c r="AE22" s="77"/>
      <c r="AF22" s="77"/>
      <c r="AI22" s="77"/>
      <c r="AJ22" s="77"/>
      <c r="AT22" s="71" t="s">
        <v>348</v>
      </c>
      <c r="AW22" s="77"/>
      <c r="AY22" s="77"/>
      <c r="AZ22" s="77"/>
      <c r="BB22" s="77"/>
      <c r="BC22" s="77"/>
      <c r="BD22" s="77"/>
      <c r="BF22" s="77"/>
      <c r="BG22" s="77"/>
    </row>
    <row r="23" spans="1:59" ht="19.95" customHeight="1" thickTop="1" thickBot="1">
      <c r="C23" s="75"/>
      <c r="D23" s="88"/>
      <c r="E23" s="89"/>
      <c r="G23" s="78"/>
      <c r="H23" s="92"/>
      <c r="I23" s="81"/>
      <c r="J23" s="75"/>
      <c r="K23" s="93"/>
      <c r="L23" s="78"/>
      <c r="O23" s="77"/>
      <c r="P23" s="77"/>
      <c r="Q23" s="77"/>
      <c r="R23" s="80"/>
      <c r="S23" s="75"/>
      <c r="T23" s="76"/>
      <c r="U23" s="77"/>
      <c r="V23" s="77"/>
      <c r="X23" s="77"/>
      <c r="Y23" s="77"/>
      <c r="Z23" s="77"/>
      <c r="AB23" s="77"/>
      <c r="AC23" s="77"/>
      <c r="AD23" s="77"/>
      <c r="AE23" s="77"/>
      <c r="AF23" s="77"/>
      <c r="AI23" s="77"/>
      <c r="AJ23" s="77"/>
      <c r="AK23" s="77"/>
      <c r="AL23" s="77"/>
      <c r="BF23" s="77"/>
    </row>
    <row r="24" spans="1:59" ht="19.95" customHeight="1" thickTop="1" thickBot="1">
      <c r="H24" s="77"/>
      <c r="I24" s="77"/>
      <c r="K24" s="77"/>
      <c r="U24" s="77"/>
      <c r="V24" s="77"/>
      <c r="X24" s="77"/>
      <c r="Y24" s="74"/>
      <c r="Z24" s="77"/>
      <c r="AC24" s="74"/>
      <c r="AE24" s="74"/>
      <c r="AH24" s="77"/>
      <c r="AI24" s="77"/>
      <c r="AJ24" s="77"/>
      <c r="AL24" s="77"/>
    </row>
    <row r="25" spans="1:59" ht="19.95" customHeight="1" thickTop="1" thickBot="1">
      <c r="Y25" s="80"/>
      <c r="AC25" s="80"/>
      <c r="AE25" s="80"/>
      <c r="AI25" s="74"/>
      <c r="AJ25" s="74"/>
    </row>
    <row r="26" spans="1:59" ht="19.95" customHeight="1" thickTop="1">
      <c r="AI26" s="80"/>
      <c r="AJ26" s="80"/>
    </row>
    <row r="31" spans="1:59" ht="19.95" customHeight="1" thickBot="1">
      <c r="D31" s="82" t="s">
        <v>65</v>
      </c>
      <c r="G31" s="73" t="s">
        <v>80</v>
      </c>
      <c r="J31" s="73" t="s">
        <v>82</v>
      </c>
      <c r="O31" s="73" t="s">
        <v>83</v>
      </c>
      <c r="T31" s="73" t="s">
        <v>87</v>
      </c>
    </row>
    <row r="32" spans="1:59" ht="19.95" customHeight="1" thickTop="1" thickBot="1">
      <c r="A32" s="71" t="s">
        <v>64</v>
      </c>
      <c r="C32" s="75"/>
      <c r="D32" s="83"/>
      <c r="E32" s="77"/>
      <c r="F32" s="75"/>
      <c r="G32" s="76"/>
      <c r="H32" s="77"/>
      <c r="J32" s="77"/>
      <c r="K32" s="77"/>
      <c r="L32" s="77"/>
      <c r="M32" s="77"/>
      <c r="O32" s="77"/>
      <c r="P32" s="77"/>
      <c r="Q32" s="77"/>
      <c r="R32" s="77"/>
      <c r="U32" s="77"/>
      <c r="V32" s="77"/>
    </row>
    <row r="33" spans="1:58" ht="19.95" customHeight="1" thickTop="1" thickBot="1">
      <c r="D33" s="80"/>
      <c r="F33" s="75"/>
      <c r="G33" s="76"/>
      <c r="H33" s="77"/>
      <c r="K33" s="74"/>
      <c r="L33" s="74"/>
      <c r="O33" s="77"/>
      <c r="P33" s="74"/>
      <c r="Q33" s="74"/>
      <c r="R33" s="77"/>
      <c r="T33" s="77"/>
      <c r="U33" s="77"/>
      <c r="V33" s="77"/>
      <c r="W33" s="77"/>
    </row>
    <row r="34" spans="1:58" ht="19.95" customHeight="1" thickTop="1">
      <c r="P34" s="80"/>
      <c r="Q34" s="80"/>
      <c r="T34" s="77"/>
      <c r="U34" s="77"/>
      <c r="V34" s="77"/>
      <c r="W34" s="77"/>
    </row>
    <row r="35" spans="1:58" ht="19.95" customHeight="1" thickBot="1">
      <c r="U35" s="74"/>
      <c r="V35" s="74"/>
    </row>
    <row r="36" spans="1:58" ht="19.95" customHeight="1" thickTop="1"/>
    <row r="41" spans="1:58" ht="19.95" customHeight="1" thickBot="1">
      <c r="D41" s="71" t="s">
        <v>108</v>
      </c>
      <c r="G41" s="99" t="s">
        <v>111</v>
      </c>
      <c r="J41" s="73" t="s">
        <v>112</v>
      </c>
      <c r="K41" s="72"/>
      <c r="N41" s="71" t="s">
        <v>118</v>
      </c>
      <c r="Q41" s="103" t="s">
        <v>121</v>
      </c>
      <c r="V41" s="71" t="s">
        <v>123</v>
      </c>
      <c r="Z41" s="71" t="s">
        <v>188</v>
      </c>
      <c r="AE41" s="73" t="s">
        <v>189</v>
      </c>
      <c r="AG41" s="72"/>
      <c r="AH41" s="72"/>
      <c r="AW41" s="71" t="s">
        <v>397</v>
      </c>
      <c r="AY41" s="71" t="s">
        <v>373</v>
      </c>
      <c r="BB41" s="71" t="s">
        <v>398</v>
      </c>
      <c r="BF41" s="71"/>
    </row>
    <row r="42" spans="1:58" ht="19.95" customHeight="1" thickTop="1">
      <c r="A42" s="71" t="s">
        <v>105</v>
      </c>
      <c r="C42" s="97"/>
      <c r="D42" s="76"/>
      <c r="E42" s="77"/>
      <c r="F42" s="75"/>
      <c r="G42" s="93"/>
      <c r="H42" s="77"/>
      <c r="K42" s="78"/>
      <c r="N42" s="77"/>
      <c r="O42" s="77"/>
      <c r="Q42" s="104"/>
      <c r="R42" s="101"/>
      <c r="S42" s="101"/>
      <c r="V42" s="77"/>
      <c r="W42" s="77"/>
      <c r="X42" s="77"/>
      <c r="Z42" s="77"/>
      <c r="AA42" s="77"/>
      <c r="AB42" s="77"/>
      <c r="AC42" s="77"/>
      <c r="AE42" s="77"/>
      <c r="AF42" s="77"/>
      <c r="AG42" s="78"/>
      <c r="AH42" s="78"/>
      <c r="AT42" s="71" t="s">
        <v>348</v>
      </c>
      <c r="AW42" s="77"/>
      <c r="AY42" s="77"/>
      <c r="AZ42" s="77"/>
      <c r="BB42" s="77"/>
    </row>
    <row r="43" spans="1:58" ht="19.95" customHeight="1" thickBot="1">
      <c r="E43" s="96"/>
      <c r="F43" s="75"/>
      <c r="G43" s="88"/>
      <c r="H43" s="89"/>
      <c r="I43" s="100"/>
      <c r="J43" s="76"/>
      <c r="K43" s="77"/>
      <c r="L43" s="79"/>
      <c r="M43" s="81"/>
      <c r="N43" s="77"/>
      <c r="O43" s="77"/>
      <c r="Q43" s="77"/>
      <c r="R43" s="77"/>
      <c r="S43" s="77"/>
      <c r="T43" s="77"/>
      <c r="V43" s="77"/>
      <c r="W43" s="77"/>
      <c r="X43" s="77"/>
      <c r="Z43" s="77"/>
      <c r="AA43" s="77"/>
      <c r="AB43" s="77"/>
      <c r="AC43" s="77"/>
      <c r="AE43" s="77"/>
      <c r="AF43" s="77"/>
      <c r="AG43" s="77"/>
    </row>
    <row r="44" spans="1:58" ht="19.95" customHeight="1" thickTop="1" thickBot="1">
      <c r="E44" s="80"/>
      <c r="G44" s="80"/>
      <c r="H44" s="80"/>
      <c r="K44" s="74"/>
      <c r="N44" s="77"/>
      <c r="O44" s="74"/>
      <c r="P44" s="102"/>
      <c r="Q44" s="101"/>
      <c r="R44" s="77"/>
      <c r="S44" s="77"/>
      <c r="V44" s="74"/>
      <c r="W44" s="74"/>
      <c r="Z44" s="74"/>
      <c r="AD44" s="75"/>
      <c r="AE44" s="76"/>
      <c r="AF44" s="77"/>
    </row>
    <row r="45" spans="1:58" ht="19.95" customHeight="1" thickTop="1">
      <c r="K45" s="80"/>
      <c r="O45" s="80"/>
      <c r="Q45" s="101"/>
      <c r="R45" s="101"/>
      <c r="S45" s="101"/>
      <c r="V45" s="80"/>
      <c r="W45" s="80"/>
      <c r="Z45" s="80"/>
      <c r="AD45" s="75"/>
      <c r="AE45" s="76"/>
    </row>
    <row r="51" spans="1:64" ht="19.95" hidden="1" customHeight="1">
      <c r="D51" s="73" t="s">
        <v>125</v>
      </c>
      <c r="G51" s="73" t="s">
        <v>175</v>
      </c>
      <c r="J51" s="73" t="s">
        <v>176</v>
      </c>
      <c r="O51" s="73" t="s">
        <v>177</v>
      </c>
      <c r="T51" s="73" t="s">
        <v>178</v>
      </c>
    </row>
    <row r="52" spans="1:64" ht="19.95" hidden="1" customHeight="1" thickBot="1">
      <c r="A52" s="71" t="s">
        <v>357</v>
      </c>
      <c r="C52" s="75"/>
      <c r="D52" s="88"/>
      <c r="E52" s="77"/>
      <c r="G52" s="77"/>
      <c r="H52" s="77"/>
      <c r="I52" s="75"/>
      <c r="J52" s="76"/>
      <c r="K52" s="77"/>
      <c r="L52" s="77"/>
      <c r="O52" s="77"/>
      <c r="P52" s="77"/>
      <c r="Q52" s="77"/>
      <c r="R52" s="77"/>
      <c r="T52" s="77"/>
      <c r="U52" s="77"/>
    </row>
    <row r="53" spans="1:64" ht="19.95" hidden="1" customHeight="1" thickTop="1" thickBot="1">
      <c r="D53" s="80"/>
      <c r="G53" s="74"/>
      <c r="H53" s="74"/>
      <c r="K53" s="77"/>
      <c r="L53" s="77"/>
      <c r="M53" s="79"/>
      <c r="N53" s="81"/>
      <c r="O53" s="77"/>
      <c r="Q53" s="77"/>
      <c r="T53" s="77"/>
      <c r="U53" s="77"/>
      <c r="V53" s="77"/>
      <c r="W53" s="77"/>
      <c r="X53" s="79"/>
      <c r="Y53" s="81"/>
    </row>
    <row r="54" spans="1:64" ht="19.95" hidden="1" customHeight="1" thickTop="1" thickBot="1">
      <c r="G54" s="80"/>
      <c r="H54" s="80"/>
      <c r="O54" s="74"/>
      <c r="Q54" s="74"/>
      <c r="U54" s="77"/>
      <c r="V54" s="77"/>
    </row>
    <row r="55" spans="1:64" ht="19.95" hidden="1" customHeight="1" thickTop="1">
      <c r="O55" s="80"/>
      <c r="Q55" s="80"/>
      <c r="U55" s="77"/>
      <c r="W55" s="77"/>
    </row>
    <row r="56" spans="1:64" ht="19.95" hidden="1" customHeight="1" thickBot="1">
      <c r="U56" s="74"/>
    </row>
    <row r="57" spans="1:64" ht="19.95" hidden="1" customHeight="1" thickTop="1">
      <c r="U57" s="80"/>
    </row>
    <row r="58" spans="1:64" ht="19.95" hidden="1" customHeight="1"/>
    <row r="59" spans="1:64" ht="19.95" hidden="1" customHeight="1"/>
    <row r="61" spans="1:64" ht="19.95" customHeight="1" thickBot="1">
      <c r="D61" s="73" t="s">
        <v>128</v>
      </c>
      <c r="G61" s="73" t="s">
        <v>132</v>
      </c>
      <c r="K61" s="73" t="s">
        <v>135</v>
      </c>
      <c r="O61" s="73" t="s">
        <v>145</v>
      </c>
      <c r="S61" s="73"/>
      <c r="T61" s="71" t="s">
        <v>138</v>
      </c>
      <c r="U61" s="72"/>
      <c r="X61" s="73" t="s">
        <v>144</v>
      </c>
      <c r="AB61" s="73" t="s">
        <v>143</v>
      </c>
      <c r="AF61" s="73" t="s">
        <v>147</v>
      </c>
      <c r="AK61" s="73" t="s">
        <v>226</v>
      </c>
      <c r="AL61" s="112"/>
      <c r="AO61" s="73" t="s">
        <v>227</v>
      </c>
      <c r="AT61" s="73" t="s">
        <v>228</v>
      </c>
      <c r="AY61" s="73" t="s">
        <v>229</v>
      </c>
      <c r="AZ61" s="112"/>
      <c r="BD61" s="73" t="s">
        <v>232</v>
      </c>
      <c r="BI61" s="73" t="s">
        <v>233</v>
      </c>
      <c r="BJ61" s="112"/>
    </row>
    <row r="62" spans="1:64" ht="19.95" customHeight="1" thickTop="1" thickBot="1">
      <c r="A62" s="71" t="s">
        <v>127</v>
      </c>
      <c r="D62" s="74"/>
      <c r="E62" s="74"/>
      <c r="F62" s="75"/>
      <c r="G62" s="76"/>
      <c r="H62" s="77"/>
      <c r="I62" s="77"/>
      <c r="K62" s="77"/>
      <c r="L62" s="77"/>
      <c r="O62" s="78"/>
      <c r="P62" s="74"/>
      <c r="Q62" s="74"/>
      <c r="R62" s="77"/>
      <c r="T62" s="77"/>
      <c r="U62" s="78"/>
      <c r="V62" s="77"/>
      <c r="X62" s="77"/>
      <c r="Y62" s="77"/>
      <c r="Z62" s="77"/>
      <c r="AB62" s="77"/>
      <c r="AC62" s="96"/>
      <c r="AD62" s="77"/>
      <c r="AF62" s="77"/>
      <c r="AG62" s="77"/>
      <c r="AH62" s="77"/>
      <c r="AI62" s="77"/>
      <c r="AK62" s="77"/>
      <c r="AL62" s="78"/>
      <c r="AM62" s="77"/>
      <c r="AO62" s="77"/>
      <c r="AP62" s="77"/>
      <c r="AT62" s="77"/>
      <c r="AU62" s="77"/>
      <c r="AV62" s="77"/>
      <c r="AW62" s="77"/>
      <c r="AY62" s="77"/>
      <c r="AZ62" s="78"/>
      <c r="BB62" s="77"/>
      <c r="BF62" s="77"/>
      <c r="BI62" s="77"/>
      <c r="BJ62" s="78"/>
      <c r="BK62" s="77"/>
    </row>
    <row r="63" spans="1:64" ht="19.95" customHeight="1" thickTop="1" thickBot="1">
      <c r="D63" s="80"/>
      <c r="E63" s="80"/>
      <c r="L63" s="74"/>
      <c r="P63" s="80"/>
      <c r="Q63" s="80"/>
      <c r="T63" s="77"/>
      <c r="V63" s="77"/>
      <c r="Z63" s="77"/>
      <c r="AB63" s="108"/>
      <c r="AC63" s="109"/>
      <c r="AD63" s="76"/>
      <c r="AF63" s="77"/>
      <c r="AG63" s="77"/>
      <c r="AK63" s="77"/>
      <c r="AL63" s="77"/>
      <c r="AM63" s="77"/>
      <c r="AO63" s="77"/>
      <c r="AP63" s="77"/>
      <c r="AQ63" s="77"/>
      <c r="AR63" s="77"/>
      <c r="AU63" s="77"/>
      <c r="AV63" s="77"/>
      <c r="AY63" s="77"/>
      <c r="AZ63" s="77"/>
      <c r="BA63" s="77"/>
      <c r="BB63" s="77"/>
      <c r="BC63" s="97"/>
      <c r="BD63" s="76"/>
      <c r="BE63" s="77"/>
      <c r="BF63" s="77"/>
      <c r="BG63" s="108"/>
      <c r="BH63" s="110"/>
      <c r="BI63" s="76"/>
      <c r="BJ63" s="77"/>
      <c r="BK63" s="108"/>
      <c r="BL63" s="81"/>
    </row>
    <row r="64" spans="1:64" ht="19.95" customHeight="1" thickTop="1" thickBot="1">
      <c r="L64" s="80"/>
      <c r="Z64" s="74"/>
      <c r="AB64" s="107"/>
      <c r="AC64" s="110"/>
      <c r="AD64" s="111"/>
      <c r="AF64" s="96"/>
      <c r="AG64" s="96"/>
      <c r="AK64" s="77"/>
      <c r="AM64" s="77"/>
      <c r="AP64" s="77"/>
      <c r="AQ64" s="96"/>
      <c r="AR64" s="96"/>
      <c r="AT64" s="77"/>
      <c r="AU64" s="96"/>
      <c r="AV64" s="96"/>
      <c r="AW64" s="77"/>
      <c r="AY64" s="96"/>
      <c r="AZ64" s="77"/>
      <c r="BB64" s="77"/>
      <c r="BE64" s="77"/>
      <c r="BI64" s="77"/>
      <c r="BJ64" s="96"/>
      <c r="BK64" s="77"/>
      <c r="BL64" s="77"/>
    </row>
    <row r="65" spans="1:63" ht="19.95" customHeight="1" thickTop="1">
      <c r="O65" s="80"/>
      <c r="Z65" s="80"/>
      <c r="AB65" s="80"/>
      <c r="AC65" s="80"/>
      <c r="AD65" s="80"/>
      <c r="AF65" s="80"/>
      <c r="AG65" s="80"/>
      <c r="AQ65" s="80"/>
      <c r="AR65" s="80"/>
      <c r="AU65" s="80"/>
      <c r="AV65" s="80"/>
      <c r="AY65" s="80"/>
      <c r="BJ65" s="80"/>
      <c r="BK65" s="77"/>
    </row>
    <row r="71" spans="1:63" ht="19.95" customHeight="1" thickBot="1">
      <c r="D71" s="71" t="s">
        <v>244</v>
      </c>
      <c r="H71" s="71" t="s">
        <v>245</v>
      </c>
      <c r="L71" s="71" t="s">
        <v>246</v>
      </c>
      <c r="P71" s="71" t="s">
        <v>252</v>
      </c>
      <c r="Q71" s="72"/>
      <c r="R71" s="72"/>
      <c r="U71" s="71" t="s">
        <v>253</v>
      </c>
      <c r="V71" s="72"/>
      <c r="Z71" s="71" t="s">
        <v>254</v>
      </c>
      <c r="AE71" s="71" t="s">
        <v>255</v>
      </c>
      <c r="AW71" s="71" t="s">
        <v>565</v>
      </c>
      <c r="AZ71" s="71" t="s">
        <v>566</v>
      </c>
      <c r="BC71" s="71" t="s">
        <v>568</v>
      </c>
      <c r="BF71" s="71" t="s">
        <v>569</v>
      </c>
    </row>
    <row r="72" spans="1:63" ht="19.95" customHeight="1" thickTop="1" thickBot="1">
      <c r="A72" s="71" t="s">
        <v>190</v>
      </c>
      <c r="C72" s="75"/>
      <c r="D72" s="113"/>
      <c r="I72" s="77"/>
      <c r="L72" s="77"/>
      <c r="M72" s="77"/>
      <c r="Q72" s="78"/>
      <c r="R72" s="78"/>
      <c r="S72" s="77"/>
      <c r="V72" s="78"/>
      <c r="Z72" s="77"/>
      <c r="AA72" s="77"/>
      <c r="AB72" s="77"/>
      <c r="AC72" s="74"/>
      <c r="AD72" s="75"/>
      <c r="AE72" s="76"/>
      <c r="AF72" s="77"/>
      <c r="AG72" s="77"/>
      <c r="AH72" s="79"/>
      <c r="AI72" s="81"/>
      <c r="AT72" s="71" t="s">
        <v>348</v>
      </c>
      <c r="AW72" s="77"/>
      <c r="AZ72" s="77"/>
      <c r="BA72" s="77"/>
      <c r="BC72" s="77"/>
      <c r="BD72" s="77"/>
      <c r="BF72" s="77"/>
    </row>
    <row r="73" spans="1:63" ht="19.95" customHeight="1" thickTop="1" thickBot="1">
      <c r="D73" s="80"/>
      <c r="E73" s="77"/>
      <c r="F73" s="77"/>
      <c r="H73" s="77"/>
      <c r="I73" s="74"/>
      <c r="J73" s="77"/>
      <c r="L73" s="77"/>
      <c r="M73" s="74"/>
      <c r="N73" s="77"/>
      <c r="P73" s="77"/>
      <c r="Q73" s="74"/>
      <c r="R73" s="74"/>
      <c r="V73" s="77"/>
      <c r="W73" s="77"/>
      <c r="X73" s="79"/>
      <c r="Y73" s="81"/>
      <c r="Z73" s="77"/>
      <c r="AA73" s="77"/>
      <c r="AB73" s="89"/>
      <c r="AC73" s="114"/>
      <c r="AD73" s="75"/>
      <c r="AE73" s="76"/>
      <c r="AF73" s="77"/>
      <c r="AG73" s="77"/>
      <c r="AH73" s="79"/>
      <c r="AI73" s="81"/>
      <c r="AX73" s="77"/>
      <c r="BC73" s="77"/>
      <c r="BD73" s="77"/>
    </row>
    <row r="74" spans="1:63" ht="19.95" customHeight="1" thickTop="1">
      <c r="I74" s="80"/>
      <c r="M74" s="80"/>
      <c r="Q74" s="80"/>
      <c r="R74" s="80"/>
      <c r="T74" s="75"/>
      <c r="U74" s="76"/>
      <c r="V74" s="77"/>
      <c r="W74" s="77"/>
      <c r="Z74" s="77"/>
      <c r="AA74" s="79"/>
      <c r="AB74" s="114"/>
      <c r="AF74" s="77"/>
      <c r="AG74" s="77"/>
    </row>
    <row r="75" spans="1:63" ht="19.95" customHeight="1" thickBot="1">
      <c r="W75" s="74"/>
      <c r="AF75" s="74"/>
      <c r="AG75" s="74"/>
    </row>
    <row r="76" spans="1:63" ht="19.95" customHeight="1" thickTop="1">
      <c r="W76" s="80"/>
      <c r="AF76" s="80"/>
      <c r="AG76" s="80"/>
    </row>
    <row r="82" spans="1:58" ht="19.95" customHeight="1" thickBot="1">
      <c r="A82" s="71" t="s">
        <v>285</v>
      </c>
      <c r="D82" s="71" t="s">
        <v>296</v>
      </c>
      <c r="G82" s="103" t="s">
        <v>297</v>
      </c>
      <c r="H82" s="133"/>
      <c r="J82" s="73" t="s">
        <v>298</v>
      </c>
      <c r="N82" s="71" t="s">
        <v>299</v>
      </c>
      <c r="R82" s="73" t="s">
        <v>300</v>
      </c>
      <c r="V82" s="73" t="s">
        <v>301</v>
      </c>
      <c r="AA82" s="73" t="s">
        <v>302</v>
      </c>
      <c r="AW82" s="71" t="s">
        <v>384</v>
      </c>
      <c r="AY82" s="71" t="s">
        <v>570</v>
      </c>
      <c r="BA82" s="71" t="s">
        <v>571</v>
      </c>
      <c r="BC82" s="71"/>
      <c r="BF82" s="71"/>
    </row>
    <row r="83" spans="1:58" ht="19.95" customHeight="1" thickTop="1" thickBot="1">
      <c r="D83" s="77"/>
      <c r="E83" s="107"/>
      <c r="F83" s="132"/>
      <c r="G83" s="130"/>
      <c r="H83" s="131"/>
      <c r="I83" s="81"/>
      <c r="J83" s="77"/>
      <c r="K83" s="77"/>
      <c r="L83" s="77"/>
      <c r="N83" s="77"/>
      <c r="O83" s="77"/>
      <c r="P83" s="77"/>
      <c r="S83" s="77"/>
      <c r="T83" s="77"/>
      <c r="V83" s="77"/>
      <c r="W83" s="77"/>
      <c r="AB83" s="77"/>
      <c r="AC83" s="77"/>
      <c r="AD83" s="77"/>
      <c r="AT83" s="71" t="s">
        <v>348</v>
      </c>
      <c r="AW83" s="77"/>
      <c r="AY83" s="77"/>
      <c r="BA83" s="77"/>
      <c r="BB83" s="77"/>
      <c r="BC83" s="71"/>
      <c r="BF83" s="71"/>
    </row>
    <row r="84" spans="1:58" ht="19.95" customHeight="1" thickTop="1" thickBot="1">
      <c r="D84" s="107"/>
      <c r="E84" s="114"/>
      <c r="F84" s="102"/>
      <c r="G84" s="111"/>
      <c r="H84" s="107"/>
      <c r="I84" s="81"/>
      <c r="J84" s="77"/>
      <c r="N84" s="77"/>
      <c r="O84" s="96"/>
      <c r="P84" s="77"/>
      <c r="Q84" s="97"/>
      <c r="R84" s="76"/>
      <c r="S84" s="77"/>
      <c r="T84" s="77"/>
      <c r="V84" s="77"/>
      <c r="W84" s="77"/>
      <c r="X84" s="77"/>
      <c r="Y84" s="77"/>
      <c r="AA84" s="77"/>
      <c r="AB84" s="77"/>
      <c r="AC84" s="77"/>
      <c r="AD84" s="77"/>
      <c r="BA84" s="77"/>
      <c r="BC84" s="71"/>
      <c r="BF84" s="71"/>
    </row>
    <row r="85" spans="1:58" ht="19.95" customHeight="1" thickTop="1" thickBot="1">
      <c r="D85" s="80"/>
      <c r="G85" s="80"/>
      <c r="H85" s="80"/>
      <c r="I85" s="97"/>
      <c r="J85" s="76"/>
      <c r="O85" s="80"/>
      <c r="Q85" s="97"/>
      <c r="R85" s="134"/>
      <c r="S85" s="96"/>
      <c r="W85" s="96"/>
      <c r="X85" s="96"/>
      <c r="Y85" s="77"/>
      <c r="AA85" s="96"/>
      <c r="AB85" s="77"/>
      <c r="AC85" s="77"/>
      <c r="AD85" s="77"/>
    </row>
    <row r="86" spans="1:58" ht="19.95" customHeight="1" thickTop="1">
      <c r="R86" s="80"/>
      <c r="S86" s="80"/>
      <c r="W86" s="80"/>
      <c r="X86" s="80"/>
      <c r="AA86" s="80"/>
    </row>
  </sheetData>
  <phoneticPr fontId="6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?mso-contentType ?>
<FormTemplates xmlns="http://schemas.microsoft.com/sharepoint/v3/contenttype/forms">
  <Display>DocumentLibraryForm</Display>
  <Edit>AssetEditForm</Edit>
  <New>DocumentLibraryForm</New>
</FormTemplates>
</file>

<file path=customXml/itemProps1.xml><?xml version="1.0" encoding="utf-8"?>
<ds:datastoreItem xmlns:ds="http://schemas.openxmlformats.org/officeDocument/2006/customXml" ds:itemID="{F25E1ED9-A64D-4557-A31C-3D71608F232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16</vt:i4>
      </vt:variant>
      <vt:variant>
        <vt:lpstr>이름 지정된 범위</vt:lpstr>
      </vt:variant>
      <vt:variant>
        <vt:i4>47</vt:i4>
      </vt:variant>
    </vt:vector>
  </HeadingPairs>
  <TitlesOfParts>
    <vt:vector size="63" baseType="lpstr">
      <vt:lpstr>표지</vt:lpstr>
      <vt:lpstr>음료</vt:lpstr>
      <vt:lpstr>음식</vt:lpstr>
      <vt:lpstr>숙박</vt:lpstr>
      <vt:lpstr>장비</vt:lpstr>
      <vt:lpstr>편의</vt:lpstr>
      <vt:lpstr>관광</vt:lpstr>
      <vt:lpstr>오락</vt:lpstr>
      <vt:lpstr>성소</vt:lpstr>
      <vt:lpstr>건설 부지에 따른 수치표</vt:lpstr>
      <vt:lpstr>캐릭터 욕구 생성 표</vt:lpstr>
      <vt:lpstr>스테이지 관련 수치</vt:lpstr>
      <vt:lpstr>밸런스 계산</vt:lpstr>
      <vt:lpstr>ref</vt:lpstr>
      <vt:lpstr>선호도</vt:lpstr>
      <vt:lpstr>건설 부지</vt:lpstr>
      <vt:lpstr>관광!Print_Titles</vt:lpstr>
      <vt:lpstr>성소!Print_Titles</vt:lpstr>
      <vt:lpstr>숙박!Print_Titles</vt:lpstr>
      <vt:lpstr>오락!Print_Titles</vt:lpstr>
      <vt:lpstr>음료!Print_Titles</vt:lpstr>
      <vt:lpstr>음식!Print_Titles</vt:lpstr>
      <vt:lpstr>장비!Print_Titles</vt:lpstr>
      <vt:lpstr>편의!Print_Titles</vt:lpstr>
      <vt:lpstr>표지!Print_Titles</vt:lpstr>
      <vt:lpstr>가게_수</vt:lpstr>
      <vt:lpstr>가게당_초당_욕구_해소량</vt:lpstr>
      <vt:lpstr>건설_비용</vt:lpstr>
      <vt:lpstr>관광_애드온_부지</vt:lpstr>
      <vt:lpstr>관광객_욕구_최대_생성량</vt:lpstr>
      <vt:lpstr>관광객_욕구_최대_초기치</vt:lpstr>
      <vt:lpstr>관광객_욕구_최소_생성량</vt:lpstr>
      <vt:lpstr>관광객_욕구_최소_초기치</vt:lpstr>
      <vt:lpstr>관광객_욕구_평균_생성량</vt:lpstr>
      <vt:lpstr>관광객_욕구_평균_초기치</vt:lpstr>
      <vt:lpstr>관광부지모양</vt:lpstr>
      <vt:lpstr>구호소부지모양</vt:lpstr>
      <vt:lpstr>모험가_욕구_최대_생성량</vt:lpstr>
      <vt:lpstr>모험가_욕구_최대_초기치</vt:lpstr>
      <vt:lpstr>모험가_욕구_최소_생성량</vt:lpstr>
      <vt:lpstr>모험가_욕구_최소_초기치</vt:lpstr>
      <vt:lpstr>모험가_욕구_평균_생성량</vt:lpstr>
      <vt:lpstr>모험가_욕구_평균_초기치</vt:lpstr>
      <vt:lpstr>모험가_일선_모험가_포함</vt:lpstr>
      <vt:lpstr>성소부지</vt:lpstr>
      <vt:lpstr>성소부지모양</vt:lpstr>
      <vt:lpstr>수익률</vt:lpstr>
      <vt:lpstr>숙박_애드온_부지</vt:lpstr>
      <vt:lpstr>숙박부지모양</vt:lpstr>
      <vt:lpstr>시작_골드</vt:lpstr>
      <vt:lpstr>오락_애드온_부지</vt:lpstr>
      <vt:lpstr>오락부지모양</vt:lpstr>
      <vt:lpstr>음료_애드온_부지</vt:lpstr>
      <vt:lpstr>음료부지모양</vt:lpstr>
      <vt:lpstr>음식_애드온_부지</vt:lpstr>
      <vt:lpstr>음식부지모양</vt:lpstr>
      <vt:lpstr>장비부지모양</vt:lpstr>
      <vt:lpstr>총_건설_비용</vt:lpstr>
      <vt:lpstr>최대_욕구_생성량</vt:lpstr>
      <vt:lpstr>최대_캐릭터_수</vt:lpstr>
      <vt:lpstr>편의_애드온_부지</vt:lpstr>
      <vt:lpstr>편의부지모양</vt:lpstr>
      <vt:lpstr>평균_사냥_시간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keywords/>
  <cp:lastModifiedBy/>
  <dcterms:created xsi:type="dcterms:W3CDTF">2016-04-02T09:01:12Z</dcterms:created>
  <dcterms:modified xsi:type="dcterms:W3CDTF">2021-05-26T06:35:03Z</dcterms:modified>
  <cp:version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TC029300579991</vt:lpwstr>
  </property>
</Properties>
</file>